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bdul\Downloads\"/>
    </mc:Choice>
  </mc:AlternateContent>
  <xr:revisionPtr revIDLastSave="0" documentId="13_ncr:1_{A9D16564-A9BE-4263-B601-3652D1D8CC2B}" xr6:coauthVersionLast="47" xr6:coauthVersionMax="47" xr10:uidLastSave="{00000000-0000-0000-0000-000000000000}"/>
  <bookViews>
    <workbookView xWindow="-120" yWindow="-120" windowWidth="19440" windowHeight="11520" firstSheet="4" activeTab="7" xr2:uid="{00000000-000D-0000-FFFF-FFFF00000000}"/>
  </bookViews>
  <sheets>
    <sheet name="Estimate" sheetId="1" r:id="rId1"/>
    <sheet name="Resources" sheetId="2" r:id="rId2"/>
    <sheet name="Model Inputs" sheetId="6" r:id="rId3"/>
    <sheet name="Non-Work Days" sheetId="20" r:id="rId4"/>
    <sheet name="Program Links" sheetId="14" r:id="rId5"/>
    <sheet name="Budget &amp; Revenue" sheetId="19" r:id="rId6"/>
    <sheet name="Portfolio WBS" sheetId="17" r:id="rId7"/>
    <sheet name="Actual Costs" sheetId="18" r:id="rId8"/>
  </sheets>
  <externalReferences>
    <externalReference r:id="rId9"/>
  </externalReferences>
  <definedNames>
    <definedName name="NWDays">'[1]Non-Work Calender'!$B$4:$K$68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Estimate!$V$16</definedName>
    <definedName name="solver_typ" localSheetId="0" hidden="1">1</definedName>
    <definedName name="solver_val" localSheetId="0" hidden="1">0</definedName>
    <definedName name="solver_ver" localSheetId="0" hidden="1">3</definedName>
    <definedName name="work">'Non-Work Days'!$C$71</definedName>
    <definedName name="Workhr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14" l="1"/>
  <c r="H6" i="14"/>
  <c r="I6" i="14"/>
  <c r="G7" i="14"/>
  <c r="H7" i="14"/>
  <c r="I7" i="14"/>
  <c r="G8" i="14"/>
  <c r="H8" i="14"/>
  <c r="I8" i="14"/>
  <c r="G9" i="14"/>
  <c r="H9" i="14"/>
  <c r="I9" i="14"/>
  <c r="G10" i="14"/>
  <c r="H10" i="14"/>
  <c r="I10" i="14"/>
  <c r="G11" i="14"/>
  <c r="H11" i="14"/>
  <c r="I11" i="14"/>
  <c r="G12" i="14"/>
  <c r="H12" i="14"/>
  <c r="I12" i="14"/>
  <c r="G13" i="14"/>
  <c r="H13" i="14"/>
  <c r="I13" i="14"/>
  <c r="G14" i="14"/>
  <c r="H14" i="14"/>
  <c r="I14" i="14"/>
  <c r="G15" i="14"/>
  <c r="H15" i="14"/>
  <c r="I15" i="14"/>
  <c r="G16" i="14"/>
  <c r="H16" i="14"/>
  <c r="I16" i="14"/>
  <c r="G17" i="14"/>
  <c r="H17" i="14"/>
  <c r="I17" i="14"/>
  <c r="G18" i="14"/>
  <c r="H18" i="14"/>
  <c r="I18" i="14"/>
  <c r="G19" i="14"/>
  <c r="H19" i="14"/>
  <c r="I19" i="14"/>
  <c r="G20" i="14"/>
  <c r="H20" i="14"/>
  <c r="I20" i="14"/>
  <c r="G21" i="14"/>
  <c r="H21" i="14"/>
  <c r="I21" i="14"/>
  <c r="G22" i="14"/>
  <c r="H22" i="14"/>
  <c r="I22" i="14"/>
  <c r="G23" i="14"/>
  <c r="H23" i="14"/>
  <c r="I23" i="14"/>
  <c r="G24" i="14"/>
  <c r="H24" i="14"/>
  <c r="I24" i="14"/>
  <c r="G25" i="14"/>
  <c r="H25" i="14"/>
  <c r="I25" i="14"/>
  <c r="G26" i="14"/>
  <c r="H26" i="14"/>
  <c r="I26" i="14"/>
  <c r="G27" i="14"/>
  <c r="H27" i="14"/>
  <c r="I27" i="14"/>
  <c r="G28" i="14"/>
  <c r="H28" i="14"/>
  <c r="I28" i="14"/>
  <c r="G29" i="14"/>
  <c r="H29" i="14"/>
  <c r="I29" i="14"/>
  <c r="G30" i="14"/>
  <c r="H30" i="14"/>
  <c r="I30" i="14"/>
  <c r="G31" i="14"/>
  <c r="H31" i="14"/>
  <c r="I31" i="14"/>
  <c r="G32" i="14"/>
  <c r="H32" i="14"/>
  <c r="I32" i="14"/>
  <c r="G33" i="14"/>
  <c r="H33" i="14"/>
  <c r="I33" i="14"/>
  <c r="G34" i="14"/>
  <c r="H34" i="14"/>
  <c r="I34" i="14"/>
  <c r="G35" i="14"/>
  <c r="H35" i="14"/>
  <c r="I35" i="14"/>
  <c r="G36" i="14"/>
  <c r="H36" i="14"/>
  <c r="I36" i="14"/>
  <c r="G37" i="14"/>
  <c r="H37" i="14"/>
  <c r="I37" i="14"/>
  <c r="G38" i="14"/>
  <c r="H38" i="14"/>
  <c r="I38" i="14"/>
  <c r="G39" i="14"/>
  <c r="H39" i="14"/>
  <c r="I39" i="14"/>
  <c r="G40" i="14"/>
  <c r="H40" i="14"/>
  <c r="I40" i="14"/>
  <c r="G41" i="14"/>
  <c r="H41" i="14"/>
  <c r="I41" i="14"/>
  <c r="G42" i="14"/>
  <c r="H42" i="14"/>
  <c r="I42" i="14"/>
  <c r="G43" i="14"/>
  <c r="H43" i="14"/>
  <c r="I43" i="14"/>
  <c r="G44" i="14"/>
  <c r="H44" i="14"/>
  <c r="I44" i="14"/>
  <c r="G45" i="14"/>
  <c r="H45" i="14"/>
  <c r="I45" i="14"/>
  <c r="I5" i="14"/>
  <c r="H5" i="14"/>
  <c r="G5" i="14"/>
  <c r="G3" i="14" l="1"/>
  <c r="H3" i="14"/>
  <c r="I3" i="14"/>
  <c r="G4" i="14"/>
  <c r="H4" i="14"/>
  <c r="I4" i="14"/>
  <c r="I2" i="14"/>
  <c r="H2" i="14"/>
  <c r="G2" i="14"/>
  <c r="F8" i="14" l="1"/>
  <c r="F16" i="14"/>
  <c r="F19" i="14"/>
  <c r="F23" i="14"/>
  <c r="F28" i="14"/>
  <c r="F31" i="14"/>
  <c r="F33" i="14"/>
  <c r="F38" i="14"/>
  <c r="F3" i="14"/>
  <c r="F4" i="14"/>
  <c r="F2" i="14"/>
  <c r="H343" i="1"/>
  <c r="H332" i="1"/>
  <c r="H322" i="1"/>
  <c r="C3" i="14" l="1"/>
  <c r="C4" i="14"/>
  <c r="C8" i="14"/>
  <c r="C16" i="14"/>
  <c r="C19" i="14"/>
  <c r="C23" i="14"/>
  <c r="C28" i="14"/>
  <c r="C31" i="14"/>
  <c r="C33" i="14"/>
  <c r="C38" i="14"/>
  <c r="C44" i="14"/>
  <c r="C2" i="14"/>
  <c r="H391" i="1"/>
  <c r="H392" i="1" s="1"/>
  <c r="L318" i="1"/>
  <c r="C37" i="14" s="1"/>
  <c r="L269" i="1"/>
  <c r="C26" i="14" s="1"/>
  <c r="G235" i="1"/>
  <c r="L4" i="1"/>
  <c r="C5" i="14" s="1"/>
  <c r="L28" i="1"/>
  <c r="C6" i="14" s="1"/>
  <c r="L73" i="1"/>
  <c r="C10" i="14" s="1"/>
  <c r="G392" i="1"/>
  <c r="H388" i="1"/>
  <c r="G382" i="1"/>
  <c r="H380" i="1"/>
  <c r="G377" i="1"/>
  <c r="H375" i="1"/>
  <c r="H314" i="1"/>
  <c r="H309" i="1"/>
  <c r="G306" i="1"/>
  <c r="H303" i="1"/>
  <c r="H295" i="1"/>
  <c r="H288" i="1"/>
  <c r="H280" i="1"/>
  <c r="H275" i="1"/>
  <c r="G255" i="1"/>
  <c r="H253" i="1"/>
  <c r="G246" i="1"/>
  <c r="G242" i="1"/>
  <c r="H238" i="1"/>
  <c r="H234" i="1"/>
  <c r="G229" i="1"/>
  <c r="H228" i="1"/>
  <c r="H226" i="1"/>
  <c r="G212" i="1"/>
  <c r="H210" i="1"/>
  <c r="G203" i="1"/>
  <c r="G199" i="1"/>
  <c r="H195" i="1"/>
  <c r="G180" i="1"/>
  <c r="H179" i="1"/>
  <c r="H177" i="1"/>
  <c r="G163" i="1"/>
  <c r="H162" i="1"/>
  <c r="H160" i="1"/>
  <c r="G156" i="1"/>
  <c r="G153" i="1"/>
  <c r="H151" i="1"/>
  <c r="G148" i="1"/>
  <c r="G145" i="1"/>
  <c r="H142" i="1"/>
  <c r="G136" i="1"/>
  <c r="H135" i="1"/>
  <c r="H133" i="1"/>
  <c r="G119" i="1"/>
  <c r="H117" i="1"/>
  <c r="H113" i="1"/>
  <c r="G112" i="1"/>
  <c r="H111" i="1"/>
  <c r="G97" i="1"/>
  <c r="H95" i="1"/>
  <c r="G90" i="1"/>
  <c r="G83" i="1"/>
  <c r="H81" i="1"/>
  <c r="G70" i="1"/>
  <c r="H64" i="1"/>
  <c r="G61" i="1"/>
  <c r="G57" i="1"/>
  <c r="H53" i="1"/>
  <c r="P389" i="1"/>
  <c r="P388" i="1" s="1"/>
  <c r="N389" i="1"/>
  <c r="N388" i="1" s="1"/>
  <c r="M389" i="1"/>
  <c r="M388" i="1" s="1"/>
  <c r="M392" i="1"/>
  <c r="N392" i="1"/>
  <c r="P392" i="1"/>
  <c r="M393" i="1"/>
  <c r="N393" i="1"/>
  <c r="P393" i="1"/>
  <c r="M394" i="1"/>
  <c r="N394" i="1"/>
  <c r="P394" i="1"/>
  <c r="M395" i="1"/>
  <c r="N395" i="1"/>
  <c r="P395" i="1"/>
  <c r="N396" i="1"/>
  <c r="O396" i="1"/>
  <c r="P396" i="1"/>
  <c r="P386" i="1"/>
  <c r="O386" i="1"/>
  <c r="N386" i="1"/>
  <c r="P385" i="1"/>
  <c r="N385" i="1"/>
  <c r="M385" i="1"/>
  <c r="P384" i="1"/>
  <c r="N384" i="1"/>
  <c r="M384" i="1"/>
  <c r="P383" i="1"/>
  <c r="N383" i="1"/>
  <c r="M383" i="1"/>
  <c r="P382" i="1"/>
  <c r="N382" i="1"/>
  <c r="M382" i="1"/>
  <c r="F378" i="1"/>
  <c r="P378" i="1"/>
  <c r="O378" i="1"/>
  <c r="N378" i="1"/>
  <c r="P377" i="1"/>
  <c r="N377" i="1"/>
  <c r="M377" i="1"/>
  <c r="P376" i="1"/>
  <c r="O376" i="1"/>
  <c r="M376" i="1"/>
  <c r="L376" i="1"/>
  <c r="K376" i="1"/>
  <c r="H393" i="1" l="1"/>
  <c r="H394" i="1"/>
  <c r="H395" i="1"/>
  <c r="H396" i="1"/>
  <c r="P391" i="1"/>
  <c r="N391" i="1"/>
  <c r="N380" i="1"/>
  <c r="H389" i="1"/>
  <c r="P375" i="1"/>
  <c r="P380" i="1"/>
  <c r="H376" i="1"/>
  <c r="G394" i="1" l="1"/>
  <c r="L377" i="1"/>
  <c r="G378" i="1"/>
  <c r="L378" i="1" s="1"/>
  <c r="K378" i="1" s="1"/>
  <c r="G395" i="1" l="1"/>
  <c r="L395" i="1" s="1"/>
  <c r="K395" i="1" s="1"/>
  <c r="G393" i="1"/>
  <c r="L393" i="1" s="1"/>
  <c r="K393" i="1" s="1"/>
  <c r="L392" i="1"/>
  <c r="G396" i="1"/>
  <c r="L396" i="1" s="1"/>
  <c r="K396" i="1" s="1"/>
  <c r="L389" i="1"/>
  <c r="L394" i="1"/>
  <c r="K394" i="1" s="1"/>
  <c r="K377" i="1"/>
  <c r="L375" i="1"/>
  <c r="C42" i="14" s="1"/>
  <c r="K392" i="1" l="1"/>
  <c r="L391" i="1"/>
  <c r="C45" i="14" s="1"/>
  <c r="K389" i="1"/>
  <c r="I376" i="1" l="1"/>
  <c r="J376" i="1" s="1"/>
  <c r="H382" i="1"/>
  <c r="I396" i="1" l="1"/>
  <c r="J396" i="1" s="1"/>
  <c r="M396" i="1" s="1"/>
  <c r="Q396" i="1" s="1"/>
  <c r="I393" i="1"/>
  <c r="J393" i="1" s="1"/>
  <c r="O393" i="1" s="1"/>
  <c r="Q393" i="1" s="1"/>
  <c r="I392" i="1"/>
  <c r="J392" i="1" s="1"/>
  <c r="I389" i="1"/>
  <c r="J389" i="1" s="1"/>
  <c r="I394" i="1"/>
  <c r="J394" i="1" s="1"/>
  <c r="O394" i="1" s="1"/>
  <c r="Q394" i="1" s="1"/>
  <c r="I395" i="1"/>
  <c r="J395" i="1" s="1"/>
  <c r="O395" i="1" s="1"/>
  <c r="Q395" i="1" s="1"/>
  <c r="H383" i="1"/>
  <c r="H385" i="1"/>
  <c r="H386" i="1"/>
  <c r="H384" i="1"/>
  <c r="N376" i="1"/>
  <c r="Q376" i="1" s="1"/>
  <c r="I383" i="1"/>
  <c r="I384" i="1"/>
  <c r="I385" i="1"/>
  <c r="I378" i="1"/>
  <c r="J378" i="1" s="1"/>
  <c r="M378" i="1" s="1"/>
  <c r="Q378" i="1" s="1"/>
  <c r="I386" i="1"/>
  <c r="I377" i="1"/>
  <c r="J377" i="1" s="1"/>
  <c r="O377" i="1" s="1"/>
  <c r="Q377" i="1" s="1"/>
  <c r="I382" i="1"/>
  <c r="G386" i="1"/>
  <c r="H115" i="1"/>
  <c r="H114" i="1"/>
  <c r="H112" i="1"/>
  <c r="M391" i="1" l="1"/>
  <c r="O392" i="1"/>
  <c r="Q392" i="1" s="1"/>
  <c r="J391" i="1"/>
  <c r="O389" i="1"/>
  <c r="J388" i="1"/>
  <c r="N375" i="1"/>
  <c r="J375" i="1"/>
  <c r="G384" i="1"/>
  <c r="G385" i="1"/>
  <c r="M375" i="1"/>
  <c r="O375" i="1"/>
  <c r="G383" i="1"/>
  <c r="J382" i="1"/>
  <c r="L382" i="1"/>
  <c r="Q375" i="1"/>
  <c r="F42" i="14" l="1"/>
  <c r="Q391" i="1"/>
  <c r="O391" i="1"/>
  <c r="Q389" i="1"/>
  <c r="O388" i="1"/>
  <c r="K382" i="1"/>
  <c r="O382" i="1"/>
  <c r="Q382" i="1" s="1"/>
  <c r="J383" i="1"/>
  <c r="O383" i="1" s="1"/>
  <c r="Q383" i="1" s="1"/>
  <c r="L383" i="1"/>
  <c r="K383" i="1" s="1"/>
  <c r="L371" i="1"/>
  <c r="L370" i="1" s="1"/>
  <c r="L368" i="1"/>
  <c r="L367" i="1" s="1"/>
  <c r="L365" i="1"/>
  <c r="L364" i="1" s="1"/>
  <c r="L362" i="1"/>
  <c r="L361" i="1" s="1"/>
  <c r="L359" i="1"/>
  <c r="L358" i="1" s="1"/>
  <c r="L356" i="1"/>
  <c r="L355" i="1"/>
  <c r="L354" i="1" s="1"/>
  <c r="L349" i="1"/>
  <c r="K349" i="1" s="1"/>
  <c r="L348" i="1"/>
  <c r="L346" i="1"/>
  <c r="K346" i="1" s="1"/>
  <c r="L344" i="1"/>
  <c r="L341" i="1"/>
  <c r="L340" i="1"/>
  <c r="K340" i="1" s="1"/>
  <c r="L339" i="1"/>
  <c r="L337" i="1"/>
  <c r="K337" i="1" s="1"/>
  <c r="L336" i="1"/>
  <c r="L334" i="1"/>
  <c r="K334" i="1" s="1"/>
  <c r="L333" i="1"/>
  <c r="L330" i="1"/>
  <c r="K330" i="1" s="1"/>
  <c r="L329" i="1"/>
  <c r="K329" i="1" s="1"/>
  <c r="L327" i="1"/>
  <c r="K327" i="1" s="1"/>
  <c r="L325" i="1"/>
  <c r="K325" i="1" s="1"/>
  <c r="L323" i="1"/>
  <c r="L319" i="1"/>
  <c r="L316" i="1"/>
  <c r="L315" i="1"/>
  <c r="L314" i="1" s="1"/>
  <c r="L311" i="1"/>
  <c r="L305" i="1"/>
  <c r="L296" i="1"/>
  <c r="L272" i="1"/>
  <c r="K272" i="1" s="1"/>
  <c r="L271" i="1"/>
  <c r="K271" i="1" s="1"/>
  <c r="L270" i="1"/>
  <c r="L267" i="1"/>
  <c r="K267" i="1" s="1"/>
  <c r="L266" i="1"/>
  <c r="K266" i="1" s="1"/>
  <c r="L265" i="1"/>
  <c r="K265" i="1" s="1"/>
  <c r="L255" i="1"/>
  <c r="L246" i="1"/>
  <c r="K246" i="1" s="1"/>
  <c r="L242" i="1"/>
  <c r="L241" i="1"/>
  <c r="L224" i="1"/>
  <c r="K224" i="1" s="1"/>
  <c r="L223" i="1"/>
  <c r="L222" i="1"/>
  <c r="K222" i="1" s="1"/>
  <c r="L192" i="1"/>
  <c r="K192" i="1" s="1"/>
  <c r="L191" i="1"/>
  <c r="L190" i="1"/>
  <c r="K190" i="1" s="1"/>
  <c r="L175" i="1"/>
  <c r="K175" i="1" s="1"/>
  <c r="L174" i="1"/>
  <c r="K174" i="1" s="1"/>
  <c r="L173" i="1"/>
  <c r="K173" i="1" s="1"/>
  <c r="L152" i="1"/>
  <c r="L144" i="1"/>
  <c r="L140" i="1"/>
  <c r="L131" i="1"/>
  <c r="K131" i="1" s="1"/>
  <c r="L130" i="1"/>
  <c r="L129" i="1"/>
  <c r="K129" i="1" s="1"/>
  <c r="L111" i="1"/>
  <c r="K111" i="1" s="1"/>
  <c r="L109" i="1"/>
  <c r="K109" i="1" s="1"/>
  <c r="L108" i="1"/>
  <c r="K108" i="1" s="1"/>
  <c r="L107" i="1"/>
  <c r="K107" i="1" s="1"/>
  <c r="L79" i="1"/>
  <c r="K79" i="1" s="1"/>
  <c r="L78" i="1"/>
  <c r="L77" i="1"/>
  <c r="L76" i="1"/>
  <c r="K76" i="1" s="1"/>
  <c r="L75" i="1"/>
  <c r="K75" i="1" s="1"/>
  <c r="L50" i="1"/>
  <c r="K50" i="1" s="1"/>
  <c r="L49" i="1"/>
  <c r="L47" i="1"/>
  <c r="K47" i="1" s="1"/>
  <c r="L46" i="1"/>
  <c r="K46" i="1" s="1"/>
  <c r="L42" i="1"/>
  <c r="L41" i="1" s="1"/>
  <c r="C7" i="14" s="1"/>
  <c r="L39" i="1"/>
  <c r="K39" i="1" s="1"/>
  <c r="L38" i="1"/>
  <c r="K38" i="1" s="1"/>
  <c r="L36" i="1"/>
  <c r="L35" i="1"/>
  <c r="L34" i="1"/>
  <c r="K34" i="1" s="1"/>
  <c r="L33" i="1"/>
  <c r="K33" i="1" s="1"/>
  <c r="L32" i="1"/>
  <c r="K32" i="1" s="1"/>
  <c r="L30" i="1"/>
  <c r="L26" i="1"/>
  <c r="L25" i="1"/>
  <c r="K25" i="1" s="1"/>
  <c r="L24" i="1"/>
  <c r="K24" i="1" s="1"/>
  <c r="L23" i="1"/>
  <c r="L22" i="1"/>
  <c r="K22" i="1" s="1"/>
  <c r="L21" i="1"/>
  <c r="K21" i="1" s="1"/>
  <c r="L19" i="1"/>
  <c r="K19" i="1" s="1"/>
  <c r="L17" i="1"/>
  <c r="L15" i="1"/>
  <c r="L14" i="1"/>
  <c r="K14" i="1" s="1"/>
  <c r="L13" i="1"/>
  <c r="K13" i="1" s="1"/>
  <c r="L12" i="1"/>
  <c r="K12" i="1" s="1"/>
  <c r="L11" i="1"/>
  <c r="K11" i="1" s="1"/>
  <c r="L10" i="1"/>
  <c r="K10" i="1" s="1"/>
  <c r="L9" i="1"/>
  <c r="K9" i="1" s="1"/>
  <c r="L8" i="1"/>
  <c r="K8" i="1" s="1"/>
  <c r="L7" i="1"/>
  <c r="L6" i="1"/>
  <c r="H311" i="1"/>
  <c r="H312" i="1" s="1"/>
  <c r="L312" i="1" s="1"/>
  <c r="K312" i="1" s="1"/>
  <c r="G307" i="1"/>
  <c r="H305" i="1"/>
  <c r="H306" i="1" s="1"/>
  <c r="H296" i="1"/>
  <c r="H297" i="1" s="1"/>
  <c r="H292" i="1"/>
  <c r="H291" i="1"/>
  <c r="L291" i="1" s="1"/>
  <c r="K291" i="1" s="1"/>
  <c r="H290" i="1"/>
  <c r="H289" i="1"/>
  <c r="L289" i="1" s="1"/>
  <c r="H286" i="1"/>
  <c r="L286" i="1" s="1"/>
  <c r="K286" i="1" s="1"/>
  <c r="H285" i="1"/>
  <c r="L285" i="1" s="1"/>
  <c r="H284" i="1"/>
  <c r="H283" i="1"/>
  <c r="L283" i="1" s="1"/>
  <c r="H282" i="1"/>
  <c r="H277" i="1"/>
  <c r="L277" i="1" s="1"/>
  <c r="K277" i="1" s="1"/>
  <c r="H276" i="1"/>
  <c r="L276" i="1" s="1"/>
  <c r="G263" i="1"/>
  <c r="L263" i="1" s="1"/>
  <c r="G262" i="1"/>
  <c r="G261" i="1"/>
  <c r="L261" i="1" s="1"/>
  <c r="G260" i="1"/>
  <c r="L260" i="1" s="1"/>
  <c r="K260" i="1" s="1"/>
  <c r="G256" i="1"/>
  <c r="L256" i="1" s="1"/>
  <c r="K256" i="1" s="1"/>
  <c r="G251" i="1"/>
  <c r="L251" i="1" s="1"/>
  <c r="K251" i="1" s="1"/>
  <c r="G250" i="1"/>
  <c r="L250" i="1" s="1"/>
  <c r="K250" i="1" s="1"/>
  <c r="G247" i="1"/>
  <c r="L247" i="1" s="1"/>
  <c r="K247" i="1" s="1"/>
  <c r="G243" i="1"/>
  <c r="L243" i="1" s="1"/>
  <c r="G232" i="1"/>
  <c r="G231" i="1"/>
  <c r="G230" i="1"/>
  <c r="G220" i="1"/>
  <c r="G219" i="1"/>
  <c r="G218" i="1"/>
  <c r="G217" i="1"/>
  <c r="G213" i="1"/>
  <c r="G208" i="1"/>
  <c r="G207" i="1"/>
  <c r="G204" i="1"/>
  <c r="G200" i="1"/>
  <c r="G188" i="1"/>
  <c r="G187" i="1"/>
  <c r="G186" i="1"/>
  <c r="G185" i="1"/>
  <c r="G181" i="1"/>
  <c r="G171" i="1"/>
  <c r="G170" i="1"/>
  <c r="G169" i="1"/>
  <c r="G168" i="1"/>
  <c r="G164" i="1"/>
  <c r="G157" i="1"/>
  <c r="G149" i="1"/>
  <c r="G147" i="1"/>
  <c r="G137" i="1"/>
  <c r="G138" i="1" s="1"/>
  <c r="G139" i="1" s="1"/>
  <c r="G127" i="1"/>
  <c r="G126" i="1"/>
  <c r="G125" i="1"/>
  <c r="G124" i="1"/>
  <c r="G120" i="1"/>
  <c r="G113" i="1"/>
  <c r="G114" i="1" s="1"/>
  <c r="G115" i="1" s="1"/>
  <c r="G102" i="1"/>
  <c r="G103" i="1" s="1"/>
  <c r="G104" i="1" s="1"/>
  <c r="G105" i="1" s="1"/>
  <c r="G98" i="1"/>
  <c r="G91" i="1"/>
  <c r="G92" i="1" s="1"/>
  <c r="G93" i="1" s="1"/>
  <c r="G84" i="1"/>
  <c r="G71" i="1"/>
  <c r="G64" i="1"/>
  <c r="G62" i="1"/>
  <c r="G58" i="1"/>
  <c r="H235" i="1"/>
  <c r="H229" i="1"/>
  <c r="H227" i="1"/>
  <c r="L227" i="1" s="1"/>
  <c r="H220" i="1"/>
  <c r="H219" i="1"/>
  <c r="H218" i="1"/>
  <c r="H217" i="1"/>
  <c r="H213" i="1"/>
  <c r="H212" i="1"/>
  <c r="L212" i="1" s="1"/>
  <c r="H208" i="1"/>
  <c r="H207" i="1"/>
  <c r="H204" i="1"/>
  <c r="H203" i="1"/>
  <c r="L203" i="1" s="1"/>
  <c r="K203" i="1" s="1"/>
  <c r="H198" i="1"/>
  <c r="H199" i="1" s="1"/>
  <c r="L199" i="1" s="1"/>
  <c r="K199" i="1" s="1"/>
  <c r="H156" i="1"/>
  <c r="H157" i="1" s="1"/>
  <c r="H152" i="1"/>
  <c r="H153" i="1" s="1"/>
  <c r="H154" i="1" s="1"/>
  <c r="H155" i="1" s="1"/>
  <c r="H148" i="1"/>
  <c r="L148" i="1" s="1"/>
  <c r="H144" i="1"/>
  <c r="H145" i="1" s="1"/>
  <c r="H146" i="1" s="1"/>
  <c r="H147" i="1" s="1"/>
  <c r="H136" i="1"/>
  <c r="L136" i="1" s="1"/>
  <c r="K136" i="1" s="1"/>
  <c r="H134" i="1"/>
  <c r="L134" i="1" s="1"/>
  <c r="K134" i="1" s="1"/>
  <c r="H124" i="1"/>
  <c r="H125" i="1" s="1"/>
  <c r="H120" i="1"/>
  <c r="H119" i="1"/>
  <c r="L119" i="1" s="1"/>
  <c r="H102" i="1"/>
  <c r="H98" i="1"/>
  <c r="H97" i="1"/>
  <c r="L97" i="1" s="1"/>
  <c r="H90" i="1"/>
  <c r="H91" i="1" s="1"/>
  <c r="H83" i="1"/>
  <c r="L83" i="1" s="1"/>
  <c r="H71" i="1"/>
  <c r="H70" i="1"/>
  <c r="L70" i="1" s="1"/>
  <c r="H65" i="1"/>
  <c r="H66" i="1" s="1"/>
  <c r="H62" i="1"/>
  <c r="H61" i="1"/>
  <c r="L61" i="1" s="1"/>
  <c r="K61" i="1" s="1"/>
  <c r="H56" i="1"/>
  <c r="H57" i="1" s="1"/>
  <c r="L57" i="1" s="1"/>
  <c r="I371" i="1"/>
  <c r="J371" i="1" s="1"/>
  <c r="P371" i="1" s="1"/>
  <c r="P370" i="1" s="1"/>
  <c r="I368" i="1"/>
  <c r="J368" i="1" s="1"/>
  <c r="J367" i="1" s="1"/>
  <c r="I365" i="1"/>
  <c r="J365" i="1" s="1"/>
  <c r="J364" i="1" s="1"/>
  <c r="I362" i="1"/>
  <c r="J362" i="1" s="1"/>
  <c r="J361" i="1" s="1"/>
  <c r="I359" i="1"/>
  <c r="J359" i="1" s="1"/>
  <c r="J358" i="1" s="1"/>
  <c r="I356" i="1"/>
  <c r="J356" i="1" s="1"/>
  <c r="P356" i="1" s="1"/>
  <c r="I355" i="1"/>
  <c r="J355" i="1" s="1"/>
  <c r="I349" i="1"/>
  <c r="J349" i="1" s="1"/>
  <c r="M349" i="1" s="1"/>
  <c r="I348" i="1"/>
  <c r="J348" i="1" s="1"/>
  <c r="O348" i="1" s="1"/>
  <c r="I346" i="1"/>
  <c r="J346" i="1" s="1"/>
  <c r="P346" i="1" s="1"/>
  <c r="I344" i="1"/>
  <c r="J344" i="1" s="1"/>
  <c r="I341" i="1"/>
  <c r="J341" i="1" s="1"/>
  <c r="M341" i="1" s="1"/>
  <c r="I340" i="1"/>
  <c r="J340" i="1" s="1"/>
  <c r="P340" i="1" s="1"/>
  <c r="I339" i="1"/>
  <c r="J339" i="1" s="1"/>
  <c r="N339" i="1" s="1"/>
  <c r="I337" i="1"/>
  <c r="J337" i="1" s="1"/>
  <c r="M337" i="1" s="1"/>
  <c r="I336" i="1"/>
  <c r="J336" i="1" s="1"/>
  <c r="O336" i="1" s="1"/>
  <c r="I334" i="1"/>
  <c r="J334" i="1" s="1"/>
  <c r="P334" i="1" s="1"/>
  <c r="I333" i="1"/>
  <c r="J333" i="1" s="1"/>
  <c r="I330" i="1"/>
  <c r="J330" i="1" s="1"/>
  <c r="M330" i="1" s="1"/>
  <c r="I329" i="1"/>
  <c r="J329" i="1" s="1"/>
  <c r="O329" i="1" s="1"/>
  <c r="I327" i="1"/>
  <c r="J327" i="1" s="1"/>
  <c r="P327" i="1" s="1"/>
  <c r="I325" i="1"/>
  <c r="J325" i="1" s="1"/>
  <c r="M325" i="1" s="1"/>
  <c r="I323" i="1"/>
  <c r="J323" i="1" s="1"/>
  <c r="I319" i="1"/>
  <c r="J319" i="1" s="1"/>
  <c r="J318" i="1" s="1"/>
  <c r="I316" i="1"/>
  <c r="J316" i="1" s="1"/>
  <c r="M316" i="1" s="1"/>
  <c r="I315" i="1"/>
  <c r="J315" i="1" s="1"/>
  <c r="N315" i="1" s="1"/>
  <c r="I312" i="1"/>
  <c r="I311" i="1"/>
  <c r="I307" i="1"/>
  <c r="I306" i="1"/>
  <c r="I305" i="1"/>
  <c r="I300" i="1"/>
  <c r="I299" i="1"/>
  <c r="I298" i="1"/>
  <c r="I297" i="1"/>
  <c r="I296" i="1"/>
  <c r="I292" i="1"/>
  <c r="I291" i="1"/>
  <c r="I290" i="1"/>
  <c r="I289" i="1"/>
  <c r="I286" i="1"/>
  <c r="I285" i="1"/>
  <c r="I284" i="1"/>
  <c r="I283" i="1"/>
  <c r="I282" i="1"/>
  <c r="I277" i="1"/>
  <c r="I276" i="1"/>
  <c r="I272" i="1"/>
  <c r="J272" i="1" s="1"/>
  <c r="M272" i="1" s="1"/>
  <c r="I271" i="1"/>
  <c r="J271" i="1" s="1"/>
  <c r="O271" i="1" s="1"/>
  <c r="I270" i="1"/>
  <c r="J270" i="1" s="1"/>
  <c r="I267" i="1"/>
  <c r="J267" i="1" s="1"/>
  <c r="O267" i="1" s="1"/>
  <c r="I266" i="1"/>
  <c r="J266" i="1" s="1"/>
  <c r="O266" i="1" s="1"/>
  <c r="I265" i="1"/>
  <c r="J265" i="1" s="1"/>
  <c r="O265" i="1" s="1"/>
  <c r="I263" i="1"/>
  <c r="I262" i="1"/>
  <c r="I261" i="1"/>
  <c r="I260" i="1"/>
  <c r="I256" i="1"/>
  <c r="I255" i="1"/>
  <c r="J255" i="1" s="1"/>
  <c r="I251" i="1"/>
  <c r="I250" i="1"/>
  <c r="I247" i="1"/>
  <c r="I246" i="1"/>
  <c r="J246" i="1" s="1"/>
  <c r="O246" i="1" s="1"/>
  <c r="I243" i="1"/>
  <c r="I242" i="1"/>
  <c r="J242" i="1" s="1"/>
  <c r="O242" i="1" s="1"/>
  <c r="I241" i="1"/>
  <c r="J241" i="1" s="1"/>
  <c r="I235" i="1"/>
  <c r="I232" i="1"/>
  <c r="I231" i="1"/>
  <c r="I230" i="1"/>
  <c r="I229" i="1"/>
  <c r="I227" i="1"/>
  <c r="I224" i="1"/>
  <c r="J224" i="1" s="1"/>
  <c r="O224" i="1" s="1"/>
  <c r="I223" i="1"/>
  <c r="J223" i="1" s="1"/>
  <c r="O223" i="1" s="1"/>
  <c r="I222" i="1"/>
  <c r="J222" i="1" s="1"/>
  <c r="O222" i="1" s="1"/>
  <c r="I220" i="1"/>
  <c r="I219" i="1"/>
  <c r="I218" i="1"/>
  <c r="I217" i="1"/>
  <c r="I213" i="1"/>
  <c r="I212" i="1"/>
  <c r="I208" i="1"/>
  <c r="I207" i="1"/>
  <c r="I204" i="1"/>
  <c r="I203" i="1"/>
  <c r="I200" i="1"/>
  <c r="I199" i="1"/>
  <c r="I198" i="1"/>
  <c r="I192" i="1"/>
  <c r="J192" i="1" s="1"/>
  <c r="O192" i="1" s="1"/>
  <c r="I191" i="1"/>
  <c r="J191" i="1" s="1"/>
  <c r="O191" i="1" s="1"/>
  <c r="I190" i="1"/>
  <c r="J190" i="1" s="1"/>
  <c r="O190" i="1" s="1"/>
  <c r="I188" i="1"/>
  <c r="I187" i="1"/>
  <c r="I186" i="1"/>
  <c r="I185" i="1"/>
  <c r="I181" i="1"/>
  <c r="I180" i="1"/>
  <c r="I175" i="1"/>
  <c r="J175" i="1" s="1"/>
  <c r="O175" i="1" s="1"/>
  <c r="I174" i="1"/>
  <c r="J174" i="1" s="1"/>
  <c r="O174" i="1" s="1"/>
  <c r="I173" i="1"/>
  <c r="J173" i="1" s="1"/>
  <c r="O173" i="1" s="1"/>
  <c r="I171" i="1"/>
  <c r="I170" i="1"/>
  <c r="I169" i="1"/>
  <c r="I168" i="1"/>
  <c r="I164" i="1"/>
  <c r="I163" i="1"/>
  <c r="I157" i="1"/>
  <c r="I156" i="1"/>
  <c r="I155" i="1"/>
  <c r="I154" i="1"/>
  <c r="I153" i="1"/>
  <c r="I152" i="1"/>
  <c r="I149" i="1"/>
  <c r="I148" i="1"/>
  <c r="I147" i="1"/>
  <c r="I146" i="1"/>
  <c r="I145" i="1"/>
  <c r="I144" i="1"/>
  <c r="I140" i="1"/>
  <c r="J140" i="1" s="1"/>
  <c r="N140" i="1" s="1"/>
  <c r="I139" i="1"/>
  <c r="I138" i="1"/>
  <c r="I137" i="1"/>
  <c r="I136" i="1"/>
  <c r="I134" i="1"/>
  <c r="I131" i="1"/>
  <c r="J131" i="1" s="1"/>
  <c r="O131" i="1" s="1"/>
  <c r="I130" i="1"/>
  <c r="J130" i="1" s="1"/>
  <c r="O130" i="1" s="1"/>
  <c r="I129" i="1"/>
  <c r="J129" i="1" s="1"/>
  <c r="O129" i="1" s="1"/>
  <c r="I127" i="1"/>
  <c r="I126" i="1"/>
  <c r="I125" i="1"/>
  <c r="I124" i="1"/>
  <c r="I120" i="1"/>
  <c r="I119" i="1"/>
  <c r="I115" i="1"/>
  <c r="I114" i="1"/>
  <c r="I113" i="1"/>
  <c r="I112" i="1"/>
  <c r="I111" i="1"/>
  <c r="J111" i="1" s="1"/>
  <c r="O111" i="1" s="1"/>
  <c r="I109" i="1"/>
  <c r="J109" i="1" s="1"/>
  <c r="O109" i="1" s="1"/>
  <c r="I108" i="1"/>
  <c r="J108" i="1" s="1"/>
  <c r="O108" i="1" s="1"/>
  <c r="I107" i="1"/>
  <c r="J107" i="1" s="1"/>
  <c r="O107" i="1" s="1"/>
  <c r="I105" i="1"/>
  <c r="I104" i="1"/>
  <c r="I103" i="1"/>
  <c r="I102" i="1"/>
  <c r="I98" i="1"/>
  <c r="I97" i="1"/>
  <c r="I93" i="1"/>
  <c r="I92" i="1"/>
  <c r="I91" i="1"/>
  <c r="I90" i="1"/>
  <c r="I88" i="1"/>
  <c r="I87" i="1"/>
  <c r="I86" i="1"/>
  <c r="I85" i="1"/>
  <c r="I84" i="1"/>
  <c r="I83" i="1"/>
  <c r="I79" i="1"/>
  <c r="J79" i="1" s="1"/>
  <c r="M79" i="1" s="1"/>
  <c r="I78" i="1"/>
  <c r="J78" i="1" s="1"/>
  <c r="M78" i="1" s="1"/>
  <c r="I77" i="1"/>
  <c r="J77" i="1" s="1"/>
  <c r="N77" i="1" s="1"/>
  <c r="I76" i="1"/>
  <c r="J76" i="1" s="1"/>
  <c r="P76" i="1" s="1"/>
  <c r="I75" i="1"/>
  <c r="J75" i="1" s="1"/>
  <c r="P75" i="1" s="1"/>
  <c r="I71" i="1"/>
  <c r="I70" i="1"/>
  <c r="I67" i="1"/>
  <c r="I66" i="1"/>
  <c r="I65" i="1"/>
  <c r="I64" i="1"/>
  <c r="I62" i="1"/>
  <c r="I61" i="1"/>
  <c r="I58" i="1"/>
  <c r="I57" i="1"/>
  <c r="I56" i="1"/>
  <c r="I50" i="1"/>
  <c r="J50" i="1" s="1"/>
  <c r="P50" i="1" s="1"/>
  <c r="I49" i="1"/>
  <c r="J49" i="1" s="1"/>
  <c r="P49" i="1" s="1"/>
  <c r="I47" i="1"/>
  <c r="J47" i="1" s="1"/>
  <c r="M47" i="1" s="1"/>
  <c r="I46" i="1"/>
  <c r="J46" i="1" s="1"/>
  <c r="I42" i="1"/>
  <c r="J42" i="1" s="1"/>
  <c r="M42" i="1" s="1"/>
  <c r="I39" i="1"/>
  <c r="J39" i="1" s="1"/>
  <c r="O39" i="1" s="1"/>
  <c r="I38" i="1"/>
  <c r="J38" i="1" s="1"/>
  <c r="M38" i="1" s="1"/>
  <c r="I36" i="1"/>
  <c r="J36" i="1" s="1"/>
  <c r="N36" i="1" s="1"/>
  <c r="I35" i="1"/>
  <c r="J35" i="1" s="1"/>
  <c r="N35" i="1" s="1"/>
  <c r="I34" i="1"/>
  <c r="J34" i="1" s="1"/>
  <c r="O34" i="1" s="1"/>
  <c r="I33" i="1"/>
  <c r="J33" i="1" s="1"/>
  <c r="M33" i="1" s="1"/>
  <c r="I32" i="1"/>
  <c r="J32" i="1" s="1"/>
  <c r="M32" i="1" s="1"/>
  <c r="I30" i="1"/>
  <c r="J30" i="1" s="1"/>
  <c r="M30" i="1" s="1"/>
  <c r="I26" i="1"/>
  <c r="J26" i="1" s="1"/>
  <c r="O26" i="1" s="1"/>
  <c r="I25" i="1"/>
  <c r="J25" i="1" s="1"/>
  <c r="O25" i="1" s="1"/>
  <c r="I24" i="1"/>
  <c r="J24" i="1" s="1"/>
  <c r="O24" i="1" s="1"/>
  <c r="I23" i="1"/>
  <c r="J23" i="1" s="1"/>
  <c r="M23" i="1" s="1"/>
  <c r="I22" i="1"/>
  <c r="J22" i="1" s="1"/>
  <c r="P22" i="1" s="1"/>
  <c r="I21" i="1"/>
  <c r="J21" i="1" s="1"/>
  <c r="O21" i="1" s="1"/>
  <c r="I19" i="1"/>
  <c r="J19" i="1" s="1"/>
  <c r="P19" i="1" s="1"/>
  <c r="I17" i="1"/>
  <c r="J17" i="1" s="1"/>
  <c r="P17" i="1" s="1"/>
  <c r="I7" i="1"/>
  <c r="J7" i="1" s="1"/>
  <c r="O7" i="1" s="1"/>
  <c r="I8" i="1"/>
  <c r="J8" i="1" s="1"/>
  <c r="O8" i="1" s="1"/>
  <c r="I9" i="1"/>
  <c r="J9" i="1" s="1"/>
  <c r="O9" i="1" s="1"/>
  <c r="I10" i="1"/>
  <c r="J10" i="1" s="1"/>
  <c r="O10" i="1" s="1"/>
  <c r="I11" i="1"/>
  <c r="J11" i="1" s="1"/>
  <c r="O11" i="1" s="1"/>
  <c r="I12" i="1"/>
  <c r="J12" i="1" s="1"/>
  <c r="O12" i="1" s="1"/>
  <c r="I13" i="1"/>
  <c r="J13" i="1" s="1"/>
  <c r="O13" i="1" s="1"/>
  <c r="I14" i="1"/>
  <c r="J14" i="1" s="1"/>
  <c r="O14" i="1" s="1"/>
  <c r="I15" i="1"/>
  <c r="J15" i="1" s="1"/>
  <c r="O15" i="1" s="1"/>
  <c r="I6" i="1"/>
  <c r="J6" i="1" s="1"/>
  <c r="K362" i="1"/>
  <c r="K344" i="1"/>
  <c r="K339" i="1"/>
  <c r="K333" i="1"/>
  <c r="K323" i="1"/>
  <c r="K315" i="1"/>
  <c r="K311" i="1"/>
  <c r="K305" i="1"/>
  <c r="K296" i="1"/>
  <c r="K270" i="1"/>
  <c r="K152" i="1"/>
  <c r="K144" i="1"/>
  <c r="K140" i="1"/>
  <c r="K77" i="1"/>
  <c r="K36" i="1"/>
  <c r="K35" i="1"/>
  <c r="K359" i="1"/>
  <c r="K348" i="1"/>
  <c r="K341" i="1"/>
  <c r="K336" i="1"/>
  <c r="K223" i="1"/>
  <c r="K191" i="1"/>
  <c r="K130" i="1"/>
  <c r="K78" i="1"/>
  <c r="K49" i="1"/>
  <c r="K30" i="1"/>
  <c r="K26" i="1"/>
  <c r="K23" i="1"/>
  <c r="K17" i="1"/>
  <c r="K7" i="1"/>
  <c r="K15" i="1"/>
  <c r="O371" i="1"/>
  <c r="O370" i="1" s="1"/>
  <c r="N371" i="1"/>
  <c r="N370" i="1" s="1"/>
  <c r="M371" i="1"/>
  <c r="M370" i="1" s="1"/>
  <c r="P368" i="1"/>
  <c r="P367" i="1" s="1"/>
  <c r="N368" i="1"/>
  <c r="N367" i="1" s="1"/>
  <c r="M368" i="1"/>
  <c r="M367" i="1" s="1"/>
  <c r="P365" i="1"/>
  <c r="P364" i="1" s="1"/>
  <c r="N365" i="1"/>
  <c r="N364" i="1" s="1"/>
  <c r="M365" i="1"/>
  <c r="M364" i="1" s="1"/>
  <c r="P362" i="1"/>
  <c r="P361" i="1" s="1"/>
  <c r="O362" i="1"/>
  <c r="O361" i="1" s="1"/>
  <c r="M362" i="1"/>
  <c r="M361" i="1" s="1"/>
  <c r="P359" i="1"/>
  <c r="P358" i="1" s="1"/>
  <c r="O359" i="1"/>
  <c r="O358" i="1" s="1"/>
  <c r="N359" i="1"/>
  <c r="N358" i="1" s="1"/>
  <c r="O356" i="1"/>
  <c r="N356" i="1"/>
  <c r="M356" i="1"/>
  <c r="P355" i="1"/>
  <c r="O355" i="1"/>
  <c r="N355" i="1"/>
  <c r="P349" i="1"/>
  <c r="O349" i="1"/>
  <c r="N349" i="1"/>
  <c r="P348" i="1"/>
  <c r="N348" i="1"/>
  <c r="M348" i="1"/>
  <c r="O346" i="1"/>
  <c r="N346" i="1"/>
  <c r="M346" i="1"/>
  <c r="P344" i="1"/>
  <c r="O344" i="1"/>
  <c r="M344" i="1"/>
  <c r="P341" i="1"/>
  <c r="O341" i="1"/>
  <c r="N341" i="1"/>
  <c r="O340" i="1"/>
  <c r="N340" i="1"/>
  <c r="M340" i="1"/>
  <c r="P339" i="1"/>
  <c r="O339" i="1"/>
  <c r="M339" i="1"/>
  <c r="P337" i="1"/>
  <c r="O337" i="1"/>
  <c r="N337" i="1"/>
  <c r="P336" i="1"/>
  <c r="N336" i="1"/>
  <c r="M336" i="1"/>
  <c r="O334" i="1"/>
  <c r="N334" i="1"/>
  <c r="M334" i="1"/>
  <c r="P333" i="1"/>
  <c r="O333" i="1"/>
  <c r="M333" i="1"/>
  <c r="P330" i="1"/>
  <c r="O330" i="1"/>
  <c r="N330" i="1"/>
  <c r="P329" i="1"/>
  <c r="N329" i="1"/>
  <c r="M329" i="1"/>
  <c r="O327" i="1"/>
  <c r="N327" i="1"/>
  <c r="M327" i="1"/>
  <c r="P325" i="1"/>
  <c r="O325" i="1"/>
  <c r="N325" i="1"/>
  <c r="P323" i="1"/>
  <c r="O323" i="1"/>
  <c r="M323" i="1"/>
  <c r="O319" i="1"/>
  <c r="O318" i="1" s="1"/>
  <c r="N319" i="1"/>
  <c r="N318" i="1" s="1"/>
  <c r="M319" i="1"/>
  <c r="M318" i="1" s="1"/>
  <c r="P316" i="1"/>
  <c r="O316" i="1"/>
  <c r="N316" i="1"/>
  <c r="P315" i="1"/>
  <c r="O315" i="1"/>
  <c r="M315" i="1"/>
  <c r="P312" i="1"/>
  <c r="O312" i="1"/>
  <c r="N312" i="1"/>
  <c r="P311" i="1"/>
  <c r="O311" i="1"/>
  <c r="M311" i="1"/>
  <c r="P307" i="1"/>
  <c r="O307" i="1"/>
  <c r="N307" i="1"/>
  <c r="P306" i="1"/>
  <c r="N306" i="1"/>
  <c r="M306" i="1"/>
  <c r="P305" i="1"/>
  <c r="O305" i="1"/>
  <c r="M305" i="1"/>
  <c r="P300" i="1"/>
  <c r="O300" i="1"/>
  <c r="N300" i="1"/>
  <c r="P299" i="1"/>
  <c r="N299" i="1"/>
  <c r="M299" i="1"/>
  <c r="P298" i="1"/>
  <c r="N298" i="1"/>
  <c r="M298" i="1"/>
  <c r="P297" i="1"/>
  <c r="N297" i="1"/>
  <c r="M297" i="1"/>
  <c r="P296" i="1"/>
  <c r="O296" i="1"/>
  <c r="M296" i="1"/>
  <c r="P292" i="1"/>
  <c r="O292" i="1"/>
  <c r="N292" i="1"/>
  <c r="P291" i="1"/>
  <c r="N291" i="1"/>
  <c r="M291" i="1"/>
  <c r="P290" i="1"/>
  <c r="N290" i="1"/>
  <c r="M290" i="1"/>
  <c r="P289" i="1"/>
  <c r="N289" i="1"/>
  <c r="M289" i="1"/>
  <c r="P286" i="1"/>
  <c r="O286" i="1"/>
  <c r="N286" i="1"/>
  <c r="P285" i="1"/>
  <c r="N285" i="1"/>
  <c r="M285" i="1"/>
  <c r="P284" i="1"/>
  <c r="N284" i="1"/>
  <c r="M284" i="1"/>
  <c r="P283" i="1"/>
  <c r="N283" i="1"/>
  <c r="M283" i="1"/>
  <c r="P282" i="1"/>
  <c r="N282" i="1"/>
  <c r="M282" i="1"/>
  <c r="P277" i="1"/>
  <c r="N277" i="1"/>
  <c r="M277" i="1"/>
  <c r="P276" i="1"/>
  <c r="N276" i="1"/>
  <c r="M276" i="1"/>
  <c r="P272" i="1"/>
  <c r="O272" i="1"/>
  <c r="N272" i="1"/>
  <c r="P271" i="1"/>
  <c r="N271" i="1"/>
  <c r="M271" i="1"/>
  <c r="P270" i="1"/>
  <c r="O270" i="1"/>
  <c r="M270" i="1"/>
  <c r="P267" i="1"/>
  <c r="N267" i="1"/>
  <c r="M267" i="1"/>
  <c r="P266" i="1"/>
  <c r="N266" i="1"/>
  <c r="M266" i="1"/>
  <c r="P265" i="1"/>
  <c r="N265" i="1"/>
  <c r="M265" i="1"/>
  <c r="P263" i="1"/>
  <c r="O263" i="1"/>
  <c r="N263" i="1"/>
  <c r="P262" i="1"/>
  <c r="N262" i="1"/>
  <c r="M262" i="1"/>
  <c r="P261" i="1"/>
  <c r="N261" i="1"/>
  <c r="M261" i="1"/>
  <c r="P260" i="1"/>
  <c r="N260" i="1"/>
  <c r="M260" i="1"/>
  <c r="P256" i="1"/>
  <c r="N256" i="1"/>
  <c r="M256" i="1"/>
  <c r="P255" i="1"/>
  <c r="N255" i="1"/>
  <c r="M255" i="1"/>
  <c r="P251" i="1"/>
  <c r="O251" i="1"/>
  <c r="N251" i="1"/>
  <c r="P250" i="1"/>
  <c r="N250" i="1"/>
  <c r="M250" i="1"/>
  <c r="P247" i="1"/>
  <c r="O247" i="1"/>
  <c r="N247" i="1"/>
  <c r="P246" i="1"/>
  <c r="N246" i="1"/>
  <c r="M246" i="1"/>
  <c r="P243" i="1"/>
  <c r="O243" i="1"/>
  <c r="N243" i="1"/>
  <c r="P242" i="1"/>
  <c r="N242" i="1"/>
  <c r="M242" i="1"/>
  <c r="P241" i="1"/>
  <c r="N241" i="1"/>
  <c r="M241" i="1"/>
  <c r="O235" i="1"/>
  <c r="O234" i="1" s="1"/>
  <c r="N235" i="1"/>
  <c r="N234" i="1" s="1"/>
  <c r="M235" i="1"/>
  <c r="M234" i="1" s="1"/>
  <c r="P232" i="1"/>
  <c r="N232" i="1"/>
  <c r="M232" i="1"/>
  <c r="P231" i="1"/>
  <c r="N231" i="1"/>
  <c r="M231" i="1"/>
  <c r="P230" i="1"/>
  <c r="O230" i="1"/>
  <c r="N230" i="1"/>
  <c r="P229" i="1"/>
  <c r="N229" i="1"/>
  <c r="M229" i="1"/>
  <c r="P227" i="1"/>
  <c r="N227" i="1"/>
  <c r="M227" i="1"/>
  <c r="P224" i="1"/>
  <c r="N224" i="1"/>
  <c r="M224" i="1"/>
  <c r="P223" i="1"/>
  <c r="N223" i="1"/>
  <c r="M223" i="1"/>
  <c r="P222" i="1"/>
  <c r="N222" i="1"/>
  <c r="M222" i="1"/>
  <c r="P220" i="1"/>
  <c r="O220" i="1"/>
  <c r="N220" i="1"/>
  <c r="P219" i="1"/>
  <c r="N219" i="1"/>
  <c r="M219" i="1"/>
  <c r="P218" i="1"/>
  <c r="N218" i="1"/>
  <c r="M218" i="1"/>
  <c r="P217" i="1"/>
  <c r="N217" i="1"/>
  <c r="M217" i="1"/>
  <c r="P213" i="1"/>
  <c r="N213" i="1"/>
  <c r="M213" i="1"/>
  <c r="P212" i="1"/>
  <c r="N212" i="1"/>
  <c r="M212" i="1"/>
  <c r="P208" i="1"/>
  <c r="O208" i="1"/>
  <c r="N208" i="1"/>
  <c r="P207" i="1"/>
  <c r="N207" i="1"/>
  <c r="M207" i="1"/>
  <c r="P204" i="1"/>
  <c r="O204" i="1"/>
  <c r="N204" i="1"/>
  <c r="P203" i="1"/>
  <c r="N203" i="1"/>
  <c r="M203" i="1"/>
  <c r="P200" i="1"/>
  <c r="O200" i="1"/>
  <c r="N200" i="1"/>
  <c r="P199" i="1"/>
  <c r="N199" i="1"/>
  <c r="M199" i="1"/>
  <c r="P198" i="1"/>
  <c r="N198" i="1"/>
  <c r="M198" i="1"/>
  <c r="P192" i="1"/>
  <c r="N192" i="1"/>
  <c r="M192" i="1"/>
  <c r="P191" i="1"/>
  <c r="N191" i="1"/>
  <c r="M191" i="1"/>
  <c r="P190" i="1"/>
  <c r="N190" i="1"/>
  <c r="M190" i="1"/>
  <c r="P188" i="1"/>
  <c r="O188" i="1"/>
  <c r="N188" i="1"/>
  <c r="P187" i="1"/>
  <c r="N187" i="1"/>
  <c r="M187" i="1"/>
  <c r="P186" i="1"/>
  <c r="N186" i="1"/>
  <c r="M186" i="1"/>
  <c r="P185" i="1"/>
  <c r="N185" i="1"/>
  <c r="M185" i="1"/>
  <c r="P181" i="1"/>
  <c r="N181" i="1"/>
  <c r="M181" i="1"/>
  <c r="P180" i="1"/>
  <c r="N180" i="1"/>
  <c r="M180" i="1"/>
  <c r="P175" i="1"/>
  <c r="N175" i="1"/>
  <c r="M175" i="1"/>
  <c r="P174" i="1"/>
  <c r="N174" i="1"/>
  <c r="M174" i="1"/>
  <c r="P173" i="1"/>
  <c r="N173" i="1"/>
  <c r="M173" i="1"/>
  <c r="P171" i="1"/>
  <c r="O171" i="1"/>
  <c r="N171" i="1"/>
  <c r="P170" i="1"/>
  <c r="N170" i="1"/>
  <c r="M170" i="1"/>
  <c r="P169" i="1"/>
  <c r="N169" i="1"/>
  <c r="M169" i="1"/>
  <c r="P168" i="1"/>
  <c r="N168" i="1"/>
  <c r="M168" i="1"/>
  <c r="P164" i="1"/>
  <c r="N164" i="1"/>
  <c r="M164" i="1"/>
  <c r="P163" i="1"/>
  <c r="N163" i="1"/>
  <c r="M163" i="1"/>
  <c r="P157" i="1"/>
  <c r="O157" i="1"/>
  <c r="N157" i="1"/>
  <c r="P156" i="1"/>
  <c r="N156" i="1"/>
  <c r="M156" i="1"/>
  <c r="P155" i="1"/>
  <c r="N155" i="1"/>
  <c r="M155" i="1"/>
  <c r="P154" i="1"/>
  <c r="O154" i="1"/>
  <c r="N154" i="1"/>
  <c r="P153" i="1"/>
  <c r="N153" i="1"/>
  <c r="M153" i="1"/>
  <c r="P152" i="1"/>
  <c r="O152" i="1"/>
  <c r="M152" i="1"/>
  <c r="P149" i="1"/>
  <c r="O149" i="1"/>
  <c r="N149" i="1"/>
  <c r="P148" i="1"/>
  <c r="N148" i="1"/>
  <c r="M148" i="1"/>
  <c r="P147" i="1"/>
  <c r="N147" i="1"/>
  <c r="M147" i="1"/>
  <c r="P146" i="1"/>
  <c r="O146" i="1"/>
  <c r="N146" i="1"/>
  <c r="P145" i="1"/>
  <c r="N145" i="1"/>
  <c r="M145" i="1"/>
  <c r="P144" i="1"/>
  <c r="O144" i="1"/>
  <c r="M144" i="1"/>
  <c r="P140" i="1"/>
  <c r="O140" i="1"/>
  <c r="M140" i="1"/>
  <c r="P139" i="1"/>
  <c r="N139" i="1"/>
  <c r="M139" i="1"/>
  <c r="P138" i="1"/>
  <c r="N138" i="1"/>
  <c r="M138" i="1"/>
  <c r="P137" i="1"/>
  <c r="O137" i="1"/>
  <c r="N137" i="1"/>
  <c r="P136" i="1"/>
  <c r="N136" i="1"/>
  <c r="M136" i="1"/>
  <c r="P134" i="1"/>
  <c r="N134" i="1"/>
  <c r="M134" i="1"/>
  <c r="P131" i="1"/>
  <c r="N131" i="1"/>
  <c r="M131" i="1"/>
  <c r="P130" i="1"/>
  <c r="N130" i="1"/>
  <c r="M130" i="1"/>
  <c r="P129" i="1"/>
  <c r="N129" i="1"/>
  <c r="M129" i="1"/>
  <c r="P127" i="1"/>
  <c r="O127" i="1"/>
  <c r="N127" i="1"/>
  <c r="P126" i="1"/>
  <c r="N126" i="1"/>
  <c r="M126" i="1"/>
  <c r="P125" i="1"/>
  <c r="N125" i="1"/>
  <c r="M125" i="1"/>
  <c r="P124" i="1"/>
  <c r="N124" i="1"/>
  <c r="M124" i="1"/>
  <c r="P120" i="1"/>
  <c r="N120" i="1"/>
  <c r="M120" i="1"/>
  <c r="P119" i="1"/>
  <c r="N119" i="1"/>
  <c r="M119" i="1"/>
  <c r="P115" i="1"/>
  <c r="N115" i="1"/>
  <c r="M115" i="1"/>
  <c r="P114" i="1"/>
  <c r="N114" i="1"/>
  <c r="M114" i="1"/>
  <c r="P113" i="1"/>
  <c r="O113" i="1"/>
  <c r="N113" i="1"/>
  <c r="P112" i="1"/>
  <c r="N112" i="1"/>
  <c r="M112" i="1"/>
  <c r="P111" i="1"/>
  <c r="N111" i="1"/>
  <c r="M111" i="1"/>
  <c r="P109" i="1"/>
  <c r="N109" i="1"/>
  <c r="M109" i="1"/>
  <c r="P108" i="1"/>
  <c r="N108" i="1"/>
  <c r="M108" i="1"/>
  <c r="P107" i="1"/>
  <c r="N107" i="1"/>
  <c r="M107" i="1"/>
  <c r="P105" i="1"/>
  <c r="O105" i="1"/>
  <c r="N105" i="1"/>
  <c r="P104" i="1"/>
  <c r="N104" i="1"/>
  <c r="M104" i="1"/>
  <c r="P103" i="1"/>
  <c r="N103" i="1"/>
  <c r="M103" i="1"/>
  <c r="P102" i="1"/>
  <c r="N102" i="1"/>
  <c r="M102" i="1"/>
  <c r="P98" i="1"/>
  <c r="N98" i="1"/>
  <c r="M98" i="1"/>
  <c r="P97" i="1"/>
  <c r="N97" i="1"/>
  <c r="M97" i="1"/>
  <c r="P93" i="1"/>
  <c r="O93" i="1"/>
  <c r="N93" i="1"/>
  <c r="P92" i="1"/>
  <c r="N92" i="1"/>
  <c r="M92" i="1"/>
  <c r="P91" i="1"/>
  <c r="N91" i="1"/>
  <c r="M91" i="1"/>
  <c r="P90" i="1"/>
  <c r="N90" i="1"/>
  <c r="M90" i="1"/>
  <c r="P88" i="1"/>
  <c r="O88" i="1"/>
  <c r="N88" i="1"/>
  <c r="P87" i="1"/>
  <c r="N87" i="1"/>
  <c r="M87" i="1"/>
  <c r="P86" i="1"/>
  <c r="N86" i="1"/>
  <c r="M86" i="1"/>
  <c r="P85" i="1"/>
  <c r="N85" i="1"/>
  <c r="M85" i="1"/>
  <c r="P84" i="1"/>
  <c r="N84" i="1"/>
  <c r="M84" i="1"/>
  <c r="P83" i="1"/>
  <c r="N83" i="1"/>
  <c r="M83" i="1"/>
  <c r="P79" i="1"/>
  <c r="O79" i="1"/>
  <c r="N79" i="1"/>
  <c r="P78" i="1"/>
  <c r="O78" i="1"/>
  <c r="N78" i="1"/>
  <c r="P77" i="1"/>
  <c r="O77" i="1"/>
  <c r="M77" i="1"/>
  <c r="O76" i="1"/>
  <c r="N76" i="1"/>
  <c r="M76" i="1"/>
  <c r="O75" i="1"/>
  <c r="N75" i="1"/>
  <c r="M75" i="1"/>
  <c r="P71" i="1"/>
  <c r="O71" i="1"/>
  <c r="N71" i="1"/>
  <c r="P70" i="1"/>
  <c r="N70" i="1"/>
  <c r="M70" i="1"/>
  <c r="P67" i="1"/>
  <c r="N67" i="1"/>
  <c r="M67" i="1"/>
  <c r="P66" i="1"/>
  <c r="O66" i="1"/>
  <c r="N66" i="1"/>
  <c r="P65" i="1"/>
  <c r="N65" i="1"/>
  <c r="M65" i="1"/>
  <c r="P64" i="1"/>
  <c r="N64" i="1"/>
  <c r="M64" i="1"/>
  <c r="P62" i="1"/>
  <c r="O62" i="1"/>
  <c r="N62" i="1"/>
  <c r="P61" i="1"/>
  <c r="N61" i="1"/>
  <c r="M61" i="1"/>
  <c r="P58" i="1"/>
  <c r="O58" i="1"/>
  <c r="N58" i="1"/>
  <c r="P57" i="1"/>
  <c r="N57" i="1"/>
  <c r="M57" i="1"/>
  <c r="P56" i="1"/>
  <c r="N56" i="1"/>
  <c r="M56" i="1"/>
  <c r="O50" i="1"/>
  <c r="N50" i="1"/>
  <c r="M50" i="1"/>
  <c r="O49" i="1"/>
  <c r="N49" i="1"/>
  <c r="M49" i="1"/>
  <c r="P47" i="1"/>
  <c r="O47" i="1"/>
  <c r="N47" i="1"/>
  <c r="P46" i="1"/>
  <c r="O46" i="1"/>
  <c r="N46" i="1"/>
  <c r="P42" i="1"/>
  <c r="P41" i="1" s="1"/>
  <c r="O42" i="1"/>
  <c r="O41" i="1" s="1"/>
  <c r="N42" i="1"/>
  <c r="N41" i="1" s="1"/>
  <c r="P39" i="1"/>
  <c r="N39" i="1"/>
  <c r="M39" i="1"/>
  <c r="P38" i="1"/>
  <c r="O38" i="1"/>
  <c r="N38" i="1"/>
  <c r="P36" i="1"/>
  <c r="O36" i="1"/>
  <c r="M36" i="1"/>
  <c r="P35" i="1"/>
  <c r="O35" i="1"/>
  <c r="M35" i="1"/>
  <c r="P34" i="1"/>
  <c r="N34" i="1"/>
  <c r="M34" i="1"/>
  <c r="P33" i="1"/>
  <c r="O33" i="1"/>
  <c r="N33" i="1"/>
  <c r="P32" i="1"/>
  <c r="O32" i="1"/>
  <c r="N32" i="1"/>
  <c r="P30" i="1"/>
  <c r="O30" i="1"/>
  <c r="N30" i="1"/>
  <c r="P26" i="1"/>
  <c r="N26" i="1"/>
  <c r="M26" i="1"/>
  <c r="P25" i="1"/>
  <c r="N25" i="1"/>
  <c r="M25" i="1"/>
  <c r="P24" i="1"/>
  <c r="N24" i="1"/>
  <c r="M24" i="1"/>
  <c r="P23" i="1"/>
  <c r="O23" i="1"/>
  <c r="N23" i="1"/>
  <c r="O22" i="1"/>
  <c r="N22" i="1"/>
  <c r="M22" i="1"/>
  <c r="P21" i="1"/>
  <c r="N21" i="1"/>
  <c r="M21" i="1"/>
  <c r="O19" i="1"/>
  <c r="N19" i="1"/>
  <c r="M19" i="1"/>
  <c r="O17" i="1"/>
  <c r="N17" i="1"/>
  <c r="M17" i="1"/>
  <c r="M7" i="1"/>
  <c r="N7" i="1"/>
  <c r="P7" i="1"/>
  <c r="M8" i="1"/>
  <c r="N8" i="1"/>
  <c r="P8" i="1"/>
  <c r="M9" i="1"/>
  <c r="N9" i="1"/>
  <c r="P9" i="1"/>
  <c r="M10" i="1"/>
  <c r="N10" i="1"/>
  <c r="P10" i="1"/>
  <c r="M11" i="1"/>
  <c r="N11" i="1"/>
  <c r="P11" i="1"/>
  <c r="M12" i="1"/>
  <c r="N12" i="1"/>
  <c r="P12" i="1"/>
  <c r="M13" i="1"/>
  <c r="N13" i="1"/>
  <c r="P13" i="1"/>
  <c r="M14" i="1"/>
  <c r="N14" i="1"/>
  <c r="P14" i="1"/>
  <c r="M15" i="1"/>
  <c r="N15" i="1"/>
  <c r="P15" i="1"/>
  <c r="P6" i="1"/>
  <c r="N6" i="1"/>
  <c r="M6" i="1"/>
  <c r="L322" i="1" l="1"/>
  <c r="L343" i="1"/>
  <c r="L275" i="1"/>
  <c r="L238" i="1"/>
  <c r="L309" i="1"/>
  <c r="L332" i="1"/>
  <c r="F45" i="14"/>
  <c r="C27" i="14"/>
  <c r="K241" i="1"/>
  <c r="C39" i="14"/>
  <c r="C41" i="14"/>
  <c r="C36" i="14"/>
  <c r="C40" i="14"/>
  <c r="K83" i="1"/>
  <c r="K242" i="1"/>
  <c r="C24" i="14"/>
  <c r="K119" i="1"/>
  <c r="K97" i="1"/>
  <c r="K255" i="1"/>
  <c r="K212" i="1"/>
  <c r="C35" i="14"/>
  <c r="Q388" i="1"/>
  <c r="K355" i="1"/>
  <c r="O354" i="1"/>
  <c r="N354" i="1"/>
  <c r="J70" i="1"/>
  <c r="O70" i="1" s="1"/>
  <c r="Q70" i="1" s="1"/>
  <c r="P354" i="1"/>
  <c r="J120" i="1"/>
  <c r="O120" i="1" s="1"/>
  <c r="Q120" i="1" s="1"/>
  <c r="J227" i="1"/>
  <c r="O227" i="1" s="1"/>
  <c r="Q227" i="1" s="1"/>
  <c r="J218" i="1"/>
  <c r="O218" i="1" s="1"/>
  <c r="Q218" i="1" s="1"/>
  <c r="J292" i="1"/>
  <c r="M292" i="1" s="1"/>
  <c r="Q292" i="1" s="1"/>
  <c r="J306" i="1"/>
  <c r="O306" i="1" s="1"/>
  <c r="O303" i="1" s="1"/>
  <c r="J247" i="1"/>
  <c r="M247" i="1" s="1"/>
  <c r="Q247" i="1" s="1"/>
  <c r="J144" i="1"/>
  <c r="N144" i="1" s="1"/>
  <c r="N142" i="1" s="1"/>
  <c r="J260" i="1"/>
  <c r="O260" i="1" s="1"/>
  <c r="Q260" i="1" s="1"/>
  <c r="J277" i="1"/>
  <c r="O277" i="1" s="1"/>
  <c r="Q277" i="1" s="1"/>
  <c r="J285" i="1"/>
  <c r="O285" i="1" s="1"/>
  <c r="Q285" i="1" s="1"/>
  <c r="J148" i="1"/>
  <c r="O148" i="1" s="1"/>
  <c r="Q148" i="1" s="1"/>
  <c r="J291" i="1"/>
  <c r="O291" i="1" s="1"/>
  <c r="Q291" i="1" s="1"/>
  <c r="J250" i="1"/>
  <c r="O250" i="1" s="1"/>
  <c r="Q250" i="1" s="1"/>
  <c r="J64" i="1"/>
  <c r="O64" i="1" s="1"/>
  <c r="Q64" i="1" s="1"/>
  <c r="J198" i="1"/>
  <c r="O198" i="1" s="1"/>
  <c r="Q198" i="1" s="1"/>
  <c r="J296" i="1"/>
  <c r="N296" i="1" s="1"/>
  <c r="N295" i="1" s="1"/>
  <c r="J263" i="1"/>
  <c r="M263" i="1" s="1"/>
  <c r="M253" i="1" s="1"/>
  <c r="J283" i="1"/>
  <c r="O283" i="1" s="1"/>
  <c r="Q283" i="1" s="1"/>
  <c r="J119" i="1"/>
  <c r="O119" i="1" s="1"/>
  <c r="Q119" i="1" s="1"/>
  <c r="J156" i="1"/>
  <c r="O156" i="1" s="1"/>
  <c r="Q156" i="1" s="1"/>
  <c r="J91" i="1"/>
  <c r="O91" i="1" s="1"/>
  <c r="Q91" i="1" s="1"/>
  <c r="J203" i="1"/>
  <c r="O203" i="1" s="1"/>
  <c r="Q203" i="1" s="1"/>
  <c r="J208" i="1"/>
  <c r="M208" i="1" s="1"/>
  <c r="Q208" i="1" s="1"/>
  <c r="J71" i="1"/>
  <c r="M71" i="1" s="1"/>
  <c r="Q71" i="1" s="1"/>
  <c r="H186" i="1"/>
  <c r="J186" i="1" s="1"/>
  <c r="O186" i="1" s="1"/>
  <c r="Q186" i="1" s="1"/>
  <c r="H180" i="1"/>
  <c r="L180" i="1" s="1"/>
  <c r="J61" i="1"/>
  <c r="O61" i="1" s="1"/>
  <c r="Q61" i="1" s="1"/>
  <c r="J134" i="1"/>
  <c r="O134" i="1" s="1"/>
  <c r="Q134" i="1" s="1"/>
  <c r="J98" i="1"/>
  <c r="O98" i="1" s="1"/>
  <c r="Q98" i="1" s="1"/>
  <c r="J62" i="1"/>
  <c r="M62" i="1" s="1"/>
  <c r="Q62" i="1" s="1"/>
  <c r="J83" i="1"/>
  <c r="O83" i="1" s="1"/>
  <c r="Q83" i="1" s="1"/>
  <c r="H185" i="1"/>
  <c r="L185" i="1" s="1"/>
  <c r="K185" i="1" s="1"/>
  <c r="J213" i="1"/>
  <c r="O213" i="1" s="1"/>
  <c r="Q213" i="1" s="1"/>
  <c r="J219" i="1"/>
  <c r="O219" i="1" s="1"/>
  <c r="Q219" i="1" s="1"/>
  <c r="J282" i="1"/>
  <c r="O282" i="1" s="1"/>
  <c r="J97" i="1"/>
  <c r="O97" i="1" s="1"/>
  <c r="J286" i="1"/>
  <c r="M286" i="1" s="1"/>
  <c r="M280" i="1" s="1"/>
  <c r="J251" i="1"/>
  <c r="M251" i="1" s="1"/>
  <c r="J311" i="1"/>
  <c r="N311" i="1" s="1"/>
  <c r="N309" i="1" s="1"/>
  <c r="P288" i="1"/>
  <c r="L235" i="1"/>
  <c r="L234" i="1" s="1"/>
  <c r="L147" i="1"/>
  <c r="K147" i="1" s="1"/>
  <c r="P309" i="1"/>
  <c r="J152" i="1"/>
  <c r="N152" i="1" s="1"/>
  <c r="N151" i="1" s="1"/>
  <c r="J204" i="1"/>
  <c r="M204" i="1" s="1"/>
  <c r="Q204" i="1" s="1"/>
  <c r="J261" i="1"/>
  <c r="O261" i="1" s="1"/>
  <c r="Q261" i="1" s="1"/>
  <c r="H84" i="1"/>
  <c r="L84" i="1" s="1"/>
  <c r="P314" i="1"/>
  <c r="L120" i="1"/>
  <c r="K120" i="1" s="1"/>
  <c r="L218" i="1"/>
  <c r="K218" i="1" s="1"/>
  <c r="L62" i="1"/>
  <c r="K62" i="1" s="1"/>
  <c r="L204" i="1"/>
  <c r="K204" i="1" s="1"/>
  <c r="L157" i="1"/>
  <c r="K157" i="1" s="1"/>
  <c r="N275" i="1"/>
  <c r="L124" i="1"/>
  <c r="K124" i="1" s="1"/>
  <c r="H137" i="1"/>
  <c r="H138" i="1" s="1"/>
  <c r="J138" i="1" s="1"/>
  <c r="O138" i="1" s="1"/>
  <c r="Q138" i="1" s="1"/>
  <c r="H149" i="1"/>
  <c r="H188" i="1"/>
  <c r="J188" i="1" s="1"/>
  <c r="M188" i="1" s="1"/>
  <c r="Q188" i="1" s="1"/>
  <c r="L207" i="1"/>
  <c r="K207" i="1" s="1"/>
  <c r="L217" i="1"/>
  <c r="K217" i="1" s="1"/>
  <c r="J220" i="1"/>
  <c r="M220" i="1" s="1"/>
  <c r="Q220" i="1" s="1"/>
  <c r="J125" i="1"/>
  <c r="O125" i="1" s="1"/>
  <c r="Q125" i="1" s="1"/>
  <c r="L208" i="1"/>
  <c r="K208" i="1" s="1"/>
  <c r="L156" i="1"/>
  <c r="K156" i="1" s="1"/>
  <c r="P195" i="1"/>
  <c r="J102" i="1"/>
  <c r="O102" i="1" s="1"/>
  <c r="Q102" i="1" s="1"/>
  <c r="L219" i="1"/>
  <c r="K219" i="1" s="1"/>
  <c r="J243" i="1"/>
  <c r="M243" i="1" s="1"/>
  <c r="Q243" i="1" s="1"/>
  <c r="J256" i="1"/>
  <c r="O256" i="1" s="1"/>
  <c r="Q256" i="1" s="1"/>
  <c r="J136" i="1"/>
  <c r="O136" i="1" s="1"/>
  <c r="Q136" i="1" s="1"/>
  <c r="J207" i="1"/>
  <c r="O207" i="1" s="1"/>
  <c r="Q207" i="1" s="1"/>
  <c r="L91" i="1"/>
  <c r="K91" i="1" s="1"/>
  <c r="H103" i="1"/>
  <c r="J103" i="1" s="1"/>
  <c r="O103" i="1" s="1"/>
  <c r="Q103" i="1" s="1"/>
  <c r="H187" i="1"/>
  <c r="L213" i="1"/>
  <c r="K213" i="1" s="1"/>
  <c r="L220" i="1"/>
  <c r="K220" i="1" s="1"/>
  <c r="L56" i="1"/>
  <c r="L71" i="1"/>
  <c r="K71" i="1" s="1"/>
  <c r="L102" i="1"/>
  <c r="K102" i="1" s="1"/>
  <c r="J212" i="1"/>
  <c r="O212" i="1" s="1"/>
  <c r="Q212" i="1" s="1"/>
  <c r="J289" i="1"/>
  <c r="O289" i="1" s="1"/>
  <c r="P53" i="1"/>
  <c r="N95" i="1"/>
  <c r="P160" i="1"/>
  <c r="P253" i="1"/>
  <c r="P275" i="1"/>
  <c r="H181" i="1"/>
  <c r="J181" i="1" s="1"/>
  <c r="O181" i="1" s="1"/>
  <c r="Q181" i="1" s="1"/>
  <c r="L125" i="1"/>
  <c r="H126" i="1"/>
  <c r="H170" i="1"/>
  <c r="H163" i="1"/>
  <c r="H168" i="1"/>
  <c r="L64" i="1"/>
  <c r="K64" i="1" s="1"/>
  <c r="G65" i="1"/>
  <c r="J65" i="1" s="1"/>
  <c r="O65" i="1" s="1"/>
  <c r="Q65" i="1" s="1"/>
  <c r="O44" i="1"/>
  <c r="N81" i="1"/>
  <c r="P81" i="1"/>
  <c r="N177" i="1"/>
  <c r="P177" i="1"/>
  <c r="N210" i="1"/>
  <c r="P210" i="1"/>
  <c r="N238" i="1"/>
  <c r="P269" i="1"/>
  <c r="M275" i="1"/>
  <c r="N280" i="1"/>
  <c r="P280" i="1"/>
  <c r="P295" i="1"/>
  <c r="O314" i="1"/>
  <c r="H92" i="1"/>
  <c r="H164" i="1"/>
  <c r="L262" i="1"/>
  <c r="K262" i="1" s="1"/>
  <c r="L282" i="1"/>
  <c r="L292" i="1"/>
  <c r="K292" i="1" s="1"/>
  <c r="H307" i="1"/>
  <c r="H169" i="1"/>
  <c r="L169" i="1" s="1"/>
  <c r="K169" i="1" s="1"/>
  <c r="L90" i="1"/>
  <c r="K90" i="1" s="1"/>
  <c r="L306" i="1"/>
  <c r="Q78" i="1"/>
  <c r="N314" i="1"/>
  <c r="P343" i="1"/>
  <c r="O322" i="1"/>
  <c r="H58" i="1"/>
  <c r="L58" i="1" s="1"/>
  <c r="H67" i="1"/>
  <c r="L98" i="1"/>
  <c r="K98" i="1" s="1"/>
  <c r="H171" i="1"/>
  <c r="H200" i="1"/>
  <c r="H230" i="1"/>
  <c r="L229" i="1"/>
  <c r="K229" i="1" s="1"/>
  <c r="G85" i="1"/>
  <c r="G86" i="1" s="1"/>
  <c r="G87" i="1" s="1"/>
  <c r="G88" i="1" s="1"/>
  <c r="L284" i="1"/>
  <c r="K284" i="1" s="1"/>
  <c r="L290" i="1"/>
  <c r="L288" i="1" s="1"/>
  <c r="L297" i="1"/>
  <c r="K297" i="1" s="1"/>
  <c r="H298" i="1"/>
  <c r="L198" i="1"/>
  <c r="J90" i="1"/>
  <c r="O90" i="1" s="1"/>
  <c r="Q90" i="1" s="1"/>
  <c r="J124" i="1"/>
  <c r="O124" i="1" s="1"/>
  <c r="Q124" i="1" s="1"/>
  <c r="J157" i="1"/>
  <c r="M157" i="1" s="1"/>
  <c r="Q157" i="1" s="1"/>
  <c r="J199" i="1"/>
  <c r="O199" i="1" s="1"/>
  <c r="J217" i="1"/>
  <c r="O217" i="1" s="1"/>
  <c r="Q217" i="1" s="1"/>
  <c r="J229" i="1"/>
  <c r="O229" i="1" s="1"/>
  <c r="Q229" i="1" s="1"/>
  <c r="J262" i="1"/>
  <c r="O262" i="1" s="1"/>
  <c r="Q262" i="1" s="1"/>
  <c r="J276" i="1"/>
  <c r="O276" i="1" s="1"/>
  <c r="J284" i="1"/>
  <c r="O284" i="1" s="1"/>
  <c r="Q284" i="1" s="1"/>
  <c r="J290" i="1"/>
  <c r="O290" i="1" s="1"/>
  <c r="Q290" i="1" s="1"/>
  <c r="J297" i="1"/>
  <c r="O297" i="1" s="1"/>
  <c r="Q297" i="1" s="1"/>
  <c r="J305" i="1"/>
  <c r="N305" i="1" s="1"/>
  <c r="N303" i="1" s="1"/>
  <c r="J312" i="1"/>
  <c r="M312" i="1" s="1"/>
  <c r="M309" i="1" s="1"/>
  <c r="K227" i="1"/>
  <c r="K261" i="1"/>
  <c r="K285" i="1"/>
  <c r="K148" i="1"/>
  <c r="L153" i="1"/>
  <c r="K153" i="1" s="1"/>
  <c r="K243" i="1"/>
  <c r="K263" i="1"/>
  <c r="K283" i="1"/>
  <c r="K289" i="1"/>
  <c r="J235" i="1"/>
  <c r="P235" i="1" s="1"/>
  <c r="P234" i="1" s="1"/>
  <c r="P142" i="1"/>
  <c r="P151" i="1"/>
  <c r="L145" i="1"/>
  <c r="K70" i="1"/>
  <c r="N44" i="1"/>
  <c r="O73" i="1"/>
  <c r="P117" i="1"/>
  <c r="N160" i="1"/>
  <c r="N195" i="1"/>
  <c r="N253" i="1"/>
  <c r="N288" i="1"/>
  <c r="P303" i="1"/>
  <c r="Q330" i="1"/>
  <c r="O309" i="1"/>
  <c r="G146" i="1"/>
  <c r="L146" i="1" s="1"/>
  <c r="G154" i="1"/>
  <c r="L154" i="1" s="1"/>
  <c r="P322" i="1"/>
  <c r="J145" i="1"/>
  <c r="O145" i="1" s="1"/>
  <c r="O332" i="1"/>
  <c r="Q341" i="1"/>
  <c r="G155" i="1"/>
  <c r="L155" i="1" s="1"/>
  <c r="K155" i="1" s="1"/>
  <c r="O343" i="1"/>
  <c r="Q47" i="1"/>
  <c r="N73" i="1"/>
  <c r="J153" i="1"/>
  <c r="O153" i="1" s="1"/>
  <c r="Q153" i="1" s="1"/>
  <c r="O269" i="1"/>
  <c r="K276" i="1"/>
  <c r="N117" i="1"/>
  <c r="J147" i="1"/>
  <c r="O147" i="1" s="1"/>
  <c r="Q147" i="1" s="1"/>
  <c r="Q8" i="1"/>
  <c r="K6" i="1"/>
  <c r="K319" i="1"/>
  <c r="Q23" i="1"/>
  <c r="O28" i="1"/>
  <c r="J354" i="1"/>
  <c r="K365" i="1"/>
  <c r="Q15" i="1"/>
  <c r="Q24" i="1"/>
  <c r="K42" i="1"/>
  <c r="K356" i="1"/>
  <c r="K368" i="1"/>
  <c r="Q32" i="1"/>
  <c r="K316" i="1"/>
  <c r="K371" i="1"/>
  <c r="Q12" i="1"/>
  <c r="Q26" i="1"/>
  <c r="Q36" i="1"/>
  <c r="Q38" i="1"/>
  <c r="Q34" i="1"/>
  <c r="Q10" i="1"/>
  <c r="Q30" i="1"/>
  <c r="J370" i="1"/>
  <c r="Q371" i="1"/>
  <c r="O368" i="1"/>
  <c r="O367" i="1" s="1"/>
  <c r="O365" i="1"/>
  <c r="O364" i="1" s="1"/>
  <c r="N362" i="1"/>
  <c r="N361" i="1" s="1"/>
  <c r="M359" i="1"/>
  <c r="Q356" i="1"/>
  <c r="M355" i="1"/>
  <c r="Q349" i="1"/>
  <c r="M343" i="1"/>
  <c r="J343" i="1"/>
  <c r="Q348" i="1"/>
  <c r="Q346" i="1"/>
  <c r="N344" i="1"/>
  <c r="N343" i="1" s="1"/>
  <c r="Q340" i="1"/>
  <c r="P332" i="1"/>
  <c r="Q339" i="1"/>
  <c r="Q337" i="1"/>
  <c r="M332" i="1"/>
  <c r="Q336" i="1"/>
  <c r="Q334" i="1"/>
  <c r="J332" i="1"/>
  <c r="N333" i="1"/>
  <c r="N332" i="1" s="1"/>
  <c r="Q329" i="1"/>
  <c r="Q327" i="1"/>
  <c r="Q325" i="1"/>
  <c r="M322" i="1"/>
  <c r="J322" i="1"/>
  <c r="N323" i="1"/>
  <c r="N322" i="1" s="1"/>
  <c r="P319" i="1"/>
  <c r="P318" i="1" s="1"/>
  <c r="Q316" i="1"/>
  <c r="M314" i="1"/>
  <c r="J314" i="1"/>
  <c r="Q315" i="1"/>
  <c r="Q272" i="1"/>
  <c r="M269" i="1"/>
  <c r="J269" i="1"/>
  <c r="Q271" i="1"/>
  <c r="N270" i="1"/>
  <c r="N269" i="1" s="1"/>
  <c r="Q267" i="1"/>
  <c r="Q266" i="1"/>
  <c r="Q265" i="1"/>
  <c r="O255" i="1"/>
  <c r="P238" i="1"/>
  <c r="Q246" i="1"/>
  <c r="Q242" i="1"/>
  <c r="O241" i="1"/>
  <c r="Q224" i="1"/>
  <c r="Q223" i="1"/>
  <c r="Q222" i="1"/>
  <c r="Q192" i="1"/>
  <c r="Q191" i="1"/>
  <c r="Q190" i="1"/>
  <c r="Q175" i="1"/>
  <c r="Q174" i="1"/>
  <c r="Q173" i="1"/>
  <c r="Q140" i="1"/>
  <c r="Q131" i="1"/>
  <c r="Q130" i="1"/>
  <c r="Q129" i="1"/>
  <c r="Q111" i="1"/>
  <c r="Q109" i="1"/>
  <c r="Q108" i="1"/>
  <c r="Q107" i="1"/>
  <c r="P95" i="1"/>
  <c r="Q79" i="1"/>
  <c r="M73" i="1"/>
  <c r="Q77" i="1"/>
  <c r="P73" i="1"/>
  <c r="Q76" i="1"/>
  <c r="J73" i="1"/>
  <c r="Q75" i="1"/>
  <c r="N53" i="1"/>
  <c r="J44" i="1"/>
  <c r="P44" i="1"/>
  <c r="Q50" i="1"/>
  <c r="Q49" i="1"/>
  <c r="M46" i="1"/>
  <c r="J41" i="1"/>
  <c r="Q35" i="1"/>
  <c r="Q33" i="1"/>
  <c r="P28" i="1"/>
  <c r="J28" i="1"/>
  <c r="N28" i="1"/>
  <c r="Q25" i="1"/>
  <c r="Q22" i="1"/>
  <c r="Q21" i="1"/>
  <c r="Q19" i="1"/>
  <c r="P4" i="1"/>
  <c r="Q17" i="1"/>
  <c r="Q11" i="1"/>
  <c r="Q9" i="1"/>
  <c r="J4" i="1"/>
  <c r="Q14" i="1"/>
  <c r="Q13" i="1"/>
  <c r="Q7" i="1"/>
  <c r="O6" i="1"/>
  <c r="Q6" i="1" s="1"/>
  <c r="Q42" i="1"/>
  <c r="M41" i="1"/>
  <c r="Q39" i="1"/>
  <c r="M28" i="1"/>
  <c r="M4" i="1"/>
  <c r="N4" i="1"/>
  <c r="L151" i="1" l="1"/>
  <c r="C15" i="14" s="1"/>
  <c r="L253" i="1"/>
  <c r="L280" i="1"/>
  <c r="F44" i="14"/>
  <c r="C22" i="14"/>
  <c r="N1" i="1"/>
  <c r="P1" i="1"/>
  <c r="C30" i="14"/>
  <c r="K180" i="1"/>
  <c r="C29" i="14"/>
  <c r="C25" i="14"/>
  <c r="L384" i="1"/>
  <c r="J384" i="1"/>
  <c r="J180" i="1"/>
  <c r="O180" i="1" s="1"/>
  <c r="Q180" i="1" s="1"/>
  <c r="M288" i="1"/>
  <c r="Q306" i="1"/>
  <c r="O275" i="1"/>
  <c r="Q263" i="1"/>
  <c r="O238" i="1"/>
  <c r="Q286" i="1"/>
  <c r="O280" i="1"/>
  <c r="M177" i="1"/>
  <c r="K235" i="1"/>
  <c r="J275" i="1"/>
  <c r="J253" i="1"/>
  <c r="M238" i="1"/>
  <c r="J238" i="1"/>
  <c r="O253" i="1"/>
  <c r="Q251" i="1"/>
  <c r="O195" i="1"/>
  <c r="J169" i="1"/>
  <c r="O169" i="1" s="1"/>
  <c r="Q169" i="1" s="1"/>
  <c r="Q199" i="1"/>
  <c r="J185" i="1"/>
  <c r="O185" i="1" s="1"/>
  <c r="Q185" i="1" s="1"/>
  <c r="L186" i="1"/>
  <c r="K186" i="1" s="1"/>
  <c r="Q152" i="1"/>
  <c r="L103" i="1"/>
  <c r="K103" i="1" s="1"/>
  <c r="H85" i="1"/>
  <c r="H86" i="1" s="1"/>
  <c r="H104" i="1"/>
  <c r="H105" i="1" s="1"/>
  <c r="J84" i="1"/>
  <c r="O84" i="1" s="1"/>
  <c r="Q84" i="1" s="1"/>
  <c r="Q312" i="1"/>
  <c r="L137" i="1"/>
  <c r="K137" i="1" s="1"/>
  <c r="J309" i="1"/>
  <c r="J280" i="1"/>
  <c r="Q235" i="1"/>
  <c r="J234" i="1"/>
  <c r="L138" i="1"/>
  <c r="K138" i="1" s="1"/>
  <c r="J137" i="1"/>
  <c r="M137" i="1" s="1"/>
  <c r="Q137" i="1" s="1"/>
  <c r="H139" i="1"/>
  <c r="J288" i="1"/>
  <c r="O288" i="1"/>
  <c r="L188" i="1"/>
  <c r="K188" i="1" s="1"/>
  <c r="L149" i="1"/>
  <c r="K149" i="1" s="1"/>
  <c r="J149" i="1"/>
  <c r="M149" i="1" s="1"/>
  <c r="Q149" i="1" s="1"/>
  <c r="L181" i="1"/>
  <c r="K181" i="1" s="1"/>
  <c r="L187" i="1"/>
  <c r="K187" i="1" s="1"/>
  <c r="J187" i="1"/>
  <c r="K290" i="1"/>
  <c r="K84" i="1"/>
  <c r="J200" i="1"/>
  <c r="L200" i="1"/>
  <c r="K200" i="1" s="1"/>
  <c r="L307" i="1"/>
  <c r="K307" i="1" s="1"/>
  <c r="J307" i="1"/>
  <c r="K282" i="1"/>
  <c r="L65" i="1"/>
  <c r="K65" i="1" s="1"/>
  <c r="G66" i="1"/>
  <c r="L163" i="1"/>
  <c r="J163" i="1"/>
  <c r="L171" i="1"/>
  <c r="K171" i="1" s="1"/>
  <c r="J171" i="1"/>
  <c r="M171" i="1" s="1"/>
  <c r="H93" i="1"/>
  <c r="L92" i="1"/>
  <c r="K92" i="1" s="1"/>
  <c r="J92" i="1"/>
  <c r="O92" i="1" s="1"/>
  <c r="Q92" i="1" s="1"/>
  <c r="J170" i="1"/>
  <c r="O170" i="1" s="1"/>
  <c r="Q170" i="1" s="1"/>
  <c r="L170" i="1"/>
  <c r="K170" i="1" s="1"/>
  <c r="K198" i="1"/>
  <c r="L230" i="1"/>
  <c r="K230" i="1" s="1"/>
  <c r="J230" i="1"/>
  <c r="H231" i="1"/>
  <c r="L164" i="1"/>
  <c r="K164" i="1" s="1"/>
  <c r="J164" i="1"/>
  <c r="O164" i="1" s="1"/>
  <c r="Q164" i="1" s="1"/>
  <c r="H127" i="1"/>
  <c r="L126" i="1"/>
  <c r="K126" i="1" s="1"/>
  <c r="J126" i="1"/>
  <c r="O126" i="1" s="1"/>
  <c r="H299" i="1"/>
  <c r="L298" i="1"/>
  <c r="J298" i="1"/>
  <c r="O298" i="1" s="1"/>
  <c r="Q298" i="1" s="1"/>
  <c r="K306" i="1"/>
  <c r="J168" i="1"/>
  <c r="O168" i="1" s="1"/>
  <c r="Q168" i="1" s="1"/>
  <c r="L168" i="1"/>
  <c r="K168" i="1" s="1"/>
  <c r="K125" i="1"/>
  <c r="O142" i="1"/>
  <c r="Q145" i="1"/>
  <c r="K145" i="1"/>
  <c r="J155" i="1"/>
  <c r="O155" i="1" s="1"/>
  <c r="O4" i="1"/>
  <c r="J154" i="1"/>
  <c r="M154" i="1" s="1"/>
  <c r="J146" i="1"/>
  <c r="Q73" i="1"/>
  <c r="Q314" i="1"/>
  <c r="J56" i="1"/>
  <c r="Q241" i="1"/>
  <c r="Q323" i="1"/>
  <c r="Q97" i="1"/>
  <c r="Q365" i="1"/>
  <c r="Q370" i="1"/>
  <c r="Q368" i="1"/>
  <c r="Q362" i="1"/>
  <c r="Q359" i="1"/>
  <c r="M358" i="1"/>
  <c r="Q355" i="1"/>
  <c r="M354" i="1"/>
  <c r="Q344" i="1"/>
  <c r="Q333" i="1"/>
  <c r="Q319" i="1"/>
  <c r="Q311" i="1"/>
  <c r="Q305" i="1"/>
  <c r="Q296" i="1"/>
  <c r="Q289" i="1"/>
  <c r="Q282" i="1"/>
  <c r="Q276" i="1"/>
  <c r="Q270" i="1"/>
  <c r="Q255" i="1"/>
  <c r="Q144" i="1"/>
  <c r="Q46" i="1"/>
  <c r="M44" i="1"/>
  <c r="Q41" i="1"/>
  <c r="Q28" i="1"/>
  <c r="Q4" i="1"/>
  <c r="L160" i="1" l="1"/>
  <c r="L177" i="1"/>
  <c r="L195" i="1"/>
  <c r="L303" i="1"/>
  <c r="C34" i="14" s="1"/>
  <c r="L142" i="1"/>
  <c r="F5" i="14"/>
  <c r="F6" i="14"/>
  <c r="F7" i="14"/>
  <c r="F10" i="14"/>
  <c r="F36" i="14"/>
  <c r="C17" i="14"/>
  <c r="C14" i="14"/>
  <c r="C18" i="14"/>
  <c r="Q364" i="1"/>
  <c r="Q234" i="1"/>
  <c r="C20" i="14"/>
  <c r="K384" i="1"/>
  <c r="O384" i="1"/>
  <c r="Q384" i="1" s="1"/>
  <c r="J385" i="1"/>
  <c r="O385" i="1" s="1"/>
  <c r="Q385" i="1" s="1"/>
  <c r="L385" i="1"/>
  <c r="K385" i="1" s="1"/>
  <c r="L104" i="1"/>
  <c r="K104" i="1" s="1"/>
  <c r="J104" i="1"/>
  <c r="O104" i="1" s="1"/>
  <c r="Q104" i="1" s="1"/>
  <c r="L85" i="1"/>
  <c r="J85" i="1"/>
  <c r="O85" i="1" s="1"/>
  <c r="Q85" i="1" s="1"/>
  <c r="L139" i="1"/>
  <c r="K139" i="1" s="1"/>
  <c r="J139" i="1"/>
  <c r="O139" i="1" s="1"/>
  <c r="Q139" i="1" s="1"/>
  <c r="O187" i="1"/>
  <c r="J177" i="1"/>
  <c r="J151" i="1"/>
  <c r="K298" i="1"/>
  <c r="L127" i="1"/>
  <c r="L117" i="1" s="1"/>
  <c r="J127" i="1"/>
  <c r="M160" i="1"/>
  <c r="Q171" i="1"/>
  <c r="L299" i="1"/>
  <c r="K299" i="1" s="1"/>
  <c r="J299" i="1"/>
  <c r="O299" i="1" s="1"/>
  <c r="H300" i="1"/>
  <c r="H232" i="1"/>
  <c r="L231" i="1"/>
  <c r="K231" i="1" s="1"/>
  <c r="J231" i="1"/>
  <c r="O231" i="1" s="1"/>
  <c r="K163" i="1"/>
  <c r="M307" i="1"/>
  <c r="J303" i="1"/>
  <c r="L86" i="1"/>
  <c r="J86" i="1"/>
  <c r="O86" i="1" s="1"/>
  <c r="Q86" i="1" s="1"/>
  <c r="H87" i="1"/>
  <c r="Q126" i="1"/>
  <c r="M230" i="1"/>
  <c r="L93" i="1"/>
  <c r="K93" i="1" s="1"/>
  <c r="J93" i="1"/>
  <c r="M93" i="1" s="1"/>
  <c r="Q93" i="1" s="1"/>
  <c r="G67" i="1"/>
  <c r="J66" i="1"/>
  <c r="M66" i="1" s="1"/>
  <c r="Q66" i="1" s="1"/>
  <c r="L66" i="1"/>
  <c r="K66" i="1" s="1"/>
  <c r="O163" i="1"/>
  <c r="J160" i="1"/>
  <c r="L105" i="1"/>
  <c r="K105" i="1" s="1"/>
  <c r="J105" i="1"/>
  <c r="M200" i="1"/>
  <c r="J195" i="1"/>
  <c r="O151" i="1"/>
  <c r="Q155" i="1"/>
  <c r="K146" i="1"/>
  <c r="K154" i="1"/>
  <c r="M146" i="1"/>
  <c r="J142" i="1"/>
  <c r="Q154" i="1"/>
  <c r="M151" i="1"/>
  <c r="Q322" i="1"/>
  <c r="Q238" i="1"/>
  <c r="J57" i="1"/>
  <c r="O57" i="1" s="1"/>
  <c r="Q57" i="1" s="1"/>
  <c r="K57" i="1"/>
  <c r="O56" i="1"/>
  <c r="K56" i="1"/>
  <c r="Q367" i="1"/>
  <c r="Q361" i="1"/>
  <c r="Q358" i="1"/>
  <c r="Q354" i="1"/>
  <c r="Q343" i="1"/>
  <c r="Q332" i="1"/>
  <c r="Q318" i="1"/>
  <c r="Q309" i="1"/>
  <c r="Q288" i="1"/>
  <c r="Q280" i="1"/>
  <c r="Q275" i="1"/>
  <c r="Q269" i="1"/>
  <c r="Q253" i="1"/>
  <c r="Q44" i="1"/>
  <c r="F30" i="14" l="1"/>
  <c r="F27" i="14"/>
  <c r="F29" i="14"/>
  <c r="F40" i="14"/>
  <c r="F41" i="14"/>
  <c r="F25" i="14"/>
  <c r="F26" i="14"/>
  <c r="F35" i="14"/>
  <c r="F24" i="14"/>
  <c r="F37" i="14"/>
  <c r="F39" i="14"/>
  <c r="F22" i="14"/>
  <c r="C13" i="14"/>
  <c r="K85" i="1"/>
  <c r="O380" i="1"/>
  <c r="J386" i="1"/>
  <c r="M386" i="1" s="1"/>
  <c r="L386" i="1"/>
  <c r="K386" i="1" s="1"/>
  <c r="O117" i="1"/>
  <c r="O177" i="1"/>
  <c r="Q187" i="1"/>
  <c r="M105" i="1"/>
  <c r="L232" i="1"/>
  <c r="L210" i="1" s="1"/>
  <c r="J232" i="1"/>
  <c r="M127" i="1"/>
  <c r="J117" i="1"/>
  <c r="K86" i="1"/>
  <c r="K127" i="1"/>
  <c r="Q200" i="1"/>
  <c r="M195" i="1"/>
  <c r="O160" i="1"/>
  <c r="Q163" i="1"/>
  <c r="J67" i="1"/>
  <c r="O67" i="1" s="1"/>
  <c r="Q67" i="1" s="1"/>
  <c r="L67" i="1"/>
  <c r="L53" i="1" s="1"/>
  <c r="M210" i="1"/>
  <c r="Q230" i="1"/>
  <c r="Q231" i="1"/>
  <c r="L300" i="1"/>
  <c r="L295" i="1" s="1"/>
  <c r="J300" i="1"/>
  <c r="L87" i="1"/>
  <c r="K87" i="1" s="1"/>
  <c r="H88" i="1"/>
  <c r="J87" i="1"/>
  <c r="O87" i="1" s="1"/>
  <c r="O81" i="1" s="1"/>
  <c r="M303" i="1"/>
  <c r="Q307" i="1"/>
  <c r="O295" i="1"/>
  <c r="Q299" i="1"/>
  <c r="Q151" i="1"/>
  <c r="M142" i="1"/>
  <c r="Q146" i="1"/>
  <c r="J58" i="1"/>
  <c r="Q56" i="1"/>
  <c r="F15" i="14" l="1"/>
  <c r="C21" i="14"/>
  <c r="C32" i="14"/>
  <c r="C9" i="14"/>
  <c r="J380" i="1"/>
  <c r="L380" i="1"/>
  <c r="C43" i="14" s="1"/>
  <c r="Q386" i="1"/>
  <c r="M380" i="1"/>
  <c r="Q87" i="1"/>
  <c r="O53" i="1"/>
  <c r="Q177" i="1"/>
  <c r="L88" i="1"/>
  <c r="L81" i="1" s="1"/>
  <c r="J88" i="1"/>
  <c r="M300" i="1"/>
  <c r="J295" i="1"/>
  <c r="Q160" i="1"/>
  <c r="K67" i="1"/>
  <c r="O232" i="1"/>
  <c r="J210" i="1"/>
  <c r="Q195" i="1"/>
  <c r="K232" i="1"/>
  <c r="Q303" i="1"/>
  <c r="K300" i="1"/>
  <c r="Q127" i="1"/>
  <c r="M117" i="1"/>
  <c r="Q105" i="1"/>
  <c r="Q142" i="1"/>
  <c r="K58" i="1"/>
  <c r="M58" i="1"/>
  <c r="J53" i="1"/>
  <c r="F14" i="14" l="1"/>
  <c r="F18" i="14"/>
  <c r="F34" i="14"/>
  <c r="F20" i="14"/>
  <c r="F17" i="14"/>
  <c r="C11" i="14"/>
  <c r="Q380" i="1"/>
  <c r="Q117" i="1"/>
  <c r="Q232" i="1"/>
  <c r="O210" i="1"/>
  <c r="M295" i="1"/>
  <c r="Q300" i="1"/>
  <c r="M88" i="1"/>
  <c r="J81" i="1"/>
  <c r="K88" i="1"/>
  <c r="Q58" i="1"/>
  <c r="M53" i="1"/>
  <c r="F43" i="14" l="1"/>
  <c r="F13" i="14"/>
  <c r="Q295" i="1"/>
  <c r="M81" i="1"/>
  <c r="Q88" i="1"/>
  <c r="Q210" i="1"/>
  <c r="Q53" i="1"/>
  <c r="F21" i="14" l="1"/>
  <c r="F9" i="14"/>
  <c r="F32" i="14"/>
  <c r="Q81" i="1"/>
  <c r="F11" i="14" l="1"/>
  <c r="J112" i="1" l="1"/>
  <c r="O112" i="1" s="1"/>
  <c r="L114" i="1"/>
  <c r="K114" i="1" s="1"/>
  <c r="J115" i="1"/>
  <c r="O115" i="1" s="1"/>
  <c r="Q115" i="1" s="1"/>
  <c r="L115" i="1"/>
  <c r="J113" i="1"/>
  <c r="L112" i="1"/>
  <c r="K115" i="1" l="1"/>
  <c r="M113" i="1"/>
  <c r="L113" i="1"/>
  <c r="K113" i="1" s="1"/>
  <c r="K112" i="1"/>
  <c r="Q112" i="1"/>
  <c r="J114" i="1"/>
  <c r="O114" i="1" s="1"/>
  <c r="Q114" i="1" s="1"/>
  <c r="L95" i="1" l="1"/>
  <c r="C12" i="14" s="1"/>
  <c r="J95" i="1"/>
  <c r="J351" i="1" s="1"/>
  <c r="J1" i="1" s="1"/>
  <c r="O95" i="1"/>
  <c r="O1" i="1" s="1"/>
  <c r="M95" i="1"/>
  <c r="M1" i="1" s="1"/>
  <c r="Q113" i="1"/>
  <c r="Q1" i="1" l="1"/>
  <c r="Q95" i="1"/>
  <c r="F12" i="14" l="1"/>
</calcChain>
</file>

<file path=xl/sharedStrings.xml><?xml version="1.0" encoding="utf-8"?>
<sst xmlns="http://schemas.openxmlformats.org/spreadsheetml/2006/main" count="5846" uniqueCount="613">
  <si>
    <t>Line No.</t>
  </si>
  <si>
    <t>Resource Name</t>
  </si>
  <si>
    <t>Unit</t>
  </si>
  <si>
    <t>Quantity</t>
  </si>
  <si>
    <t>Rate</t>
  </si>
  <si>
    <t>Labour</t>
  </si>
  <si>
    <t>Material</t>
  </si>
  <si>
    <t>Plant</t>
  </si>
  <si>
    <t>Subcontract</t>
  </si>
  <si>
    <t>Total</t>
  </si>
  <si>
    <t>Line No 2
Item No 1.01</t>
  </si>
  <si>
    <t>Mobilisation - Demobilisation</t>
  </si>
  <si>
    <t xml:space="preserve">Item </t>
  </si>
  <si>
    <t>Float</t>
  </si>
  <si>
    <t xml:space="preserve">LS   </t>
  </si>
  <si>
    <t>Insurances</t>
  </si>
  <si>
    <t>CAR</t>
  </si>
  <si>
    <t>Establishment of Borrow Areas</t>
  </si>
  <si>
    <t>Excavator - 25T</t>
  </si>
  <si>
    <t xml:space="preserve">hr   </t>
  </si>
  <si>
    <t>Geotech Level One</t>
  </si>
  <si>
    <t>Project Engineer</t>
  </si>
  <si>
    <t xml:space="preserve">week </t>
  </si>
  <si>
    <t>D6</t>
  </si>
  <si>
    <t>Line No 3
Item No 1.02</t>
  </si>
  <si>
    <t>Preparation and implementation of Construction Environmental Management Plan. Quality Plan, Workplace Health and Safety Plan and Works Installation Plan</t>
  </si>
  <si>
    <t>Preparation of Plans</t>
  </si>
  <si>
    <t>Implimentation of Plans</t>
  </si>
  <si>
    <t>Project Supervisor</t>
  </si>
  <si>
    <t>CAT297</t>
  </si>
  <si>
    <t>Silt Fence</t>
  </si>
  <si>
    <t xml:space="preserve">m    </t>
  </si>
  <si>
    <t>Pickets</t>
  </si>
  <si>
    <t xml:space="preserve">each </t>
  </si>
  <si>
    <t>Maintenance</t>
  </si>
  <si>
    <t>Line No 4
Item No 1.03</t>
  </si>
  <si>
    <t>Site Inspections for approval of construction phases</t>
  </si>
  <si>
    <t>Line No 5
Item No 1.04</t>
  </si>
  <si>
    <t>Provision of 'As-Constructed' Drawings including survey</t>
  </si>
  <si>
    <t>Survey</t>
  </si>
  <si>
    <t>Surveyor</t>
  </si>
  <si>
    <t>Geotechnical Testing</t>
  </si>
  <si>
    <t>Field Density</t>
  </si>
  <si>
    <t>Line No 9
Item No 2.01</t>
  </si>
  <si>
    <t>Trim, Grade and compact the former waste layer</t>
  </si>
  <si>
    <t xml:space="preserve">m2   </t>
  </si>
  <si>
    <t>Strip Vegetation &amp; Topsoil</t>
  </si>
  <si>
    <t>Assume a total depth of 150mm of vegetation &amp; topsoil. Strip with a D6 into stockpile. Bulk away with 25T &amp; A25's to area requiring levelling.</t>
  </si>
  <si>
    <t>Grade &amp; Shape clay under Topsoil</t>
  </si>
  <si>
    <t>Use a grader, and a spotter with dual grade laser.</t>
  </si>
  <si>
    <t>Grader</t>
  </si>
  <si>
    <t>Import 700 cum to balance cut: Excavation &amp; carting at other items.</t>
  </si>
  <si>
    <t>PF Roller Wet - No OP</t>
  </si>
  <si>
    <t>Water Cart - Hire</t>
  </si>
  <si>
    <t>Conmpact existing to 95%</t>
  </si>
  <si>
    <t>Use a PF Roller, WC. Follow the grader around so the PF marks can be cut out.</t>
  </si>
  <si>
    <t>PF Roller</t>
  </si>
  <si>
    <t xml:space="preserve">day  </t>
  </si>
  <si>
    <t>Line No 10
Item No 2.02</t>
  </si>
  <si>
    <t>High energy impact compact the graded surface of waste</t>
  </si>
  <si>
    <t>This will take 3 days to complete</t>
  </si>
  <si>
    <t>Broons - Day One</t>
  </si>
  <si>
    <t>Broons - Day Two +</t>
  </si>
  <si>
    <t>DN100 uPVC PN18</t>
  </si>
  <si>
    <t>Line No 11
Item No 2.03</t>
  </si>
  <si>
    <t>Excavate, select, lay, grade and compact the decomposed granite</t>
  </si>
  <si>
    <t xml:space="preserve">m3   </t>
  </si>
  <si>
    <t>Cut To Fill</t>
  </si>
  <si>
    <t>A25</t>
  </si>
  <si>
    <t>Trim Profile</t>
  </si>
  <si>
    <t>SD Roller - Wet (No Op)</t>
  </si>
  <si>
    <t>Line No 12
Item No 2.04</t>
  </si>
  <si>
    <t>Construct, shape and compact the bunds, including anchor trenches</t>
  </si>
  <si>
    <t>Excavate Material from borrow areas</t>
  </si>
  <si>
    <t>Stockpile material on approved area</t>
  </si>
  <si>
    <t>Construct Embankments as drawn including 95% compaction &amp; trimming</t>
  </si>
  <si>
    <t>Place with the dozer and compact with a PF. Trim faces with the dozer between pushing out &amp; Grader at end.</t>
  </si>
  <si>
    <t>Final Trim &amp; Pick up trimmings</t>
  </si>
  <si>
    <t>Anchor Trenches for HDPE, including Backfilling. (250m x .6 x .6) = 90cum</t>
  </si>
  <si>
    <t>Line No 13
Item No 2.05</t>
  </si>
  <si>
    <t>Construct, shape and compact the intercell bunds, including anchor trenches and the plywood</t>
  </si>
  <si>
    <t>Form Ply</t>
  </si>
  <si>
    <t xml:space="preserve">m²   </t>
  </si>
  <si>
    <t>Line No 14
Item No 2.06</t>
  </si>
  <si>
    <t>Supply, lay, grade and compact the gravel drainage layer</t>
  </si>
  <si>
    <t xml:space="preserve">ton  </t>
  </si>
  <si>
    <t>Line No 15
Item No 2.07</t>
  </si>
  <si>
    <t>Supply, lay, grade and compact the gravel around the leachate pipes</t>
  </si>
  <si>
    <t>20mm Drainage Agg</t>
  </si>
  <si>
    <t>Line No 19
Item No 3.01</t>
  </si>
  <si>
    <t>Construct and shape the internal channel with clay material from site</t>
  </si>
  <si>
    <t>Line No 20
Item No 3.02</t>
  </si>
  <si>
    <t>Construct and shape the interim channel with soil material from site</t>
  </si>
  <si>
    <t>Line No 25
Item No 4.01</t>
  </si>
  <si>
    <t>Strip, shape and compact the floor of the pond</t>
  </si>
  <si>
    <t>Line No 26
Item No 4.02</t>
  </si>
  <si>
    <t>Construct, shape and compact the embankment, including anchor trenches</t>
  </si>
  <si>
    <t>Line No 27
Item No 4.03</t>
  </si>
  <si>
    <t>Supply and install the securuty fence and access gates</t>
  </si>
  <si>
    <t>Security Fence</t>
  </si>
  <si>
    <t>Line No 31
Item No 5.01</t>
  </si>
  <si>
    <t>Strip, excavate, shape and compact the floor of the pond</t>
  </si>
  <si>
    <t>Line No 32
Item No 5.02</t>
  </si>
  <si>
    <t>Construct, shape and compact the embankment</t>
  </si>
  <si>
    <t>Line No 33
Item No 5.03</t>
  </si>
  <si>
    <t>Construct the spillways, including scour protection</t>
  </si>
  <si>
    <t>Gabion Rock</t>
  </si>
  <si>
    <t>tonne</t>
  </si>
  <si>
    <t>Line No 37
Item No 6.01</t>
  </si>
  <si>
    <t>Excavate, grade and shape the external channel</t>
  </si>
  <si>
    <t>Line No 41
Item No 7.01</t>
  </si>
  <si>
    <t>Excavate material for site and lay on the areas to be re-profiled</t>
  </si>
  <si>
    <t>Use stripped topsoil from ponds &amp; cell. in excess of 750 cum. Use D6 to level stockpiles &amp; grader, WC &amp; SD Roller to profile.</t>
  </si>
  <si>
    <t>Line No 42
Item No 7.02</t>
  </si>
  <si>
    <t>Grade and shape the areas</t>
  </si>
  <si>
    <t>Line No 46
Item No 8.01</t>
  </si>
  <si>
    <t>Construct the two access tracks in gravel pavement</t>
  </si>
  <si>
    <t>CBR45</t>
  </si>
  <si>
    <t>Line No 50
Item No 9.01</t>
  </si>
  <si>
    <t>Supply and Placement of the Geocomposite Clay Liner (GCL)</t>
  </si>
  <si>
    <t>GCL</t>
  </si>
  <si>
    <t>Line No 51
Item No 9.02</t>
  </si>
  <si>
    <t>Supply and Placement of the Geotextile Protection</t>
  </si>
  <si>
    <t>Line No 52
Item No 9.03</t>
  </si>
  <si>
    <t>Supply and Placement of the Geotextile Separation</t>
  </si>
  <si>
    <t>Line No 53
Item No 9.04</t>
  </si>
  <si>
    <t>Supply and Placement of the HDPE Liner (Leachate Pond)</t>
  </si>
  <si>
    <t>Line No 57
Item No 10.01</t>
  </si>
  <si>
    <t>Supply and Placement of the perforated collection pipes</t>
  </si>
  <si>
    <t>PN10 : 200 DiaPE100</t>
  </si>
  <si>
    <t>Drill Holes - 7,350 holes required. at 20 sec / hole = 41 hours.</t>
  </si>
  <si>
    <t>Welding</t>
  </si>
  <si>
    <t>PE Welder</t>
  </si>
  <si>
    <t>Placement</t>
  </si>
  <si>
    <t>Line No 58
Item No 10.02</t>
  </si>
  <si>
    <t>Supply and palcement of the non-perforated collection pipes, including liner penetration and clean out risers</t>
  </si>
  <si>
    <t>Junctions</t>
  </si>
  <si>
    <t>MDPE Junctions</t>
  </si>
  <si>
    <t>Line No 59
Item No 10.03</t>
  </si>
  <si>
    <t>Supply and Placement of the non-perforated delivery pipe</t>
  </si>
  <si>
    <t>Duration</t>
  </si>
  <si>
    <t>No</t>
  </si>
  <si>
    <t>Production</t>
  </si>
  <si>
    <t xml:space="preserve">Line No OH  1
Item No </t>
  </si>
  <si>
    <t>Project Supervision</t>
  </si>
  <si>
    <t xml:space="preserve">item </t>
  </si>
  <si>
    <t>Accommodation</t>
  </si>
  <si>
    <t xml:space="preserve">Line No OH  2
Item No </t>
  </si>
  <si>
    <t>Project Engineering</t>
  </si>
  <si>
    <t xml:space="preserve">Line No OH  3
Item No </t>
  </si>
  <si>
    <t>Small Tools</t>
  </si>
  <si>
    <t xml:space="preserve">Line No OH  4
Item No </t>
  </si>
  <si>
    <t>Site Ammenities</t>
  </si>
  <si>
    <t>Crib Facilities</t>
  </si>
  <si>
    <t xml:space="preserve">Line No OH  5
Item No </t>
  </si>
  <si>
    <t>Dual Grade Laser</t>
  </si>
  <si>
    <t xml:space="preserve">Line No OH  6
Item No </t>
  </si>
  <si>
    <t>Retention Costs</t>
  </si>
  <si>
    <t>Type</t>
  </si>
  <si>
    <r>
      <t>Prod</t>
    </r>
    <r>
      <rPr>
        <b/>
        <vertAlign val="superscript"/>
        <sz val="8"/>
        <color theme="1"/>
        <rFont val="Calibri"/>
        <family val="2"/>
        <scheme val="minor"/>
      </rPr>
      <t>n</t>
    </r>
  </si>
  <si>
    <t>Cost</t>
  </si>
  <si>
    <t>Usage</t>
  </si>
  <si>
    <t>Description</t>
  </si>
  <si>
    <t>Currency</t>
  </si>
  <si>
    <t>AUD</t>
  </si>
  <si>
    <t>Project Engineer - Weekly Rate</t>
  </si>
  <si>
    <t>Survey Team</t>
  </si>
  <si>
    <t>A24 - Bidum</t>
  </si>
  <si>
    <t>A64 Bidum</t>
  </si>
  <si>
    <t>CBR45 Road Base</t>
  </si>
  <si>
    <t>Gabion Rock (150 - 300)</t>
  </si>
  <si>
    <t>DN200 - PE100 MDPE Pipe</t>
  </si>
  <si>
    <t>Star Pickets</t>
  </si>
  <si>
    <t>CAT297C MTL - No Operator</t>
  </si>
  <si>
    <t>Site Office &amp; Tiolet, 1 Pump out during project.</t>
  </si>
  <si>
    <t>D6 Dozer</t>
  </si>
  <si>
    <t>25T Excavator - Wet Hire</t>
  </si>
  <si>
    <t>Grader - Wet Hire</t>
  </si>
  <si>
    <t>Pad Foot Roller - Dry</t>
  </si>
  <si>
    <t>SD Roller Wet Hire - No Operator</t>
  </si>
  <si>
    <t>Water Cart Hire</t>
  </si>
  <si>
    <t>Accommodation &amp; 3 meals Rate</t>
  </si>
  <si>
    <t>Broons Impact Roller First day hire</t>
  </si>
  <si>
    <t>Broons Impact Roller - Daily hire after day one</t>
  </si>
  <si>
    <t>CAR Insurance</t>
  </si>
  <si>
    <t>Security Fence - Three Strand Barb &amp; Crank</t>
  </si>
  <si>
    <t>WHS Insurance / Levy</t>
  </si>
  <si>
    <t>Base Rate</t>
  </si>
  <si>
    <t>L</t>
  </si>
  <si>
    <t>M</t>
  </si>
  <si>
    <t>P</t>
  </si>
  <si>
    <t>S</t>
  </si>
  <si>
    <t>WHS</t>
  </si>
  <si>
    <t>40mm Drainage Agg</t>
  </si>
  <si>
    <t>A24</t>
  </si>
  <si>
    <t>A64</t>
  </si>
  <si>
    <t>Trench Roller</t>
  </si>
  <si>
    <t>HDPE Liner</t>
  </si>
  <si>
    <t>Preliminary &amp; General Items</t>
  </si>
  <si>
    <t>WHS Levy = ).525% of GST InclusicePrice</t>
  </si>
  <si>
    <t>Establishment on Site</t>
  </si>
  <si>
    <t>Cell Construction - Earthworks</t>
  </si>
  <si>
    <r>
      <t>Density of Agg = 1.35t/m</t>
    </r>
    <r>
      <rPr>
        <vertAlign val="superscript"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>. Place at 600 t/day.</t>
    </r>
  </si>
  <si>
    <t>Interim Channel Construction - Earthworks</t>
  </si>
  <si>
    <t>Qty * 4.125 = Qty of clay to be imported / compacted as lining</t>
  </si>
  <si>
    <t>Leachate Pond Construction - Earthworks</t>
  </si>
  <si>
    <t>trench length = 250m</t>
  </si>
  <si>
    <r>
      <t>Backfill qty = 120 m</t>
    </r>
    <r>
      <rPr>
        <vertAlign val="superscript"/>
        <sz val="8"/>
        <color theme="1"/>
        <rFont val="Calibri"/>
        <family val="2"/>
        <scheme val="minor"/>
      </rPr>
      <t>3</t>
    </r>
  </si>
  <si>
    <t>Sedimentation Pond Construction - Earthworks</t>
  </si>
  <si>
    <t>External Channel Construction - Earthworks</t>
  </si>
  <si>
    <t>Reprofile the external area</t>
  </si>
  <si>
    <t>Access Tracks</t>
  </si>
  <si>
    <t>Supply &amp; Placement of Geocomposites</t>
  </si>
  <si>
    <t>Pipeworks</t>
  </si>
  <si>
    <r>
      <t>Qty Backfill = 120 m</t>
    </r>
    <r>
      <rPr>
        <vertAlign val="superscript"/>
        <sz val="8"/>
        <color theme="1"/>
        <rFont val="Calibri"/>
        <family val="2"/>
        <scheme val="minor"/>
      </rPr>
      <t>3</t>
    </r>
  </si>
  <si>
    <t>Allow 6.5% for wastage &amp; overlaps</t>
  </si>
  <si>
    <t>Allow 5% for wastage &amp; overlaps</t>
  </si>
  <si>
    <t>Contract Award</t>
  </si>
  <si>
    <t>Non-Working Calendar 2011 - 2015 (Queensland - Australia)</t>
  </si>
  <si>
    <t>Christmas Day</t>
  </si>
  <si>
    <t>Boxing Day</t>
  </si>
  <si>
    <t>New Years Day</t>
  </si>
  <si>
    <t>Australia Day</t>
  </si>
  <si>
    <t>Good Friday</t>
  </si>
  <si>
    <t>Easter Monday</t>
  </si>
  <si>
    <t>ANZAC Day</t>
  </si>
  <si>
    <t>Labour Day</t>
  </si>
  <si>
    <t>Queen's Birthday</t>
  </si>
  <si>
    <t>Xmas S/D</t>
  </si>
  <si>
    <t>Qty to excavate from trenches</t>
  </si>
  <si>
    <t xml:space="preserve"> </t>
  </si>
  <si>
    <t>QM2.3</t>
  </si>
  <si>
    <t>QMD40</t>
  </si>
  <si>
    <t>QMR</t>
  </si>
  <si>
    <t>SPF</t>
  </si>
  <si>
    <t>LABOUR</t>
  </si>
  <si>
    <t>PLANT RESOURCES</t>
  </si>
  <si>
    <t>SUB-CONTRACT RESOURCES</t>
  </si>
  <si>
    <t>MATERIAL RESOURCES</t>
  </si>
  <si>
    <t xml:space="preserve">VAR 01      </t>
  </si>
  <si>
    <t>Leachate pond spillway redesign</t>
  </si>
  <si>
    <t xml:space="preserve">VAR02       </t>
  </si>
  <si>
    <t xml:space="preserve">Additional deco material required to build up the main cell to bottom of GCL layer. </t>
  </si>
  <si>
    <t xml:space="preserve">m³   </t>
  </si>
  <si>
    <t xml:space="preserve">VAR04       </t>
  </si>
  <si>
    <t>Replace marine plywood above the anchor tenches of intercell bunds with LDPE detection tape.</t>
  </si>
  <si>
    <t xml:space="preserve">VAR05       </t>
  </si>
  <si>
    <t>Removal and replacement of rubbish material in external channels</t>
  </si>
  <si>
    <t>VARIATIONS</t>
  </si>
  <si>
    <t>Practical Completion</t>
  </si>
  <si>
    <t>36,21,41,31,29,35,6</t>
  </si>
  <si>
    <t>6,8,16,19,23</t>
  </si>
  <si>
    <t>11,42</t>
  </si>
  <si>
    <t>10,42</t>
  </si>
  <si>
    <t>12,16</t>
  </si>
  <si>
    <t>13,28,33,43</t>
  </si>
  <si>
    <t>12,43,33</t>
  </si>
  <si>
    <t>13,38,40</t>
  </si>
  <si>
    <t>4,11</t>
  </si>
  <si>
    <t>17,44</t>
  </si>
  <si>
    <t>16,44</t>
  </si>
  <si>
    <t>21,23,36</t>
  </si>
  <si>
    <t>4,20</t>
  </si>
  <si>
    <t>29,31</t>
  </si>
  <si>
    <t>28,17</t>
  </si>
  <si>
    <t>34,38,13</t>
  </si>
  <si>
    <t>34,14</t>
  </si>
  <si>
    <t>39,14</t>
  </si>
  <si>
    <t>17,26</t>
  </si>
  <si>
    <t>Portfolio WBS</t>
  </si>
  <si>
    <t>WBS</t>
  </si>
  <si>
    <t>PROJECT OVERHEADS (TO BE SPREAD ACROSS ABOVE ITEMS)</t>
  </si>
  <si>
    <t>TYPE</t>
  </si>
  <si>
    <t>UOM</t>
  </si>
  <si>
    <t>MODEL INPUT</t>
  </si>
  <si>
    <t>DESCRIPTION - QTY &amp; PRODUCTION VARIABLES</t>
  </si>
  <si>
    <t>Q</t>
  </si>
  <si>
    <t>Work Hours Per Day</t>
  </si>
  <si>
    <t>Task</t>
  </si>
  <si>
    <t>WBS Predecessors</t>
  </si>
  <si>
    <t>WBS Successors</t>
  </si>
  <si>
    <t>Budget</t>
  </si>
  <si>
    <t>%C Claim 01</t>
  </si>
  <si>
    <t>%C Claim 02</t>
  </si>
  <si>
    <t>%C Claim 03</t>
  </si>
  <si>
    <t>Item No</t>
  </si>
  <si>
    <t>Tender Quantity</t>
  </si>
  <si>
    <t>Contract Quantity</t>
  </si>
  <si>
    <t>Tender Rate</t>
  </si>
  <si>
    <t>Tender Total</t>
  </si>
  <si>
    <t>Contract Total</t>
  </si>
  <si>
    <t>Contract Items</t>
  </si>
  <si>
    <t>Preliminary and General Items</t>
  </si>
  <si>
    <t xml:space="preserve">     </t>
  </si>
  <si>
    <t xml:space="preserve">            </t>
  </si>
  <si>
    <t>Sub-total 1 - Preliminary and General Items</t>
  </si>
  <si>
    <t>Sub-total 2 - Cell Construction - Earthworks</t>
  </si>
  <si>
    <t>Sub-total - Internal Channel Construction - Earthworks</t>
  </si>
  <si>
    <t>Sub-total 4 - Leachate Pond Construction - Earthworks</t>
  </si>
  <si>
    <t>Sub-total 5 - Sedimentation Pond Construction - Earthworks</t>
  </si>
  <si>
    <t>Sub-total 6 - External Channel Construction - Earthworks</t>
  </si>
  <si>
    <t>Re-profile the external area</t>
  </si>
  <si>
    <t>Sub-total 7 - External Channel Construction - Earthworks</t>
  </si>
  <si>
    <t>Sub-total 8 - Access Tracks</t>
  </si>
  <si>
    <t>Supply and Placement of the Geocomposites</t>
  </si>
  <si>
    <t>Sub-total 9 - Supply and Placement of Geocomposites</t>
  </si>
  <si>
    <t>Sub-total 10 - Pipeworks</t>
  </si>
  <si>
    <t>Variations</t>
  </si>
  <si>
    <t xml:space="preserve">VAR03       </t>
  </si>
  <si>
    <t>Removal of concrete and other waste material near leachate pond.</t>
  </si>
  <si>
    <t>Subtotal, excluding GST</t>
  </si>
  <si>
    <t>Total all contract items, variations and sundry items (including GST)</t>
  </si>
  <si>
    <t>Tender Budget</t>
  </si>
  <si>
    <t>Revenue Claim 01</t>
  </si>
  <si>
    <t>Revenue Claim 02</t>
  </si>
  <si>
    <t>Revenue Claim 03</t>
  </si>
  <si>
    <t>Qty Claim 01</t>
  </si>
  <si>
    <t>% Claim 01</t>
  </si>
  <si>
    <t>Qty Claim 02</t>
  </si>
  <si>
    <t>% Claim 02</t>
  </si>
  <si>
    <t>Qty Claim 03</t>
  </si>
  <si>
    <t>% Claim 03</t>
  </si>
  <si>
    <t>Date</t>
  </si>
  <si>
    <t>Resource</t>
  </si>
  <si>
    <t>Pin Point Surveys Pty Ltd</t>
  </si>
  <si>
    <t xml:space="preserve">Surveyor                 </t>
  </si>
  <si>
    <t>Survey Team - Inv 706</t>
  </si>
  <si>
    <t>Survey Team - Inv 715</t>
  </si>
  <si>
    <t xml:space="preserve">Subtotal for 011                   </t>
  </si>
  <si>
    <t>Inv 9529</t>
  </si>
  <si>
    <t xml:space="preserve">Field Density            </t>
  </si>
  <si>
    <t>ITEM</t>
  </si>
  <si>
    <t>Inv 9583</t>
  </si>
  <si>
    <t>Inv 9582</t>
  </si>
  <si>
    <t>Inv 9652</t>
  </si>
  <si>
    <t>Inv 9863</t>
  </si>
  <si>
    <t>Inv 9825</t>
  </si>
  <si>
    <t>Inv 9826</t>
  </si>
  <si>
    <t>Inv 10346</t>
  </si>
  <si>
    <t>Inv 10356</t>
  </si>
  <si>
    <t>Inv 10355</t>
  </si>
  <si>
    <t xml:space="preserve">Subtotal for 013                   </t>
  </si>
  <si>
    <t>25T Excavator Hire - Dry Hire</t>
  </si>
  <si>
    <t xml:space="preserve">Shannon's Excavations    </t>
  </si>
  <si>
    <t>Dozer Hire</t>
  </si>
  <si>
    <t xml:space="preserve">Graham McDowall          </t>
  </si>
  <si>
    <t>Truck Driver</t>
  </si>
  <si>
    <t>8 Wheel Tipper Hire - Iveco</t>
  </si>
  <si>
    <t xml:space="preserve">PR &amp; HT Gourlay          </t>
  </si>
  <si>
    <t>25T Excavator Hire</t>
  </si>
  <si>
    <t>Tipper Hire</t>
  </si>
  <si>
    <t xml:space="preserve">Michael J Biles          </t>
  </si>
  <si>
    <t xml:space="preserve">Subtotal for 031                   </t>
  </si>
  <si>
    <t>Pad Foot Roller - Coates Hire</t>
  </si>
  <si>
    <t xml:space="preserve">PF Roller                </t>
  </si>
  <si>
    <t xml:space="preserve">Pad Foot Roller - Coates Hire </t>
  </si>
  <si>
    <t xml:space="preserve">AG Laidlaw Tipper Hire   </t>
  </si>
  <si>
    <t>Tipper - Allciv (No Driver)</t>
  </si>
  <si>
    <t xml:space="preserve">Tipper - Allciv          </t>
  </si>
  <si>
    <t xml:space="preserve">Labour </t>
  </si>
  <si>
    <t>Tipper - Allciv Water Cart</t>
  </si>
  <si>
    <t>1.6T Mini Excavator - Wet Hire</t>
  </si>
  <si>
    <t xml:space="preserve">Excavator - 8T           </t>
  </si>
  <si>
    <t>Labour Hire - People Resourcing</t>
  </si>
  <si>
    <t>Dry Hire Water Truck</t>
  </si>
  <si>
    <t xml:space="preserve">Scott McKenzie - Tipper  </t>
  </si>
  <si>
    <t>SD Roller - Coates Hire</t>
  </si>
  <si>
    <t xml:space="preserve">SD Roller                </t>
  </si>
  <si>
    <t>Pad Foot Roller - Flexihire</t>
  </si>
  <si>
    <t>Hire of Laser Scoop</t>
  </si>
  <si>
    <t xml:space="preserve">Scraper - RATE ONLY      </t>
  </si>
  <si>
    <t xml:space="preserve">Hurst Backhoe Hire       </t>
  </si>
  <si>
    <t>SD Roller - Dry Coates</t>
  </si>
  <si>
    <t xml:space="preserve">Quag Contracting         </t>
  </si>
  <si>
    <t>Bobcat - Dry Hire Coates Hire</t>
  </si>
  <si>
    <t xml:space="preserve">Bobcat                   </t>
  </si>
  <si>
    <t>Grader Hire</t>
  </si>
  <si>
    <t xml:space="preserve">Scott McKenzie           </t>
  </si>
  <si>
    <t>Labour Hire</t>
  </si>
  <si>
    <t>Bobcat - Coates</t>
  </si>
  <si>
    <t>Tipper Hire x 2</t>
  </si>
  <si>
    <t xml:space="preserve">Tipper Hire </t>
  </si>
  <si>
    <t>Posi Track Hire</t>
  </si>
  <si>
    <t>Bowen Posi Track &amp; Tipper</t>
  </si>
  <si>
    <t>Inv 3274</t>
  </si>
  <si>
    <t xml:space="preserve">Flex Drive Pump          </t>
  </si>
  <si>
    <t>11T Excavator - Cat Rentals</t>
  </si>
  <si>
    <t xml:space="preserve">Excavator - 15T          </t>
  </si>
  <si>
    <t xml:space="preserve">Subtotal for 051                   </t>
  </si>
  <si>
    <t xml:space="preserve">Broons - Day One         </t>
  </si>
  <si>
    <t xml:space="preserve">Broons - Day Two +       </t>
  </si>
  <si>
    <t xml:space="preserve">Subtotal for 0510                  </t>
  </si>
  <si>
    <t>15T Excavator - Cat Rentals</t>
  </si>
  <si>
    <t xml:space="preserve">Subtotal for 059                   </t>
  </si>
  <si>
    <t xml:space="preserve">Subtotal for 062                   </t>
  </si>
  <si>
    <t>0.5 Tonne MPA 20</t>
  </si>
  <si>
    <t xml:space="preserve">Cement                   </t>
  </si>
  <si>
    <t>Inv 1038953</t>
  </si>
  <si>
    <t xml:space="preserve">Poly Welder              </t>
  </si>
  <si>
    <t>item</t>
  </si>
  <si>
    <t xml:space="preserve">Subtotal for 091                   </t>
  </si>
  <si>
    <t>Fencing - Inv 43</t>
  </si>
  <si>
    <t xml:space="preserve">Fencing                  </t>
  </si>
  <si>
    <t xml:space="preserve">Subtotal for 131                   </t>
  </si>
  <si>
    <t xml:space="preserve">A64                      </t>
  </si>
  <si>
    <t>m2</t>
  </si>
  <si>
    <t xml:space="preserve">Subtotal for 161                   </t>
  </si>
  <si>
    <t xml:space="preserve">A24                      </t>
  </si>
  <si>
    <t xml:space="preserve">Subtotal for 162                   </t>
  </si>
  <si>
    <t xml:space="preserve">Subtotal for 191                   </t>
  </si>
  <si>
    <t xml:space="preserve">Subtotal for 221                   </t>
  </si>
  <si>
    <t>Inv 29943</t>
  </si>
  <si>
    <t xml:space="preserve">Trencher                 </t>
  </si>
  <si>
    <t>Inv 1758</t>
  </si>
  <si>
    <t xml:space="preserve">HDPE Liner               </t>
  </si>
  <si>
    <t>Inv CD201120980 - Bond for Rental Equipment</t>
  </si>
  <si>
    <t>Hire of Equipment</t>
  </si>
  <si>
    <t xml:space="preserve">Miscellaneous Items      </t>
  </si>
  <si>
    <t xml:space="preserve">Subtotal for 222                   </t>
  </si>
  <si>
    <t>2 x Flim Polythene Rolls</t>
  </si>
  <si>
    <t xml:space="preserve">GCL                      </t>
  </si>
  <si>
    <t>Inv CD201200419</t>
  </si>
  <si>
    <t xml:space="preserve">Bidim                    </t>
  </si>
  <si>
    <t>Inv CD201200507 - Undercoat</t>
  </si>
  <si>
    <t>drum</t>
  </si>
  <si>
    <t>Inv CD201200507 - Topcoat</t>
  </si>
  <si>
    <t>Inv CD201200507</t>
  </si>
  <si>
    <t>Inv CD201200507 - Slings</t>
  </si>
  <si>
    <t>ea</t>
  </si>
  <si>
    <t>Credit for Bond on Equipment</t>
  </si>
  <si>
    <t xml:space="preserve">Subtotal for 223                   </t>
  </si>
  <si>
    <t xml:space="preserve">Subtotal for 224                   </t>
  </si>
  <si>
    <t>Project Technical Officer</t>
  </si>
  <si>
    <t xml:space="preserve">WHSO                     </t>
  </si>
  <si>
    <t>Work Place Health &amp; Safety Officer</t>
  </si>
  <si>
    <t xml:space="preserve">Subtotal for 901                   </t>
  </si>
  <si>
    <t xml:space="preserve">Project Supervisor       </t>
  </si>
  <si>
    <t xml:space="preserve">Subtotal for 902                   </t>
  </si>
  <si>
    <t>Spill Kit - 120Ltr Bin Medium</t>
  </si>
  <si>
    <t xml:space="preserve">Spillkit                 </t>
  </si>
  <si>
    <t>Neverfail Springwater - Inv 773863</t>
  </si>
  <si>
    <t xml:space="preserve">Water - Bottled Costs    </t>
  </si>
  <si>
    <t>Site Office &amp; Lunchroom 15/4/11 to 30/4/11 Coates inv 8194574</t>
  </si>
  <si>
    <t xml:space="preserve">Crib Facilities          </t>
  </si>
  <si>
    <t>Inv 8194566 - 15/4/11 to 30/4/11 plus delivery</t>
  </si>
  <si>
    <t xml:space="preserve">Generator                </t>
  </si>
  <si>
    <t>Temporary Fencing - 18/4/11 to 18/8/11</t>
  </si>
  <si>
    <t>Purchase of Container Inv 117746</t>
  </si>
  <si>
    <t xml:space="preserve">Container                </t>
  </si>
  <si>
    <t>Generator Hire - Inv 8437843</t>
  </si>
  <si>
    <t>month</t>
  </si>
  <si>
    <t>Site Office &amp; Tiolet, 1 Pump out during project. Inv 8437852</t>
  </si>
  <si>
    <t>5 x Corflute Signs</t>
  </si>
  <si>
    <t xml:space="preserve">Signs - General          </t>
  </si>
  <si>
    <t>Inv 58 - Connect &amp; Dis connect crib facilities</t>
  </si>
  <si>
    <t xml:space="preserve">Electrician              </t>
  </si>
  <si>
    <t>Hire of Generator &amp; Transport Costs- Inv 8505863</t>
  </si>
  <si>
    <t>Site Office &amp; Lunch Room, Cleaning Fees  - Inv 8519781</t>
  </si>
  <si>
    <t>Temporary Fencing - Cost for 3 Damaged Blocks</t>
  </si>
  <si>
    <t xml:space="preserve">Subtotal for 903                   </t>
  </si>
  <si>
    <t>PL Insurance - Constructionl Risk Insurance</t>
  </si>
  <si>
    <t xml:space="preserve">PL                       </t>
  </si>
  <si>
    <t>Coates Hire Inv 8194566 Damage Waiver Fees</t>
  </si>
  <si>
    <t xml:space="preserve">Insurances               </t>
  </si>
  <si>
    <t>Damage Waiver Fees for Office Lunch Room - Coates Inv 8194574</t>
  </si>
  <si>
    <t xml:space="preserve"> Damage Waiver Fees - Coates Inv 8194583</t>
  </si>
  <si>
    <t>Damage Waiver Fees - Inv 8437843</t>
  </si>
  <si>
    <t>Insurances, fees &amp; levies - Inv 8437852</t>
  </si>
  <si>
    <t>Damage Waiver fees - Inv 8505954</t>
  </si>
  <si>
    <t>Damage Waiver fees - Inv 8505863</t>
  </si>
  <si>
    <t>Damage Waiver Fees - Inv 8519781</t>
  </si>
  <si>
    <t>Damage Waiver Fee - inv 8563273</t>
  </si>
  <si>
    <t>Insurances, fees &amp; levies  Inv 8885150</t>
  </si>
  <si>
    <t xml:space="preserve">Subtotal for 904                   </t>
  </si>
  <si>
    <t>Ariel Booster</t>
  </si>
  <si>
    <t xml:space="preserve">Small Tools              </t>
  </si>
  <si>
    <t>Padlocks</t>
  </si>
  <si>
    <t>Tape, Brooms &amp; Broom Handles</t>
  </si>
  <si>
    <t>Settlement Plates</t>
  </si>
  <si>
    <t>Hammer Drill - Inv 11187541</t>
  </si>
  <si>
    <t>Hand Saw</t>
  </si>
  <si>
    <t>Various miscellanoeus items</t>
  </si>
  <si>
    <t xml:space="preserve">Subtotal for 905                   </t>
  </si>
  <si>
    <t>Items for Unit - Atr</t>
  </si>
  <si>
    <t>Float 25T Excavator to Kirknie</t>
  </si>
  <si>
    <t xml:space="preserve">Float                    </t>
  </si>
  <si>
    <t>Float Dozer to Kirknie</t>
  </si>
  <si>
    <t>Safety glasses, gloves, sunscreen &amp; Insect repellant</t>
  </si>
  <si>
    <t>Miscellaneous items - safety signs, cable ties, spray &amp; mark etc</t>
  </si>
  <si>
    <t>Locks &amp; Chain</t>
  </si>
  <si>
    <t>Bins, Batteries and Fire Extinguishers</t>
  </si>
  <si>
    <t>Flashing Light for Ford Ranger Ute</t>
  </si>
  <si>
    <t>Miscellaneous items spray &amp; mark etc</t>
  </si>
  <si>
    <t xml:space="preserve">Delivery of Office &amp; Lunch Room </t>
  </si>
  <si>
    <t>Delivery costs - Coates Inv 8194583</t>
  </si>
  <si>
    <t>Float Grader to Kirknie Landfill</t>
  </si>
  <si>
    <t>Site Establishment Costs</t>
  </si>
  <si>
    <t xml:space="preserve">Site Establishment Costs </t>
  </si>
  <si>
    <t>Spray &amp; Mark</t>
  </si>
  <si>
    <t>Spray &amp; Mark - Pink</t>
  </si>
  <si>
    <t>Deliver container to site - Inv 1026</t>
  </si>
  <si>
    <t>Marker Paint</t>
  </si>
  <si>
    <t xml:space="preserve">Plant Float - Allciv     </t>
  </si>
  <si>
    <t>Miscellaneous items Spray Mark, Gloves Cable ties</t>
  </si>
  <si>
    <t>Float charges 11T Excavator to Dysart</t>
  </si>
  <si>
    <t>De-Establishment - Move container to Airlie Beach Inv 1157</t>
  </si>
  <si>
    <t xml:space="preserve">Subtotal for 907                   </t>
  </si>
  <si>
    <t>Pick fee - Inv 8505954</t>
  </si>
  <si>
    <t>Pick up fees Inv 8519781</t>
  </si>
  <si>
    <t>Pick up fee - Skid Steer - Inv 8563273</t>
  </si>
  <si>
    <t xml:space="preserve">Subtotal for 910                   </t>
  </si>
  <si>
    <t xml:space="preserve">Accommodation            </t>
  </si>
  <si>
    <t>2 Weeks Accommodation - 161 11th Ave Home Hill</t>
  </si>
  <si>
    <t>2 Weeks Accommodation 161 11th Ave Home Hill</t>
  </si>
  <si>
    <t>Accommodation - Electricity for Unit 1/6 Clayton St Ayr</t>
  </si>
  <si>
    <t>2 Weeks Accommodation - 161 11th Avenue Home hill</t>
  </si>
  <si>
    <t>Accommodation - 161 11th Ave Home Hill</t>
  </si>
  <si>
    <t>Accommodation 1/6 Clayton Street Ayr</t>
  </si>
  <si>
    <t xml:space="preserve">Subtotal for 911                   </t>
  </si>
  <si>
    <t>Inv 18463</t>
  </si>
  <si>
    <t xml:space="preserve">2.3 Gravel               </t>
  </si>
  <si>
    <t xml:space="preserve">Cartage of Material      </t>
  </si>
  <si>
    <t xml:space="preserve">Subtotal for QM2.3                 </t>
  </si>
  <si>
    <t xml:space="preserve">20mm Drainage Agg        </t>
  </si>
  <si>
    <t xml:space="preserve">40mm Drainage Agg        </t>
  </si>
  <si>
    <t>Inv 18463 - Cartage Fees</t>
  </si>
  <si>
    <t>Inv 18642 - Ballast 1-7/7/11</t>
  </si>
  <si>
    <t>Cartage - Inv 18642</t>
  </si>
  <si>
    <t xml:space="preserve">Subtotal for QMD40                 </t>
  </si>
  <si>
    <t xml:space="preserve">300m Rock                </t>
  </si>
  <si>
    <t xml:space="preserve">Subtotal for QMR                   </t>
  </si>
  <si>
    <t>Inv 18801</t>
  </si>
  <si>
    <t xml:space="preserve">Pipes - Various          </t>
  </si>
  <si>
    <t xml:space="preserve">Subtotal for SPF                   </t>
  </si>
  <si>
    <t>Grand Total</t>
  </si>
  <si>
    <t xml:space="preserve">Labour            </t>
  </si>
  <si>
    <t xml:space="preserve">Labour               </t>
  </si>
  <si>
    <t xml:space="preserve">Labour          </t>
  </si>
  <si>
    <t xml:space="preserve">Labour           </t>
  </si>
  <si>
    <t>2 weeks Accommodation</t>
  </si>
  <si>
    <t>BAC Rate</t>
  </si>
  <si>
    <t>Final Rate</t>
  </si>
  <si>
    <t>AQ</t>
  </si>
  <si>
    <t>AC</t>
  </si>
  <si>
    <t>PQ</t>
  </si>
  <si>
    <t>PV</t>
  </si>
  <si>
    <t>EV</t>
  </si>
  <si>
    <t>Survey - Construction</t>
  </si>
  <si>
    <t>hrs</t>
  </si>
  <si>
    <t>QA Testing</t>
  </si>
  <si>
    <t>Strip Topsoil to Stockpile</t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</si>
  <si>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</si>
  <si>
    <t>Cut to Fill</t>
  </si>
  <si>
    <t>Trim unpaved areas - footpaths, batters, drains etc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</si>
  <si>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</si>
  <si>
    <t>Place &amp; Compact Gravel</t>
  </si>
  <si>
    <t>InstallLeachate Pipes</t>
  </si>
  <si>
    <t>m</t>
  </si>
  <si>
    <t>Fencing Sub-contractors</t>
  </si>
  <si>
    <t>Supply &amp; Place Silt fences &amp; protective devices</t>
  </si>
  <si>
    <t>Supply &amp; Place A64 Protection Geotextile</t>
  </si>
  <si>
    <t>Supply &amp; Place A24 Separation Geotextile</t>
  </si>
  <si>
    <t xml:space="preserve">Dayworks
</t>
  </si>
  <si>
    <t>Construct Spillway</t>
  </si>
  <si>
    <t>Supply &amp; Install HDPE Liner</t>
  </si>
  <si>
    <t>Supply &amp; Place GCL Liner</t>
  </si>
  <si>
    <t>Place Drainage Gravel</t>
  </si>
  <si>
    <t>High Energy Compaction</t>
  </si>
  <si>
    <t>Project Management</t>
  </si>
  <si>
    <t>week</t>
  </si>
  <si>
    <t>Project Facilities</t>
  </si>
  <si>
    <t>Project Insurance, Fees &amp; Levies</t>
  </si>
  <si>
    <t>Site Establishment</t>
  </si>
  <si>
    <t>Site de-Establishment</t>
  </si>
  <si>
    <t>CBR 45</t>
  </si>
  <si>
    <t>40mm Drainage Aggregate</t>
  </si>
  <si>
    <t>Rock</t>
  </si>
  <si>
    <t>Supply HDPE Leachate Pipe</t>
  </si>
  <si>
    <t>days</t>
  </si>
  <si>
    <t>Portfolio WBS 011</t>
  </si>
  <si>
    <t>Portfolio WBS 013</t>
  </si>
  <si>
    <t>Portfolio WBS 031</t>
  </si>
  <si>
    <t>Portfolio WBS 051</t>
  </si>
  <si>
    <t>Portfolio WBS 0510</t>
  </si>
  <si>
    <t>Portfolio WBS 059</t>
  </si>
  <si>
    <t>Portfolio WBS 062</t>
  </si>
  <si>
    <t>Portfolio WBS 091</t>
  </si>
  <si>
    <t>Portfolio WBS 131</t>
  </si>
  <si>
    <t>Portfolio WBS 161</t>
  </si>
  <si>
    <t>Portfolio WBS 162</t>
  </si>
  <si>
    <t>Portfolio WBS 191</t>
  </si>
  <si>
    <t>Portfolio WBS 221</t>
  </si>
  <si>
    <t>Portfolio WBS 222</t>
  </si>
  <si>
    <t>Portfolio WBS 223</t>
  </si>
  <si>
    <t>Portfolio WBS 224</t>
  </si>
  <si>
    <t>Portfolio WBS 901</t>
  </si>
  <si>
    <t>Portfolio WBS 902</t>
  </si>
  <si>
    <t>Portfolio WBS 903</t>
  </si>
  <si>
    <t>Portfolio WBS 904</t>
  </si>
  <si>
    <t>Portfolio WBS 905</t>
  </si>
  <si>
    <t>Portfolio WBS 907</t>
  </si>
  <si>
    <t>Portfolio WBS 910</t>
  </si>
  <si>
    <t>Portfolio WBS 911</t>
  </si>
  <si>
    <t>Portfolio WBS QM2.3</t>
  </si>
  <si>
    <t>Portfolio WBS QMD40</t>
  </si>
  <si>
    <t>Portfolio WBS QMR</t>
  </si>
  <si>
    <t>Portfolio WBS SPF</t>
  </si>
  <si>
    <t>Start Date</t>
  </si>
  <si>
    <t>Qty Backfill = 120 m3</t>
  </si>
  <si>
    <t>Backfill qty = 120 m3</t>
  </si>
  <si>
    <t>Final Qty (AQ)</t>
  </si>
  <si>
    <t>Final Cost (AC)</t>
  </si>
  <si>
    <t>BAC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</si>
</sst>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0;[Red]\-#,##0.000"/>
    <numFmt numFmtId="165" formatCode="yyyy"/>
    <numFmt numFmtId="166" formatCode="ddd"/>
    <numFmt numFmtId="167" formatCode="0;\-0;&quot;-&quot;;@"/>
    <numFmt numFmtId="168" formatCode="#,##0.00_ ;[Red]\-#,##0.00\ "/>
    <numFmt numFmtId="169" formatCode="#,##0.00;\-#,##0.00;&quot;-&quot;;@"/>
    <numFmt numFmtId="170" formatCode="#,##0.0_ ;\-#,##0.0\ "/>
    <numFmt numFmtId="171" formatCode="#,##0.0000"/>
    <numFmt numFmtId="172" formatCode="#,##0.00_ ;\-#,##0.00\ "/>
    <numFmt numFmtId="173" formatCode="#,##0_ ;\-#,##0\ "/>
    <numFmt numFmtId="174" formatCode="[$-C09]dd\-mmm\-yy;@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vertAlign val="superscript"/>
      <sz val="8"/>
      <color theme="1"/>
      <name val="Calibri"/>
      <family val="2"/>
      <scheme val="minor"/>
    </font>
    <font>
      <vertAlign val="superscript"/>
      <sz val="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8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FBF5B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0C0C0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double">
        <color auto="1"/>
      </left>
      <right/>
      <top/>
      <bottom style="thin">
        <color indexed="8"/>
      </bottom>
      <diagonal/>
    </border>
    <border>
      <left/>
      <right style="double">
        <color auto="1"/>
      </right>
      <top/>
      <bottom style="thin">
        <color indexed="8"/>
      </bottom>
      <diagonal/>
    </border>
    <border>
      <left/>
      <right/>
      <top style="double">
        <color indexed="8"/>
      </top>
      <bottom style="thin">
        <color indexed="8"/>
      </bottom>
      <diagonal/>
    </border>
    <border>
      <left/>
      <right style="double">
        <color indexed="8"/>
      </right>
      <top style="double">
        <color indexed="8"/>
      </top>
      <bottom style="thin">
        <color indexed="8"/>
      </bottom>
      <diagonal/>
    </border>
  </borders>
  <cellStyleXfs count="4">
    <xf numFmtId="0" fontId="0" fillId="0" borderId="0"/>
    <xf numFmtId="4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281">
    <xf numFmtId="0" fontId="0" fillId="0" borderId="0" xfId="0"/>
    <xf numFmtId="4" fontId="2" fillId="0" borderId="0" xfId="0" applyNumberFormat="1" applyFont="1" applyAlignment="1">
      <alignment wrapText="1"/>
    </xf>
    <xf numFmtId="4" fontId="3" fillId="0" borderId="0" xfId="0" applyNumberFormat="1" applyFont="1" applyAlignment="1">
      <alignment vertical="top" wrapText="1"/>
    </xf>
    <xf numFmtId="4" fontId="3" fillId="0" borderId="0" xfId="0" applyNumberFormat="1" applyFont="1" applyAlignment="1">
      <alignment horizontal="center" vertical="top" wrapText="1"/>
    </xf>
    <xf numFmtId="4" fontId="3" fillId="0" borderId="0" xfId="0" applyNumberFormat="1" applyFont="1" applyAlignment="1">
      <alignment horizontal="right" vertical="top" wrapText="1"/>
    </xf>
    <xf numFmtId="4" fontId="2" fillId="0" borderId="0" xfId="0" applyNumberFormat="1" applyFont="1"/>
    <xf numFmtId="4" fontId="3" fillId="2" borderId="0" xfId="0" applyNumberFormat="1" applyFont="1" applyFill="1" applyAlignment="1">
      <alignment vertical="top" wrapText="1"/>
    </xf>
    <xf numFmtId="4" fontId="3" fillId="2" borderId="0" xfId="0" applyNumberFormat="1" applyFont="1" applyFill="1" applyAlignment="1">
      <alignment vertical="top"/>
    </xf>
    <xf numFmtId="4" fontId="3" fillId="2" borderId="0" xfId="0" applyNumberFormat="1" applyFont="1" applyFill="1" applyAlignment="1">
      <alignment horizontal="center" vertical="top"/>
    </xf>
    <xf numFmtId="4" fontId="2" fillId="0" borderId="0" xfId="0" applyNumberFormat="1" applyFont="1" applyAlignment="1">
      <alignment vertical="top"/>
    </xf>
    <xf numFmtId="4" fontId="2" fillId="0" borderId="0" xfId="0" applyNumberFormat="1" applyFont="1" applyAlignment="1">
      <alignment horizontal="center" vertical="top"/>
    </xf>
    <xf numFmtId="4" fontId="2" fillId="3" borderId="0" xfId="0" applyNumberFormat="1" applyFont="1" applyFill="1" applyAlignment="1">
      <alignment vertical="top"/>
    </xf>
    <xf numFmtId="4" fontId="2" fillId="3" borderId="0" xfId="0" applyNumberFormat="1" applyFont="1" applyFill="1" applyAlignment="1">
      <alignment horizontal="center" vertical="top"/>
    </xf>
    <xf numFmtId="4" fontId="2" fillId="0" borderId="0" xfId="0" applyNumberFormat="1" applyFont="1" applyAlignment="1">
      <alignment vertical="top" wrapText="1"/>
    </xf>
    <xf numFmtId="0" fontId="2" fillId="0" borderId="0" xfId="0" applyFont="1"/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right" vertical="top"/>
    </xf>
    <xf numFmtId="0" fontId="3" fillId="2" borderId="0" xfId="0" applyFont="1" applyFill="1" applyAlignment="1">
      <alignment vertical="top" wrapText="1"/>
    </xf>
    <xf numFmtId="0" fontId="3" fillId="2" borderId="0" xfId="0" applyFont="1" applyFill="1" applyAlignment="1">
      <alignment vertical="top"/>
    </xf>
    <xf numFmtId="164" fontId="3" fillId="2" borderId="0" xfId="0" applyNumberFormat="1" applyFont="1" applyFill="1" applyAlignment="1">
      <alignment vertical="top"/>
    </xf>
    <xf numFmtId="38" fontId="3" fillId="2" borderId="0" xfId="0" applyNumberFormat="1" applyFont="1" applyFill="1" applyAlignment="1">
      <alignment vertical="top"/>
    </xf>
    <xf numFmtId="0" fontId="2" fillId="0" borderId="0" xfId="0" applyFont="1" applyAlignment="1">
      <alignment vertical="top"/>
    </xf>
    <xf numFmtId="164" fontId="2" fillId="0" borderId="0" xfId="0" applyNumberFormat="1" applyFont="1" applyAlignment="1">
      <alignment vertical="top"/>
    </xf>
    <xf numFmtId="38" fontId="2" fillId="0" borderId="0" xfId="0" applyNumberFormat="1" applyFont="1" applyAlignment="1">
      <alignment vertical="top"/>
    </xf>
    <xf numFmtId="0" fontId="2" fillId="3" borderId="0" xfId="0" applyFont="1" applyFill="1" applyAlignment="1">
      <alignment vertical="top"/>
    </xf>
    <xf numFmtId="164" fontId="2" fillId="3" borderId="0" xfId="0" applyNumberFormat="1" applyFont="1" applyFill="1" applyAlignment="1">
      <alignment vertical="top"/>
    </xf>
    <xf numFmtId="0" fontId="2" fillId="0" borderId="0" xfId="0" applyFont="1" applyAlignment="1">
      <alignment vertical="top" wrapText="1"/>
    </xf>
    <xf numFmtId="3" fontId="3" fillId="0" borderId="0" xfId="0" applyNumberFormat="1" applyFont="1" applyAlignment="1">
      <alignment vertical="top" wrapText="1"/>
    </xf>
    <xf numFmtId="3" fontId="3" fillId="2" borderId="0" xfId="0" applyNumberFormat="1" applyFont="1" applyFill="1" applyAlignment="1">
      <alignment vertical="top" wrapText="1"/>
    </xf>
    <xf numFmtId="3" fontId="2" fillId="0" borderId="0" xfId="0" applyNumberFormat="1" applyFont="1" applyAlignment="1">
      <alignment vertical="top"/>
    </xf>
    <xf numFmtId="3" fontId="2" fillId="3" borderId="0" xfId="0" applyNumberFormat="1" applyFont="1" applyFill="1" applyAlignment="1">
      <alignment vertical="top"/>
    </xf>
    <xf numFmtId="3" fontId="3" fillId="0" borderId="0" xfId="0" applyNumberFormat="1" applyFont="1" applyAlignment="1">
      <alignment vertical="top"/>
    </xf>
    <xf numFmtId="3" fontId="2" fillId="0" borderId="0" xfId="0" applyNumberFormat="1" applyFont="1" applyAlignment="1">
      <alignment vertical="top" wrapText="1"/>
    </xf>
    <xf numFmtId="4" fontId="3" fillId="0" borderId="0" xfId="0" applyNumberFormat="1" applyFont="1" applyAlignment="1">
      <alignment vertical="top"/>
    </xf>
    <xf numFmtId="4" fontId="3" fillId="0" borderId="0" xfId="0" applyNumberFormat="1" applyFont="1" applyAlignment="1">
      <alignment horizontal="center" vertical="top"/>
    </xf>
    <xf numFmtId="4" fontId="3" fillId="0" borderId="0" xfId="0" applyNumberFormat="1" applyFont="1"/>
    <xf numFmtId="4" fontId="2" fillId="0" borderId="0" xfId="0" applyNumberFormat="1" applyFont="1" applyAlignment="1">
      <alignment horizontal="right" vertical="top"/>
    </xf>
    <xf numFmtId="4" fontId="2" fillId="3" borderId="0" xfId="0" applyNumberFormat="1" applyFont="1" applyFill="1" applyAlignment="1">
      <alignment horizontal="right" vertical="top"/>
    </xf>
    <xf numFmtId="4" fontId="3" fillId="0" borderId="0" xfId="0" applyNumberFormat="1" applyFont="1" applyAlignment="1">
      <alignment horizontal="right" vertical="top"/>
    </xf>
    <xf numFmtId="38" fontId="2" fillId="0" borderId="0" xfId="0" applyNumberFormat="1" applyFont="1" applyAlignment="1">
      <alignment horizontal="right" vertical="top"/>
    </xf>
    <xf numFmtId="0" fontId="3" fillId="0" borderId="0" xfId="0" applyFont="1" applyAlignment="1">
      <alignment horizontal="center" vertical="top"/>
    </xf>
    <xf numFmtId="0" fontId="3" fillId="2" borderId="0" xfId="0" applyFont="1" applyFill="1" applyAlignment="1">
      <alignment horizontal="center" vertical="top"/>
    </xf>
    <xf numFmtId="0" fontId="2" fillId="3" borderId="0" xfId="0" applyFont="1" applyFill="1" applyAlignment="1">
      <alignment horizontal="center" vertical="top"/>
    </xf>
    <xf numFmtId="0" fontId="2" fillId="0" borderId="0" xfId="0" applyFont="1" applyAlignment="1">
      <alignment horizontal="center" vertical="top"/>
    </xf>
    <xf numFmtId="4" fontId="3" fillId="5" borderId="0" xfId="0" applyNumberFormat="1" applyFont="1" applyFill="1" applyAlignment="1">
      <alignment vertical="top"/>
    </xf>
    <xf numFmtId="0" fontId="0" fillId="0" borderId="0" xfId="0" applyAlignment="1">
      <alignment horizontal="center"/>
    </xf>
    <xf numFmtId="14" fontId="0" fillId="0" borderId="0" xfId="0" applyNumberFormat="1"/>
    <xf numFmtId="0" fontId="1" fillId="0" borderId="0" xfId="0" applyFont="1"/>
    <xf numFmtId="0" fontId="0" fillId="0" borderId="1" xfId="0" applyBorder="1" applyAlignment="1">
      <alignment horizontal="center"/>
    </xf>
    <xf numFmtId="166" fontId="1" fillId="4" borderId="9" xfId="0" applyNumberFormat="1" applyFont="1" applyFill="1" applyBorder="1" applyAlignment="1">
      <alignment horizontal="center"/>
    </xf>
    <xf numFmtId="166" fontId="1" fillId="4" borderId="1" xfId="0" applyNumberFormat="1" applyFont="1" applyFill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6" fontId="1" fillId="4" borderId="10" xfId="0" applyNumberFormat="1" applyFont="1" applyFill="1" applyBorder="1" applyAlignment="1">
      <alignment horizontal="center"/>
    </xf>
    <xf numFmtId="166" fontId="1" fillId="0" borderId="0" xfId="0" applyNumberFormat="1" applyFont="1"/>
    <xf numFmtId="15" fontId="0" fillId="4" borderId="9" xfId="0" applyNumberFormat="1" applyFill="1" applyBorder="1" applyAlignment="1">
      <alignment horizontal="center"/>
    </xf>
    <xf numFmtId="15" fontId="0" fillId="4" borderId="1" xfId="0" applyNumberFormat="1" applyFill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15" fontId="0" fillId="4" borderId="10" xfId="0" applyNumberFormat="1" applyFill="1" applyBorder="1" applyAlignment="1">
      <alignment horizontal="center"/>
    </xf>
    <xf numFmtId="15" fontId="0" fillId="4" borderId="4" xfId="0" applyNumberFormat="1" applyFill="1" applyBorder="1" applyAlignment="1">
      <alignment horizontal="center"/>
    </xf>
    <xf numFmtId="15" fontId="0" fillId="4" borderId="3" xfId="0" applyNumberFormat="1" applyFill="1" applyBorder="1" applyAlignment="1">
      <alignment horizontal="center"/>
    </xf>
    <xf numFmtId="15" fontId="0" fillId="0" borderId="3" xfId="0" applyNumberFormat="1" applyBorder="1" applyAlignment="1">
      <alignment horizontal="center"/>
    </xf>
    <xf numFmtId="15" fontId="0" fillId="4" borderId="11" xfId="0" applyNumberFormat="1" applyFill="1" applyBorder="1" applyAlignment="1">
      <alignment horizontal="center"/>
    </xf>
    <xf numFmtId="0" fontId="6" fillId="0" borderId="0" xfId="0" applyFont="1"/>
    <xf numFmtId="15" fontId="0" fillId="4" borderId="12" xfId="0" applyNumberFormat="1" applyFill="1" applyBorder="1" applyAlignment="1">
      <alignment horizontal="center"/>
    </xf>
    <xf numFmtId="15" fontId="0" fillId="4" borderId="13" xfId="0" applyNumberFormat="1" applyFill="1" applyBorder="1" applyAlignment="1">
      <alignment horizontal="center"/>
    </xf>
    <xf numFmtId="15" fontId="0" fillId="0" borderId="13" xfId="0" applyNumberFormat="1" applyBorder="1" applyAlignment="1">
      <alignment horizontal="center"/>
    </xf>
    <xf numFmtId="15" fontId="0" fillId="4" borderId="14" xfId="0" applyNumberFormat="1" applyFill="1" applyBorder="1" applyAlignment="1">
      <alignment horizontal="center"/>
    </xf>
    <xf numFmtId="15" fontId="0" fillId="4" borderId="15" xfId="0" applyNumberFormat="1" applyFill="1" applyBorder="1" applyAlignment="1">
      <alignment horizontal="center"/>
    </xf>
    <xf numFmtId="15" fontId="7" fillId="4" borderId="16" xfId="0" applyNumberFormat="1" applyFont="1" applyFill="1" applyBorder="1" applyAlignment="1">
      <alignment horizontal="center"/>
    </xf>
    <xf numFmtId="15" fontId="0" fillId="0" borderId="16" xfId="0" applyNumberFormat="1" applyBorder="1" applyAlignment="1">
      <alignment horizontal="center"/>
    </xf>
    <xf numFmtId="15" fontId="0" fillId="4" borderId="16" xfId="0" applyNumberFormat="1" applyFill="1" applyBorder="1" applyAlignment="1">
      <alignment horizontal="center"/>
    </xf>
    <xf numFmtId="0" fontId="0" fillId="0" borderId="16" xfId="0" applyBorder="1" applyAlignment="1">
      <alignment horizontal="center"/>
    </xf>
    <xf numFmtId="15" fontId="7" fillId="4" borderId="17" xfId="0" applyNumberFormat="1" applyFont="1" applyFill="1" applyBorder="1" applyAlignment="1">
      <alignment horizontal="center"/>
    </xf>
    <xf numFmtId="15" fontId="0" fillId="0" borderId="0" xfId="0" applyNumberFormat="1" applyAlignment="1">
      <alignment horizontal="center"/>
    </xf>
    <xf numFmtId="0" fontId="2" fillId="0" borderId="0" xfId="0" applyFont="1" applyAlignment="1">
      <alignment wrapText="1"/>
    </xf>
    <xf numFmtId="2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4" fontId="2" fillId="0" borderId="0" xfId="0" applyNumberFormat="1" applyFont="1" applyAlignment="1">
      <alignment horizontal="center" wrapText="1"/>
    </xf>
    <xf numFmtId="4" fontId="8" fillId="0" borderId="0" xfId="0" applyNumberFormat="1" applyFont="1" applyAlignment="1">
      <alignment horizontal="right" wrapText="1"/>
    </xf>
    <xf numFmtId="9" fontId="2" fillId="0" borderId="0" xfId="0" applyNumberFormat="1" applyFont="1" applyAlignment="1">
      <alignment horizontal="center" wrapText="1"/>
    </xf>
    <xf numFmtId="0" fontId="3" fillId="0" borderId="0" xfId="0" applyFont="1"/>
    <xf numFmtId="0" fontId="10" fillId="0" borderId="0" xfId="0" applyFont="1" applyAlignment="1">
      <alignment vertical="top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horizontal="center" vertical="top" wrapText="1"/>
    </xf>
    <xf numFmtId="3" fontId="2" fillId="0" borderId="0" xfId="0" applyNumberFormat="1" applyFont="1" applyAlignment="1">
      <alignment wrapText="1"/>
    </xf>
    <xf numFmtId="4" fontId="2" fillId="0" borderId="0" xfId="0" applyNumberFormat="1" applyFont="1" applyAlignment="1">
      <alignment horizontal="center" vertical="top" wrapText="1"/>
    </xf>
    <xf numFmtId="4" fontId="2" fillId="0" borderId="0" xfId="0" applyNumberFormat="1" applyFont="1" applyAlignment="1">
      <alignment horizontal="right" vertical="top" wrapText="1"/>
    </xf>
    <xf numFmtId="44" fontId="10" fillId="0" borderId="0" xfId="1" applyFont="1" applyAlignment="1">
      <alignment vertical="top"/>
    </xf>
    <xf numFmtId="44" fontId="10" fillId="0" borderId="0" xfId="1" applyFont="1" applyFill="1" applyAlignment="1">
      <alignment vertical="top"/>
    </xf>
    <xf numFmtId="1" fontId="0" fillId="0" borderId="0" xfId="0" applyNumberFormat="1" applyAlignment="1">
      <alignment horizontal="center"/>
    </xf>
    <xf numFmtId="1" fontId="2" fillId="0" borderId="0" xfId="0" applyNumberFormat="1" applyFont="1" applyAlignment="1">
      <alignment horizontal="center" vertical="top"/>
    </xf>
    <xf numFmtId="1" fontId="3" fillId="0" borderId="0" xfId="0" applyNumberFormat="1" applyFont="1" applyAlignment="1">
      <alignment horizontal="center" vertical="top" wrapText="1"/>
    </xf>
    <xf numFmtId="1" fontId="3" fillId="2" borderId="0" xfId="0" applyNumberFormat="1" applyFont="1" applyFill="1" applyAlignment="1">
      <alignment horizontal="center" vertical="top"/>
    </xf>
    <xf numFmtId="1" fontId="2" fillId="3" borderId="0" xfId="0" applyNumberFormat="1" applyFont="1" applyFill="1" applyAlignment="1">
      <alignment horizontal="center" vertical="top"/>
    </xf>
    <xf numFmtId="1" fontId="3" fillId="0" borderId="0" xfId="0" applyNumberFormat="1" applyFont="1" applyAlignment="1">
      <alignment horizontal="center" vertical="top"/>
    </xf>
    <xf numFmtId="1" fontId="2" fillId="0" borderId="0" xfId="0" applyNumberFormat="1" applyFont="1" applyAlignment="1">
      <alignment horizontal="center" vertical="top" wrapText="1"/>
    </xf>
    <xf numFmtId="0" fontId="10" fillId="6" borderId="1" xfId="0" applyFont="1" applyFill="1" applyBorder="1" applyAlignment="1">
      <alignment vertical="top"/>
    </xf>
    <xf numFmtId="0" fontId="10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horizontal="center" vertical="top" wrapText="1"/>
    </xf>
    <xf numFmtId="44" fontId="10" fillId="6" borderId="10" xfId="1" applyFont="1" applyFill="1" applyBorder="1" applyAlignment="1">
      <alignment vertical="top"/>
    </xf>
    <xf numFmtId="0" fontId="10" fillId="8" borderId="1" xfId="0" applyFont="1" applyFill="1" applyBorder="1" applyAlignment="1">
      <alignment vertical="top"/>
    </xf>
    <xf numFmtId="0" fontId="10" fillId="8" borderId="1" xfId="0" applyFont="1" applyFill="1" applyBorder="1" applyAlignment="1">
      <alignment vertical="top" wrapText="1"/>
    </xf>
    <xf numFmtId="0" fontId="10" fillId="8" borderId="1" xfId="0" applyFont="1" applyFill="1" applyBorder="1" applyAlignment="1">
      <alignment horizontal="center" vertical="top" wrapText="1"/>
    </xf>
    <xf numFmtId="44" fontId="10" fillId="8" borderId="10" xfId="1" applyFont="1" applyFill="1" applyBorder="1" applyAlignment="1">
      <alignment vertical="top"/>
    </xf>
    <xf numFmtId="0" fontId="10" fillId="9" borderId="1" xfId="0" applyFont="1" applyFill="1" applyBorder="1" applyAlignment="1">
      <alignment vertical="top"/>
    </xf>
    <xf numFmtId="0" fontId="10" fillId="9" borderId="1" xfId="0" applyFont="1" applyFill="1" applyBorder="1" applyAlignment="1">
      <alignment vertical="top" wrapText="1"/>
    </xf>
    <xf numFmtId="0" fontId="10" fillId="9" borderId="1" xfId="0" applyFont="1" applyFill="1" applyBorder="1" applyAlignment="1">
      <alignment horizontal="center" vertical="top" wrapText="1"/>
    </xf>
    <xf numFmtId="44" fontId="10" fillId="9" borderId="10" xfId="1" applyFont="1" applyFill="1" applyBorder="1" applyAlignment="1">
      <alignment vertical="top"/>
    </xf>
    <xf numFmtId="0" fontId="10" fillId="10" borderId="1" xfId="0" applyFont="1" applyFill="1" applyBorder="1" applyAlignment="1">
      <alignment vertical="top"/>
    </xf>
    <xf numFmtId="0" fontId="10" fillId="10" borderId="1" xfId="0" applyFont="1" applyFill="1" applyBorder="1" applyAlignment="1">
      <alignment vertical="top" wrapText="1"/>
    </xf>
    <xf numFmtId="0" fontId="10" fillId="10" borderId="1" xfId="0" applyFont="1" applyFill="1" applyBorder="1" applyAlignment="1">
      <alignment horizontal="center" vertical="top" wrapText="1"/>
    </xf>
    <xf numFmtId="44" fontId="10" fillId="10" borderId="10" xfId="1" applyFont="1" applyFill="1" applyBorder="1" applyAlignment="1">
      <alignment vertical="top"/>
    </xf>
    <xf numFmtId="0" fontId="10" fillId="10" borderId="16" xfId="0" applyFont="1" applyFill="1" applyBorder="1" applyAlignment="1">
      <alignment vertical="top"/>
    </xf>
    <xf numFmtId="0" fontId="10" fillId="10" borderId="16" xfId="0" applyFont="1" applyFill="1" applyBorder="1" applyAlignment="1">
      <alignment vertical="top" wrapText="1"/>
    </xf>
    <xf numFmtId="0" fontId="10" fillId="10" borderId="16" xfId="0" applyFont="1" applyFill="1" applyBorder="1" applyAlignment="1">
      <alignment horizontal="center" vertical="top" wrapText="1"/>
    </xf>
    <xf numFmtId="44" fontId="10" fillId="10" borderId="17" xfId="1" applyFont="1" applyFill="1" applyBorder="1" applyAlignment="1">
      <alignment vertical="top"/>
    </xf>
    <xf numFmtId="0" fontId="2" fillId="0" borderId="19" xfId="0" applyFont="1" applyBorder="1"/>
    <xf numFmtId="0" fontId="9" fillId="0" borderId="20" xfId="0" applyFont="1" applyBorder="1" applyAlignment="1">
      <alignment vertical="top"/>
    </xf>
    <xf numFmtId="0" fontId="9" fillId="0" borderId="20" xfId="0" applyFont="1" applyBorder="1" applyAlignment="1">
      <alignment vertical="top" wrapText="1"/>
    </xf>
    <xf numFmtId="0" fontId="9" fillId="0" borderId="20" xfId="0" applyFont="1" applyBorder="1" applyAlignment="1">
      <alignment horizontal="center" vertical="top" wrapText="1"/>
    </xf>
    <xf numFmtId="44" fontId="9" fillId="0" borderId="21" xfId="1" applyFont="1" applyBorder="1" applyAlignment="1">
      <alignment horizontal="right" vertical="top"/>
    </xf>
    <xf numFmtId="0" fontId="10" fillId="6" borderId="7" xfId="0" applyFont="1" applyFill="1" applyBorder="1" applyAlignment="1">
      <alignment vertical="top"/>
    </xf>
    <xf numFmtId="0" fontId="10" fillId="6" borderId="7" xfId="0" applyFont="1" applyFill="1" applyBorder="1" applyAlignment="1">
      <alignment vertical="top" wrapText="1"/>
    </xf>
    <xf numFmtId="0" fontId="10" fillId="6" borderId="7" xfId="0" applyFont="1" applyFill="1" applyBorder="1" applyAlignment="1">
      <alignment horizontal="center" vertical="top" wrapText="1"/>
    </xf>
    <xf numFmtId="44" fontId="10" fillId="6" borderId="8" xfId="1" applyFont="1" applyFill="1" applyBorder="1" applyAlignment="1">
      <alignment vertical="top"/>
    </xf>
    <xf numFmtId="0" fontId="10" fillId="6" borderId="16" xfId="0" applyFont="1" applyFill="1" applyBorder="1" applyAlignment="1">
      <alignment vertical="top"/>
    </xf>
    <xf numFmtId="0" fontId="10" fillId="6" borderId="16" xfId="0" applyFont="1" applyFill="1" applyBorder="1" applyAlignment="1">
      <alignment vertical="top" wrapText="1"/>
    </xf>
    <xf numFmtId="0" fontId="10" fillId="6" borderId="16" xfId="0" applyFont="1" applyFill="1" applyBorder="1" applyAlignment="1">
      <alignment horizontal="center" vertical="top" wrapText="1"/>
    </xf>
    <xf numFmtId="44" fontId="10" fillId="6" borderId="17" xfId="1" applyFont="1" applyFill="1" applyBorder="1" applyAlignment="1">
      <alignment vertical="top"/>
    </xf>
    <xf numFmtId="0" fontId="10" fillId="8" borderId="7" xfId="0" applyFont="1" applyFill="1" applyBorder="1" applyAlignment="1">
      <alignment vertical="top"/>
    </xf>
    <xf numFmtId="0" fontId="10" fillId="8" borderId="7" xfId="0" applyFont="1" applyFill="1" applyBorder="1" applyAlignment="1">
      <alignment vertical="top" wrapText="1"/>
    </xf>
    <xf numFmtId="0" fontId="10" fillId="8" borderId="7" xfId="0" applyFont="1" applyFill="1" applyBorder="1" applyAlignment="1">
      <alignment horizontal="center" vertical="top" wrapText="1"/>
    </xf>
    <xf numFmtId="44" fontId="10" fillId="8" borderId="8" xfId="1" applyFont="1" applyFill="1" applyBorder="1" applyAlignment="1">
      <alignment vertical="top"/>
    </xf>
    <xf numFmtId="0" fontId="10" fillId="8" borderId="16" xfId="0" applyFont="1" applyFill="1" applyBorder="1" applyAlignment="1">
      <alignment vertical="top"/>
    </xf>
    <xf numFmtId="0" fontId="10" fillId="8" borderId="16" xfId="0" applyFont="1" applyFill="1" applyBorder="1" applyAlignment="1">
      <alignment vertical="top" wrapText="1"/>
    </xf>
    <xf numFmtId="0" fontId="10" fillId="8" borderId="16" xfId="0" applyFont="1" applyFill="1" applyBorder="1" applyAlignment="1">
      <alignment horizontal="center" vertical="top" wrapText="1"/>
    </xf>
    <xf numFmtId="44" fontId="10" fillId="8" borderId="17" xfId="1" applyFont="1" applyFill="1" applyBorder="1" applyAlignment="1">
      <alignment vertical="top"/>
    </xf>
    <xf numFmtId="0" fontId="10" fillId="9" borderId="7" xfId="0" applyFont="1" applyFill="1" applyBorder="1" applyAlignment="1">
      <alignment vertical="top"/>
    </xf>
    <xf numFmtId="0" fontId="10" fillId="9" borderId="7" xfId="0" applyFont="1" applyFill="1" applyBorder="1" applyAlignment="1">
      <alignment vertical="top" wrapText="1"/>
    </xf>
    <xf numFmtId="0" fontId="10" fillId="9" borderId="7" xfId="0" applyFont="1" applyFill="1" applyBorder="1" applyAlignment="1">
      <alignment horizontal="center" vertical="top" wrapText="1"/>
    </xf>
    <xf numFmtId="44" fontId="10" fillId="9" borderId="8" xfId="1" applyFont="1" applyFill="1" applyBorder="1" applyAlignment="1">
      <alignment vertical="top"/>
    </xf>
    <xf numFmtId="0" fontId="10" fillId="9" borderId="16" xfId="0" applyFont="1" applyFill="1" applyBorder="1" applyAlignment="1">
      <alignment vertical="top"/>
    </xf>
    <xf numFmtId="0" fontId="10" fillId="9" borderId="16" xfId="0" applyFont="1" applyFill="1" applyBorder="1" applyAlignment="1">
      <alignment vertical="top" wrapText="1"/>
    </xf>
    <xf numFmtId="0" fontId="10" fillId="9" borderId="16" xfId="0" applyFont="1" applyFill="1" applyBorder="1" applyAlignment="1">
      <alignment horizontal="center" vertical="top" wrapText="1"/>
    </xf>
    <xf numFmtId="44" fontId="10" fillId="9" borderId="17" xfId="1" applyFont="1" applyFill="1" applyBorder="1" applyAlignment="1">
      <alignment vertical="top"/>
    </xf>
    <xf numFmtId="0" fontId="10" fillId="10" borderId="7" xfId="0" applyFont="1" applyFill="1" applyBorder="1" applyAlignment="1">
      <alignment vertical="top"/>
    </xf>
    <xf numFmtId="0" fontId="10" fillId="10" borderId="7" xfId="0" applyFont="1" applyFill="1" applyBorder="1" applyAlignment="1">
      <alignment vertical="top" wrapText="1"/>
    </xf>
    <xf numFmtId="0" fontId="10" fillId="10" borderId="7" xfId="0" applyFont="1" applyFill="1" applyBorder="1" applyAlignment="1">
      <alignment horizontal="center" vertical="top" wrapText="1"/>
    </xf>
    <xf numFmtId="44" fontId="10" fillId="10" borderId="8" xfId="1" applyFont="1" applyFill="1" applyBorder="1" applyAlignment="1">
      <alignment vertical="top"/>
    </xf>
    <xf numFmtId="0" fontId="3" fillId="0" borderId="0" xfId="0" applyFont="1" applyAlignment="1">
      <alignment wrapText="1"/>
    </xf>
    <xf numFmtId="4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2" fontId="3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4" fontId="8" fillId="0" borderId="1" xfId="0" applyNumberFormat="1" applyFont="1" applyBorder="1" applyAlignment="1">
      <alignment horizontal="right" wrapText="1"/>
    </xf>
    <xf numFmtId="4" fontId="3" fillId="0" borderId="1" xfId="0" applyNumberFormat="1" applyFont="1" applyBorder="1" applyAlignment="1">
      <alignment horizontal="center" wrapText="1"/>
    </xf>
    <xf numFmtId="9" fontId="3" fillId="0" borderId="1" xfId="0" applyNumberFormat="1" applyFont="1" applyBorder="1" applyAlignment="1">
      <alignment horizontal="center" wrapText="1"/>
    </xf>
    <xf numFmtId="2" fontId="2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13" fillId="0" borderId="1" xfId="0" applyFont="1" applyBorder="1" applyAlignment="1">
      <alignment horizontal="right" wrapText="1"/>
    </xf>
    <xf numFmtId="9" fontId="2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 indent="1"/>
    </xf>
    <xf numFmtId="4" fontId="2" fillId="0" borderId="1" xfId="0" applyNumberFormat="1" applyFont="1" applyBorder="1" applyAlignment="1">
      <alignment horizontal="center" wrapText="1"/>
    </xf>
    <xf numFmtId="2" fontId="2" fillId="0" borderId="0" xfId="0" applyNumberFormat="1" applyFont="1" applyAlignment="1">
      <alignment horizontal="center" vertical="top"/>
    </xf>
    <xf numFmtId="2" fontId="3" fillId="0" borderId="0" xfId="0" applyNumberFormat="1" applyFont="1" applyAlignment="1">
      <alignment horizontal="center" vertical="top" wrapText="1"/>
    </xf>
    <xf numFmtId="2" fontId="3" fillId="2" borderId="0" xfId="0" applyNumberFormat="1" applyFont="1" applyFill="1" applyAlignment="1">
      <alignment horizontal="center" vertical="top" wrapText="1"/>
    </xf>
    <xf numFmtId="2" fontId="2" fillId="3" borderId="0" xfId="0" applyNumberFormat="1" applyFont="1" applyFill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2" fontId="2" fillId="0" borderId="0" xfId="0" applyNumberFormat="1" applyFont="1" applyAlignment="1">
      <alignment horizontal="center" vertical="top" wrapText="1"/>
    </xf>
    <xf numFmtId="0" fontId="14" fillId="0" borderId="0" xfId="0" applyFont="1" applyAlignment="1">
      <alignment horizontal="left"/>
    </xf>
    <xf numFmtId="0" fontId="14" fillId="6" borderId="18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2" fontId="2" fillId="0" borderId="0" xfId="0" applyNumberFormat="1" applyFont="1"/>
    <xf numFmtId="0" fontId="2" fillId="0" borderId="0" xfId="0" applyFont="1" applyAlignment="1">
      <alignment horizontal="center"/>
    </xf>
    <xf numFmtId="43" fontId="2" fillId="0" borderId="0" xfId="2" applyFont="1"/>
    <xf numFmtId="44" fontId="2" fillId="0" borderId="0" xfId="1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43" fontId="3" fillId="0" borderId="1" xfId="2" applyFont="1" applyBorder="1" applyAlignment="1">
      <alignment horizontal="right"/>
    </xf>
    <xf numFmtId="2" fontId="3" fillId="0" borderId="1" xfId="0" applyNumberFormat="1" applyFont="1" applyBorder="1" applyAlignment="1">
      <alignment horizontal="right"/>
    </xf>
    <xf numFmtId="17" fontId="3" fillId="0" borderId="1" xfId="0" applyNumberFormat="1" applyFont="1" applyBorder="1" applyAlignment="1">
      <alignment horizontal="center"/>
    </xf>
    <xf numFmtId="44" fontId="3" fillId="0" borderId="1" xfId="1" applyFont="1" applyBorder="1" applyAlignment="1">
      <alignment horizontal="center"/>
    </xf>
    <xf numFmtId="0" fontId="3" fillId="12" borderId="1" xfId="0" applyFont="1" applyFill="1" applyBorder="1"/>
    <xf numFmtId="0" fontId="3" fillId="12" borderId="1" xfId="0" applyFont="1" applyFill="1" applyBorder="1" applyAlignment="1">
      <alignment wrapText="1"/>
    </xf>
    <xf numFmtId="43" fontId="3" fillId="12" borderId="1" xfId="2" applyFont="1" applyFill="1" applyBorder="1"/>
    <xf numFmtId="2" fontId="3" fillId="12" borderId="1" xfId="0" applyNumberFormat="1" applyFont="1" applyFill="1" applyBorder="1"/>
    <xf numFmtId="164" fontId="3" fillId="12" borderId="1" xfId="0" applyNumberFormat="1" applyFont="1" applyFill="1" applyBorder="1"/>
    <xf numFmtId="44" fontId="3" fillId="12" borderId="1" xfId="1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43" fontId="2" fillId="0" borderId="1" xfId="2" applyFont="1" applyBorder="1"/>
    <xf numFmtId="2" fontId="2" fillId="0" borderId="1" xfId="0" applyNumberFormat="1" applyFont="1" applyBorder="1"/>
    <xf numFmtId="164" fontId="2" fillId="0" borderId="1" xfId="0" applyNumberFormat="1" applyFont="1" applyBorder="1"/>
    <xf numFmtId="44" fontId="2" fillId="0" borderId="1" xfId="1" applyFont="1" applyBorder="1"/>
    <xf numFmtId="10" fontId="2" fillId="0" borderId="1" xfId="0" applyNumberFormat="1" applyFont="1" applyBorder="1"/>
    <xf numFmtId="0" fontId="15" fillId="0" borderId="1" xfId="0" applyFont="1" applyBorder="1"/>
    <xf numFmtId="0" fontId="15" fillId="0" borderId="1" xfId="0" applyFont="1" applyBorder="1" applyAlignment="1">
      <alignment wrapText="1"/>
    </xf>
    <xf numFmtId="2" fontId="15" fillId="0" borderId="1" xfId="0" applyNumberFormat="1" applyFont="1" applyBorder="1"/>
    <xf numFmtId="43" fontId="15" fillId="0" borderId="1" xfId="2" applyFont="1" applyBorder="1"/>
    <xf numFmtId="164" fontId="15" fillId="0" borderId="1" xfId="0" applyNumberFormat="1" applyFont="1" applyBorder="1"/>
    <xf numFmtId="40" fontId="3" fillId="12" borderId="1" xfId="0" applyNumberFormat="1" applyFont="1" applyFill="1" applyBorder="1"/>
    <xf numFmtId="43" fontId="3" fillId="0" borderId="1" xfId="2" applyFont="1" applyBorder="1"/>
    <xf numFmtId="2" fontId="3" fillId="0" borderId="1" xfId="0" applyNumberFormat="1" applyFont="1" applyBorder="1"/>
    <xf numFmtId="164" fontId="3" fillId="0" borderId="1" xfId="0" applyNumberFormat="1" applyFont="1" applyBorder="1"/>
    <xf numFmtId="44" fontId="3" fillId="0" borderId="1" xfId="1" applyFont="1" applyBorder="1"/>
    <xf numFmtId="44" fontId="2" fillId="0" borderId="0" xfId="0" applyNumberFormat="1" applyFont="1"/>
    <xf numFmtId="10" fontId="0" fillId="0" borderId="1" xfId="3" applyNumberFormat="1" applyFont="1" applyBorder="1"/>
    <xf numFmtId="44" fontId="1" fillId="11" borderId="1" xfId="1" applyFont="1" applyFill="1" applyBorder="1" applyAlignment="1">
      <alignment horizontal="center" wrapText="1"/>
    </xf>
    <xf numFmtId="44" fontId="0" fillId="0" borderId="1" xfId="1" applyFont="1" applyBorder="1"/>
    <xf numFmtId="44" fontId="0" fillId="0" borderId="0" xfId="1" applyFont="1"/>
    <xf numFmtId="0" fontId="0" fillId="0" borderId="0" xfId="0" applyAlignment="1">
      <alignment wrapText="1"/>
    </xf>
    <xf numFmtId="0" fontId="1" fillId="11" borderId="1" xfId="0" applyFont="1" applyFill="1" applyBorder="1" applyAlignment="1">
      <alignment horizontal="center" vertical="top" wrapText="1"/>
    </xf>
    <xf numFmtId="4" fontId="0" fillId="0" borderId="1" xfId="0" applyNumberFormat="1" applyBorder="1" applyAlignment="1">
      <alignment vertical="top"/>
    </xf>
    <xf numFmtId="0" fontId="0" fillId="7" borderId="1" xfId="0" applyFill="1" applyBorder="1" applyAlignment="1">
      <alignment horizontal="right" vertical="top" wrapText="1"/>
    </xf>
    <xf numFmtId="0" fontId="12" fillId="7" borderId="1" xfId="0" applyFont="1" applyFill="1" applyBorder="1" applyAlignment="1">
      <alignment horizontal="right" vertical="top" wrapText="1"/>
    </xf>
    <xf numFmtId="4" fontId="0" fillId="0" borderId="0" xfId="0" applyNumberFormat="1" applyAlignment="1">
      <alignment vertical="top"/>
    </xf>
    <xf numFmtId="0" fontId="0" fillId="0" borderId="0" xfId="0" applyAlignment="1">
      <alignment horizontal="right" vertical="top"/>
    </xf>
    <xf numFmtId="1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vertical="top" wrapText="1"/>
    </xf>
    <xf numFmtId="1" fontId="0" fillId="0" borderId="0" xfId="0" applyNumberFormat="1" applyAlignment="1">
      <alignment horizontal="center"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164" fontId="1" fillId="0" borderId="0" xfId="0" applyNumberFormat="1" applyFont="1"/>
    <xf numFmtId="40" fontId="1" fillId="0" borderId="0" xfId="0" applyNumberFormat="1" applyFont="1"/>
    <xf numFmtId="164" fontId="0" fillId="0" borderId="0" xfId="0" applyNumberFormat="1"/>
    <xf numFmtId="40" fontId="0" fillId="0" borderId="0" xfId="0" applyNumberFormat="1"/>
    <xf numFmtId="0" fontId="1" fillId="0" borderId="24" xfId="0" applyFont="1" applyBorder="1" applyAlignment="1">
      <alignment wrapText="1"/>
    </xf>
    <xf numFmtId="0" fontId="1" fillId="0" borderId="24" xfId="0" applyFont="1" applyBorder="1"/>
    <xf numFmtId="164" fontId="1" fillId="0" borderId="24" xfId="0" applyNumberFormat="1" applyFont="1" applyBorder="1"/>
    <xf numFmtId="40" fontId="1" fillId="0" borderId="24" xfId="0" applyNumberFormat="1" applyFont="1" applyBorder="1"/>
    <xf numFmtId="0" fontId="1" fillId="0" borderId="23" xfId="0" applyFont="1" applyBorder="1" applyAlignment="1">
      <alignment wrapText="1"/>
    </xf>
    <xf numFmtId="0" fontId="1" fillId="0" borderId="23" xfId="0" applyFont="1" applyBorder="1"/>
    <xf numFmtId="164" fontId="1" fillId="0" borderId="23" xfId="0" applyNumberFormat="1" applyFont="1" applyBorder="1"/>
    <xf numFmtId="40" fontId="1" fillId="0" borderId="23" xfId="0" applyNumberFormat="1" applyFont="1" applyBorder="1"/>
    <xf numFmtId="0" fontId="1" fillId="0" borderId="2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38" fontId="0" fillId="0" borderId="0" xfId="0" applyNumberFormat="1"/>
    <xf numFmtId="168" fontId="0" fillId="0" borderId="0" xfId="0" applyNumberFormat="1"/>
    <xf numFmtId="0" fontId="1" fillId="0" borderId="24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167" fontId="0" fillId="0" borderId="0" xfId="0" applyNumberFormat="1" applyAlignment="1">
      <alignment vertical="top" wrapText="1"/>
    </xf>
    <xf numFmtId="0" fontId="0" fillId="0" borderId="0" xfId="0" applyAlignment="1">
      <alignment horizontal="center" vertical="top"/>
    </xf>
    <xf numFmtId="169" fontId="0" fillId="0" borderId="29" xfId="0" applyNumberFormat="1" applyBorder="1"/>
    <xf numFmtId="169" fontId="0" fillId="0" borderId="30" xfId="0" applyNumberFormat="1" applyBorder="1"/>
    <xf numFmtId="169" fontId="0" fillId="0" borderId="31" xfId="0" applyNumberFormat="1" applyBorder="1"/>
    <xf numFmtId="169" fontId="0" fillId="0" borderId="27" xfId="0" applyNumberFormat="1" applyBorder="1"/>
    <xf numFmtId="169" fontId="0" fillId="0" borderId="0" xfId="0" applyNumberFormat="1"/>
    <xf numFmtId="169" fontId="0" fillId="0" borderId="28" xfId="0" applyNumberFormat="1" applyBorder="1"/>
    <xf numFmtId="169" fontId="0" fillId="0" borderId="32" xfId="0" applyNumberFormat="1" applyBorder="1"/>
    <xf numFmtId="169" fontId="0" fillId="0" borderId="22" xfId="0" applyNumberFormat="1" applyBorder="1"/>
    <xf numFmtId="169" fontId="0" fillId="0" borderId="33" xfId="0" applyNumberFormat="1" applyBorder="1"/>
    <xf numFmtId="170" fontId="0" fillId="0" borderId="0" xfId="0" applyNumberFormat="1"/>
    <xf numFmtId="14" fontId="1" fillId="0" borderId="0" xfId="0" applyNumberFormat="1" applyFont="1"/>
    <xf numFmtId="14" fontId="1" fillId="0" borderId="24" xfId="0" applyNumberFormat="1" applyFont="1" applyBorder="1"/>
    <xf numFmtId="14" fontId="1" fillId="0" borderId="23" xfId="0" applyNumberFormat="1" applyFont="1" applyBorder="1"/>
    <xf numFmtId="0" fontId="17" fillId="0" borderId="0" xfId="0" applyFont="1"/>
    <xf numFmtId="15" fontId="17" fillId="0" borderId="0" xfId="0" applyNumberFormat="1" applyFont="1" applyAlignment="1">
      <alignment horizontal="center"/>
    </xf>
    <xf numFmtId="171" fontId="2" fillId="0" borderId="0" xfId="0" applyNumberFormat="1" applyFont="1" applyAlignment="1">
      <alignment wrapText="1"/>
    </xf>
    <xf numFmtId="171" fontId="0" fillId="0" borderId="0" xfId="0" applyNumberFormat="1"/>
    <xf numFmtId="0" fontId="2" fillId="0" borderId="0" xfId="0" applyFont="1" applyAlignment="1">
      <alignment horizontal="right" wrapText="1"/>
    </xf>
    <xf numFmtId="3" fontId="3" fillId="0" borderId="0" xfId="0" applyNumberFormat="1" applyFont="1" applyAlignment="1">
      <alignment horizontal="center"/>
    </xf>
    <xf numFmtId="167" fontId="1" fillId="0" borderId="34" xfId="0" applyNumberFormat="1" applyFont="1" applyBorder="1" applyAlignment="1">
      <alignment horizontal="center"/>
    </xf>
    <xf numFmtId="167" fontId="1" fillId="0" borderId="34" xfId="0" applyNumberFormat="1" applyFont="1" applyBorder="1" applyAlignment="1">
      <alignment horizontal="center" wrapText="1"/>
    </xf>
    <xf numFmtId="172" fontId="1" fillId="0" borderId="34" xfId="0" applyNumberFormat="1" applyFont="1" applyBorder="1" applyAlignment="1">
      <alignment horizontal="center"/>
    </xf>
    <xf numFmtId="173" fontId="1" fillId="0" borderId="34" xfId="0" applyNumberFormat="1" applyFont="1" applyBorder="1" applyAlignment="1">
      <alignment horizontal="center"/>
    </xf>
    <xf numFmtId="172" fontId="1" fillId="0" borderId="35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 vertical="center" textRotation="90"/>
    </xf>
    <xf numFmtId="0" fontId="3" fillId="0" borderId="9" xfId="0" applyFont="1" applyBorder="1" applyAlignment="1">
      <alignment horizontal="center" vertical="center" textRotation="90"/>
    </xf>
    <xf numFmtId="0" fontId="3" fillId="0" borderId="15" xfId="0" applyFont="1" applyBorder="1" applyAlignment="1">
      <alignment horizontal="center" vertical="center" textRotation="90"/>
    </xf>
    <xf numFmtId="15" fontId="1" fillId="0" borderId="5" xfId="0" applyNumberFormat="1" applyFont="1" applyBorder="1" applyAlignment="1">
      <alignment horizontal="center"/>
    </xf>
    <xf numFmtId="165" fontId="1" fillId="4" borderId="6" xfId="0" applyNumberFormat="1" applyFont="1" applyFill="1" applyBorder="1" applyAlignment="1">
      <alignment horizontal="center"/>
    </xf>
    <xf numFmtId="165" fontId="1" fillId="4" borderId="7" xfId="0" applyNumberFormat="1" applyFont="1" applyFill="1" applyBorder="1" applyAlignment="1">
      <alignment horizontal="center"/>
    </xf>
    <xf numFmtId="165" fontId="1" fillId="0" borderId="7" xfId="0" applyNumberFormat="1" applyFont="1" applyBorder="1" applyAlignment="1">
      <alignment horizontal="center"/>
    </xf>
    <xf numFmtId="165" fontId="1" fillId="4" borderId="8" xfId="0" applyNumberFormat="1" applyFont="1" applyFill="1" applyBorder="1" applyAlignment="1">
      <alignment horizontal="center"/>
    </xf>
    <xf numFmtId="174" fontId="1" fillId="0" borderId="0" xfId="0" applyNumberFormat="1" applyFont="1"/>
    <xf numFmtId="0" fontId="1" fillId="0" borderId="0" xfId="0" applyFont="1" applyAlignment="1">
      <alignment horizontal="right"/>
    </xf>
  </cellXfs>
  <cellStyles count="4">
    <cellStyle name="Comma" xfId="2" builtinId="3"/>
    <cellStyle name="Currency" xfId="1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CCFF99"/>
      <color rgb="FFCCFFFF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sw-my.sharepoint.com/Users/Brett%20Thiele/Desktop/UNSW/Study/UNSW%20(ADFA)/Project%20Data/P018%20-%20Whitsunday%20Coast%20Car%20Park/P018%20-WORKSHHET%20(V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Estimate"/>
      <sheetName val="Program"/>
      <sheetName val="Simulation (Cost)"/>
      <sheetName val="Sheet1"/>
      <sheetName val="Non-Work Calender"/>
      <sheetName val="Sheet2"/>
    </sheetNames>
    <sheetDataSet>
      <sheetData sheetId="0"/>
      <sheetData sheetId="1">
        <row r="1">
          <cell r="B1"/>
        </row>
      </sheetData>
      <sheetData sheetId="2"/>
      <sheetData sheetId="3"/>
      <sheetData sheetId="4"/>
      <sheetData sheetId="5">
        <row r="4">
          <cell r="B4">
            <v>40544</v>
          </cell>
          <cell r="C4">
            <v>40545</v>
          </cell>
          <cell r="D4"/>
          <cell r="E4">
            <v>40909</v>
          </cell>
          <cell r="F4">
            <v>41279</v>
          </cell>
          <cell r="G4">
            <v>41280</v>
          </cell>
          <cell r="H4">
            <v>41643</v>
          </cell>
          <cell r="I4">
            <v>41644</v>
          </cell>
          <cell r="J4">
            <v>42007</v>
          </cell>
          <cell r="K4">
            <v>42008</v>
          </cell>
        </row>
        <row r="5">
          <cell r="B5">
            <v>40551</v>
          </cell>
          <cell r="C5">
            <v>40552</v>
          </cell>
          <cell r="D5">
            <v>40915</v>
          </cell>
          <cell r="E5">
            <v>40916</v>
          </cell>
          <cell r="F5">
            <v>41286</v>
          </cell>
          <cell r="G5">
            <v>41287</v>
          </cell>
          <cell r="H5">
            <v>41650</v>
          </cell>
          <cell r="I5">
            <v>41651</v>
          </cell>
          <cell r="J5">
            <v>42014</v>
          </cell>
          <cell r="K5">
            <v>42015</v>
          </cell>
        </row>
        <row r="6">
          <cell r="B6">
            <v>40558</v>
          </cell>
          <cell r="C6">
            <v>40559</v>
          </cell>
          <cell r="D6">
            <v>40922</v>
          </cell>
          <cell r="E6">
            <v>40923</v>
          </cell>
          <cell r="F6">
            <v>41293</v>
          </cell>
          <cell r="G6">
            <v>41294</v>
          </cell>
          <cell r="H6">
            <v>41657</v>
          </cell>
          <cell r="I6">
            <v>41658</v>
          </cell>
          <cell r="J6">
            <v>42021</v>
          </cell>
          <cell r="K6">
            <v>42022</v>
          </cell>
        </row>
        <row r="7">
          <cell r="B7">
            <v>40565</v>
          </cell>
          <cell r="C7">
            <v>40566</v>
          </cell>
          <cell r="D7">
            <v>40929</v>
          </cell>
          <cell r="E7">
            <v>40930</v>
          </cell>
          <cell r="F7">
            <v>41300</v>
          </cell>
          <cell r="G7">
            <v>41301</v>
          </cell>
          <cell r="H7">
            <v>41664</v>
          </cell>
          <cell r="I7">
            <v>41665</v>
          </cell>
          <cell r="J7">
            <v>42028</v>
          </cell>
          <cell r="K7">
            <v>42029</v>
          </cell>
        </row>
        <row r="8">
          <cell r="B8">
            <v>40572</v>
          </cell>
          <cell r="C8">
            <v>40573</v>
          </cell>
          <cell r="D8">
            <v>40936</v>
          </cell>
          <cell r="E8">
            <v>40937</v>
          </cell>
          <cell r="F8">
            <v>41307</v>
          </cell>
          <cell r="G8">
            <v>41308</v>
          </cell>
          <cell r="H8">
            <v>41671</v>
          </cell>
          <cell r="I8">
            <v>41672</v>
          </cell>
          <cell r="J8">
            <v>42035</v>
          </cell>
          <cell r="K8">
            <v>42036</v>
          </cell>
        </row>
        <row r="9">
          <cell r="B9">
            <v>40579</v>
          </cell>
          <cell r="C9">
            <v>40580</v>
          </cell>
          <cell r="D9">
            <v>40943</v>
          </cell>
          <cell r="E9">
            <v>40944</v>
          </cell>
          <cell r="F9">
            <v>41314</v>
          </cell>
          <cell r="G9">
            <v>41315</v>
          </cell>
          <cell r="H9">
            <v>41678</v>
          </cell>
          <cell r="I9">
            <v>41679</v>
          </cell>
          <cell r="J9">
            <v>42042</v>
          </cell>
          <cell r="K9">
            <v>42043</v>
          </cell>
        </row>
        <row r="10">
          <cell r="B10">
            <v>40586</v>
          </cell>
          <cell r="C10">
            <v>40587</v>
          </cell>
          <cell r="D10">
            <v>40950</v>
          </cell>
          <cell r="E10">
            <v>40951</v>
          </cell>
          <cell r="F10">
            <v>41321</v>
          </cell>
          <cell r="G10">
            <v>41322</v>
          </cell>
          <cell r="H10">
            <v>41685</v>
          </cell>
          <cell r="I10">
            <v>41686</v>
          </cell>
          <cell r="J10">
            <v>42049</v>
          </cell>
          <cell r="K10">
            <v>42050</v>
          </cell>
        </row>
        <row r="11">
          <cell r="B11">
            <v>40593</v>
          </cell>
          <cell r="C11">
            <v>40594</v>
          </cell>
          <cell r="D11">
            <v>40957</v>
          </cell>
          <cell r="E11">
            <v>40958</v>
          </cell>
          <cell r="F11">
            <v>41328</v>
          </cell>
          <cell r="G11">
            <v>41329</v>
          </cell>
          <cell r="H11">
            <v>41692</v>
          </cell>
          <cell r="I11">
            <v>41693</v>
          </cell>
          <cell r="J11">
            <v>42056</v>
          </cell>
          <cell r="K11">
            <v>42057</v>
          </cell>
        </row>
        <row r="12">
          <cell r="B12">
            <v>40600</v>
          </cell>
          <cell r="C12">
            <v>40601</v>
          </cell>
          <cell r="D12">
            <v>40964</v>
          </cell>
          <cell r="E12">
            <v>40965</v>
          </cell>
          <cell r="F12">
            <v>41335</v>
          </cell>
          <cell r="G12">
            <v>41336</v>
          </cell>
          <cell r="H12">
            <v>41699</v>
          </cell>
          <cell r="I12">
            <v>41700</v>
          </cell>
          <cell r="J12">
            <v>42063</v>
          </cell>
          <cell r="K12">
            <v>42064</v>
          </cell>
        </row>
        <row r="13">
          <cell r="B13">
            <v>40607</v>
          </cell>
          <cell r="C13">
            <v>40608</v>
          </cell>
          <cell r="D13">
            <v>40971</v>
          </cell>
          <cell r="E13">
            <v>40972</v>
          </cell>
          <cell r="F13">
            <v>41342</v>
          </cell>
          <cell r="G13">
            <v>41343</v>
          </cell>
          <cell r="H13">
            <v>41706</v>
          </cell>
          <cell r="I13">
            <v>41707</v>
          </cell>
          <cell r="J13">
            <v>42070</v>
          </cell>
          <cell r="K13">
            <v>42071</v>
          </cell>
        </row>
        <row r="14">
          <cell r="B14">
            <v>40614</v>
          </cell>
          <cell r="C14">
            <v>40615</v>
          </cell>
          <cell r="D14">
            <v>40978</v>
          </cell>
          <cell r="E14">
            <v>40979</v>
          </cell>
          <cell r="F14">
            <v>41349</v>
          </cell>
          <cell r="G14">
            <v>41350</v>
          </cell>
          <cell r="H14">
            <v>41713</v>
          </cell>
          <cell r="I14">
            <v>41714</v>
          </cell>
          <cell r="J14">
            <v>42077</v>
          </cell>
          <cell r="K14">
            <v>42078</v>
          </cell>
        </row>
        <row r="15">
          <cell r="B15">
            <v>40621</v>
          </cell>
          <cell r="C15">
            <v>40622</v>
          </cell>
          <cell r="D15">
            <v>40985</v>
          </cell>
          <cell r="E15">
            <v>40986</v>
          </cell>
          <cell r="F15">
            <v>41356</v>
          </cell>
          <cell r="G15">
            <v>41357</v>
          </cell>
          <cell r="H15">
            <v>41720</v>
          </cell>
          <cell r="I15">
            <v>41721</v>
          </cell>
          <cell r="J15">
            <v>42084</v>
          </cell>
          <cell r="K15">
            <v>42085</v>
          </cell>
        </row>
        <row r="16">
          <cell r="B16">
            <v>40628</v>
          </cell>
          <cell r="C16">
            <v>40629</v>
          </cell>
          <cell r="D16">
            <v>40992</v>
          </cell>
          <cell r="E16">
            <v>40993</v>
          </cell>
          <cell r="F16">
            <v>41363</v>
          </cell>
          <cell r="G16">
            <v>41364</v>
          </cell>
          <cell r="H16">
            <v>41727</v>
          </cell>
          <cell r="I16">
            <v>41728</v>
          </cell>
          <cell r="J16">
            <v>42091</v>
          </cell>
          <cell r="K16">
            <v>42092</v>
          </cell>
        </row>
        <row r="17">
          <cell r="B17">
            <v>40635</v>
          </cell>
          <cell r="C17">
            <v>40636</v>
          </cell>
          <cell r="D17">
            <v>40999</v>
          </cell>
          <cell r="E17">
            <v>41000</v>
          </cell>
          <cell r="F17">
            <v>41370</v>
          </cell>
          <cell r="G17">
            <v>41371</v>
          </cell>
          <cell r="H17">
            <v>41734</v>
          </cell>
          <cell r="I17">
            <v>41735</v>
          </cell>
          <cell r="J17">
            <v>42098</v>
          </cell>
          <cell r="K17">
            <v>42099</v>
          </cell>
        </row>
        <row r="18">
          <cell r="B18">
            <v>40642</v>
          </cell>
          <cell r="C18">
            <v>40643</v>
          </cell>
          <cell r="D18">
            <v>41006</v>
          </cell>
          <cell r="E18">
            <v>41007</v>
          </cell>
          <cell r="F18">
            <v>41377</v>
          </cell>
          <cell r="G18">
            <v>41378</v>
          </cell>
          <cell r="H18">
            <v>41741</v>
          </cell>
          <cell r="I18">
            <v>41742</v>
          </cell>
          <cell r="J18">
            <v>42105</v>
          </cell>
          <cell r="K18">
            <v>42106</v>
          </cell>
        </row>
        <row r="19">
          <cell r="B19">
            <v>40649</v>
          </cell>
          <cell r="C19">
            <v>40650</v>
          </cell>
          <cell r="D19">
            <v>41013</v>
          </cell>
          <cell r="E19">
            <v>41014</v>
          </cell>
          <cell r="F19">
            <v>41384</v>
          </cell>
          <cell r="G19">
            <v>41385</v>
          </cell>
          <cell r="H19">
            <v>41748</v>
          </cell>
          <cell r="I19">
            <v>41749</v>
          </cell>
          <cell r="J19">
            <v>42112</v>
          </cell>
          <cell r="K19">
            <v>42113</v>
          </cell>
        </row>
        <row r="20">
          <cell r="B20">
            <v>40656</v>
          </cell>
          <cell r="C20">
            <v>40657</v>
          </cell>
          <cell r="D20">
            <v>41020</v>
          </cell>
          <cell r="E20">
            <v>41021</v>
          </cell>
          <cell r="F20">
            <v>41391</v>
          </cell>
          <cell r="G20">
            <v>41392</v>
          </cell>
          <cell r="H20">
            <v>41755</v>
          </cell>
          <cell r="I20">
            <v>41756</v>
          </cell>
          <cell r="J20">
            <v>42119</v>
          </cell>
          <cell r="K20">
            <v>42120</v>
          </cell>
        </row>
        <row r="21">
          <cell r="B21">
            <v>40663</v>
          </cell>
          <cell r="C21">
            <v>40664</v>
          </cell>
          <cell r="D21">
            <v>41027</v>
          </cell>
          <cell r="E21">
            <v>41028</v>
          </cell>
          <cell r="F21">
            <v>41398</v>
          </cell>
          <cell r="G21">
            <v>41399</v>
          </cell>
          <cell r="H21">
            <v>41762</v>
          </cell>
          <cell r="I21">
            <v>41763</v>
          </cell>
          <cell r="J21">
            <v>42126</v>
          </cell>
          <cell r="K21">
            <v>42127</v>
          </cell>
        </row>
        <row r="22">
          <cell r="B22">
            <v>40670</v>
          </cell>
          <cell r="C22">
            <v>40671</v>
          </cell>
          <cell r="D22">
            <v>41034</v>
          </cell>
          <cell r="E22">
            <v>41035</v>
          </cell>
          <cell r="F22">
            <v>41405</v>
          </cell>
          <cell r="G22">
            <v>41406</v>
          </cell>
          <cell r="H22">
            <v>41769</v>
          </cell>
          <cell r="I22">
            <v>41770</v>
          </cell>
          <cell r="J22">
            <v>42133</v>
          </cell>
          <cell r="K22">
            <v>42134</v>
          </cell>
        </row>
        <row r="23">
          <cell r="B23">
            <v>40677</v>
          </cell>
          <cell r="C23">
            <v>40678</v>
          </cell>
          <cell r="D23">
            <v>41041</v>
          </cell>
          <cell r="E23">
            <v>41042</v>
          </cell>
          <cell r="F23">
            <v>41412</v>
          </cell>
          <cell r="G23">
            <v>41413</v>
          </cell>
          <cell r="H23">
            <v>41776</v>
          </cell>
          <cell r="I23">
            <v>41777</v>
          </cell>
          <cell r="J23">
            <v>42140</v>
          </cell>
          <cell r="K23">
            <v>42141</v>
          </cell>
        </row>
        <row r="24">
          <cell r="B24">
            <v>40684</v>
          </cell>
          <cell r="C24">
            <v>40685</v>
          </cell>
          <cell r="D24">
            <v>41048</v>
          </cell>
          <cell r="E24">
            <v>41049</v>
          </cell>
          <cell r="F24">
            <v>41419</v>
          </cell>
          <cell r="G24">
            <v>41420</v>
          </cell>
          <cell r="H24">
            <v>41783</v>
          </cell>
          <cell r="I24">
            <v>41784</v>
          </cell>
          <cell r="J24">
            <v>42147</v>
          </cell>
          <cell r="K24">
            <v>42148</v>
          </cell>
        </row>
        <row r="25">
          <cell r="B25">
            <v>40691</v>
          </cell>
          <cell r="C25">
            <v>40692</v>
          </cell>
          <cell r="D25">
            <v>41055</v>
          </cell>
          <cell r="E25">
            <v>41056</v>
          </cell>
          <cell r="F25">
            <v>41426</v>
          </cell>
          <cell r="G25">
            <v>41427</v>
          </cell>
          <cell r="H25">
            <v>41790</v>
          </cell>
          <cell r="I25">
            <v>41791</v>
          </cell>
          <cell r="J25">
            <v>42154</v>
          </cell>
          <cell r="K25">
            <v>42155</v>
          </cell>
        </row>
        <row r="26">
          <cell r="B26">
            <v>40698</v>
          </cell>
          <cell r="C26">
            <v>40699</v>
          </cell>
          <cell r="D26">
            <v>41062</v>
          </cell>
          <cell r="E26">
            <v>41063</v>
          </cell>
          <cell r="F26">
            <v>41433</v>
          </cell>
          <cell r="G26">
            <v>41434</v>
          </cell>
          <cell r="H26">
            <v>41797</v>
          </cell>
          <cell r="I26">
            <v>41798</v>
          </cell>
          <cell r="J26">
            <v>42161</v>
          </cell>
          <cell r="K26">
            <v>42162</v>
          </cell>
        </row>
        <row r="27">
          <cell r="B27">
            <v>40705</v>
          </cell>
          <cell r="C27">
            <v>40706</v>
          </cell>
          <cell r="D27">
            <v>41069</v>
          </cell>
          <cell r="E27">
            <v>41070</v>
          </cell>
          <cell r="F27">
            <v>41440</v>
          </cell>
          <cell r="G27">
            <v>41441</v>
          </cell>
          <cell r="H27">
            <v>41804</v>
          </cell>
          <cell r="I27">
            <v>41805</v>
          </cell>
          <cell r="J27">
            <v>42168</v>
          </cell>
          <cell r="K27">
            <v>42169</v>
          </cell>
        </row>
        <row r="28">
          <cell r="B28">
            <v>40712</v>
          </cell>
          <cell r="C28">
            <v>40713</v>
          </cell>
          <cell r="D28">
            <v>41076</v>
          </cell>
          <cell r="E28">
            <v>41077</v>
          </cell>
          <cell r="F28">
            <v>41447</v>
          </cell>
          <cell r="G28">
            <v>41448</v>
          </cell>
          <cell r="H28">
            <v>41811</v>
          </cell>
          <cell r="I28">
            <v>41812</v>
          </cell>
          <cell r="J28">
            <v>42175</v>
          </cell>
          <cell r="K28">
            <v>42176</v>
          </cell>
        </row>
        <row r="29">
          <cell r="B29">
            <v>40719</v>
          </cell>
          <cell r="C29">
            <v>40720</v>
          </cell>
          <cell r="D29">
            <v>41083</v>
          </cell>
          <cell r="E29">
            <v>41084</v>
          </cell>
          <cell r="F29">
            <v>41454</v>
          </cell>
          <cell r="G29">
            <v>41455</v>
          </cell>
          <cell r="H29">
            <v>41818</v>
          </cell>
          <cell r="I29">
            <v>41819</v>
          </cell>
          <cell r="J29">
            <v>42182</v>
          </cell>
          <cell r="K29">
            <v>42183</v>
          </cell>
        </row>
        <row r="30">
          <cell r="B30">
            <v>40726</v>
          </cell>
          <cell r="C30">
            <v>40727</v>
          </cell>
          <cell r="D30">
            <v>41090</v>
          </cell>
          <cell r="E30">
            <v>41091</v>
          </cell>
          <cell r="F30">
            <v>41461</v>
          </cell>
          <cell r="G30">
            <v>41462</v>
          </cell>
          <cell r="H30">
            <v>41825</v>
          </cell>
          <cell r="I30">
            <v>41826</v>
          </cell>
          <cell r="J30">
            <v>42189</v>
          </cell>
          <cell r="K30">
            <v>42190</v>
          </cell>
        </row>
        <row r="31">
          <cell r="B31">
            <v>40733</v>
          </cell>
          <cell r="C31">
            <v>40734</v>
          </cell>
          <cell r="D31">
            <v>41097</v>
          </cell>
          <cell r="E31">
            <v>41098</v>
          </cell>
          <cell r="F31">
            <v>41468</v>
          </cell>
          <cell r="G31">
            <v>41469</v>
          </cell>
          <cell r="H31">
            <v>41832</v>
          </cell>
          <cell r="I31">
            <v>41833</v>
          </cell>
          <cell r="J31">
            <v>42196</v>
          </cell>
          <cell r="K31">
            <v>42197</v>
          </cell>
        </row>
        <row r="32">
          <cell r="B32">
            <v>40740</v>
          </cell>
          <cell r="C32">
            <v>40741</v>
          </cell>
          <cell r="D32">
            <v>41104</v>
          </cell>
          <cell r="E32">
            <v>41105</v>
          </cell>
          <cell r="F32">
            <v>41475</v>
          </cell>
          <cell r="G32">
            <v>41476</v>
          </cell>
          <cell r="H32">
            <v>41839</v>
          </cell>
          <cell r="I32">
            <v>41840</v>
          </cell>
          <cell r="J32">
            <v>42203</v>
          </cell>
          <cell r="K32">
            <v>42204</v>
          </cell>
        </row>
        <row r="33">
          <cell r="B33">
            <v>40747</v>
          </cell>
          <cell r="C33">
            <v>40748</v>
          </cell>
          <cell r="D33">
            <v>41111</v>
          </cell>
          <cell r="E33">
            <v>41112</v>
          </cell>
          <cell r="F33">
            <v>41482</v>
          </cell>
          <cell r="G33">
            <v>41483</v>
          </cell>
          <cell r="H33">
            <v>41846</v>
          </cell>
          <cell r="I33">
            <v>41847</v>
          </cell>
          <cell r="J33">
            <v>42210</v>
          </cell>
          <cell r="K33">
            <v>42211</v>
          </cell>
        </row>
        <row r="34">
          <cell r="B34">
            <v>40754</v>
          </cell>
          <cell r="C34">
            <v>40755</v>
          </cell>
          <cell r="D34">
            <v>41118</v>
          </cell>
          <cell r="E34">
            <v>41119</v>
          </cell>
          <cell r="F34">
            <v>41489</v>
          </cell>
          <cell r="G34">
            <v>41490</v>
          </cell>
          <cell r="H34">
            <v>41853</v>
          </cell>
          <cell r="I34">
            <v>41854</v>
          </cell>
          <cell r="J34">
            <v>42217</v>
          </cell>
          <cell r="K34">
            <v>42218</v>
          </cell>
        </row>
        <row r="35">
          <cell r="B35">
            <v>40761</v>
          </cell>
          <cell r="C35">
            <v>40762</v>
          </cell>
          <cell r="D35">
            <v>41125</v>
          </cell>
          <cell r="E35">
            <v>41126</v>
          </cell>
          <cell r="F35">
            <v>41496</v>
          </cell>
          <cell r="G35">
            <v>41497</v>
          </cell>
          <cell r="H35">
            <v>41860</v>
          </cell>
          <cell r="I35">
            <v>41861</v>
          </cell>
          <cell r="J35">
            <v>42224</v>
          </cell>
          <cell r="K35">
            <v>42225</v>
          </cell>
        </row>
        <row r="36">
          <cell r="B36">
            <v>40768</v>
          </cell>
          <cell r="C36">
            <v>40769</v>
          </cell>
          <cell r="D36">
            <v>41132</v>
          </cell>
          <cell r="E36">
            <v>41133</v>
          </cell>
          <cell r="F36">
            <v>41503</v>
          </cell>
          <cell r="G36">
            <v>41504</v>
          </cell>
          <cell r="H36">
            <v>41867</v>
          </cell>
          <cell r="I36">
            <v>41868</v>
          </cell>
          <cell r="J36">
            <v>42231</v>
          </cell>
          <cell r="K36">
            <v>42232</v>
          </cell>
        </row>
        <row r="37">
          <cell r="B37">
            <v>40775</v>
          </cell>
          <cell r="C37">
            <v>40776</v>
          </cell>
          <cell r="D37">
            <v>41139</v>
          </cell>
          <cell r="E37">
            <v>41140</v>
          </cell>
          <cell r="F37">
            <v>41510</v>
          </cell>
          <cell r="G37">
            <v>41511</v>
          </cell>
          <cell r="H37">
            <v>41874</v>
          </cell>
          <cell r="I37">
            <v>41875</v>
          </cell>
          <cell r="J37">
            <v>42238</v>
          </cell>
          <cell r="K37">
            <v>42239</v>
          </cell>
        </row>
        <row r="38">
          <cell r="B38">
            <v>40782</v>
          </cell>
          <cell r="C38">
            <v>40783</v>
          </cell>
          <cell r="D38">
            <v>41146</v>
          </cell>
          <cell r="E38">
            <v>41147</v>
          </cell>
          <cell r="F38">
            <v>41517</v>
          </cell>
          <cell r="G38">
            <v>41518</v>
          </cell>
          <cell r="H38">
            <v>41881</v>
          </cell>
          <cell r="I38">
            <v>41882</v>
          </cell>
          <cell r="J38">
            <v>42245</v>
          </cell>
          <cell r="K38">
            <v>42246</v>
          </cell>
        </row>
        <row r="39">
          <cell r="B39">
            <v>40789</v>
          </cell>
          <cell r="C39">
            <v>40790</v>
          </cell>
          <cell r="D39">
            <v>41153</v>
          </cell>
          <cell r="E39">
            <v>41154</v>
          </cell>
          <cell r="F39">
            <v>41524</v>
          </cell>
          <cell r="G39">
            <v>41525</v>
          </cell>
          <cell r="H39">
            <v>41888</v>
          </cell>
          <cell r="I39">
            <v>41889</v>
          </cell>
          <cell r="J39">
            <v>42252</v>
          </cell>
          <cell r="K39">
            <v>42253</v>
          </cell>
        </row>
        <row r="40">
          <cell r="B40">
            <v>40796</v>
          </cell>
          <cell r="C40">
            <v>40797</v>
          </cell>
          <cell r="D40">
            <v>41160</v>
          </cell>
          <cell r="E40">
            <v>41161</v>
          </cell>
          <cell r="F40">
            <v>41531</v>
          </cell>
          <cell r="G40">
            <v>41532</v>
          </cell>
          <cell r="H40">
            <v>41895</v>
          </cell>
          <cell r="I40">
            <v>41896</v>
          </cell>
          <cell r="J40">
            <v>42259</v>
          </cell>
          <cell r="K40">
            <v>42260</v>
          </cell>
        </row>
        <row r="41">
          <cell r="B41">
            <v>40803</v>
          </cell>
          <cell r="C41">
            <v>40804</v>
          </cell>
          <cell r="D41">
            <v>41167</v>
          </cell>
          <cell r="E41">
            <v>41168</v>
          </cell>
          <cell r="F41">
            <v>41538</v>
          </cell>
          <cell r="G41">
            <v>41539</v>
          </cell>
          <cell r="H41">
            <v>41902</v>
          </cell>
          <cell r="I41">
            <v>41903</v>
          </cell>
          <cell r="J41">
            <v>42266</v>
          </cell>
          <cell r="K41">
            <v>42267</v>
          </cell>
        </row>
        <row r="42">
          <cell r="B42">
            <v>40810</v>
          </cell>
          <cell r="C42">
            <v>40811</v>
          </cell>
          <cell r="D42">
            <v>41174</v>
          </cell>
          <cell r="E42">
            <v>41175</v>
          </cell>
          <cell r="F42">
            <v>41545</v>
          </cell>
          <cell r="G42">
            <v>41546</v>
          </cell>
          <cell r="H42">
            <v>41909</v>
          </cell>
          <cell r="I42">
            <v>41910</v>
          </cell>
          <cell r="J42">
            <v>42273</v>
          </cell>
          <cell r="K42">
            <v>42274</v>
          </cell>
        </row>
        <row r="43">
          <cell r="B43">
            <v>40817</v>
          </cell>
          <cell r="C43">
            <v>40818</v>
          </cell>
          <cell r="D43">
            <v>41181</v>
          </cell>
          <cell r="E43">
            <v>41182</v>
          </cell>
          <cell r="F43">
            <v>41552</v>
          </cell>
          <cell r="G43">
            <v>41553</v>
          </cell>
          <cell r="H43">
            <v>41916</v>
          </cell>
          <cell r="I43">
            <v>41917</v>
          </cell>
          <cell r="J43">
            <v>42280</v>
          </cell>
          <cell r="K43">
            <v>42281</v>
          </cell>
        </row>
        <row r="44">
          <cell r="B44">
            <v>40824</v>
          </cell>
          <cell r="C44">
            <v>40825</v>
          </cell>
          <cell r="D44">
            <v>41188</v>
          </cell>
          <cell r="E44">
            <v>41189</v>
          </cell>
          <cell r="F44">
            <v>41559</v>
          </cell>
          <cell r="G44">
            <v>41560</v>
          </cell>
          <cell r="H44">
            <v>41923</v>
          </cell>
          <cell r="I44">
            <v>41924</v>
          </cell>
          <cell r="J44">
            <v>42287</v>
          </cell>
          <cell r="K44">
            <v>42288</v>
          </cell>
        </row>
        <row r="45">
          <cell r="B45">
            <v>40831</v>
          </cell>
          <cell r="C45">
            <v>40832</v>
          </cell>
          <cell r="D45">
            <v>41195</v>
          </cell>
          <cell r="E45">
            <v>41196</v>
          </cell>
          <cell r="F45">
            <v>41566</v>
          </cell>
          <cell r="G45">
            <v>41567</v>
          </cell>
          <cell r="H45">
            <v>41930</v>
          </cell>
          <cell r="I45">
            <v>41931</v>
          </cell>
          <cell r="J45">
            <v>42294</v>
          </cell>
          <cell r="K45">
            <v>42295</v>
          </cell>
        </row>
        <row r="46">
          <cell r="B46">
            <v>40838</v>
          </cell>
          <cell r="C46">
            <v>40839</v>
          </cell>
          <cell r="D46">
            <v>41202</v>
          </cell>
          <cell r="E46">
            <v>41203</v>
          </cell>
          <cell r="F46">
            <v>41573</v>
          </cell>
          <cell r="G46">
            <v>41574</v>
          </cell>
          <cell r="H46">
            <v>41937</v>
          </cell>
          <cell r="I46">
            <v>41938</v>
          </cell>
          <cell r="J46">
            <v>42301</v>
          </cell>
          <cell r="K46">
            <v>42302</v>
          </cell>
        </row>
        <row r="47">
          <cell r="B47">
            <v>40845</v>
          </cell>
          <cell r="C47">
            <v>40846</v>
          </cell>
          <cell r="D47">
            <v>41209</v>
          </cell>
          <cell r="E47">
            <v>41210</v>
          </cell>
          <cell r="F47">
            <v>41580</v>
          </cell>
          <cell r="G47">
            <v>41581</v>
          </cell>
          <cell r="H47">
            <v>41944</v>
          </cell>
          <cell r="I47">
            <v>41945</v>
          </cell>
          <cell r="J47">
            <v>42308</v>
          </cell>
          <cell r="K47">
            <v>42309</v>
          </cell>
        </row>
        <row r="48">
          <cell r="B48">
            <v>40852</v>
          </cell>
          <cell r="C48">
            <v>40853</v>
          </cell>
          <cell r="D48">
            <v>41216</v>
          </cell>
          <cell r="E48">
            <v>41217</v>
          </cell>
          <cell r="F48">
            <v>41587</v>
          </cell>
          <cell r="G48">
            <v>41588</v>
          </cell>
          <cell r="H48">
            <v>41951</v>
          </cell>
          <cell r="I48">
            <v>41952</v>
          </cell>
          <cell r="J48">
            <v>42315</v>
          </cell>
          <cell r="K48">
            <v>42316</v>
          </cell>
        </row>
        <row r="49">
          <cell r="B49">
            <v>40859</v>
          </cell>
          <cell r="C49">
            <v>40860</v>
          </cell>
          <cell r="D49">
            <v>41223</v>
          </cell>
          <cell r="E49">
            <v>41224</v>
          </cell>
          <cell r="F49">
            <v>41594</v>
          </cell>
          <cell r="G49">
            <v>41595</v>
          </cell>
          <cell r="H49">
            <v>41958</v>
          </cell>
          <cell r="I49">
            <v>41959</v>
          </cell>
          <cell r="J49">
            <v>42322</v>
          </cell>
          <cell r="K49">
            <v>42323</v>
          </cell>
        </row>
        <row r="50">
          <cell r="B50">
            <v>40866</v>
          </cell>
          <cell r="C50">
            <v>40867</v>
          </cell>
          <cell r="D50">
            <v>41230</v>
          </cell>
          <cell r="E50">
            <v>41231</v>
          </cell>
          <cell r="F50">
            <v>41601</v>
          </cell>
          <cell r="G50">
            <v>41602</v>
          </cell>
          <cell r="H50">
            <v>41965</v>
          </cell>
          <cell r="I50">
            <v>41966</v>
          </cell>
          <cell r="J50">
            <v>42329</v>
          </cell>
          <cell r="K50">
            <v>42330</v>
          </cell>
        </row>
        <row r="51">
          <cell r="B51">
            <v>40873</v>
          </cell>
          <cell r="C51">
            <v>40874</v>
          </cell>
          <cell r="D51">
            <v>41237</v>
          </cell>
          <cell r="E51">
            <v>41238</v>
          </cell>
          <cell r="F51">
            <v>41608</v>
          </cell>
          <cell r="G51">
            <v>41609</v>
          </cell>
          <cell r="H51">
            <v>41972</v>
          </cell>
          <cell r="I51">
            <v>41973</v>
          </cell>
          <cell r="J51">
            <v>42336</v>
          </cell>
          <cell r="K51">
            <v>42337</v>
          </cell>
        </row>
        <row r="52">
          <cell r="B52">
            <v>40880</v>
          </cell>
          <cell r="C52">
            <v>40881</v>
          </cell>
          <cell r="D52">
            <v>41244</v>
          </cell>
          <cell r="E52">
            <v>41245</v>
          </cell>
          <cell r="F52">
            <v>41615</v>
          </cell>
          <cell r="G52">
            <v>41616</v>
          </cell>
          <cell r="H52">
            <v>41979</v>
          </cell>
          <cell r="I52">
            <v>41980</v>
          </cell>
          <cell r="J52">
            <v>42343</v>
          </cell>
          <cell r="K52">
            <v>42344</v>
          </cell>
        </row>
        <row r="53">
          <cell r="B53">
            <v>40887</v>
          </cell>
          <cell r="C53">
            <v>40888</v>
          </cell>
          <cell r="D53">
            <v>41251</v>
          </cell>
          <cell r="E53">
            <v>41252</v>
          </cell>
          <cell r="F53">
            <v>41622</v>
          </cell>
          <cell r="G53">
            <v>41623</v>
          </cell>
          <cell r="H53">
            <v>41986</v>
          </cell>
          <cell r="I53">
            <v>41987</v>
          </cell>
          <cell r="J53">
            <v>42350</v>
          </cell>
          <cell r="K53">
            <v>42351</v>
          </cell>
        </row>
        <row r="54">
          <cell r="B54">
            <v>40894</v>
          </cell>
          <cell r="C54">
            <v>40895</v>
          </cell>
          <cell r="D54">
            <v>41258</v>
          </cell>
          <cell r="E54">
            <v>41259</v>
          </cell>
          <cell r="F54">
            <v>41629</v>
          </cell>
          <cell r="G54">
            <v>41630</v>
          </cell>
          <cell r="H54">
            <v>41993</v>
          </cell>
          <cell r="I54">
            <v>41994</v>
          </cell>
          <cell r="J54">
            <v>42357</v>
          </cell>
          <cell r="K54">
            <v>42358</v>
          </cell>
        </row>
        <row r="55">
          <cell r="B55">
            <v>40901</v>
          </cell>
          <cell r="C55">
            <v>40902</v>
          </cell>
          <cell r="D55">
            <v>41265</v>
          </cell>
          <cell r="E55">
            <v>41266</v>
          </cell>
          <cell r="F55">
            <v>41636</v>
          </cell>
          <cell r="G55">
            <v>41637</v>
          </cell>
          <cell r="H55">
            <v>42000</v>
          </cell>
          <cell r="I55">
            <v>42001</v>
          </cell>
          <cell r="J55">
            <v>42364</v>
          </cell>
          <cell r="K55">
            <v>42365</v>
          </cell>
        </row>
        <row r="56">
          <cell r="B56">
            <v>40908</v>
          </cell>
          <cell r="C56"/>
          <cell r="D56">
            <v>41272</v>
          </cell>
          <cell r="E56">
            <v>41273</v>
          </cell>
          <cell r="F56"/>
          <cell r="G56"/>
          <cell r="H56"/>
          <cell r="I56"/>
          <cell r="J56"/>
          <cell r="K56"/>
        </row>
        <row r="57">
          <cell r="B57">
            <v>40902</v>
          </cell>
          <cell r="C57">
            <v>40900</v>
          </cell>
          <cell r="D57">
            <v>41268</v>
          </cell>
          <cell r="E57">
            <v>40910</v>
          </cell>
          <cell r="F57">
            <v>41633</v>
          </cell>
          <cell r="G57">
            <v>41276</v>
          </cell>
          <cell r="H57">
            <v>41998</v>
          </cell>
          <cell r="I57">
            <v>41641</v>
          </cell>
          <cell r="J57">
            <v>42363</v>
          </cell>
          <cell r="K57">
            <v>42006</v>
          </cell>
        </row>
        <row r="58">
          <cell r="B58">
            <v>40904</v>
          </cell>
          <cell r="C58">
            <v>40901</v>
          </cell>
          <cell r="D58">
            <v>41269</v>
          </cell>
          <cell r="E58">
            <v>40911</v>
          </cell>
          <cell r="F58">
            <v>41634</v>
          </cell>
          <cell r="G58">
            <v>41277</v>
          </cell>
          <cell r="H58">
            <v>41999</v>
          </cell>
          <cell r="I58">
            <v>41642</v>
          </cell>
          <cell r="J58">
            <v>42364</v>
          </cell>
          <cell r="K58">
            <v>42009</v>
          </cell>
        </row>
        <row r="59">
          <cell r="B59">
            <v>40544</v>
          </cell>
          <cell r="C59">
            <v>40905</v>
          </cell>
          <cell r="D59">
            <v>40909</v>
          </cell>
          <cell r="E59">
            <v>40912</v>
          </cell>
          <cell r="F59">
            <v>41275</v>
          </cell>
          <cell r="G59">
            <v>41278</v>
          </cell>
          <cell r="H59">
            <v>41640</v>
          </cell>
          <cell r="I59">
            <v>41995</v>
          </cell>
          <cell r="J59">
            <v>42005</v>
          </cell>
          <cell r="K59">
            <v>42010</v>
          </cell>
        </row>
        <row r="60">
          <cell r="B60">
            <v>40569</v>
          </cell>
          <cell r="C60">
            <v>40906</v>
          </cell>
          <cell r="D60">
            <v>41300</v>
          </cell>
          <cell r="E60">
            <v>40913</v>
          </cell>
          <cell r="F60">
            <v>41302</v>
          </cell>
          <cell r="G60">
            <v>41631</v>
          </cell>
          <cell r="H60">
            <v>41666</v>
          </cell>
          <cell r="I60">
            <v>41996</v>
          </cell>
          <cell r="J60">
            <v>42030</v>
          </cell>
          <cell r="K60">
            <v>42011</v>
          </cell>
        </row>
        <row r="61">
          <cell r="B61">
            <v>40655</v>
          </cell>
          <cell r="C61">
            <v>40907</v>
          </cell>
          <cell r="D61">
            <v>41005</v>
          </cell>
          <cell r="E61">
            <v>40914</v>
          </cell>
          <cell r="F61">
            <v>41362</v>
          </cell>
          <cell r="G61">
            <v>41632</v>
          </cell>
          <cell r="H61">
            <v>41747</v>
          </cell>
          <cell r="I61">
            <v>41997</v>
          </cell>
          <cell r="J61">
            <v>42097</v>
          </cell>
          <cell r="K61">
            <v>42012</v>
          </cell>
        </row>
        <row r="62">
          <cell r="B62">
            <v>40658</v>
          </cell>
          <cell r="C62"/>
          <cell r="D62">
            <v>41008</v>
          </cell>
          <cell r="E62">
            <v>41267</v>
          </cell>
          <cell r="F62">
            <v>41365</v>
          </cell>
          <cell r="G62">
            <v>41635</v>
          </cell>
          <cell r="H62">
            <v>41750</v>
          </cell>
          <cell r="I62">
            <v>42002</v>
          </cell>
          <cell r="J62">
            <v>42100</v>
          </cell>
          <cell r="K62">
            <v>42013</v>
          </cell>
        </row>
        <row r="63">
          <cell r="B63">
            <v>40659</v>
          </cell>
          <cell r="C63"/>
          <cell r="D63">
            <v>41024</v>
          </cell>
          <cell r="E63">
            <v>41270</v>
          </cell>
          <cell r="F63">
            <v>41389</v>
          </cell>
          <cell r="G63">
            <v>41638</v>
          </cell>
          <cell r="H63">
            <v>41754</v>
          </cell>
          <cell r="I63">
            <v>42003</v>
          </cell>
          <cell r="J63">
            <v>42121</v>
          </cell>
          <cell r="K63">
            <v>42362</v>
          </cell>
        </row>
        <row r="64">
          <cell r="B64">
            <v>40665</v>
          </cell>
          <cell r="C64"/>
          <cell r="D64">
            <v>41036</v>
          </cell>
          <cell r="E64">
            <v>41271</v>
          </cell>
          <cell r="F64">
            <v>41435</v>
          </cell>
          <cell r="G64">
            <v>41639</v>
          </cell>
          <cell r="H64">
            <v>41918</v>
          </cell>
          <cell r="I64">
            <v>42004</v>
          </cell>
          <cell r="J64">
            <v>42282</v>
          </cell>
          <cell r="K64">
            <v>42365</v>
          </cell>
        </row>
        <row r="65">
          <cell r="B65">
            <v>40707</v>
          </cell>
          <cell r="C65"/>
          <cell r="D65">
            <v>41071</v>
          </cell>
          <cell r="E65">
            <v>41274</v>
          </cell>
          <cell r="F65">
            <v>41554</v>
          </cell>
          <cell r="G65"/>
          <cell r="H65">
            <v>41799</v>
          </cell>
          <cell r="I65"/>
          <cell r="J65">
            <v>42163</v>
          </cell>
          <cell r="K65">
            <v>42366</v>
          </cell>
        </row>
        <row r="66">
          <cell r="B66"/>
          <cell r="C66"/>
          <cell r="D66"/>
          <cell r="E66"/>
          <cell r="F66"/>
          <cell r="G66"/>
          <cell r="H66"/>
          <cell r="I66"/>
          <cell r="J66"/>
          <cell r="K66">
            <v>42367</v>
          </cell>
        </row>
        <row r="67">
          <cell r="B67"/>
          <cell r="C67"/>
          <cell r="D67"/>
          <cell r="E67"/>
          <cell r="F67"/>
          <cell r="G67"/>
          <cell r="H67"/>
          <cell r="I67"/>
          <cell r="J67"/>
          <cell r="K67">
            <v>42368</v>
          </cell>
        </row>
        <row r="68">
          <cell r="B68"/>
          <cell r="C68"/>
          <cell r="D68"/>
          <cell r="E68"/>
          <cell r="F68"/>
          <cell r="G68"/>
          <cell r="H68"/>
          <cell r="I68"/>
          <cell r="J68"/>
          <cell r="K68">
            <v>42369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L399"/>
  <sheetViews>
    <sheetView zoomScaleNormal="100" workbookViewId="0">
      <pane ySplit="2" topLeftCell="A363" activePane="bottomLeft" state="frozen"/>
      <selection pane="bottomLeft" sqref="A1:XFD1"/>
    </sheetView>
  </sheetViews>
  <sheetFormatPr defaultColWidth="8.85546875" defaultRowHeight="11.25" x14ac:dyDescent="0.2"/>
  <cols>
    <col min="1" max="1" width="5.42578125" style="165" customWidth="1"/>
    <col min="2" max="2" width="14.5703125" style="30" customWidth="1"/>
    <col min="3" max="3" width="46.42578125" style="13" customWidth="1"/>
    <col min="4" max="4" width="6" style="9" customWidth="1"/>
    <col min="5" max="5" width="5.5703125" style="10" customWidth="1"/>
    <col min="6" max="6" width="7.5703125" style="9" customWidth="1"/>
    <col min="7" max="7" width="8.42578125" style="9" customWidth="1"/>
    <col min="8" max="8" width="9.42578125" style="9" customWidth="1"/>
    <col min="9" max="9" width="11.85546875" style="9" customWidth="1"/>
    <col min="10" max="10" width="12.42578125" style="37" customWidth="1"/>
    <col min="11" max="11" width="7.85546875" style="10" bestFit="1" customWidth="1"/>
    <col min="12" max="12" width="8.42578125" style="9" customWidth="1"/>
    <col min="13" max="13" width="11.5703125" style="9" customWidth="1"/>
    <col min="14" max="14" width="13.5703125" style="9" customWidth="1"/>
    <col min="15" max="15" width="12.42578125" style="9" customWidth="1"/>
    <col min="16" max="16" width="11.42578125" style="9" customWidth="1"/>
    <col min="17" max="17" width="10.5703125" style="9" customWidth="1"/>
    <col min="18" max="18" width="10.5703125" style="91" customWidth="1"/>
    <col min="19" max="19" width="15.42578125" style="5" customWidth="1"/>
    <col min="20" max="20" width="11.140625" style="5" bestFit="1" customWidth="1"/>
    <col min="21" max="16384" width="8.85546875" style="5"/>
  </cols>
  <sheetData>
    <row r="1" spans="1:220" s="36" customFormat="1" x14ac:dyDescent="0.2">
      <c r="A1" s="169"/>
      <c r="B1" s="32"/>
      <c r="C1" s="2"/>
      <c r="D1" s="34"/>
      <c r="E1" s="35"/>
      <c r="F1" s="34"/>
      <c r="G1" s="34"/>
      <c r="H1" s="34"/>
      <c r="I1" s="34"/>
      <c r="J1" s="39">
        <f>SUBTOTAL(9,J4:J396)</f>
        <v>1161213.1570995806</v>
      </c>
      <c r="K1" s="35"/>
      <c r="L1" s="34"/>
      <c r="M1" s="39">
        <f t="shared" ref="M1:O1" si="0">SUBTOTAL(9,M4:M396)</f>
        <v>197712.95092420367</v>
      </c>
      <c r="N1" s="39">
        <f t="shared" si="0"/>
        <v>422296.46980000002</v>
      </c>
      <c r="O1" s="39">
        <f t="shared" si="0"/>
        <v>442866.98637537728</v>
      </c>
      <c r="P1" s="39">
        <f>SUBTOTAL(9,P4:P396)</f>
        <v>98336.75</v>
      </c>
      <c r="Q1" s="39">
        <f>SUM(M1:P1)</f>
        <v>1161213.1570995809</v>
      </c>
      <c r="R1" s="95"/>
      <c r="U1" s="265"/>
      <c r="V1" s="265"/>
      <c r="W1" s="265"/>
      <c r="X1" s="265"/>
      <c r="Y1" s="265"/>
      <c r="Z1" s="265"/>
      <c r="AA1" s="265"/>
      <c r="AB1" s="265"/>
      <c r="AC1" s="265"/>
      <c r="AD1" s="265"/>
      <c r="AE1" s="265"/>
      <c r="AF1" s="265"/>
      <c r="AG1" s="265"/>
      <c r="AH1" s="265"/>
      <c r="AI1" s="265"/>
      <c r="AJ1" s="265"/>
      <c r="AK1" s="265"/>
      <c r="AL1" s="265"/>
      <c r="AM1" s="265"/>
      <c r="AN1" s="265"/>
      <c r="AO1" s="265"/>
      <c r="AP1" s="265"/>
      <c r="AQ1" s="265"/>
      <c r="AR1" s="265"/>
      <c r="AS1" s="265"/>
      <c r="AT1" s="265"/>
      <c r="AU1" s="265"/>
      <c r="AV1" s="265"/>
      <c r="AW1" s="265"/>
      <c r="AX1" s="265"/>
      <c r="AY1" s="265"/>
      <c r="AZ1" s="265"/>
      <c r="BA1" s="265"/>
      <c r="BB1" s="265"/>
      <c r="BC1" s="265"/>
      <c r="BD1" s="265"/>
      <c r="BE1" s="265"/>
      <c r="BF1" s="265"/>
      <c r="BG1" s="265"/>
      <c r="BH1" s="265"/>
      <c r="BI1" s="265"/>
      <c r="BJ1" s="265"/>
      <c r="BK1" s="265"/>
      <c r="BL1" s="265"/>
      <c r="BM1" s="265"/>
      <c r="BN1" s="265"/>
      <c r="BO1" s="265"/>
      <c r="BP1" s="265"/>
      <c r="BQ1" s="265"/>
      <c r="BR1" s="265"/>
      <c r="BS1" s="265"/>
      <c r="BT1" s="265"/>
      <c r="BU1" s="265"/>
      <c r="BV1" s="265"/>
      <c r="BW1" s="265"/>
      <c r="BX1" s="265"/>
      <c r="BY1" s="265"/>
      <c r="BZ1" s="265"/>
      <c r="CA1" s="265"/>
      <c r="CB1" s="265"/>
      <c r="CC1" s="265"/>
      <c r="CD1" s="265"/>
      <c r="CE1" s="265"/>
      <c r="CF1" s="265"/>
      <c r="CG1" s="265"/>
      <c r="CH1" s="265"/>
      <c r="CI1" s="265"/>
      <c r="CJ1" s="265"/>
      <c r="CK1" s="265"/>
      <c r="CL1" s="265"/>
      <c r="CM1" s="265"/>
      <c r="CN1" s="265"/>
      <c r="CO1" s="265"/>
      <c r="CP1" s="265"/>
      <c r="CQ1" s="265"/>
      <c r="CR1" s="265"/>
      <c r="CS1" s="265"/>
      <c r="CT1" s="265"/>
      <c r="CU1" s="265"/>
      <c r="CV1" s="265"/>
      <c r="CW1" s="265"/>
      <c r="CX1" s="265"/>
      <c r="CY1" s="265"/>
      <c r="CZ1" s="265"/>
      <c r="DA1" s="265"/>
      <c r="DB1" s="265"/>
      <c r="DC1" s="265"/>
      <c r="DD1" s="265"/>
      <c r="DE1" s="265"/>
      <c r="DF1" s="265"/>
      <c r="DG1" s="265"/>
      <c r="DH1" s="265"/>
      <c r="DI1" s="265"/>
      <c r="DJ1" s="265"/>
      <c r="DK1" s="265"/>
      <c r="DL1" s="265"/>
      <c r="DM1" s="265"/>
      <c r="DN1" s="265"/>
      <c r="DO1" s="265"/>
      <c r="DP1" s="265"/>
      <c r="DQ1" s="265"/>
      <c r="DR1" s="265"/>
      <c r="DS1" s="265"/>
      <c r="DT1" s="265"/>
      <c r="DU1" s="265"/>
      <c r="DV1" s="265"/>
      <c r="DW1" s="265"/>
      <c r="DX1" s="265"/>
      <c r="DY1" s="265"/>
      <c r="DZ1" s="265"/>
      <c r="EA1" s="265"/>
      <c r="EB1" s="265"/>
      <c r="EC1" s="265"/>
      <c r="ED1" s="265"/>
      <c r="EE1" s="265"/>
      <c r="EF1" s="265"/>
      <c r="EG1" s="265"/>
      <c r="EH1" s="265"/>
      <c r="EI1" s="265"/>
      <c r="EJ1" s="265"/>
      <c r="EK1" s="265"/>
      <c r="EL1" s="265"/>
      <c r="EM1" s="265"/>
      <c r="EN1" s="265"/>
      <c r="EO1" s="265"/>
      <c r="EP1" s="265"/>
      <c r="EQ1" s="265"/>
      <c r="ER1" s="265"/>
      <c r="ES1" s="265"/>
      <c r="ET1" s="265"/>
      <c r="EU1" s="265"/>
      <c r="EV1" s="265"/>
      <c r="EW1" s="265"/>
      <c r="EX1" s="265"/>
      <c r="EY1" s="265"/>
      <c r="EZ1" s="265"/>
      <c r="FA1" s="265"/>
      <c r="FB1" s="265"/>
      <c r="FC1" s="265"/>
      <c r="FD1" s="265"/>
      <c r="FE1" s="265"/>
      <c r="FF1" s="265"/>
      <c r="FG1" s="265"/>
      <c r="FH1" s="265"/>
      <c r="FI1" s="265"/>
      <c r="FJ1" s="265"/>
      <c r="FK1" s="265"/>
      <c r="FL1" s="265"/>
      <c r="FM1" s="265"/>
      <c r="FN1" s="265"/>
      <c r="FO1" s="265"/>
      <c r="FP1" s="265"/>
      <c r="FQ1" s="265"/>
      <c r="FR1" s="265"/>
      <c r="FS1" s="265"/>
      <c r="FT1" s="265"/>
      <c r="FU1" s="265"/>
      <c r="FV1" s="265"/>
      <c r="FW1" s="265"/>
      <c r="FX1" s="265"/>
      <c r="FY1" s="265"/>
      <c r="FZ1" s="265"/>
      <c r="GA1" s="265"/>
      <c r="GB1" s="265"/>
      <c r="GC1" s="265"/>
      <c r="GD1" s="265"/>
      <c r="GE1" s="265"/>
      <c r="GF1" s="265"/>
      <c r="GG1" s="265"/>
      <c r="GH1" s="265"/>
      <c r="GI1" s="265"/>
      <c r="GJ1" s="265"/>
      <c r="GK1" s="265"/>
      <c r="GL1" s="265"/>
      <c r="GM1" s="265"/>
      <c r="GN1" s="265"/>
      <c r="GO1" s="265"/>
      <c r="GP1" s="265"/>
      <c r="GQ1" s="265"/>
      <c r="GR1" s="265"/>
      <c r="GS1" s="265"/>
      <c r="GT1" s="265"/>
      <c r="GU1" s="265"/>
      <c r="GV1" s="265"/>
      <c r="GW1" s="265"/>
      <c r="GX1" s="265"/>
      <c r="GY1" s="265"/>
      <c r="GZ1" s="265"/>
      <c r="HA1" s="265"/>
      <c r="HB1" s="265"/>
      <c r="HC1" s="265"/>
      <c r="HD1" s="265"/>
      <c r="HE1" s="265"/>
      <c r="HF1" s="265"/>
      <c r="HG1" s="265"/>
      <c r="HH1" s="265"/>
      <c r="HI1" s="265"/>
      <c r="HJ1" s="265"/>
      <c r="HK1" s="265"/>
      <c r="HL1" s="265"/>
    </row>
    <row r="2" spans="1:220" s="1" customFormat="1" ht="12.75" x14ac:dyDescent="0.2">
      <c r="A2" s="166" t="s">
        <v>270</v>
      </c>
      <c r="B2" s="28" t="s">
        <v>0</v>
      </c>
      <c r="C2" s="2" t="s">
        <v>1</v>
      </c>
      <c r="D2" s="2" t="s">
        <v>2</v>
      </c>
      <c r="E2" s="3" t="s">
        <v>158</v>
      </c>
      <c r="F2" s="3" t="s">
        <v>141</v>
      </c>
      <c r="G2" s="3" t="s">
        <v>159</v>
      </c>
      <c r="H2" s="4" t="s">
        <v>3</v>
      </c>
      <c r="I2" s="3" t="s">
        <v>4</v>
      </c>
      <c r="J2" s="3" t="s">
        <v>160</v>
      </c>
      <c r="K2" s="3" t="s">
        <v>161</v>
      </c>
      <c r="L2" s="3" t="s">
        <v>140</v>
      </c>
      <c r="M2" s="4" t="s">
        <v>5</v>
      </c>
      <c r="N2" s="4" t="s">
        <v>6</v>
      </c>
      <c r="O2" s="4" t="s">
        <v>7</v>
      </c>
      <c r="P2" s="4" t="s">
        <v>8</v>
      </c>
      <c r="Q2" s="4" t="s">
        <v>9</v>
      </c>
      <c r="R2" s="92" t="s">
        <v>269</v>
      </c>
    </row>
    <row r="3" spans="1:220" s="1" customFormat="1" x14ac:dyDescent="0.2">
      <c r="A3" s="166">
        <v>3</v>
      </c>
      <c r="B3" s="28"/>
      <c r="C3" s="2" t="s">
        <v>198</v>
      </c>
      <c r="D3" s="2"/>
      <c r="E3" s="3"/>
      <c r="F3" s="3"/>
      <c r="G3" s="3"/>
      <c r="H3" s="4"/>
      <c r="I3" s="4"/>
      <c r="J3" s="4"/>
      <c r="K3" s="3"/>
      <c r="L3" s="3"/>
      <c r="M3" s="4"/>
      <c r="N3" s="4"/>
      <c r="O3" s="4"/>
      <c r="P3" s="4"/>
      <c r="Q3" s="4"/>
      <c r="R3" s="92"/>
    </row>
    <row r="4" spans="1:220" ht="22.5" x14ac:dyDescent="0.2">
      <c r="A4" s="167">
        <v>4</v>
      </c>
      <c r="B4" s="29" t="s">
        <v>10</v>
      </c>
      <c r="C4" s="6" t="s">
        <v>11</v>
      </c>
      <c r="D4" s="7" t="s">
        <v>12</v>
      </c>
      <c r="E4" s="8"/>
      <c r="F4" s="7"/>
      <c r="G4" s="7"/>
      <c r="H4" s="7">
        <v>1</v>
      </c>
      <c r="I4" s="7"/>
      <c r="J4" s="7">
        <f t="shared" ref="J4" si="1">SUBTOTAL(9,J6:J26)</f>
        <v>48943.75</v>
      </c>
      <c r="K4" s="7"/>
      <c r="L4" s="45">
        <f>VLOOKUP($A4,'Model Inputs'!$A:$C,3,FALSE)</f>
        <v>5</v>
      </c>
      <c r="M4" s="7">
        <f>SUBTOTAL(9,M6:M26)</f>
        <v>650</v>
      </c>
      <c r="N4" s="7">
        <f>SUBTOTAL(9,N6:N26)</f>
        <v>0</v>
      </c>
      <c r="O4" s="7">
        <f>SUBTOTAL(9,O6:O26)</f>
        <v>27995</v>
      </c>
      <c r="P4" s="7">
        <f>SUBTOTAL(9,P6:P26)</f>
        <v>20298.75</v>
      </c>
      <c r="Q4" s="7">
        <f>SUBTOTAL(9,Q6:Q26)</f>
        <v>48943.75</v>
      </c>
      <c r="R4" s="93"/>
      <c r="S4" s="36"/>
      <c r="T4" s="36"/>
    </row>
    <row r="5" spans="1:220" x14ac:dyDescent="0.2">
      <c r="A5" s="165" t="s">
        <v>230</v>
      </c>
      <c r="B5" s="30">
        <v>1</v>
      </c>
      <c r="C5" s="9" t="s">
        <v>200</v>
      </c>
      <c r="S5" s="36"/>
      <c r="T5" s="36"/>
    </row>
    <row r="6" spans="1:220" x14ac:dyDescent="0.2">
      <c r="A6" s="168" t="s">
        <v>230</v>
      </c>
      <c r="B6" s="31">
        <v>2</v>
      </c>
      <c r="C6" s="11" t="s">
        <v>13</v>
      </c>
      <c r="D6" s="11" t="s">
        <v>14</v>
      </c>
      <c r="E6" s="12" t="s">
        <v>190</v>
      </c>
      <c r="F6" s="11">
        <v>500</v>
      </c>
      <c r="G6" s="11">
        <v>1</v>
      </c>
      <c r="H6" s="11">
        <v>1</v>
      </c>
      <c r="I6" s="11">
        <f>VLOOKUP(C6,Resources!$B$3:$G$44,6,FALSE)</f>
        <v>1</v>
      </c>
      <c r="J6" s="38">
        <f>I6*H6*F6</f>
        <v>500</v>
      </c>
      <c r="K6" s="12">
        <f>IF(E6="M"," ",L6*F6)</f>
        <v>500</v>
      </c>
      <c r="L6" s="11">
        <f>IF(E6="M"," ",H6/G6)</f>
        <v>1</v>
      </c>
      <c r="M6" s="11">
        <f>IF($E6="L",$J6,0)</f>
        <v>0</v>
      </c>
      <c r="N6" s="11">
        <f>IF($E6="M",$J6,0)</f>
        <v>0</v>
      </c>
      <c r="O6" s="11">
        <f>IF($E6="P",$J6,0)</f>
        <v>500</v>
      </c>
      <c r="P6" s="11">
        <f>IF($E6="S",$J6,0)</f>
        <v>0</v>
      </c>
      <c r="Q6" s="11">
        <f>SUM(M6:P6)</f>
        <v>500</v>
      </c>
      <c r="R6" s="94">
        <v>907</v>
      </c>
      <c r="S6" s="36"/>
      <c r="T6" s="36"/>
    </row>
    <row r="7" spans="1:220" x14ac:dyDescent="0.2">
      <c r="A7" s="168" t="s">
        <v>230</v>
      </c>
      <c r="B7" s="31">
        <v>3</v>
      </c>
      <c r="C7" s="11" t="s">
        <v>13</v>
      </c>
      <c r="D7" s="11" t="s">
        <v>14</v>
      </c>
      <c r="E7" s="12" t="s">
        <v>190</v>
      </c>
      <c r="F7" s="11">
        <v>750</v>
      </c>
      <c r="G7" s="11">
        <v>1</v>
      </c>
      <c r="H7" s="11">
        <v>1</v>
      </c>
      <c r="I7" s="11">
        <f>VLOOKUP(C7,Resources!$B$3:$G$44,6,FALSE)</f>
        <v>1</v>
      </c>
      <c r="J7" s="38">
        <f t="shared" ref="J7:J26" si="2">I7*H7*F7</f>
        <v>750</v>
      </c>
      <c r="K7" s="12">
        <f t="shared" ref="K7:K26" si="3">IF(E7="M"," ",L7*F7)</f>
        <v>750</v>
      </c>
      <c r="L7" s="11">
        <f t="shared" ref="L7:L26" si="4">IF(E7="M"," ",H7/G7)</f>
        <v>1</v>
      </c>
      <c r="M7" s="11">
        <f t="shared" ref="M7:M26" si="5">IF($E7="L",$J7,0)</f>
        <v>0</v>
      </c>
      <c r="N7" s="11">
        <f t="shared" ref="N7:N26" si="6">IF($E7="M",$J7,0)</f>
        <v>0</v>
      </c>
      <c r="O7" s="11">
        <f t="shared" ref="O7:O26" si="7">IF($E7="P",$J7,0)</f>
        <v>750</v>
      </c>
      <c r="P7" s="11">
        <f t="shared" ref="P7:P26" si="8">IF($E7="S",$J7,0)</f>
        <v>0</v>
      </c>
      <c r="Q7" s="11">
        <f t="shared" ref="Q7:Q15" si="9">SUM(M7:P7)</f>
        <v>750</v>
      </c>
      <c r="R7" s="94">
        <v>907</v>
      </c>
    </row>
    <row r="8" spans="1:220" x14ac:dyDescent="0.2">
      <c r="A8" s="168" t="s">
        <v>230</v>
      </c>
      <c r="B8" s="31">
        <v>4</v>
      </c>
      <c r="C8" s="11" t="s">
        <v>13</v>
      </c>
      <c r="D8" s="11" t="s">
        <v>14</v>
      </c>
      <c r="E8" s="12" t="s">
        <v>190</v>
      </c>
      <c r="F8" s="11">
        <v>2250</v>
      </c>
      <c r="G8" s="11">
        <v>1</v>
      </c>
      <c r="H8" s="11">
        <v>1</v>
      </c>
      <c r="I8" s="11">
        <f>VLOOKUP(C8,Resources!$B$3:$G$44,6,FALSE)</f>
        <v>1</v>
      </c>
      <c r="J8" s="38">
        <f t="shared" si="2"/>
        <v>2250</v>
      </c>
      <c r="K8" s="12">
        <f t="shared" si="3"/>
        <v>2250</v>
      </c>
      <c r="L8" s="11">
        <f t="shared" si="4"/>
        <v>1</v>
      </c>
      <c r="M8" s="11">
        <f t="shared" si="5"/>
        <v>0</v>
      </c>
      <c r="N8" s="11">
        <f t="shared" si="6"/>
        <v>0</v>
      </c>
      <c r="O8" s="11">
        <f t="shared" si="7"/>
        <v>2250</v>
      </c>
      <c r="P8" s="11">
        <f t="shared" si="8"/>
        <v>0</v>
      </c>
      <c r="Q8" s="11">
        <f t="shared" si="9"/>
        <v>2250</v>
      </c>
      <c r="R8" s="94">
        <v>907</v>
      </c>
      <c r="S8" s="36"/>
      <c r="T8" s="36"/>
    </row>
    <row r="9" spans="1:220" x14ac:dyDescent="0.2">
      <c r="A9" s="168" t="s">
        <v>230</v>
      </c>
      <c r="B9" s="31">
        <v>5</v>
      </c>
      <c r="C9" s="11" t="s">
        <v>13</v>
      </c>
      <c r="D9" s="11" t="s">
        <v>14</v>
      </c>
      <c r="E9" s="12" t="s">
        <v>190</v>
      </c>
      <c r="F9" s="11">
        <v>350</v>
      </c>
      <c r="G9" s="11">
        <v>1</v>
      </c>
      <c r="H9" s="11">
        <v>1</v>
      </c>
      <c r="I9" s="11">
        <f>VLOOKUP(C9,Resources!$B$3:$G$44,6,FALSE)</f>
        <v>1</v>
      </c>
      <c r="J9" s="38">
        <f t="shared" si="2"/>
        <v>350</v>
      </c>
      <c r="K9" s="12">
        <f t="shared" si="3"/>
        <v>350</v>
      </c>
      <c r="L9" s="11">
        <f t="shared" si="4"/>
        <v>1</v>
      </c>
      <c r="M9" s="11">
        <f t="shared" si="5"/>
        <v>0</v>
      </c>
      <c r="N9" s="11">
        <f t="shared" si="6"/>
        <v>0</v>
      </c>
      <c r="O9" s="11">
        <f t="shared" si="7"/>
        <v>350</v>
      </c>
      <c r="P9" s="11">
        <f t="shared" si="8"/>
        <v>0</v>
      </c>
      <c r="Q9" s="11">
        <f t="shared" si="9"/>
        <v>350</v>
      </c>
      <c r="R9" s="94">
        <v>907</v>
      </c>
      <c r="S9" s="36"/>
      <c r="T9" s="36"/>
    </row>
    <row r="10" spans="1:220" x14ac:dyDescent="0.2">
      <c r="A10" s="168" t="s">
        <v>230</v>
      </c>
      <c r="B10" s="31">
        <v>6</v>
      </c>
      <c r="C10" s="11" t="s">
        <v>13</v>
      </c>
      <c r="D10" s="11" t="s">
        <v>14</v>
      </c>
      <c r="E10" s="12" t="s">
        <v>190</v>
      </c>
      <c r="F10" s="11">
        <v>350</v>
      </c>
      <c r="G10" s="11">
        <v>1</v>
      </c>
      <c r="H10" s="11">
        <v>1</v>
      </c>
      <c r="I10" s="11">
        <f>VLOOKUP(C10,Resources!$B$3:$G$44,6,FALSE)</f>
        <v>1</v>
      </c>
      <c r="J10" s="38">
        <f t="shared" si="2"/>
        <v>350</v>
      </c>
      <c r="K10" s="12">
        <f t="shared" si="3"/>
        <v>350</v>
      </c>
      <c r="L10" s="11">
        <f t="shared" si="4"/>
        <v>1</v>
      </c>
      <c r="M10" s="11">
        <f t="shared" si="5"/>
        <v>0</v>
      </c>
      <c r="N10" s="11">
        <f t="shared" si="6"/>
        <v>0</v>
      </c>
      <c r="O10" s="11">
        <f t="shared" si="7"/>
        <v>350</v>
      </c>
      <c r="P10" s="11">
        <f t="shared" si="8"/>
        <v>0</v>
      </c>
      <c r="Q10" s="11">
        <f t="shared" si="9"/>
        <v>350</v>
      </c>
      <c r="R10" s="94">
        <v>907</v>
      </c>
      <c r="S10" s="36"/>
      <c r="T10" s="36"/>
    </row>
    <row r="11" spans="1:220" x14ac:dyDescent="0.2">
      <c r="A11" s="168" t="s">
        <v>230</v>
      </c>
      <c r="B11" s="31">
        <v>7</v>
      </c>
      <c r="C11" s="11" t="s">
        <v>13</v>
      </c>
      <c r="D11" s="11" t="s">
        <v>14</v>
      </c>
      <c r="E11" s="12" t="s">
        <v>190</v>
      </c>
      <c r="F11" s="11">
        <v>200</v>
      </c>
      <c r="G11" s="11">
        <v>1</v>
      </c>
      <c r="H11" s="11">
        <v>1</v>
      </c>
      <c r="I11" s="11">
        <f>VLOOKUP(C11,Resources!$B$3:$G$44,6,FALSE)</f>
        <v>1</v>
      </c>
      <c r="J11" s="38">
        <f t="shared" si="2"/>
        <v>200</v>
      </c>
      <c r="K11" s="12">
        <f t="shared" si="3"/>
        <v>200</v>
      </c>
      <c r="L11" s="11">
        <f t="shared" si="4"/>
        <v>1</v>
      </c>
      <c r="M11" s="11">
        <f t="shared" si="5"/>
        <v>0</v>
      </c>
      <c r="N11" s="11">
        <f t="shared" si="6"/>
        <v>0</v>
      </c>
      <c r="O11" s="11">
        <f t="shared" si="7"/>
        <v>200</v>
      </c>
      <c r="P11" s="11">
        <f t="shared" si="8"/>
        <v>0</v>
      </c>
      <c r="Q11" s="11">
        <f t="shared" si="9"/>
        <v>200</v>
      </c>
      <c r="R11" s="94">
        <v>907</v>
      </c>
    </row>
    <row r="12" spans="1:220" x14ac:dyDescent="0.2">
      <c r="A12" s="168" t="s">
        <v>230</v>
      </c>
      <c r="B12" s="31">
        <v>8</v>
      </c>
      <c r="C12" s="11" t="s">
        <v>13</v>
      </c>
      <c r="D12" s="11" t="s">
        <v>14</v>
      </c>
      <c r="E12" s="12" t="s">
        <v>190</v>
      </c>
      <c r="F12" s="11">
        <v>200</v>
      </c>
      <c r="G12" s="11">
        <v>1</v>
      </c>
      <c r="H12" s="11">
        <v>1</v>
      </c>
      <c r="I12" s="11">
        <f>VLOOKUP(C12,Resources!$B$3:$G$44,6,FALSE)</f>
        <v>1</v>
      </c>
      <c r="J12" s="38">
        <f t="shared" si="2"/>
        <v>200</v>
      </c>
      <c r="K12" s="12">
        <f t="shared" si="3"/>
        <v>200</v>
      </c>
      <c r="L12" s="11">
        <f t="shared" si="4"/>
        <v>1</v>
      </c>
      <c r="M12" s="11">
        <f t="shared" si="5"/>
        <v>0</v>
      </c>
      <c r="N12" s="11">
        <f t="shared" si="6"/>
        <v>0</v>
      </c>
      <c r="O12" s="11">
        <f t="shared" si="7"/>
        <v>200</v>
      </c>
      <c r="P12" s="11">
        <f t="shared" si="8"/>
        <v>0</v>
      </c>
      <c r="Q12" s="11">
        <f t="shared" si="9"/>
        <v>200</v>
      </c>
      <c r="R12" s="94">
        <v>907</v>
      </c>
    </row>
    <row r="13" spans="1:220" x14ac:dyDescent="0.2">
      <c r="A13" s="168" t="s">
        <v>230</v>
      </c>
      <c r="B13" s="31">
        <v>9</v>
      </c>
      <c r="C13" s="11" t="s">
        <v>13</v>
      </c>
      <c r="D13" s="11" t="s">
        <v>14</v>
      </c>
      <c r="E13" s="12" t="s">
        <v>190</v>
      </c>
      <c r="F13" s="11">
        <v>13995</v>
      </c>
      <c r="G13" s="11">
        <v>1</v>
      </c>
      <c r="H13" s="11">
        <v>1</v>
      </c>
      <c r="I13" s="11">
        <f>VLOOKUP(C13,Resources!$B$3:$G$44,6,FALSE)</f>
        <v>1</v>
      </c>
      <c r="J13" s="38">
        <f t="shared" si="2"/>
        <v>13995</v>
      </c>
      <c r="K13" s="12">
        <f t="shared" si="3"/>
        <v>13995</v>
      </c>
      <c r="L13" s="11">
        <f t="shared" si="4"/>
        <v>1</v>
      </c>
      <c r="M13" s="11">
        <f t="shared" si="5"/>
        <v>0</v>
      </c>
      <c r="N13" s="11">
        <f t="shared" si="6"/>
        <v>0</v>
      </c>
      <c r="O13" s="11">
        <f t="shared" si="7"/>
        <v>13995</v>
      </c>
      <c r="P13" s="11">
        <f t="shared" si="8"/>
        <v>0</v>
      </c>
      <c r="Q13" s="11">
        <f t="shared" si="9"/>
        <v>13995</v>
      </c>
      <c r="R13" s="94">
        <v>907</v>
      </c>
    </row>
    <row r="14" spans="1:220" x14ac:dyDescent="0.2">
      <c r="A14" s="168" t="s">
        <v>230</v>
      </c>
      <c r="B14" s="31">
        <v>10</v>
      </c>
      <c r="C14" s="11" t="s">
        <v>13</v>
      </c>
      <c r="D14" s="11" t="s">
        <v>14</v>
      </c>
      <c r="E14" s="12" t="s">
        <v>190</v>
      </c>
      <c r="F14" s="11">
        <v>200</v>
      </c>
      <c r="G14" s="11">
        <v>1</v>
      </c>
      <c r="H14" s="11">
        <v>1</v>
      </c>
      <c r="I14" s="11">
        <f>VLOOKUP(C14,Resources!$B$3:$G$44,6,FALSE)</f>
        <v>1</v>
      </c>
      <c r="J14" s="38">
        <f t="shared" si="2"/>
        <v>200</v>
      </c>
      <c r="K14" s="12">
        <f t="shared" si="3"/>
        <v>200</v>
      </c>
      <c r="L14" s="11">
        <f t="shared" si="4"/>
        <v>1</v>
      </c>
      <c r="M14" s="11">
        <f t="shared" si="5"/>
        <v>0</v>
      </c>
      <c r="N14" s="11">
        <f t="shared" si="6"/>
        <v>0</v>
      </c>
      <c r="O14" s="11">
        <f t="shared" si="7"/>
        <v>200</v>
      </c>
      <c r="P14" s="11">
        <f t="shared" si="8"/>
        <v>0</v>
      </c>
      <c r="Q14" s="11">
        <f t="shared" si="9"/>
        <v>200</v>
      </c>
      <c r="R14" s="94">
        <v>907</v>
      </c>
    </row>
    <row r="15" spans="1:220" x14ac:dyDescent="0.2">
      <c r="A15" s="168" t="s">
        <v>230</v>
      </c>
      <c r="B15" s="31">
        <v>11</v>
      </c>
      <c r="C15" s="11" t="s">
        <v>13</v>
      </c>
      <c r="D15" s="11" t="s">
        <v>14</v>
      </c>
      <c r="E15" s="12" t="s">
        <v>190</v>
      </c>
      <c r="F15" s="11">
        <v>200</v>
      </c>
      <c r="G15" s="11">
        <v>1</v>
      </c>
      <c r="H15" s="11">
        <v>1</v>
      </c>
      <c r="I15" s="11">
        <f>VLOOKUP(C15,Resources!$B$3:$G$44,6,FALSE)</f>
        <v>1</v>
      </c>
      <c r="J15" s="38">
        <f t="shared" si="2"/>
        <v>200</v>
      </c>
      <c r="K15" s="12">
        <f t="shared" si="3"/>
        <v>200</v>
      </c>
      <c r="L15" s="11">
        <f t="shared" si="4"/>
        <v>1</v>
      </c>
      <c r="M15" s="11">
        <f t="shared" si="5"/>
        <v>0</v>
      </c>
      <c r="N15" s="11">
        <f t="shared" si="6"/>
        <v>0</v>
      </c>
      <c r="O15" s="11">
        <f t="shared" si="7"/>
        <v>200</v>
      </c>
      <c r="P15" s="11">
        <f t="shared" si="8"/>
        <v>0</v>
      </c>
      <c r="Q15" s="11">
        <f t="shared" si="9"/>
        <v>200</v>
      </c>
      <c r="R15" s="94">
        <v>907</v>
      </c>
    </row>
    <row r="16" spans="1:220" x14ac:dyDescent="0.2">
      <c r="A16" s="165" t="s">
        <v>230</v>
      </c>
      <c r="B16" s="30">
        <v>14</v>
      </c>
      <c r="C16" s="9" t="s">
        <v>15</v>
      </c>
    </row>
    <row r="17" spans="1:18" x14ac:dyDescent="0.2">
      <c r="A17" s="168" t="s">
        <v>230</v>
      </c>
      <c r="B17" s="31">
        <v>15</v>
      </c>
      <c r="C17" s="11" t="s">
        <v>16</v>
      </c>
      <c r="D17" s="11" t="s">
        <v>12</v>
      </c>
      <c r="E17" s="12" t="s">
        <v>191</v>
      </c>
      <c r="F17" s="11">
        <v>12000</v>
      </c>
      <c r="G17" s="11">
        <v>1</v>
      </c>
      <c r="H17" s="11">
        <v>1</v>
      </c>
      <c r="I17" s="11">
        <f>VLOOKUP(C17,Resources!$B$3:$G$44,6,FALSE)</f>
        <v>1</v>
      </c>
      <c r="J17" s="38">
        <f t="shared" si="2"/>
        <v>12000</v>
      </c>
      <c r="K17" s="12">
        <f t="shared" si="3"/>
        <v>12000</v>
      </c>
      <c r="L17" s="11">
        <f t="shared" si="4"/>
        <v>1</v>
      </c>
      <c r="M17" s="11">
        <f t="shared" si="5"/>
        <v>0</v>
      </c>
      <c r="N17" s="11">
        <f t="shared" si="6"/>
        <v>0</v>
      </c>
      <c r="O17" s="11">
        <f t="shared" si="7"/>
        <v>0</v>
      </c>
      <c r="P17" s="11">
        <f t="shared" si="8"/>
        <v>12000</v>
      </c>
      <c r="Q17" s="11">
        <f t="shared" ref="Q17" si="10">SUM(M17:P17)</f>
        <v>12000</v>
      </c>
      <c r="R17" s="94">
        <v>904</v>
      </c>
    </row>
    <row r="18" spans="1:18" x14ac:dyDescent="0.2">
      <c r="A18" s="165" t="s">
        <v>230</v>
      </c>
      <c r="B18" s="30">
        <v>17</v>
      </c>
      <c r="C18" s="9" t="s">
        <v>199</v>
      </c>
    </row>
    <row r="19" spans="1:18" x14ac:dyDescent="0.2">
      <c r="A19" s="168" t="s">
        <v>230</v>
      </c>
      <c r="B19" s="31">
        <v>18</v>
      </c>
      <c r="C19" s="11" t="s">
        <v>192</v>
      </c>
      <c r="D19" s="11" t="s">
        <v>12</v>
      </c>
      <c r="E19" s="12" t="s">
        <v>191</v>
      </c>
      <c r="F19" s="11">
        <v>7218.75</v>
      </c>
      <c r="G19" s="11">
        <v>1</v>
      </c>
      <c r="H19" s="11">
        <v>1</v>
      </c>
      <c r="I19" s="11">
        <f>VLOOKUP(C19,Resources!$B$3:$G$44,6,FALSE)</f>
        <v>1</v>
      </c>
      <c r="J19" s="38">
        <f t="shared" si="2"/>
        <v>7218.75</v>
      </c>
      <c r="K19" s="12">
        <f t="shared" si="3"/>
        <v>7218.75</v>
      </c>
      <c r="L19" s="11">
        <f t="shared" si="4"/>
        <v>1</v>
      </c>
      <c r="M19" s="11">
        <f t="shared" si="5"/>
        <v>0</v>
      </c>
      <c r="N19" s="11">
        <f t="shared" si="6"/>
        <v>0</v>
      </c>
      <c r="O19" s="11">
        <f t="shared" si="7"/>
        <v>0</v>
      </c>
      <c r="P19" s="11">
        <f t="shared" si="8"/>
        <v>7218.75</v>
      </c>
      <c r="Q19" s="11">
        <f t="shared" ref="Q19" si="11">SUM(M19:P19)</f>
        <v>7218.75</v>
      </c>
      <c r="R19" s="94">
        <v>904</v>
      </c>
    </row>
    <row r="20" spans="1:18" x14ac:dyDescent="0.2">
      <c r="A20" s="165" t="s">
        <v>230</v>
      </c>
      <c r="B20" s="30">
        <v>20</v>
      </c>
      <c r="C20" s="9" t="s">
        <v>17</v>
      </c>
    </row>
    <row r="21" spans="1:18" x14ac:dyDescent="0.2">
      <c r="A21" s="168" t="s">
        <v>230</v>
      </c>
      <c r="B21" s="31">
        <v>21</v>
      </c>
      <c r="C21" s="11" t="s">
        <v>18</v>
      </c>
      <c r="D21" s="11" t="s">
        <v>19</v>
      </c>
      <c r="E21" s="12" t="s">
        <v>190</v>
      </c>
      <c r="F21" s="11">
        <v>9</v>
      </c>
      <c r="G21" s="11">
        <v>1</v>
      </c>
      <c r="H21" s="11">
        <v>1</v>
      </c>
      <c r="I21" s="11">
        <f>VLOOKUP(C21,Resources!$B$3:$G$44,6,FALSE)</f>
        <v>130</v>
      </c>
      <c r="J21" s="38">
        <f t="shared" si="2"/>
        <v>1170</v>
      </c>
      <c r="K21" s="12">
        <f t="shared" si="3"/>
        <v>9</v>
      </c>
      <c r="L21" s="11">
        <f t="shared" si="4"/>
        <v>1</v>
      </c>
      <c r="M21" s="11">
        <f t="shared" si="5"/>
        <v>0</v>
      </c>
      <c r="N21" s="11">
        <f t="shared" si="6"/>
        <v>0</v>
      </c>
      <c r="O21" s="11">
        <f t="shared" si="7"/>
        <v>1170</v>
      </c>
      <c r="P21" s="11">
        <f t="shared" si="8"/>
        <v>0</v>
      </c>
      <c r="Q21" s="11">
        <f t="shared" ref="Q21:Q26" si="12">SUM(M21:P21)</f>
        <v>1170</v>
      </c>
      <c r="R21" s="94">
        <v>13</v>
      </c>
    </row>
    <row r="22" spans="1:18" x14ac:dyDescent="0.2">
      <c r="A22" s="168" t="s">
        <v>230</v>
      </c>
      <c r="B22" s="31">
        <v>22</v>
      </c>
      <c r="C22" s="11" t="s">
        <v>20</v>
      </c>
      <c r="D22" s="11" t="s">
        <v>19</v>
      </c>
      <c r="E22" s="12" t="s">
        <v>191</v>
      </c>
      <c r="F22" s="11">
        <v>9</v>
      </c>
      <c r="G22" s="11">
        <v>1</v>
      </c>
      <c r="H22" s="11">
        <v>1</v>
      </c>
      <c r="I22" s="11">
        <f>VLOOKUP(C22,Resources!$B$3:$G$44,6,FALSE)</f>
        <v>120</v>
      </c>
      <c r="J22" s="38">
        <f t="shared" si="2"/>
        <v>1080</v>
      </c>
      <c r="K22" s="12">
        <f t="shared" si="3"/>
        <v>9</v>
      </c>
      <c r="L22" s="11">
        <f t="shared" si="4"/>
        <v>1</v>
      </c>
      <c r="M22" s="11">
        <f t="shared" si="5"/>
        <v>0</v>
      </c>
      <c r="N22" s="11">
        <f t="shared" si="6"/>
        <v>0</v>
      </c>
      <c r="O22" s="11">
        <f t="shared" si="7"/>
        <v>0</v>
      </c>
      <c r="P22" s="11">
        <f t="shared" si="8"/>
        <v>1080</v>
      </c>
      <c r="Q22" s="11">
        <f t="shared" si="12"/>
        <v>1080</v>
      </c>
      <c r="R22" s="94">
        <v>13</v>
      </c>
    </row>
    <row r="23" spans="1:18" x14ac:dyDescent="0.2">
      <c r="A23" s="168" t="s">
        <v>230</v>
      </c>
      <c r="B23" s="31">
        <v>23</v>
      </c>
      <c r="C23" s="11" t="s">
        <v>21</v>
      </c>
      <c r="D23" s="11" t="s">
        <v>22</v>
      </c>
      <c r="E23" s="12" t="s">
        <v>188</v>
      </c>
      <c r="F23" s="11">
        <v>0.2</v>
      </c>
      <c r="G23" s="11">
        <v>1</v>
      </c>
      <c r="H23" s="11">
        <v>1</v>
      </c>
      <c r="I23" s="11">
        <f>VLOOKUP(C23,Resources!$B$3:$G$44,6,FALSE)</f>
        <v>3250</v>
      </c>
      <c r="J23" s="38">
        <f t="shared" si="2"/>
        <v>650</v>
      </c>
      <c r="K23" s="12">
        <f t="shared" si="3"/>
        <v>0.2</v>
      </c>
      <c r="L23" s="11">
        <f t="shared" si="4"/>
        <v>1</v>
      </c>
      <c r="M23" s="11">
        <f t="shared" si="5"/>
        <v>650</v>
      </c>
      <c r="N23" s="11">
        <f t="shared" si="6"/>
        <v>0</v>
      </c>
      <c r="O23" s="11">
        <f t="shared" si="7"/>
        <v>0</v>
      </c>
      <c r="P23" s="11">
        <f t="shared" si="8"/>
        <v>0</v>
      </c>
      <c r="Q23" s="11">
        <f t="shared" si="12"/>
        <v>650</v>
      </c>
      <c r="R23" s="94">
        <v>31</v>
      </c>
    </row>
    <row r="24" spans="1:18" x14ac:dyDescent="0.2">
      <c r="A24" s="168" t="s">
        <v>230</v>
      </c>
      <c r="B24" s="31">
        <v>24</v>
      </c>
      <c r="C24" s="11" t="s">
        <v>23</v>
      </c>
      <c r="D24" s="11" t="s">
        <v>19</v>
      </c>
      <c r="E24" s="12" t="s">
        <v>190</v>
      </c>
      <c r="F24" s="11">
        <v>9</v>
      </c>
      <c r="G24" s="11">
        <v>1</v>
      </c>
      <c r="H24" s="11">
        <v>1</v>
      </c>
      <c r="I24" s="11">
        <f>VLOOKUP(C24,Resources!$B$3:$G$44,6,FALSE)</f>
        <v>185</v>
      </c>
      <c r="J24" s="38">
        <f t="shared" si="2"/>
        <v>1665</v>
      </c>
      <c r="K24" s="12">
        <f t="shared" si="3"/>
        <v>9</v>
      </c>
      <c r="L24" s="11">
        <f t="shared" si="4"/>
        <v>1</v>
      </c>
      <c r="M24" s="11">
        <f t="shared" si="5"/>
        <v>0</v>
      </c>
      <c r="N24" s="11">
        <f t="shared" si="6"/>
        <v>0</v>
      </c>
      <c r="O24" s="11">
        <f t="shared" si="7"/>
        <v>1665</v>
      </c>
      <c r="P24" s="11">
        <f t="shared" si="8"/>
        <v>0</v>
      </c>
      <c r="Q24" s="11">
        <f t="shared" si="12"/>
        <v>1665</v>
      </c>
      <c r="R24" s="94">
        <v>31</v>
      </c>
    </row>
    <row r="25" spans="1:18" x14ac:dyDescent="0.2">
      <c r="A25" s="168" t="s">
        <v>230</v>
      </c>
      <c r="B25" s="31">
        <v>25</v>
      </c>
      <c r="C25" s="11" t="s">
        <v>18</v>
      </c>
      <c r="D25" s="11" t="s">
        <v>19</v>
      </c>
      <c r="E25" s="12" t="s">
        <v>190</v>
      </c>
      <c r="F25" s="11">
        <v>9</v>
      </c>
      <c r="G25" s="11">
        <v>1</v>
      </c>
      <c r="H25" s="11">
        <v>1</v>
      </c>
      <c r="I25" s="11">
        <f>VLOOKUP(C25,Resources!$B$3:$G$44,6,FALSE)</f>
        <v>130</v>
      </c>
      <c r="J25" s="38">
        <f t="shared" si="2"/>
        <v>1170</v>
      </c>
      <c r="K25" s="12">
        <f t="shared" si="3"/>
        <v>9</v>
      </c>
      <c r="L25" s="11">
        <f t="shared" si="4"/>
        <v>1</v>
      </c>
      <c r="M25" s="11">
        <f t="shared" si="5"/>
        <v>0</v>
      </c>
      <c r="N25" s="11">
        <f t="shared" si="6"/>
        <v>0</v>
      </c>
      <c r="O25" s="11">
        <f t="shared" si="7"/>
        <v>1170</v>
      </c>
      <c r="P25" s="11">
        <f t="shared" si="8"/>
        <v>0</v>
      </c>
      <c r="Q25" s="11">
        <f t="shared" si="12"/>
        <v>1170</v>
      </c>
      <c r="R25" s="94">
        <v>31</v>
      </c>
    </row>
    <row r="26" spans="1:18" x14ac:dyDescent="0.2">
      <c r="A26" s="168" t="s">
        <v>230</v>
      </c>
      <c r="B26" s="31">
        <v>26</v>
      </c>
      <c r="C26" s="11" t="s">
        <v>68</v>
      </c>
      <c r="D26" s="11" t="s">
        <v>19</v>
      </c>
      <c r="E26" s="12" t="s">
        <v>190</v>
      </c>
      <c r="F26" s="11">
        <v>27</v>
      </c>
      <c r="G26" s="11">
        <v>1</v>
      </c>
      <c r="H26" s="11">
        <v>1</v>
      </c>
      <c r="I26" s="11">
        <f>VLOOKUP(C26,Resources!$B$3:$G$44,6,FALSE)</f>
        <v>185</v>
      </c>
      <c r="J26" s="38">
        <f t="shared" si="2"/>
        <v>4995</v>
      </c>
      <c r="K26" s="12">
        <f t="shared" si="3"/>
        <v>27</v>
      </c>
      <c r="L26" s="11">
        <f t="shared" si="4"/>
        <v>1</v>
      </c>
      <c r="M26" s="11">
        <f t="shared" si="5"/>
        <v>0</v>
      </c>
      <c r="N26" s="11">
        <f t="shared" si="6"/>
        <v>0</v>
      </c>
      <c r="O26" s="11">
        <f t="shared" si="7"/>
        <v>4995</v>
      </c>
      <c r="P26" s="11">
        <f t="shared" si="8"/>
        <v>0</v>
      </c>
      <c r="Q26" s="11">
        <f t="shared" si="12"/>
        <v>4995</v>
      </c>
      <c r="R26" s="94">
        <v>31</v>
      </c>
    </row>
    <row r="27" spans="1:18" x14ac:dyDescent="0.2">
      <c r="A27" s="165" t="s">
        <v>230</v>
      </c>
    </row>
    <row r="28" spans="1:18" ht="33.75" x14ac:dyDescent="0.2">
      <c r="A28" s="167">
        <v>5</v>
      </c>
      <c r="B28" s="29" t="s">
        <v>24</v>
      </c>
      <c r="C28" s="6" t="s">
        <v>25</v>
      </c>
      <c r="D28" s="7" t="s">
        <v>12</v>
      </c>
      <c r="E28" s="8"/>
      <c r="F28" s="7"/>
      <c r="G28" s="7"/>
      <c r="H28" s="7">
        <v>1</v>
      </c>
      <c r="I28" s="7"/>
      <c r="J28" s="7">
        <f t="shared" ref="J28" si="13">SUBTOTAL(9,J30:J39)</f>
        <v>20838.999799999998</v>
      </c>
      <c r="K28" s="7"/>
      <c r="L28" s="45">
        <f>VLOOKUP($A28,'Model Inputs'!$A:$C,3,FALSE)</f>
        <v>5</v>
      </c>
      <c r="M28" s="7">
        <f>SUBTOTAL(9,M30:M39)</f>
        <v>13212</v>
      </c>
      <c r="N28" s="7">
        <f t="shared" ref="N28:Q28" si="14">SUBTOTAL(9,N30:N39)</f>
        <v>3999.9998000000001</v>
      </c>
      <c r="O28" s="7">
        <f t="shared" si="14"/>
        <v>3627</v>
      </c>
      <c r="P28" s="7">
        <f t="shared" si="14"/>
        <v>0</v>
      </c>
      <c r="Q28" s="7">
        <f t="shared" si="14"/>
        <v>20838.999799999998</v>
      </c>
      <c r="R28" s="93"/>
    </row>
    <row r="29" spans="1:18" x14ac:dyDescent="0.2">
      <c r="A29" s="165" t="s">
        <v>230</v>
      </c>
      <c r="B29" s="30">
        <v>1</v>
      </c>
      <c r="C29" s="13" t="s">
        <v>26</v>
      </c>
    </row>
    <row r="30" spans="1:18" x14ac:dyDescent="0.2">
      <c r="A30" s="168" t="s">
        <v>230</v>
      </c>
      <c r="B30" s="31">
        <v>2</v>
      </c>
      <c r="C30" s="11" t="s">
        <v>21</v>
      </c>
      <c r="D30" s="11" t="s">
        <v>22</v>
      </c>
      <c r="E30" s="12" t="s">
        <v>188</v>
      </c>
      <c r="F30" s="11">
        <v>1</v>
      </c>
      <c r="G30" s="11">
        <v>1</v>
      </c>
      <c r="H30" s="11">
        <v>1</v>
      </c>
      <c r="I30" s="11">
        <f>VLOOKUP(C30,Resources!$B$3:$G$44,6,FALSE)</f>
        <v>3250</v>
      </c>
      <c r="J30" s="38">
        <f t="shared" ref="J30" si="15">I30*H30*F30</f>
        <v>3250</v>
      </c>
      <c r="K30" s="12">
        <f t="shared" ref="K30" si="16">IF(E30="M"," ",L30*F30)</f>
        <v>1</v>
      </c>
      <c r="L30" s="11">
        <f t="shared" ref="L30" si="17">IF(E30="M"," ",H30/G30)</f>
        <v>1</v>
      </c>
      <c r="M30" s="11">
        <f t="shared" ref="M30" si="18">IF($E30="L",$J30,0)</f>
        <v>3250</v>
      </c>
      <c r="N30" s="11">
        <f t="shared" ref="N30" si="19">IF($E30="M",$J30,0)</f>
        <v>0</v>
      </c>
      <c r="O30" s="11">
        <f t="shared" ref="O30" si="20">IF($E30="P",$J30,0)</f>
        <v>0</v>
      </c>
      <c r="P30" s="11">
        <f t="shared" ref="P30" si="21">IF($E30="S",$J30,0)</f>
        <v>0</v>
      </c>
      <c r="Q30" s="11">
        <f t="shared" ref="Q30" si="22">SUM(M30:P30)</f>
        <v>3250</v>
      </c>
      <c r="R30" s="94">
        <v>901</v>
      </c>
    </row>
    <row r="31" spans="1:18" x14ac:dyDescent="0.2">
      <c r="A31" s="165" t="s">
        <v>230</v>
      </c>
      <c r="B31" s="30">
        <v>4</v>
      </c>
      <c r="C31" s="13" t="s">
        <v>27</v>
      </c>
    </row>
    <row r="32" spans="1:18" x14ac:dyDescent="0.2">
      <c r="A32" s="168" t="s">
        <v>230</v>
      </c>
      <c r="B32" s="31">
        <v>5</v>
      </c>
      <c r="C32" s="11" t="s">
        <v>28</v>
      </c>
      <c r="D32" s="11" t="s">
        <v>22</v>
      </c>
      <c r="E32" s="12" t="s">
        <v>188</v>
      </c>
      <c r="F32" s="11">
        <v>1</v>
      </c>
      <c r="G32" s="11">
        <v>1</v>
      </c>
      <c r="H32" s="11">
        <v>1</v>
      </c>
      <c r="I32" s="11">
        <f>VLOOKUP(C32,Resources!$B$3:$G$44,6,FALSE)</f>
        <v>3350</v>
      </c>
      <c r="J32" s="38">
        <f t="shared" ref="J32:J36" si="23">I32*H32*F32</f>
        <v>3350</v>
      </c>
      <c r="K32" s="12">
        <f t="shared" ref="K32:K36" si="24">IF(E32="M"," ",L32*F32)</f>
        <v>1</v>
      </c>
      <c r="L32" s="11">
        <f t="shared" ref="L32:L36" si="25">IF(E32="M"," ",H32/G32)</f>
        <v>1</v>
      </c>
      <c r="M32" s="11">
        <f t="shared" ref="M32:M36" si="26">IF($E32="L",$J32,0)</f>
        <v>3350</v>
      </c>
      <c r="N32" s="11">
        <f t="shared" ref="N32:N36" si="27">IF($E32="M",$J32,0)</f>
        <v>0</v>
      </c>
      <c r="O32" s="11">
        <f t="shared" ref="O32:O36" si="28">IF($E32="P",$J32,0)</f>
        <v>0</v>
      </c>
      <c r="P32" s="11">
        <f t="shared" ref="P32:P36" si="29">IF($E32="S",$J32,0)</f>
        <v>0</v>
      </c>
      <c r="Q32" s="11">
        <f t="shared" ref="Q32:Q36" si="30">SUM(M32:P32)</f>
        <v>3350</v>
      </c>
      <c r="R32" s="94">
        <v>902</v>
      </c>
    </row>
    <row r="33" spans="1:18" x14ac:dyDescent="0.2">
      <c r="A33" s="168" t="s">
        <v>230</v>
      </c>
      <c r="B33" s="31">
        <v>6</v>
      </c>
      <c r="C33" s="11" t="s">
        <v>5</v>
      </c>
      <c r="D33" s="11" t="s">
        <v>19</v>
      </c>
      <c r="E33" s="12" t="s">
        <v>188</v>
      </c>
      <c r="F33" s="11">
        <v>3</v>
      </c>
      <c r="G33" s="11">
        <v>1</v>
      </c>
      <c r="H33" s="11">
        <v>18</v>
      </c>
      <c r="I33" s="11">
        <f>VLOOKUP(C33,Resources!$B$3:$G$44,6,FALSE)</f>
        <v>38</v>
      </c>
      <c r="J33" s="38">
        <f t="shared" si="23"/>
        <v>2052</v>
      </c>
      <c r="K33" s="12">
        <f t="shared" si="24"/>
        <v>54</v>
      </c>
      <c r="L33" s="11">
        <f t="shared" si="25"/>
        <v>18</v>
      </c>
      <c r="M33" s="11">
        <f t="shared" si="26"/>
        <v>2052</v>
      </c>
      <c r="N33" s="11">
        <f t="shared" si="27"/>
        <v>0</v>
      </c>
      <c r="O33" s="11">
        <f t="shared" si="28"/>
        <v>0</v>
      </c>
      <c r="P33" s="11">
        <f t="shared" si="29"/>
        <v>0</v>
      </c>
      <c r="Q33" s="11">
        <f t="shared" si="30"/>
        <v>2052</v>
      </c>
      <c r="R33" s="94">
        <v>151</v>
      </c>
    </row>
    <row r="34" spans="1:18" x14ac:dyDescent="0.2">
      <c r="A34" s="168" t="s">
        <v>230</v>
      </c>
      <c r="B34" s="31">
        <v>7</v>
      </c>
      <c r="C34" s="11" t="s">
        <v>29</v>
      </c>
      <c r="D34" s="11" t="s">
        <v>19</v>
      </c>
      <c r="E34" s="12" t="s">
        <v>190</v>
      </c>
      <c r="F34" s="11">
        <v>1</v>
      </c>
      <c r="G34" s="11">
        <v>1</v>
      </c>
      <c r="H34" s="11">
        <v>18</v>
      </c>
      <c r="I34" s="11">
        <f>VLOOKUP(C34,Resources!$B$3:$G$44,6,FALSE)</f>
        <v>46.5</v>
      </c>
      <c r="J34" s="38">
        <f t="shared" si="23"/>
        <v>837</v>
      </c>
      <c r="K34" s="12">
        <f t="shared" si="24"/>
        <v>18</v>
      </c>
      <c r="L34" s="11">
        <f t="shared" si="25"/>
        <v>18</v>
      </c>
      <c r="M34" s="11">
        <f t="shared" si="26"/>
        <v>0</v>
      </c>
      <c r="N34" s="11">
        <f t="shared" si="27"/>
        <v>0</v>
      </c>
      <c r="O34" s="11">
        <f t="shared" si="28"/>
        <v>837</v>
      </c>
      <c r="P34" s="11">
        <f t="shared" si="29"/>
        <v>0</v>
      </c>
      <c r="Q34" s="11">
        <f t="shared" si="30"/>
        <v>837</v>
      </c>
      <c r="R34" s="94">
        <v>151</v>
      </c>
    </row>
    <row r="35" spans="1:18" x14ac:dyDescent="0.2">
      <c r="A35" s="168" t="s">
        <v>230</v>
      </c>
      <c r="B35" s="31">
        <v>8</v>
      </c>
      <c r="C35" s="11" t="s">
        <v>30</v>
      </c>
      <c r="D35" s="11" t="s">
        <v>31</v>
      </c>
      <c r="E35" s="12" t="s">
        <v>189</v>
      </c>
      <c r="F35" s="11">
        <v>1000</v>
      </c>
      <c r="G35" s="11">
        <v>1</v>
      </c>
      <c r="H35" s="11">
        <v>1</v>
      </c>
      <c r="I35" s="11">
        <f>VLOOKUP(C35,Resources!$B$3:$G$44,6,FALSE)</f>
        <v>2</v>
      </c>
      <c r="J35" s="38">
        <f t="shared" si="23"/>
        <v>2000</v>
      </c>
      <c r="K35" s="12" t="str">
        <f t="shared" si="24"/>
        <v xml:space="preserve"> </v>
      </c>
      <c r="L35" s="11" t="str">
        <f t="shared" si="25"/>
        <v xml:space="preserve"> </v>
      </c>
      <c r="M35" s="11">
        <f t="shared" si="26"/>
        <v>0</v>
      </c>
      <c r="N35" s="11">
        <f t="shared" si="27"/>
        <v>2000</v>
      </c>
      <c r="O35" s="11">
        <f t="shared" si="28"/>
        <v>0</v>
      </c>
      <c r="P35" s="11">
        <f t="shared" si="29"/>
        <v>0</v>
      </c>
      <c r="Q35" s="11">
        <f t="shared" si="30"/>
        <v>2000</v>
      </c>
      <c r="R35" s="94">
        <v>151</v>
      </c>
    </row>
    <row r="36" spans="1:18" x14ac:dyDescent="0.2">
      <c r="A36" s="168" t="s">
        <v>230</v>
      </c>
      <c r="B36" s="31">
        <v>9</v>
      </c>
      <c r="C36" s="11" t="s">
        <v>32</v>
      </c>
      <c r="D36" s="11" t="s">
        <v>33</v>
      </c>
      <c r="E36" s="12" t="s">
        <v>189</v>
      </c>
      <c r="F36" s="11">
        <v>333.33330000000001</v>
      </c>
      <c r="G36" s="11">
        <v>1</v>
      </c>
      <c r="H36" s="11">
        <v>1</v>
      </c>
      <c r="I36" s="11">
        <f>VLOOKUP(C36,Resources!$B$3:$G$44,6,FALSE)</f>
        <v>6</v>
      </c>
      <c r="J36" s="38">
        <f t="shared" si="23"/>
        <v>1999.9998000000001</v>
      </c>
      <c r="K36" s="12" t="str">
        <f t="shared" si="24"/>
        <v xml:space="preserve"> </v>
      </c>
      <c r="L36" s="11" t="str">
        <f t="shared" si="25"/>
        <v xml:space="preserve"> </v>
      </c>
      <c r="M36" s="11">
        <f t="shared" si="26"/>
        <v>0</v>
      </c>
      <c r="N36" s="11">
        <f t="shared" si="27"/>
        <v>1999.9998000000001</v>
      </c>
      <c r="O36" s="11">
        <f t="shared" si="28"/>
        <v>0</v>
      </c>
      <c r="P36" s="11">
        <f t="shared" si="29"/>
        <v>0</v>
      </c>
      <c r="Q36" s="11">
        <f t="shared" si="30"/>
        <v>1999.9998000000001</v>
      </c>
      <c r="R36" s="94">
        <v>151</v>
      </c>
    </row>
    <row r="37" spans="1:18" x14ac:dyDescent="0.2">
      <c r="A37" s="165" t="s">
        <v>230</v>
      </c>
      <c r="B37" s="30">
        <v>11</v>
      </c>
      <c r="C37" s="13" t="s">
        <v>34</v>
      </c>
    </row>
    <row r="38" spans="1:18" x14ac:dyDescent="0.2">
      <c r="A38" s="168" t="s">
        <v>230</v>
      </c>
      <c r="B38" s="31">
        <v>12</v>
      </c>
      <c r="C38" s="11" t="s">
        <v>5</v>
      </c>
      <c r="D38" s="11" t="s">
        <v>19</v>
      </c>
      <c r="E38" s="12" t="s">
        <v>188</v>
      </c>
      <c r="F38" s="11">
        <v>120</v>
      </c>
      <c r="G38" s="11">
        <v>1</v>
      </c>
      <c r="H38" s="11">
        <v>1</v>
      </c>
      <c r="I38" s="11">
        <f>VLOOKUP(C38,Resources!$B$3:$G$44,6,FALSE)</f>
        <v>38</v>
      </c>
      <c r="J38" s="38">
        <f t="shared" ref="J38:J39" si="31">I38*H38*F38</f>
        <v>4560</v>
      </c>
      <c r="K38" s="12">
        <f t="shared" ref="K38:K39" si="32">IF(E38="M"," ",L38*F38)</f>
        <v>120</v>
      </c>
      <c r="L38" s="11">
        <f t="shared" ref="L38:L39" si="33">IF(E38="M"," ",H38/G38)</f>
        <v>1</v>
      </c>
      <c r="M38" s="11">
        <f t="shared" ref="M38:M39" si="34">IF($E38="L",$J38,0)</f>
        <v>4560</v>
      </c>
      <c r="N38" s="11">
        <f t="shared" ref="N38:N39" si="35">IF($E38="M",$J38,0)</f>
        <v>0</v>
      </c>
      <c r="O38" s="11">
        <f t="shared" ref="O38:O39" si="36">IF($E38="P",$J38,0)</f>
        <v>0</v>
      </c>
      <c r="P38" s="11">
        <f t="shared" ref="P38:P39" si="37">IF($E38="S",$J38,0)</f>
        <v>0</v>
      </c>
      <c r="Q38" s="11">
        <f t="shared" ref="Q38:Q39" si="38">SUM(M38:P38)</f>
        <v>4560</v>
      </c>
      <c r="R38" s="94">
        <v>151</v>
      </c>
    </row>
    <row r="39" spans="1:18" x14ac:dyDescent="0.2">
      <c r="A39" s="168" t="s">
        <v>230</v>
      </c>
      <c r="B39" s="31">
        <v>13</v>
      </c>
      <c r="C39" s="11" t="s">
        <v>29</v>
      </c>
      <c r="D39" s="11" t="s">
        <v>19</v>
      </c>
      <c r="E39" s="12" t="s">
        <v>190</v>
      </c>
      <c r="F39" s="11">
        <v>60</v>
      </c>
      <c r="G39" s="11">
        <v>1</v>
      </c>
      <c r="H39" s="11">
        <v>1</v>
      </c>
      <c r="I39" s="11">
        <f>VLOOKUP(C39,Resources!$B$3:$G$44,6,FALSE)</f>
        <v>46.5</v>
      </c>
      <c r="J39" s="38">
        <f t="shared" si="31"/>
        <v>2790</v>
      </c>
      <c r="K39" s="12">
        <f t="shared" si="32"/>
        <v>60</v>
      </c>
      <c r="L39" s="11">
        <f t="shared" si="33"/>
        <v>1</v>
      </c>
      <c r="M39" s="11">
        <f t="shared" si="34"/>
        <v>0</v>
      </c>
      <c r="N39" s="11">
        <f t="shared" si="35"/>
        <v>0</v>
      </c>
      <c r="O39" s="11">
        <f t="shared" si="36"/>
        <v>2790</v>
      </c>
      <c r="P39" s="11">
        <f t="shared" si="37"/>
        <v>0</v>
      </c>
      <c r="Q39" s="11">
        <f t="shared" si="38"/>
        <v>2790</v>
      </c>
      <c r="R39" s="94">
        <v>151</v>
      </c>
    </row>
    <row r="40" spans="1:18" x14ac:dyDescent="0.2">
      <c r="A40" s="165" t="s">
        <v>230</v>
      </c>
    </row>
    <row r="41" spans="1:18" ht="22.5" x14ac:dyDescent="0.2">
      <c r="A41" s="167">
        <v>6</v>
      </c>
      <c r="B41" s="29" t="s">
        <v>35</v>
      </c>
      <c r="C41" s="6" t="s">
        <v>36</v>
      </c>
      <c r="D41" s="7" t="s">
        <v>12</v>
      </c>
      <c r="E41" s="8"/>
      <c r="F41" s="7"/>
      <c r="G41" s="7"/>
      <c r="H41" s="7">
        <v>1</v>
      </c>
      <c r="I41" s="7"/>
      <c r="J41" s="7">
        <f t="shared" ref="J41" si="39">SUBTOTAL(9,J42)</f>
        <v>6500</v>
      </c>
      <c r="K41" s="7"/>
      <c r="L41" s="7">
        <f>MAX(L42)</f>
        <v>1</v>
      </c>
      <c r="M41" s="7">
        <f>SUBTOTAL(9,M42)</f>
        <v>6500</v>
      </c>
      <c r="N41" s="7">
        <f t="shared" ref="N41:Q41" si="40">SUBTOTAL(9,N42)</f>
        <v>0</v>
      </c>
      <c r="O41" s="7">
        <f t="shared" si="40"/>
        <v>0</v>
      </c>
      <c r="P41" s="7">
        <f t="shared" si="40"/>
        <v>0</v>
      </c>
      <c r="Q41" s="7">
        <f t="shared" si="40"/>
        <v>6500</v>
      </c>
      <c r="R41" s="93"/>
    </row>
    <row r="42" spans="1:18" x14ac:dyDescent="0.2">
      <c r="A42" s="168" t="s">
        <v>230</v>
      </c>
      <c r="B42" s="31">
        <v>1</v>
      </c>
      <c r="C42" s="11" t="s">
        <v>21</v>
      </c>
      <c r="D42" s="11" t="s">
        <v>22</v>
      </c>
      <c r="E42" s="12" t="s">
        <v>188</v>
      </c>
      <c r="F42" s="11">
        <v>2</v>
      </c>
      <c r="G42" s="11">
        <v>1</v>
      </c>
      <c r="H42" s="11">
        <v>1</v>
      </c>
      <c r="I42" s="11">
        <f>VLOOKUP(C42,Resources!$B$3:$G$44,6,FALSE)</f>
        <v>3250</v>
      </c>
      <c r="J42" s="38">
        <f t="shared" ref="J42" si="41">I42*H42*F42</f>
        <v>6500</v>
      </c>
      <c r="K42" s="12">
        <f t="shared" ref="K42" si="42">IF(E42="M"," ",L42*F42)</f>
        <v>2</v>
      </c>
      <c r="L42" s="11">
        <f t="shared" ref="L42" si="43">IF(E42="M"," ",H42/G42)</f>
        <v>1</v>
      </c>
      <c r="M42" s="11">
        <f t="shared" ref="M42" si="44">IF($E42="L",$J42,0)</f>
        <v>6500</v>
      </c>
      <c r="N42" s="11">
        <f t="shared" ref="N42" si="45">IF($E42="M",$J42,0)</f>
        <v>0</v>
      </c>
      <c r="O42" s="11">
        <f t="shared" ref="O42" si="46">IF($E42="P",$J42,0)</f>
        <v>0</v>
      </c>
      <c r="P42" s="11">
        <f t="shared" ref="P42" si="47">IF($E42="S",$J42,0)</f>
        <v>0</v>
      </c>
      <c r="Q42" s="11">
        <f t="shared" ref="Q42" si="48">SUM(M42:P42)</f>
        <v>6500</v>
      </c>
      <c r="R42" s="94">
        <v>901</v>
      </c>
    </row>
    <row r="43" spans="1:18" x14ac:dyDescent="0.2">
      <c r="A43" s="165" t="s">
        <v>230</v>
      </c>
    </row>
    <row r="44" spans="1:18" ht="22.5" x14ac:dyDescent="0.2">
      <c r="A44" s="167" t="s">
        <v>230</v>
      </c>
      <c r="B44" s="29" t="s">
        <v>37</v>
      </c>
      <c r="C44" s="6" t="s">
        <v>38</v>
      </c>
      <c r="D44" s="7" t="s">
        <v>12</v>
      </c>
      <c r="E44" s="8"/>
      <c r="F44" s="7"/>
      <c r="G44" s="7"/>
      <c r="H44" s="7">
        <v>1</v>
      </c>
      <c r="I44" s="7"/>
      <c r="J44" s="7">
        <f t="shared" ref="J44" si="49">SUBTOTAL(9,J46:J50)</f>
        <v>20230</v>
      </c>
      <c r="K44" s="7"/>
      <c r="L44" s="45">
        <v>1</v>
      </c>
      <c r="M44" s="7">
        <f>SUBTOTAL(9,M46:M50)</f>
        <v>17020</v>
      </c>
      <c r="N44" s="7">
        <f t="shared" ref="N44:Q44" si="50">SUBTOTAL(9,N46:N50)</f>
        <v>0</v>
      </c>
      <c r="O44" s="7">
        <f t="shared" si="50"/>
        <v>0</v>
      </c>
      <c r="P44" s="7">
        <f t="shared" si="50"/>
        <v>3210</v>
      </c>
      <c r="Q44" s="7">
        <f t="shared" si="50"/>
        <v>20230</v>
      </c>
      <c r="R44" s="93"/>
    </row>
    <row r="45" spans="1:18" x14ac:dyDescent="0.2">
      <c r="A45" s="165" t="s">
        <v>230</v>
      </c>
      <c r="B45" s="30">
        <v>1</v>
      </c>
      <c r="C45" s="13" t="s">
        <v>39</v>
      </c>
    </row>
    <row r="46" spans="1:18" x14ac:dyDescent="0.2">
      <c r="A46" s="168" t="s">
        <v>230</v>
      </c>
      <c r="B46" s="31">
        <v>2</v>
      </c>
      <c r="C46" s="11" t="s">
        <v>40</v>
      </c>
      <c r="D46" s="11" t="s">
        <v>19</v>
      </c>
      <c r="E46" s="12" t="s">
        <v>188</v>
      </c>
      <c r="F46" s="11">
        <v>52</v>
      </c>
      <c r="G46" s="11">
        <v>1</v>
      </c>
      <c r="H46" s="11">
        <v>1</v>
      </c>
      <c r="I46" s="11">
        <f>VLOOKUP(C46,Resources!$B$3:$G$44,6,FALSE)</f>
        <v>185</v>
      </c>
      <c r="J46" s="38">
        <f t="shared" ref="J46:J47" si="51">I46*H46*F46</f>
        <v>9620</v>
      </c>
      <c r="K46" s="12">
        <f t="shared" ref="K46:K47" si="52">IF(E46="M"," ",L46*F46)</f>
        <v>52</v>
      </c>
      <c r="L46" s="11">
        <f t="shared" ref="L46:L47" si="53">IF(E46="M"," ",H46/G46)</f>
        <v>1</v>
      </c>
      <c r="M46" s="11">
        <f t="shared" ref="M46:M47" si="54">IF($E46="L",$J46,0)</f>
        <v>9620</v>
      </c>
      <c r="N46" s="11">
        <f t="shared" ref="N46:N47" si="55">IF($E46="M",$J46,0)</f>
        <v>0</v>
      </c>
      <c r="O46" s="11">
        <f t="shared" ref="O46:O47" si="56">IF($E46="P",$J46,0)</f>
        <v>0</v>
      </c>
      <c r="P46" s="11">
        <f t="shared" ref="P46:P47" si="57">IF($E46="S",$J46,0)</f>
        <v>0</v>
      </c>
      <c r="Q46" s="11">
        <f t="shared" ref="Q46:Q47" si="58">SUM(M46:P46)</f>
        <v>9620</v>
      </c>
      <c r="R46" s="94">
        <v>11</v>
      </c>
    </row>
    <row r="47" spans="1:18" x14ac:dyDescent="0.2">
      <c r="A47" s="168" t="s">
        <v>230</v>
      </c>
      <c r="B47" s="31">
        <v>3</v>
      </c>
      <c r="C47" s="11" t="s">
        <v>40</v>
      </c>
      <c r="D47" s="11" t="s">
        <v>19</v>
      </c>
      <c r="E47" s="12" t="s">
        <v>188</v>
      </c>
      <c r="F47" s="11">
        <v>40</v>
      </c>
      <c r="G47" s="11">
        <v>1</v>
      </c>
      <c r="H47" s="11">
        <v>1</v>
      </c>
      <c r="I47" s="11">
        <f>VLOOKUP(C47,Resources!$B$3:$G$44,6,FALSE)</f>
        <v>185</v>
      </c>
      <c r="J47" s="38">
        <f t="shared" si="51"/>
        <v>7400</v>
      </c>
      <c r="K47" s="12">
        <f t="shared" si="52"/>
        <v>40</v>
      </c>
      <c r="L47" s="11">
        <f t="shared" si="53"/>
        <v>1</v>
      </c>
      <c r="M47" s="11">
        <f t="shared" si="54"/>
        <v>7400</v>
      </c>
      <c r="N47" s="11">
        <f t="shared" si="55"/>
        <v>0</v>
      </c>
      <c r="O47" s="11">
        <f t="shared" si="56"/>
        <v>0</v>
      </c>
      <c r="P47" s="11">
        <f t="shared" si="57"/>
        <v>0</v>
      </c>
      <c r="Q47" s="11">
        <f t="shared" si="58"/>
        <v>7400</v>
      </c>
      <c r="R47" s="94">
        <v>11</v>
      </c>
    </row>
    <row r="48" spans="1:18" x14ac:dyDescent="0.2">
      <c r="A48" s="165" t="s">
        <v>230</v>
      </c>
      <c r="B48" s="30">
        <v>4</v>
      </c>
      <c r="C48" s="13" t="s">
        <v>41</v>
      </c>
    </row>
    <row r="49" spans="1:20" x14ac:dyDescent="0.2">
      <c r="A49" s="168" t="s">
        <v>230</v>
      </c>
      <c r="B49" s="31">
        <v>5</v>
      </c>
      <c r="C49" s="11" t="s">
        <v>42</v>
      </c>
      <c r="D49" s="11" t="s">
        <v>33</v>
      </c>
      <c r="E49" s="12" t="s">
        <v>191</v>
      </c>
      <c r="F49" s="11">
        <v>50</v>
      </c>
      <c r="G49" s="11">
        <v>1</v>
      </c>
      <c r="H49" s="11">
        <v>1</v>
      </c>
      <c r="I49" s="11">
        <f>VLOOKUP(C49,Resources!$B$3:$G$44,6,FALSE)</f>
        <v>45</v>
      </c>
      <c r="J49" s="38">
        <f>(H49/G49)*I49*F49</f>
        <v>2250</v>
      </c>
      <c r="K49" s="12">
        <f t="shared" ref="K49:K50" si="59">IF(E49="M"," ",L49*F49)</f>
        <v>50</v>
      </c>
      <c r="L49" s="11">
        <f t="shared" ref="L49:L50" si="60">IF(E49="M"," ",H49/G49)</f>
        <v>1</v>
      </c>
      <c r="M49" s="11">
        <f t="shared" ref="M49:M50" si="61">IF($E49="L",$J49,0)</f>
        <v>0</v>
      </c>
      <c r="N49" s="11">
        <f t="shared" ref="N49:N50" si="62">IF($E49="M",$J49,0)</f>
        <v>0</v>
      </c>
      <c r="O49" s="11">
        <f t="shared" ref="O49:O50" si="63">IF($E49="P",$J49,0)</f>
        <v>0</v>
      </c>
      <c r="P49" s="11">
        <f t="shared" ref="P49:P50" si="64">IF($E49="S",$J49,0)</f>
        <v>2250</v>
      </c>
      <c r="Q49" s="11">
        <f t="shared" ref="Q49:Q50" si="65">SUM(M49:P49)</f>
        <v>2250</v>
      </c>
      <c r="R49" s="94">
        <v>13</v>
      </c>
    </row>
    <row r="50" spans="1:20" x14ac:dyDescent="0.2">
      <c r="A50" s="168" t="s">
        <v>230</v>
      </c>
      <c r="B50" s="31">
        <v>6</v>
      </c>
      <c r="C50" s="11" t="s">
        <v>20</v>
      </c>
      <c r="D50" s="11" t="s">
        <v>19</v>
      </c>
      <c r="E50" s="12" t="s">
        <v>191</v>
      </c>
      <c r="F50" s="11">
        <v>8</v>
      </c>
      <c r="G50" s="11">
        <v>1</v>
      </c>
      <c r="H50" s="11">
        <v>1</v>
      </c>
      <c r="I50" s="11">
        <f>VLOOKUP(C50,Resources!$B$3:$G$44,6,FALSE)</f>
        <v>120</v>
      </c>
      <c r="J50" s="38">
        <f>(H50/G50)*I50*F50</f>
        <v>960</v>
      </c>
      <c r="K50" s="12">
        <f t="shared" si="59"/>
        <v>8</v>
      </c>
      <c r="L50" s="11">
        <f t="shared" si="60"/>
        <v>1</v>
      </c>
      <c r="M50" s="11">
        <f t="shared" si="61"/>
        <v>0</v>
      </c>
      <c r="N50" s="11">
        <f t="shared" si="62"/>
        <v>0</v>
      </c>
      <c r="O50" s="11">
        <f t="shared" si="63"/>
        <v>0</v>
      </c>
      <c r="P50" s="11">
        <f t="shared" si="64"/>
        <v>960</v>
      </c>
      <c r="Q50" s="11">
        <f t="shared" si="65"/>
        <v>960</v>
      </c>
      <c r="R50" s="94">
        <v>13</v>
      </c>
    </row>
    <row r="51" spans="1:20" x14ac:dyDescent="0.2">
      <c r="A51" s="165" t="s">
        <v>230</v>
      </c>
    </row>
    <row r="52" spans="1:20" s="36" customFormat="1" x14ac:dyDescent="0.2">
      <c r="A52" s="169">
        <v>7</v>
      </c>
      <c r="B52" s="32"/>
      <c r="C52" s="2" t="s">
        <v>201</v>
      </c>
      <c r="D52" s="34"/>
      <c r="E52" s="35"/>
      <c r="F52" s="34"/>
      <c r="G52" s="34"/>
      <c r="H52" s="34"/>
      <c r="I52" s="34"/>
      <c r="J52" s="39"/>
      <c r="K52" s="35"/>
      <c r="L52" s="34"/>
      <c r="M52" s="34"/>
      <c r="N52" s="34"/>
      <c r="O52" s="34"/>
      <c r="P52" s="34"/>
      <c r="Q52" s="34"/>
      <c r="R52" s="95"/>
      <c r="S52" s="5"/>
      <c r="T52" s="5"/>
    </row>
    <row r="53" spans="1:20" ht="22.5" x14ac:dyDescent="0.2">
      <c r="A53" s="167">
        <v>8</v>
      </c>
      <c r="B53" s="29" t="s">
        <v>43</v>
      </c>
      <c r="C53" s="6" t="s">
        <v>44</v>
      </c>
      <c r="D53" s="7" t="s">
        <v>45</v>
      </c>
      <c r="E53" s="8"/>
      <c r="F53" s="7"/>
      <c r="G53" s="7"/>
      <c r="H53" s="45">
        <f>VLOOKUP($A53,'Model Inputs'!$A:$C,3,FALSE)</f>
        <v>20000</v>
      </c>
      <c r="I53" s="7"/>
      <c r="J53" s="7">
        <f t="shared" ref="J53" si="66">SUBTOTAL(9,J56:J71)</f>
        <v>69435.555555555562</v>
      </c>
      <c r="K53" s="7"/>
      <c r="L53" s="7">
        <f>ROUNDUP(MAX(L56:L71)/work,0)</f>
        <v>12</v>
      </c>
      <c r="M53" s="7">
        <f>SUBTOTAL(9,M56:M71)</f>
        <v>9162.2222222222226</v>
      </c>
      <c r="N53" s="7">
        <f t="shared" ref="N53:Q53" si="67">SUBTOTAL(9,N56:N71)</f>
        <v>0</v>
      </c>
      <c r="O53" s="7">
        <f t="shared" si="67"/>
        <v>60273.333333333336</v>
      </c>
      <c r="P53" s="7">
        <f t="shared" si="67"/>
        <v>0</v>
      </c>
      <c r="Q53" s="7">
        <f t="shared" si="67"/>
        <v>69435.555555555562</v>
      </c>
      <c r="R53" s="93"/>
      <c r="S53" s="36"/>
    </row>
    <row r="54" spans="1:20" x14ac:dyDescent="0.2">
      <c r="A54" s="165" t="s">
        <v>230</v>
      </c>
      <c r="B54" s="30">
        <v>1</v>
      </c>
      <c r="C54" s="13" t="s">
        <v>46</v>
      </c>
    </row>
    <row r="55" spans="1:20" ht="33.75" x14ac:dyDescent="0.2">
      <c r="A55" s="165" t="s">
        <v>230</v>
      </c>
      <c r="B55" s="30">
        <v>2</v>
      </c>
      <c r="C55" s="13" t="s">
        <v>47</v>
      </c>
    </row>
    <row r="56" spans="1:20" x14ac:dyDescent="0.2">
      <c r="A56" s="168" t="s">
        <v>230</v>
      </c>
      <c r="B56" s="31">
        <v>3</v>
      </c>
      <c r="C56" s="11" t="s">
        <v>23</v>
      </c>
      <c r="D56" s="11" t="s">
        <v>19</v>
      </c>
      <c r="E56" s="12" t="s">
        <v>190</v>
      </c>
      <c r="F56" s="11">
        <v>1</v>
      </c>
      <c r="G56" s="11">
        <v>150</v>
      </c>
      <c r="H56" s="11">
        <f>H53*0.15</f>
        <v>3000</v>
      </c>
      <c r="I56" s="11">
        <f>VLOOKUP(C56,Resources!$B$3:$G$44,6,FALSE)</f>
        <v>185</v>
      </c>
      <c r="J56" s="38">
        <f>(H56/G56)*I56*F56</f>
        <v>3700</v>
      </c>
      <c r="K56" s="12">
        <f t="shared" ref="K56:K58" si="68">IF(E56="M"," ",L56*F56)</f>
        <v>20</v>
      </c>
      <c r="L56" s="11">
        <f t="shared" ref="L56:L58" si="69">IF(E56="M"," ",H56/G56)</f>
        <v>20</v>
      </c>
      <c r="M56" s="11">
        <f t="shared" ref="M56:M58" si="70">IF($E56="L",$J56,0)</f>
        <v>0</v>
      </c>
      <c r="N56" s="11">
        <f t="shared" ref="N56:N58" si="71">IF($E56="M",$J56,0)</f>
        <v>0</v>
      </c>
      <c r="O56" s="11">
        <f t="shared" ref="O56:O58" si="72">IF($E56="P",$J56,0)</f>
        <v>3700</v>
      </c>
      <c r="P56" s="11">
        <f t="shared" ref="P56:P58" si="73">IF($E56="S",$J56,0)</f>
        <v>0</v>
      </c>
      <c r="Q56" s="11">
        <f t="shared" ref="Q56:Q58" si="74">SUM(M56:P56)</f>
        <v>3700</v>
      </c>
      <c r="R56" s="94">
        <v>31</v>
      </c>
    </row>
    <row r="57" spans="1:20" x14ac:dyDescent="0.2">
      <c r="A57" s="168">
        <v>8.1</v>
      </c>
      <c r="B57" s="31">
        <v>4</v>
      </c>
      <c r="C57" s="11" t="s">
        <v>18</v>
      </c>
      <c r="D57" s="11" t="s">
        <v>19</v>
      </c>
      <c r="E57" s="12" t="s">
        <v>190</v>
      </c>
      <c r="F57" s="11">
        <v>1</v>
      </c>
      <c r="G57" s="45">
        <f>VLOOKUP($A57,'Model Inputs'!$A:$C,3,FALSE)</f>
        <v>90</v>
      </c>
      <c r="H57" s="11">
        <f>H56</f>
        <v>3000</v>
      </c>
      <c r="I57" s="11">
        <f>VLOOKUP(C57,Resources!$B$3:$G$44,6,FALSE)</f>
        <v>130</v>
      </c>
      <c r="J57" s="38">
        <f>(H57/G57)*I57*F57</f>
        <v>4333.3333333333339</v>
      </c>
      <c r="K57" s="12">
        <f t="shared" si="68"/>
        <v>33.333333333333336</v>
      </c>
      <c r="L57" s="11">
        <f t="shared" si="69"/>
        <v>33.333333333333336</v>
      </c>
      <c r="M57" s="11">
        <f t="shared" si="70"/>
        <v>0</v>
      </c>
      <c r="N57" s="11">
        <f t="shared" si="71"/>
        <v>0</v>
      </c>
      <c r="O57" s="11">
        <f t="shared" si="72"/>
        <v>4333.3333333333339</v>
      </c>
      <c r="P57" s="11">
        <f t="shared" si="73"/>
        <v>0</v>
      </c>
      <c r="Q57" s="11">
        <f t="shared" si="74"/>
        <v>4333.3333333333339</v>
      </c>
      <c r="R57" s="94">
        <v>31</v>
      </c>
    </row>
    <row r="58" spans="1:20" x14ac:dyDescent="0.2">
      <c r="A58" s="168" t="s">
        <v>230</v>
      </c>
      <c r="B58" s="31">
        <v>5</v>
      </c>
      <c r="C58" s="11" t="s">
        <v>5</v>
      </c>
      <c r="D58" s="11" t="s">
        <v>19</v>
      </c>
      <c r="E58" s="12" t="s">
        <v>188</v>
      </c>
      <c r="F58" s="11">
        <v>1</v>
      </c>
      <c r="G58" s="11">
        <f>G57</f>
        <v>90</v>
      </c>
      <c r="H58" s="11">
        <f>H57</f>
        <v>3000</v>
      </c>
      <c r="I58" s="11">
        <f>VLOOKUP(C58,Resources!$B$3:$G$44,6,FALSE)</f>
        <v>38</v>
      </c>
      <c r="J58" s="38">
        <f>(H58/G58)*I58*F58</f>
        <v>1266.6666666666667</v>
      </c>
      <c r="K58" s="12">
        <f t="shared" si="68"/>
        <v>33.333333333333336</v>
      </c>
      <c r="L58" s="11">
        <f t="shared" si="69"/>
        <v>33.333333333333336</v>
      </c>
      <c r="M58" s="11">
        <f t="shared" si="70"/>
        <v>1266.6666666666667</v>
      </c>
      <c r="N58" s="11">
        <f t="shared" si="71"/>
        <v>0</v>
      </c>
      <c r="O58" s="11">
        <f t="shared" si="72"/>
        <v>0</v>
      </c>
      <c r="P58" s="11">
        <f t="shared" si="73"/>
        <v>0</v>
      </c>
      <c r="Q58" s="11">
        <f t="shared" si="74"/>
        <v>1266.6666666666667</v>
      </c>
      <c r="R58" s="94">
        <v>31</v>
      </c>
    </row>
    <row r="59" spans="1:20" x14ac:dyDescent="0.2">
      <c r="A59" s="165" t="s">
        <v>230</v>
      </c>
      <c r="B59" s="30">
        <v>8</v>
      </c>
      <c r="C59" s="13" t="s">
        <v>48</v>
      </c>
    </row>
    <row r="60" spans="1:20" x14ac:dyDescent="0.2">
      <c r="A60" s="165" t="s">
        <v>230</v>
      </c>
      <c r="B60" s="30">
        <v>9</v>
      </c>
      <c r="C60" s="13" t="s">
        <v>49</v>
      </c>
    </row>
    <row r="61" spans="1:20" x14ac:dyDescent="0.2">
      <c r="A61" s="168">
        <v>8.1999999999999993</v>
      </c>
      <c r="B61" s="31">
        <v>10</v>
      </c>
      <c r="C61" s="11" t="s">
        <v>50</v>
      </c>
      <c r="D61" s="11" t="s">
        <v>19</v>
      </c>
      <c r="E61" s="12" t="s">
        <v>190</v>
      </c>
      <c r="F61" s="11">
        <v>1</v>
      </c>
      <c r="G61" s="45">
        <f>VLOOKUP($A61,'Model Inputs'!$A:$C,3,FALSE)</f>
        <v>200</v>
      </c>
      <c r="H61" s="11">
        <f>H53</f>
        <v>20000</v>
      </c>
      <c r="I61" s="11">
        <f>VLOOKUP(C61,Resources!$B$3:$G$44,6,FALSE)</f>
        <v>135</v>
      </c>
      <c r="J61" s="38">
        <f>(H61/G61)*I61*F61</f>
        <v>13500</v>
      </c>
      <c r="K61" s="12">
        <f t="shared" ref="K61:K62" si="75">IF(E61="M"," ",L61*F61)</f>
        <v>100</v>
      </c>
      <c r="L61" s="11">
        <f t="shared" ref="L61:L62" si="76">IF(E61="M"," ",H61/G61)</f>
        <v>100</v>
      </c>
      <c r="M61" s="11">
        <f t="shared" ref="M61:M62" si="77">IF($E61="L",$J61,0)</f>
        <v>0</v>
      </c>
      <c r="N61" s="11">
        <f t="shared" ref="N61:N62" si="78">IF($E61="M",$J61,0)</f>
        <v>0</v>
      </c>
      <c r="O61" s="11">
        <f t="shared" ref="O61:O62" si="79">IF($E61="P",$J61,0)</f>
        <v>13500</v>
      </c>
      <c r="P61" s="11">
        <f t="shared" ref="P61:P62" si="80">IF($E61="S",$J61,0)</f>
        <v>0</v>
      </c>
      <c r="Q61" s="11">
        <f t="shared" ref="Q61:Q62" si="81">SUM(M61:P61)</f>
        <v>13500</v>
      </c>
      <c r="R61" s="94">
        <v>59</v>
      </c>
      <c r="T61" s="36"/>
    </row>
    <row r="62" spans="1:20" x14ac:dyDescent="0.2">
      <c r="A62" s="168" t="s">
        <v>230</v>
      </c>
      <c r="B62" s="31">
        <v>11</v>
      </c>
      <c r="C62" s="11" t="s">
        <v>5</v>
      </c>
      <c r="D62" s="11" t="s">
        <v>19</v>
      </c>
      <c r="E62" s="12" t="s">
        <v>188</v>
      </c>
      <c r="F62" s="11">
        <v>1</v>
      </c>
      <c r="G62" s="11">
        <f>G61</f>
        <v>200</v>
      </c>
      <c r="H62" s="11">
        <f>H53</f>
        <v>20000</v>
      </c>
      <c r="I62" s="11">
        <f>VLOOKUP(C62,Resources!$B$3:$G$44,6,FALSE)</f>
        <v>38</v>
      </c>
      <c r="J62" s="38">
        <f>(H62/G62)*I62*F62</f>
        <v>3800</v>
      </c>
      <c r="K62" s="12">
        <f t="shared" si="75"/>
        <v>100</v>
      </c>
      <c r="L62" s="11">
        <f t="shared" si="76"/>
        <v>100</v>
      </c>
      <c r="M62" s="11">
        <f t="shared" si="77"/>
        <v>3800</v>
      </c>
      <c r="N62" s="11">
        <f t="shared" si="78"/>
        <v>0</v>
      </c>
      <c r="O62" s="11">
        <f t="shared" si="79"/>
        <v>0</v>
      </c>
      <c r="P62" s="11">
        <f t="shared" si="80"/>
        <v>0</v>
      </c>
      <c r="Q62" s="11">
        <f t="shared" si="81"/>
        <v>3800</v>
      </c>
      <c r="R62" s="94">
        <v>59</v>
      </c>
    </row>
    <row r="63" spans="1:20" ht="22.5" x14ac:dyDescent="0.2">
      <c r="A63" s="165" t="s">
        <v>230</v>
      </c>
      <c r="B63" s="30">
        <v>13</v>
      </c>
      <c r="C63" s="13" t="s">
        <v>51</v>
      </c>
    </row>
    <row r="64" spans="1:20" x14ac:dyDescent="0.2">
      <c r="A64" s="168">
        <v>8.3000000000000007</v>
      </c>
      <c r="B64" s="31">
        <v>14</v>
      </c>
      <c r="C64" s="11" t="s">
        <v>50</v>
      </c>
      <c r="D64" s="11" t="s">
        <v>19</v>
      </c>
      <c r="E64" s="12" t="s">
        <v>190</v>
      </c>
      <c r="F64" s="11">
        <v>1</v>
      </c>
      <c r="G64" s="11">
        <f>G57</f>
        <v>90</v>
      </c>
      <c r="H64" s="45">
        <f>VLOOKUP($A64,'Model Inputs'!$A:$C,3,FALSE)</f>
        <v>700</v>
      </c>
      <c r="I64" s="11">
        <f>VLOOKUP(C64,Resources!$B$3:$G$44,6,FALSE)</f>
        <v>135</v>
      </c>
      <c r="J64" s="38">
        <f>(H64/G64)*I64*F64</f>
        <v>1050</v>
      </c>
      <c r="K64" s="12">
        <f t="shared" ref="K64:K67" si="82">IF(E64="M"," ",L64*F64)</f>
        <v>7.7777777777777777</v>
      </c>
      <c r="L64" s="11">
        <f t="shared" ref="L64:L67" si="83">IF(E64="M"," ",H64/G64)</f>
        <v>7.7777777777777777</v>
      </c>
      <c r="M64" s="11">
        <f t="shared" ref="M64:M67" si="84">IF($E64="L",$J64,0)</f>
        <v>0</v>
      </c>
      <c r="N64" s="11">
        <f t="shared" ref="N64:N67" si="85">IF($E64="M",$J64,0)</f>
        <v>0</v>
      </c>
      <c r="O64" s="11">
        <f t="shared" ref="O64:O67" si="86">IF($E64="P",$J64,0)</f>
        <v>1050</v>
      </c>
      <c r="P64" s="11">
        <f t="shared" ref="P64:P67" si="87">IF($E64="S",$J64,0)</f>
        <v>0</v>
      </c>
      <c r="Q64" s="11">
        <f t="shared" ref="Q64:Q67" si="88">SUM(M64:P64)</f>
        <v>1050</v>
      </c>
      <c r="R64" s="94">
        <v>51</v>
      </c>
    </row>
    <row r="65" spans="1:18" x14ac:dyDescent="0.2">
      <c r="A65" s="168" t="s">
        <v>230</v>
      </c>
      <c r="B65" s="31">
        <v>15</v>
      </c>
      <c r="C65" s="11" t="s">
        <v>52</v>
      </c>
      <c r="D65" s="11" t="s">
        <v>19</v>
      </c>
      <c r="E65" s="12" t="s">
        <v>190</v>
      </c>
      <c r="F65" s="11">
        <v>1</v>
      </c>
      <c r="G65" s="11">
        <f>G64</f>
        <v>90</v>
      </c>
      <c r="H65" s="11">
        <f>H64</f>
        <v>700</v>
      </c>
      <c r="I65" s="11">
        <f>VLOOKUP(C65,Resources!$B$3:$G$44,6,FALSE)</f>
        <v>58</v>
      </c>
      <c r="J65" s="38">
        <f>(H65/G65)*I65*F65</f>
        <v>451.11111111111109</v>
      </c>
      <c r="K65" s="12">
        <f t="shared" si="82"/>
        <v>7.7777777777777777</v>
      </c>
      <c r="L65" s="11">
        <f t="shared" si="83"/>
        <v>7.7777777777777777</v>
      </c>
      <c r="M65" s="11">
        <f t="shared" si="84"/>
        <v>0</v>
      </c>
      <c r="N65" s="11">
        <f t="shared" si="85"/>
        <v>0</v>
      </c>
      <c r="O65" s="11">
        <f t="shared" si="86"/>
        <v>451.11111111111109</v>
      </c>
      <c r="P65" s="11">
        <f t="shared" si="87"/>
        <v>0</v>
      </c>
      <c r="Q65" s="11">
        <f t="shared" si="88"/>
        <v>451.11111111111109</v>
      </c>
      <c r="R65" s="94">
        <v>51</v>
      </c>
    </row>
    <row r="66" spans="1:18" x14ac:dyDescent="0.2">
      <c r="A66" s="168" t="s">
        <v>230</v>
      </c>
      <c r="B66" s="31">
        <v>16</v>
      </c>
      <c r="C66" s="11" t="s">
        <v>5</v>
      </c>
      <c r="D66" s="11" t="s">
        <v>19</v>
      </c>
      <c r="E66" s="12" t="s">
        <v>188</v>
      </c>
      <c r="F66" s="11">
        <v>1</v>
      </c>
      <c r="G66" s="11">
        <f t="shared" ref="G66:G67" si="89">G65</f>
        <v>90</v>
      </c>
      <c r="H66" s="11">
        <f t="shared" ref="H66:H67" si="90">H65</f>
        <v>700</v>
      </c>
      <c r="I66" s="11">
        <f>VLOOKUP(C66,Resources!$B$3:$G$44,6,FALSE)</f>
        <v>38</v>
      </c>
      <c r="J66" s="38">
        <f>(H66/G66)*I66*F66</f>
        <v>295.55555555555554</v>
      </c>
      <c r="K66" s="12">
        <f t="shared" si="82"/>
        <v>7.7777777777777777</v>
      </c>
      <c r="L66" s="11">
        <f t="shared" si="83"/>
        <v>7.7777777777777777</v>
      </c>
      <c r="M66" s="11">
        <f t="shared" si="84"/>
        <v>295.55555555555554</v>
      </c>
      <c r="N66" s="11">
        <f t="shared" si="85"/>
        <v>0</v>
      </c>
      <c r="O66" s="11">
        <f t="shared" si="86"/>
        <v>0</v>
      </c>
      <c r="P66" s="11">
        <f t="shared" si="87"/>
        <v>0</v>
      </c>
      <c r="Q66" s="11">
        <f t="shared" si="88"/>
        <v>295.55555555555554</v>
      </c>
      <c r="R66" s="94">
        <v>51</v>
      </c>
    </row>
    <row r="67" spans="1:18" x14ac:dyDescent="0.2">
      <c r="A67" s="168" t="s">
        <v>230</v>
      </c>
      <c r="B67" s="31">
        <v>17</v>
      </c>
      <c r="C67" s="11" t="s">
        <v>53</v>
      </c>
      <c r="D67" s="11" t="s">
        <v>19</v>
      </c>
      <c r="E67" s="12" t="s">
        <v>190</v>
      </c>
      <c r="F67" s="11">
        <v>1</v>
      </c>
      <c r="G67" s="11">
        <f t="shared" si="89"/>
        <v>90</v>
      </c>
      <c r="H67" s="11">
        <f t="shared" si="90"/>
        <v>700</v>
      </c>
      <c r="I67" s="11">
        <f>VLOOKUP(C67,Resources!$B$3:$G$44,6,FALSE)</f>
        <v>95</v>
      </c>
      <c r="J67" s="38">
        <f>(H67/G67)*I67*F67</f>
        <v>738.88888888888891</v>
      </c>
      <c r="K67" s="12">
        <f t="shared" si="82"/>
        <v>7.7777777777777777</v>
      </c>
      <c r="L67" s="11">
        <f t="shared" si="83"/>
        <v>7.7777777777777777</v>
      </c>
      <c r="M67" s="11">
        <f t="shared" si="84"/>
        <v>0</v>
      </c>
      <c r="N67" s="11">
        <f t="shared" si="85"/>
        <v>0</v>
      </c>
      <c r="O67" s="11">
        <f t="shared" si="86"/>
        <v>738.88888888888891</v>
      </c>
      <c r="P67" s="11">
        <f t="shared" si="87"/>
        <v>0</v>
      </c>
      <c r="Q67" s="11">
        <f t="shared" si="88"/>
        <v>738.88888888888891</v>
      </c>
      <c r="R67" s="94">
        <v>51</v>
      </c>
    </row>
    <row r="68" spans="1:18" x14ac:dyDescent="0.2">
      <c r="A68" s="165" t="s">
        <v>230</v>
      </c>
      <c r="B68" s="30">
        <v>19</v>
      </c>
      <c r="C68" s="13" t="s">
        <v>54</v>
      </c>
    </row>
    <row r="69" spans="1:18" ht="22.5" x14ac:dyDescent="0.2">
      <c r="A69" s="165" t="s">
        <v>230</v>
      </c>
      <c r="B69" s="30">
        <v>20</v>
      </c>
      <c r="C69" s="13" t="s">
        <v>55</v>
      </c>
    </row>
    <row r="70" spans="1:18" x14ac:dyDescent="0.2">
      <c r="A70" s="168">
        <v>8.4</v>
      </c>
      <c r="B70" s="31">
        <v>21</v>
      </c>
      <c r="C70" s="11" t="s">
        <v>56</v>
      </c>
      <c r="D70" s="11" t="s">
        <v>57</v>
      </c>
      <c r="E70" s="12" t="s">
        <v>190</v>
      </c>
      <c r="F70" s="11">
        <v>1</v>
      </c>
      <c r="G70" s="45">
        <f>VLOOKUP($A70,'Model Inputs'!$A:$C,3,FALSE)</f>
        <v>200</v>
      </c>
      <c r="H70" s="11">
        <f>H53</f>
        <v>20000</v>
      </c>
      <c r="I70" s="11">
        <f>VLOOKUP(C70,Resources!$B$3:$G$44,6,FALSE)</f>
        <v>365</v>
      </c>
      <c r="J70" s="38">
        <f>(H70/G70)*I70*F70</f>
        <v>36500</v>
      </c>
      <c r="K70" s="12">
        <f t="shared" ref="K70:K71" si="91">IF(E70="M"," ",L70*F70)</f>
        <v>100</v>
      </c>
      <c r="L70" s="11">
        <f t="shared" ref="L70:L71" si="92">IF(E70="M"," ",H70/G70)</f>
        <v>100</v>
      </c>
      <c r="M70" s="11">
        <f t="shared" ref="M70:M71" si="93">IF($E70="L",$J70,0)</f>
        <v>0</v>
      </c>
      <c r="N70" s="11">
        <f t="shared" ref="N70:N71" si="94">IF($E70="M",$J70,0)</f>
        <v>0</v>
      </c>
      <c r="O70" s="11">
        <f t="shared" ref="O70:O71" si="95">IF($E70="P",$J70,0)</f>
        <v>36500</v>
      </c>
      <c r="P70" s="11">
        <f t="shared" ref="P70:P71" si="96">IF($E70="S",$J70,0)</f>
        <v>0</v>
      </c>
      <c r="Q70" s="11">
        <f t="shared" ref="Q70:Q71" si="97">SUM(M70:P70)</f>
        <v>36500</v>
      </c>
      <c r="R70" s="94">
        <v>59</v>
      </c>
    </row>
    <row r="71" spans="1:18" x14ac:dyDescent="0.2">
      <c r="A71" s="168" t="s">
        <v>230</v>
      </c>
      <c r="B71" s="31">
        <v>22</v>
      </c>
      <c r="C71" s="11" t="s">
        <v>5</v>
      </c>
      <c r="D71" s="11" t="s">
        <v>19</v>
      </c>
      <c r="E71" s="12" t="s">
        <v>188</v>
      </c>
      <c r="F71" s="11">
        <v>1</v>
      </c>
      <c r="G71" s="11">
        <f>G70</f>
        <v>200</v>
      </c>
      <c r="H71" s="11">
        <f>H53</f>
        <v>20000</v>
      </c>
      <c r="I71" s="11">
        <f>VLOOKUP(C71,Resources!$B$3:$G$44,6,FALSE)</f>
        <v>38</v>
      </c>
      <c r="J71" s="38">
        <f>(H71/G71)*I71*F71</f>
        <v>3800</v>
      </c>
      <c r="K71" s="12">
        <f t="shared" si="91"/>
        <v>100</v>
      </c>
      <c r="L71" s="11">
        <f t="shared" si="92"/>
        <v>100</v>
      </c>
      <c r="M71" s="11">
        <f t="shared" si="93"/>
        <v>3800</v>
      </c>
      <c r="N71" s="11">
        <f t="shared" si="94"/>
        <v>0</v>
      </c>
      <c r="O71" s="11">
        <f t="shared" si="95"/>
        <v>0</v>
      </c>
      <c r="P71" s="11">
        <f t="shared" si="96"/>
        <v>0</v>
      </c>
      <c r="Q71" s="11">
        <f t="shared" si="97"/>
        <v>3800</v>
      </c>
      <c r="R71" s="94">
        <v>59</v>
      </c>
    </row>
    <row r="72" spans="1:18" x14ac:dyDescent="0.2">
      <c r="A72" s="165" t="s">
        <v>230</v>
      </c>
    </row>
    <row r="73" spans="1:18" ht="22.5" x14ac:dyDescent="0.2">
      <c r="A73" s="167">
        <v>9</v>
      </c>
      <c r="B73" s="29" t="s">
        <v>58</v>
      </c>
      <c r="C73" s="6" t="s">
        <v>59</v>
      </c>
      <c r="D73" s="7" t="s">
        <v>45</v>
      </c>
      <c r="E73" s="8"/>
      <c r="F73" s="7"/>
      <c r="G73" s="7"/>
      <c r="H73" s="7">
        <v>20000</v>
      </c>
      <c r="I73" s="7"/>
      <c r="J73" s="7">
        <f t="shared" ref="J73" si="98">SUBTOTAL(9,J75:J79)</f>
        <v>31754.12</v>
      </c>
      <c r="K73" s="7"/>
      <c r="L73" s="45">
        <f>VLOOKUP($A73,'Model Inputs'!$A:$C,3,FALSE)</f>
        <v>2</v>
      </c>
      <c r="M73" s="7">
        <f>SUBTOTAL(9,M75:M79)</f>
        <v>5382</v>
      </c>
      <c r="N73" s="7">
        <f t="shared" ref="N73:Q73" si="99">SUBTOTAL(9,N75:N79)</f>
        <v>492.12</v>
      </c>
      <c r="O73" s="7">
        <f t="shared" si="99"/>
        <v>0</v>
      </c>
      <c r="P73" s="7">
        <f t="shared" si="99"/>
        <v>25880</v>
      </c>
      <c r="Q73" s="7">
        <f t="shared" si="99"/>
        <v>31754.12</v>
      </c>
      <c r="R73" s="93"/>
    </row>
    <row r="74" spans="1:18" x14ac:dyDescent="0.2">
      <c r="A74" s="165" t="s">
        <v>230</v>
      </c>
      <c r="B74" s="30">
        <v>1</v>
      </c>
      <c r="C74" s="13" t="s">
        <v>60</v>
      </c>
    </row>
    <row r="75" spans="1:18" x14ac:dyDescent="0.2">
      <c r="A75" s="168" t="s">
        <v>230</v>
      </c>
      <c r="B75" s="31">
        <v>3</v>
      </c>
      <c r="C75" s="11" t="s">
        <v>61</v>
      </c>
      <c r="D75" s="11" t="s">
        <v>57</v>
      </c>
      <c r="E75" s="12" t="s">
        <v>191</v>
      </c>
      <c r="F75" s="11">
        <v>1</v>
      </c>
      <c r="G75" s="11">
        <v>1</v>
      </c>
      <c r="H75" s="11">
        <v>1</v>
      </c>
      <c r="I75" s="11">
        <f>VLOOKUP(C75,Resources!$B$3:$G$44,6,FALSE)</f>
        <v>15400</v>
      </c>
      <c r="J75" s="38">
        <f>(H75/G75)*I75*F75</f>
        <v>15400</v>
      </c>
      <c r="K75" s="12">
        <f t="shared" ref="K75:K79" si="100">IF(E75="M"," ",L75*F75)</f>
        <v>1</v>
      </c>
      <c r="L75" s="11">
        <f t="shared" ref="L75:L79" si="101">IF(E75="M"," ",H75/G75)</f>
        <v>1</v>
      </c>
      <c r="M75" s="11">
        <f t="shared" ref="M75:M79" si="102">IF($E75="L",$J75,0)</f>
        <v>0</v>
      </c>
      <c r="N75" s="11">
        <f t="shared" ref="N75:N79" si="103">IF($E75="M",$J75,0)</f>
        <v>0</v>
      </c>
      <c r="O75" s="11">
        <f t="shared" ref="O75:O79" si="104">IF($E75="P",$J75,0)</f>
        <v>0</v>
      </c>
      <c r="P75" s="11">
        <f t="shared" ref="P75:P79" si="105">IF($E75="S",$J75,0)</f>
        <v>15400</v>
      </c>
      <c r="Q75" s="11">
        <f t="shared" ref="Q75:Q79" si="106">SUM(M75:P75)</f>
        <v>15400</v>
      </c>
      <c r="R75" s="94">
        <v>510</v>
      </c>
    </row>
    <row r="76" spans="1:18" x14ac:dyDescent="0.2">
      <c r="A76" s="168" t="s">
        <v>230</v>
      </c>
      <c r="B76" s="31">
        <v>4</v>
      </c>
      <c r="C76" s="11" t="s">
        <v>62</v>
      </c>
      <c r="D76" s="11" t="s">
        <v>57</v>
      </c>
      <c r="E76" s="12" t="s">
        <v>191</v>
      </c>
      <c r="F76" s="11">
        <v>2</v>
      </c>
      <c r="G76" s="11">
        <v>1</v>
      </c>
      <c r="H76" s="11">
        <v>1</v>
      </c>
      <c r="I76" s="11">
        <f>VLOOKUP(C76,Resources!$B$3:$G$44,6,FALSE)</f>
        <v>5240</v>
      </c>
      <c r="J76" s="38">
        <f>(H76/G76)*I76*F76</f>
        <v>10480</v>
      </c>
      <c r="K76" s="12">
        <f t="shared" si="100"/>
        <v>2</v>
      </c>
      <c r="L76" s="11">
        <f t="shared" si="101"/>
        <v>1</v>
      </c>
      <c r="M76" s="11">
        <f t="shared" si="102"/>
        <v>0</v>
      </c>
      <c r="N76" s="11">
        <f t="shared" si="103"/>
        <v>0</v>
      </c>
      <c r="O76" s="11">
        <f t="shared" si="104"/>
        <v>0</v>
      </c>
      <c r="P76" s="11">
        <f t="shared" si="105"/>
        <v>10480</v>
      </c>
      <c r="Q76" s="11">
        <f t="shared" si="106"/>
        <v>10480</v>
      </c>
      <c r="R76" s="94">
        <v>510</v>
      </c>
    </row>
    <row r="77" spans="1:18" x14ac:dyDescent="0.2">
      <c r="A77" s="168" t="s">
        <v>230</v>
      </c>
      <c r="B77" s="31">
        <v>6</v>
      </c>
      <c r="C77" s="11" t="s">
        <v>63</v>
      </c>
      <c r="D77" s="11" t="s">
        <v>31</v>
      </c>
      <c r="E77" s="12" t="s">
        <v>189</v>
      </c>
      <c r="F77" s="11">
        <v>36</v>
      </c>
      <c r="G77" s="11">
        <v>1</v>
      </c>
      <c r="H77" s="11">
        <v>1</v>
      </c>
      <c r="I77" s="11">
        <f>VLOOKUP(C77,Resources!$B$3:$G$44,6,FALSE)</f>
        <v>13.67</v>
      </c>
      <c r="J77" s="38">
        <f>(H77/G77)*I77*F77</f>
        <v>492.12</v>
      </c>
      <c r="K77" s="12" t="str">
        <f t="shared" si="100"/>
        <v xml:space="preserve"> </v>
      </c>
      <c r="L77" s="11" t="str">
        <f t="shared" si="101"/>
        <v xml:space="preserve"> </v>
      </c>
      <c r="M77" s="11">
        <f t="shared" si="102"/>
        <v>0</v>
      </c>
      <c r="N77" s="11">
        <f t="shared" si="103"/>
        <v>492.12</v>
      </c>
      <c r="O77" s="11">
        <f t="shared" si="104"/>
        <v>0</v>
      </c>
      <c r="P77" s="11">
        <f t="shared" si="105"/>
        <v>0</v>
      </c>
      <c r="Q77" s="11">
        <f t="shared" si="106"/>
        <v>492.12</v>
      </c>
      <c r="R77" s="94">
        <v>510</v>
      </c>
    </row>
    <row r="78" spans="1:18" x14ac:dyDescent="0.2">
      <c r="A78" s="168" t="s">
        <v>230</v>
      </c>
      <c r="B78" s="31">
        <v>7</v>
      </c>
      <c r="C78" s="11" t="s">
        <v>40</v>
      </c>
      <c r="D78" s="11" t="s">
        <v>19</v>
      </c>
      <c r="E78" s="12" t="s">
        <v>188</v>
      </c>
      <c r="F78" s="11">
        <v>18</v>
      </c>
      <c r="G78" s="11">
        <v>1</v>
      </c>
      <c r="H78" s="11">
        <v>1</v>
      </c>
      <c r="I78" s="11">
        <f>VLOOKUP(C78,Resources!$B$3:$G$44,6,FALSE)</f>
        <v>185</v>
      </c>
      <c r="J78" s="38">
        <f>(H78/G78)*I78*F78</f>
        <v>3330</v>
      </c>
      <c r="K78" s="12">
        <f t="shared" si="100"/>
        <v>18</v>
      </c>
      <c r="L78" s="11">
        <f t="shared" si="101"/>
        <v>1</v>
      </c>
      <c r="M78" s="11">
        <f t="shared" si="102"/>
        <v>3330</v>
      </c>
      <c r="N78" s="11">
        <f t="shared" si="103"/>
        <v>0</v>
      </c>
      <c r="O78" s="11">
        <f t="shared" si="104"/>
        <v>0</v>
      </c>
      <c r="P78" s="11">
        <f t="shared" si="105"/>
        <v>0</v>
      </c>
      <c r="Q78" s="11">
        <f t="shared" si="106"/>
        <v>3330</v>
      </c>
      <c r="R78" s="94">
        <v>11</v>
      </c>
    </row>
    <row r="79" spans="1:18" x14ac:dyDescent="0.2">
      <c r="A79" s="168" t="s">
        <v>230</v>
      </c>
      <c r="B79" s="31">
        <v>9</v>
      </c>
      <c r="C79" s="11" t="s">
        <v>5</v>
      </c>
      <c r="D79" s="11" t="s">
        <v>19</v>
      </c>
      <c r="E79" s="12" t="s">
        <v>188</v>
      </c>
      <c r="F79" s="11">
        <v>54</v>
      </c>
      <c r="G79" s="11">
        <v>1</v>
      </c>
      <c r="H79" s="11">
        <v>1</v>
      </c>
      <c r="I79" s="11">
        <f>VLOOKUP(C79,Resources!$B$3:$G$44,6,FALSE)</f>
        <v>38</v>
      </c>
      <c r="J79" s="38">
        <f>(H79/G79)*I79*F79</f>
        <v>2052</v>
      </c>
      <c r="K79" s="12">
        <f t="shared" si="100"/>
        <v>54</v>
      </c>
      <c r="L79" s="11">
        <f t="shared" si="101"/>
        <v>1</v>
      </c>
      <c r="M79" s="11">
        <f t="shared" si="102"/>
        <v>2052</v>
      </c>
      <c r="N79" s="11">
        <f t="shared" si="103"/>
        <v>0</v>
      </c>
      <c r="O79" s="11">
        <f t="shared" si="104"/>
        <v>0</v>
      </c>
      <c r="P79" s="11">
        <f t="shared" si="105"/>
        <v>0</v>
      </c>
      <c r="Q79" s="11">
        <f t="shared" si="106"/>
        <v>2052</v>
      </c>
      <c r="R79" s="94">
        <v>510</v>
      </c>
    </row>
    <row r="80" spans="1:18" x14ac:dyDescent="0.2">
      <c r="A80" s="165" t="s">
        <v>230</v>
      </c>
    </row>
    <row r="81" spans="1:18" ht="22.5" x14ac:dyDescent="0.2">
      <c r="A81" s="167">
        <v>10</v>
      </c>
      <c r="B81" s="29" t="s">
        <v>64</v>
      </c>
      <c r="C81" s="6" t="s">
        <v>65</v>
      </c>
      <c r="D81" s="7" t="s">
        <v>66</v>
      </c>
      <c r="E81" s="8"/>
      <c r="F81" s="7"/>
      <c r="G81" s="7"/>
      <c r="H81" s="45">
        <f>VLOOKUP($A81,'Model Inputs'!$A:$C,3,FALSE)</f>
        <v>7100</v>
      </c>
      <c r="I81" s="7"/>
      <c r="J81" s="7">
        <f t="shared" ref="J81" si="107">SUBTOTAL(9,J83:J93)</f>
        <v>72223.464938070116</v>
      </c>
      <c r="K81" s="7"/>
      <c r="L81" s="7">
        <f>ROUNDUP(MAX(L83:L93)/work,0)</f>
        <v>7</v>
      </c>
      <c r="M81" s="7">
        <f>SUBTOTAL(9,M83:M93)</f>
        <v>7734.260191479616</v>
      </c>
      <c r="N81" s="7">
        <f>SUBTOTAL(9,N83:N93)</f>
        <v>0</v>
      </c>
      <c r="O81" s="7">
        <f>SUBTOTAL(9,O83:O93)</f>
        <v>64489.204746590498</v>
      </c>
      <c r="P81" s="7">
        <f>SUBTOTAL(9,P83:P93)</f>
        <v>0</v>
      </c>
      <c r="Q81" s="7">
        <f>SUBTOTAL(9,Q83:Q93)</f>
        <v>72223.464938070116</v>
      </c>
      <c r="R81" s="93"/>
    </row>
    <row r="82" spans="1:18" x14ac:dyDescent="0.2">
      <c r="A82" s="165" t="s">
        <v>230</v>
      </c>
      <c r="B82" s="30">
        <v>1</v>
      </c>
      <c r="C82" s="13" t="s">
        <v>67</v>
      </c>
    </row>
    <row r="83" spans="1:18" x14ac:dyDescent="0.2">
      <c r="A83" s="168">
        <v>10.1</v>
      </c>
      <c r="B83" s="31">
        <v>2</v>
      </c>
      <c r="C83" s="11" t="s">
        <v>18</v>
      </c>
      <c r="D83" s="11" t="s">
        <v>19</v>
      </c>
      <c r="E83" s="12" t="s">
        <v>190</v>
      </c>
      <c r="F83" s="11">
        <v>1</v>
      </c>
      <c r="G83" s="45">
        <f>VLOOKUP($A83,'Model Inputs'!$A:$C,3,FALSE)</f>
        <v>166.667</v>
      </c>
      <c r="H83" s="11">
        <f>H81</f>
        <v>7100</v>
      </c>
      <c r="I83" s="11">
        <f>VLOOKUP(C83,Resources!$B$3:$G$44,6,FALSE)</f>
        <v>130</v>
      </c>
      <c r="J83" s="38">
        <f t="shared" ref="J83:J88" si="108">(H83/G83)*I83*F83</f>
        <v>5537.9889240221519</v>
      </c>
      <c r="K83" s="12">
        <f t="shared" ref="K83:K88" si="109">IF(E83="M"," ",L83*F83)</f>
        <v>42.599914800170396</v>
      </c>
      <c r="L83" s="11">
        <f t="shared" ref="L83:L88" si="110">IF(E83="M"," ",H83/G83)</f>
        <v>42.599914800170396</v>
      </c>
      <c r="M83" s="11">
        <f t="shared" ref="M83:M88" si="111">IF($E83="L",$J83,0)</f>
        <v>0</v>
      </c>
      <c r="N83" s="11">
        <f t="shared" ref="N83:N88" si="112">IF($E83="M",$J83,0)</f>
        <v>0</v>
      </c>
      <c r="O83" s="11">
        <f t="shared" ref="O83:O88" si="113">IF($E83="P",$J83,0)</f>
        <v>5537.9889240221519</v>
      </c>
      <c r="P83" s="11">
        <f t="shared" ref="P83:P88" si="114">IF($E83="S",$J83,0)</f>
        <v>0</v>
      </c>
      <c r="Q83" s="11">
        <f t="shared" ref="Q83:Q88" si="115">SUM(M83:P83)</f>
        <v>5537.9889240221519</v>
      </c>
      <c r="R83" s="94">
        <v>51</v>
      </c>
    </row>
    <row r="84" spans="1:18" x14ac:dyDescent="0.2">
      <c r="A84" s="168" t="s">
        <v>230</v>
      </c>
      <c r="B84" s="31">
        <v>3</v>
      </c>
      <c r="C84" s="11" t="s">
        <v>68</v>
      </c>
      <c r="D84" s="11" t="s">
        <v>19</v>
      </c>
      <c r="E84" s="12" t="s">
        <v>190</v>
      </c>
      <c r="F84" s="11">
        <v>3</v>
      </c>
      <c r="G84" s="11">
        <f>G83</f>
        <v>166.667</v>
      </c>
      <c r="H84" s="11">
        <f>H83</f>
        <v>7100</v>
      </c>
      <c r="I84" s="11">
        <f>VLOOKUP(C84,Resources!$B$3:$G$44,6,FALSE)</f>
        <v>185</v>
      </c>
      <c r="J84" s="38">
        <f t="shared" si="108"/>
        <v>23642.952714094568</v>
      </c>
      <c r="K84" s="12">
        <f t="shared" si="109"/>
        <v>127.79974440051119</v>
      </c>
      <c r="L84" s="11">
        <f t="shared" si="110"/>
        <v>42.599914800170396</v>
      </c>
      <c r="M84" s="11">
        <f t="shared" si="111"/>
        <v>0</v>
      </c>
      <c r="N84" s="11">
        <f t="shared" si="112"/>
        <v>0</v>
      </c>
      <c r="O84" s="11">
        <f t="shared" si="113"/>
        <v>23642.952714094568</v>
      </c>
      <c r="P84" s="11">
        <f t="shared" si="114"/>
        <v>0</v>
      </c>
      <c r="Q84" s="11">
        <f t="shared" si="115"/>
        <v>23642.952714094568</v>
      </c>
      <c r="R84" s="94">
        <v>51</v>
      </c>
    </row>
    <row r="85" spans="1:18" x14ac:dyDescent="0.2">
      <c r="A85" s="168" t="s">
        <v>230</v>
      </c>
      <c r="B85" s="31">
        <v>4</v>
      </c>
      <c r="C85" s="11" t="s">
        <v>23</v>
      </c>
      <c r="D85" s="11" t="s">
        <v>19</v>
      </c>
      <c r="E85" s="12" t="s">
        <v>190</v>
      </c>
      <c r="F85" s="11">
        <v>1</v>
      </c>
      <c r="G85" s="11">
        <f t="shared" ref="G85:G88" si="116">G84</f>
        <v>166.667</v>
      </c>
      <c r="H85" s="11">
        <f t="shared" ref="H85:H88" si="117">H84</f>
        <v>7100</v>
      </c>
      <c r="I85" s="11">
        <f>VLOOKUP(C85,Resources!$B$3:$G$44,6,FALSE)</f>
        <v>185</v>
      </c>
      <c r="J85" s="38">
        <f t="shared" si="108"/>
        <v>7880.9842380315231</v>
      </c>
      <c r="K85" s="12">
        <f t="shared" si="109"/>
        <v>42.599914800170396</v>
      </c>
      <c r="L85" s="11">
        <f t="shared" si="110"/>
        <v>42.599914800170396</v>
      </c>
      <c r="M85" s="11">
        <f t="shared" si="111"/>
        <v>0</v>
      </c>
      <c r="N85" s="11">
        <f t="shared" si="112"/>
        <v>0</v>
      </c>
      <c r="O85" s="11">
        <f t="shared" si="113"/>
        <v>7880.9842380315231</v>
      </c>
      <c r="P85" s="11">
        <f t="shared" si="114"/>
        <v>0</v>
      </c>
      <c r="Q85" s="11">
        <f t="shared" si="115"/>
        <v>7880.9842380315231</v>
      </c>
      <c r="R85" s="94">
        <v>51</v>
      </c>
    </row>
    <row r="86" spans="1:18" x14ac:dyDescent="0.2">
      <c r="A86" s="168" t="s">
        <v>230</v>
      </c>
      <c r="B86" s="31">
        <v>5</v>
      </c>
      <c r="C86" s="11" t="s">
        <v>53</v>
      </c>
      <c r="D86" s="11" t="s">
        <v>19</v>
      </c>
      <c r="E86" s="12" t="s">
        <v>190</v>
      </c>
      <c r="F86" s="11">
        <v>2</v>
      </c>
      <c r="G86" s="11">
        <f t="shared" si="116"/>
        <v>166.667</v>
      </c>
      <c r="H86" s="11">
        <f t="shared" si="117"/>
        <v>7100</v>
      </c>
      <c r="I86" s="11">
        <f>VLOOKUP(C86,Resources!$B$3:$G$44,6,FALSE)</f>
        <v>95</v>
      </c>
      <c r="J86" s="38">
        <f t="shared" si="108"/>
        <v>8093.9838120323748</v>
      </c>
      <c r="K86" s="12">
        <f t="shared" si="109"/>
        <v>85.199829600340792</v>
      </c>
      <c r="L86" s="11">
        <f t="shared" si="110"/>
        <v>42.599914800170396</v>
      </c>
      <c r="M86" s="11">
        <f t="shared" si="111"/>
        <v>0</v>
      </c>
      <c r="N86" s="11">
        <f t="shared" si="112"/>
        <v>0</v>
      </c>
      <c r="O86" s="11">
        <f t="shared" si="113"/>
        <v>8093.9838120323748</v>
      </c>
      <c r="P86" s="11">
        <f t="shared" si="114"/>
        <v>0</v>
      </c>
      <c r="Q86" s="11">
        <f t="shared" si="115"/>
        <v>8093.9838120323748</v>
      </c>
      <c r="R86" s="94">
        <v>51</v>
      </c>
    </row>
    <row r="87" spans="1:18" x14ac:dyDescent="0.2">
      <c r="A87" s="168" t="s">
        <v>230</v>
      </c>
      <c r="B87" s="31">
        <v>6</v>
      </c>
      <c r="C87" s="11" t="s">
        <v>52</v>
      </c>
      <c r="D87" s="11" t="s">
        <v>19</v>
      </c>
      <c r="E87" s="12" t="s">
        <v>190</v>
      </c>
      <c r="F87" s="11">
        <v>1</v>
      </c>
      <c r="G87" s="11">
        <f t="shared" si="116"/>
        <v>166.667</v>
      </c>
      <c r="H87" s="11">
        <f t="shared" si="117"/>
        <v>7100</v>
      </c>
      <c r="I87" s="11">
        <f>VLOOKUP(C87,Resources!$B$3:$G$44,6,FALSE)</f>
        <v>58</v>
      </c>
      <c r="J87" s="38">
        <f t="shared" si="108"/>
        <v>2470.795058409883</v>
      </c>
      <c r="K87" s="12">
        <f t="shared" si="109"/>
        <v>42.599914800170396</v>
      </c>
      <c r="L87" s="11">
        <f t="shared" si="110"/>
        <v>42.599914800170396</v>
      </c>
      <c r="M87" s="11">
        <f t="shared" si="111"/>
        <v>0</v>
      </c>
      <c r="N87" s="11">
        <f t="shared" si="112"/>
        <v>0</v>
      </c>
      <c r="O87" s="11">
        <f t="shared" si="113"/>
        <v>2470.795058409883</v>
      </c>
      <c r="P87" s="11">
        <f t="shared" si="114"/>
        <v>0</v>
      </c>
      <c r="Q87" s="11">
        <f t="shared" si="115"/>
        <v>2470.795058409883</v>
      </c>
      <c r="R87" s="94">
        <v>51</v>
      </c>
    </row>
    <row r="88" spans="1:18" x14ac:dyDescent="0.2">
      <c r="A88" s="168" t="s">
        <v>230</v>
      </c>
      <c r="B88" s="31">
        <v>7</v>
      </c>
      <c r="C88" s="11" t="s">
        <v>5</v>
      </c>
      <c r="D88" s="11" t="s">
        <v>19</v>
      </c>
      <c r="E88" s="12" t="s">
        <v>188</v>
      </c>
      <c r="F88" s="11">
        <v>2</v>
      </c>
      <c r="G88" s="11">
        <f t="shared" si="116"/>
        <v>166.667</v>
      </c>
      <c r="H88" s="11">
        <f t="shared" si="117"/>
        <v>7100</v>
      </c>
      <c r="I88" s="11">
        <f>VLOOKUP(C88,Resources!$B$3:$G$44,6,FALSE)</f>
        <v>38</v>
      </c>
      <c r="J88" s="38">
        <f t="shared" si="108"/>
        <v>3237.5935248129499</v>
      </c>
      <c r="K88" s="12">
        <f t="shared" si="109"/>
        <v>85.199829600340792</v>
      </c>
      <c r="L88" s="11">
        <f t="shared" si="110"/>
        <v>42.599914800170396</v>
      </c>
      <c r="M88" s="11">
        <f t="shared" si="111"/>
        <v>3237.5935248129499</v>
      </c>
      <c r="N88" s="11">
        <f t="shared" si="112"/>
        <v>0</v>
      </c>
      <c r="O88" s="11">
        <f t="shared" si="113"/>
        <v>0</v>
      </c>
      <c r="P88" s="11">
        <f t="shared" si="114"/>
        <v>0</v>
      </c>
      <c r="Q88" s="11">
        <f t="shared" si="115"/>
        <v>3237.5935248129499</v>
      </c>
      <c r="R88" s="94">
        <v>51</v>
      </c>
    </row>
    <row r="89" spans="1:18" x14ac:dyDescent="0.2">
      <c r="A89" s="165" t="s">
        <v>230</v>
      </c>
      <c r="B89" s="30">
        <v>9</v>
      </c>
      <c r="C89" s="13" t="s">
        <v>69</v>
      </c>
    </row>
    <row r="90" spans="1:18" x14ac:dyDescent="0.2">
      <c r="A90" s="168">
        <v>10.199999999999999</v>
      </c>
      <c r="B90" s="31">
        <v>10</v>
      </c>
      <c r="C90" s="11" t="s">
        <v>50</v>
      </c>
      <c r="D90" s="11" t="s">
        <v>19</v>
      </c>
      <c r="E90" s="12" t="s">
        <v>190</v>
      </c>
      <c r="F90" s="11">
        <v>1</v>
      </c>
      <c r="G90" s="45">
        <f>VLOOKUP($A90,'Model Inputs'!$A:$C,3,FALSE)</f>
        <v>300</v>
      </c>
      <c r="H90" s="11">
        <f>H81/0.4</f>
        <v>17750</v>
      </c>
      <c r="I90" s="11">
        <f>VLOOKUP(C90,Resources!$B$3:$G$44,6,FALSE)</f>
        <v>135</v>
      </c>
      <c r="J90" s="38">
        <f>(H90/G90)*I90*F90</f>
        <v>7987.5</v>
      </c>
      <c r="K90" s="12">
        <f t="shared" ref="K90:K93" si="118">IF(E90="M"," ",L90*F90)</f>
        <v>59.166666666666664</v>
      </c>
      <c r="L90" s="11">
        <f t="shared" ref="L90:L93" si="119">IF(E90="M"," ",H90/G90)</f>
        <v>59.166666666666664</v>
      </c>
      <c r="M90" s="11">
        <f t="shared" ref="M90:M93" si="120">IF($E90="L",$J90,0)</f>
        <v>0</v>
      </c>
      <c r="N90" s="11">
        <f t="shared" ref="N90:N93" si="121">IF($E90="M",$J90,0)</f>
        <v>0</v>
      </c>
      <c r="O90" s="11">
        <f t="shared" ref="O90:O93" si="122">IF($E90="P",$J90,0)</f>
        <v>7987.5</v>
      </c>
      <c r="P90" s="11">
        <f t="shared" ref="P90:P93" si="123">IF($E90="S",$J90,0)</f>
        <v>0</v>
      </c>
      <c r="Q90" s="11">
        <f t="shared" ref="Q90:Q93" si="124">SUM(M90:P90)</f>
        <v>7987.5</v>
      </c>
      <c r="R90" s="94">
        <v>59</v>
      </c>
    </row>
    <row r="91" spans="1:18" x14ac:dyDescent="0.2">
      <c r="A91" s="168" t="s">
        <v>230</v>
      </c>
      <c r="B91" s="31">
        <v>11</v>
      </c>
      <c r="C91" s="11" t="s">
        <v>70</v>
      </c>
      <c r="D91" s="11" t="s">
        <v>19</v>
      </c>
      <c r="E91" s="12" t="s">
        <v>190</v>
      </c>
      <c r="F91" s="11">
        <v>1</v>
      </c>
      <c r="G91" s="11">
        <f>G90</f>
        <v>300</v>
      </c>
      <c r="H91" s="11">
        <f>H90</f>
        <v>17750</v>
      </c>
      <c r="I91" s="11">
        <f>VLOOKUP(C91,Resources!$B$3:$G$44,6,FALSE)</f>
        <v>55</v>
      </c>
      <c r="J91" s="38">
        <f>(H91/G91)*I91*F91</f>
        <v>3254.1666666666665</v>
      </c>
      <c r="K91" s="12">
        <f t="shared" si="118"/>
        <v>59.166666666666664</v>
      </c>
      <c r="L91" s="11">
        <f t="shared" si="119"/>
        <v>59.166666666666664</v>
      </c>
      <c r="M91" s="11">
        <f t="shared" si="120"/>
        <v>0</v>
      </c>
      <c r="N91" s="11">
        <f t="shared" si="121"/>
        <v>0</v>
      </c>
      <c r="O91" s="11">
        <f t="shared" si="122"/>
        <v>3254.1666666666665</v>
      </c>
      <c r="P91" s="11">
        <f t="shared" si="123"/>
        <v>0</v>
      </c>
      <c r="Q91" s="11">
        <f t="shared" si="124"/>
        <v>3254.1666666666665</v>
      </c>
      <c r="R91" s="94">
        <v>59</v>
      </c>
    </row>
    <row r="92" spans="1:18" x14ac:dyDescent="0.2">
      <c r="A92" s="168" t="s">
        <v>230</v>
      </c>
      <c r="B92" s="31">
        <v>12</v>
      </c>
      <c r="C92" s="11" t="s">
        <v>53</v>
      </c>
      <c r="D92" s="11" t="s">
        <v>19</v>
      </c>
      <c r="E92" s="12" t="s">
        <v>190</v>
      </c>
      <c r="F92" s="11">
        <v>1</v>
      </c>
      <c r="G92" s="11">
        <f t="shared" ref="G92:G93" si="125">G91</f>
        <v>300</v>
      </c>
      <c r="H92" s="11">
        <f t="shared" ref="H92:H93" si="126">H91</f>
        <v>17750</v>
      </c>
      <c r="I92" s="11">
        <f>VLOOKUP(C92,Resources!$B$3:$G$44,6,FALSE)</f>
        <v>95</v>
      </c>
      <c r="J92" s="38">
        <f>(H92/G92)*I92*F92</f>
        <v>5620.833333333333</v>
      </c>
      <c r="K92" s="12">
        <f t="shared" si="118"/>
        <v>59.166666666666664</v>
      </c>
      <c r="L92" s="11">
        <f t="shared" si="119"/>
        <v>59.166666666666664</v>
      </c>
      <c r="M92" s="11">
        <f t="shared" si="120"/>
        <v>0</v>
      </c>
      <c r="N92" s="11">
        <f t="shared" si="121"/>
        <v>0</v>
      </c>
      <c r="O92" s="11">
        <f t="shared" si="122"/>
        <v>5620.833333333333</v>
      </c>
      <c r="P92" s="11">
        <f t="shared" si="123"/>
        <v>0</v>
      </c>
      <c r="Q92" s="11">
        <f t="shared" si="124"/>
        <v>5620.833333333333</v>
      </c>
      <c r="R92" s="94">
        <v>59</v>
      </c>
    </row>
    <row r="93" spans="1:18" x14ac:dyDescent="0.2">
      <c r="A93" s="168" t="s">
        <v>230</v>
      </c>
      <c r="B93" s="31">
        <v>13</v>
      </c>
      <c r="C93" s="11" t="s">
        <v>5</v>
      </c>
      <c r="D93" s="11" t="s">
        <v>19</v>
      </c>
      <c r="E93" s="12" t="s">
        <v>188</v>
      </c>
      <c r="F93" s="11">
        <v>2</v>
      </c>
      <c r="G93" s="11">
        <f t="shared" si="125"/>
        <v>300</v>
      </c>
      <c r="H93" s="11">
        <f t="shared" si="126"/>
        <v>17750</v>
      </c>
      <c r="I93" s="11">
        <f>VLOOKUP(C93,Resources!$B$3:$G$44,6,FALSE)</f>
        <v>38</v>
      </c>
      <c r="J93" s="38">
        <f>(H93/G93)*I93*F93</f>
        <v>4496.6666666666661</v>
      </c>
      <c r="K93" s="12">
        <f t="shared" si="118"/>
        <v>118.33333333333333</v>
      </c>
      <c r="L93" s="11">
        <f t="shared" si="119"/>
        <v>59.166666666666664</v>
      </c>
      <c r="M93" s="11">
        <f t="shared" si="120"/>
        <v>4496.6666666666661</v>
      </c>
      <c r="N93" s="11">
        <f t="shared" si="121"/>
        <v>0</v>
      </c>
      <c r="O93" s="11">
        <f t="shared" si="122"/>
        <v>0</v>
      </c>
      <c r="P93" s="11">
        <f t="shared" si="123"/>
        <v>0</v>
      </c>
      <c r="Q93" s="11">
        <f t="shared" si="124"/>
        <v>4496.6666666666661</v>
      </c>
      <c r="R93" s="94">
        <v>59</v>
      </c>
    </row>
    <row r="94" spans="1:18" x14ac:dyDescent="0.2">
      <c r="A94" s="165" t="s">
        <v>230</v>
      </c>
    </row>
    <row r="95" spans="1:18" ht="22.5" x14ac:dyDescent="0.2">
      <c r="A95" s="167">
        <v>11</v>
      </c>
      <c r="B95" s="29" t="s">
        <v>71</v>
      </c>
      <c r="C95" s="6" t="s">
        <v>72</v>
      </c>
      <c r="D95" s="7" t="s">
        <v>66</v>
      </c>
      <c r="E95" s="8"/>
      <c r="F95" s="7"/>
      <c r="G95" s="7"/>
      <c r="H95" s="45">
        <f>VLOOKUP($A95,'Model Inputs'!$A:$C,3,FALSE)</f>
        <v>3100</v>
      </c>
      <c r="I95" s="7"/>
      <c r="J95" s="7">
        <f t="shared" ref="J95" si="127">SUBTOTAL(9,J97:J115)</f>
        <v>43112.111111111109</v>
      </c>
      <c r="K95" s="7"/>
      <c r="L95" s="7">
        <f>ROUNDUP(MAX(L97:L115)/work,0)</f>
        <v>4</v>
      </c>
      <c r="M95" s="7">
        <f>SUBTOTAL(9,M97:M115)</f>
        <v>5294.666666666667</v>
      </c>
      <c r="N95" s="7">
        <f>SUBTOTAL(9,N97:N115)</f>
        <v>0</v>
      </c>
      <c r="O95" s="7">
        <f>SUBTOTAL(9,O97:O115)</f>
        <v>37817.444444444438</v>
      </c>
      <c r="P95" s="7">
        <f>SUBTOTAL(9,P97:P115)</f>
        <v>0</v>
      </c>
      <c r="Q95" s="7">
        <f>SUBTOTAL(9,Q97:Q115)</f>
        <v>43112.111111111109</v>
      </c>
      <c r="R95" s="93"/>
    </row>
    <row r="96" spans="1:18" x14ac:dyDescent="0.2">
      <c r="A96" s="165" t="s">
        <v>230</v>
      </c>
      <c r="B96" s="30">
        <v>1</v>
      </c>
      <c r="C96" s="13" t="s">
        <v>73</v>
      </c>
    </row>
    <row r="97" spans="1:18" x14ac:dyDescent="0.2">
      <c r="A97" s="168">
        <v>11.1</v>
      </c>
      <c r="B97" s="31">
        <v>2</v>
      </c>
      <c r="C97" s="11" t="s">
        <v>18</v>
      </c>
      <c r="D97" s="11" t="s">
        <v>19</v>
      </c>
      <c r="E97" s="12" t="s">
        <v>190</v>
      </c>
      <c r="F97" s="11">
        <v>1</v>
      </c>
      <c r="G97" s="45">
        <f>VLOOKUP($A97,'Model Inputs'!$A:$C,3,FALSE)</f>
        <v>90</v>
      </c>
      <c r="H97" s="11">
        <f>H95</f>
        <v>3100</v>
      </c>
      <c r="I97" s="11">
        <f>VLOOKUP(C97,Resources!$B$3:$G$44,6,FALSE)</f>
        <v>130</v>
      </c>
      <c r="J97" s="38">
        <f>(H97/G97)*I97*F97</f>
        <v>4477.7777777777774</v>
      </c>
      <c r="K97" s="12">
        <f t="shared" ref="K97:K98" si="128">IF(E97="M"," ",L97*F97)</f>
        <v>34.444444444444443</v>
      </c>
      <c r="L97" s="11">
        <f t="shared" ref="L97:L98" si="129">IF(E97="M"," ",H97/G97)</f>
        <v>34.444444444444443</v>
      </c>
      <c r="M97" s="11">
        <f t="shared" ref="M97:M98" si="130">IF($E97="L",$J97,0)</f>
        <v>0</v>
      </c>
      <c r="N97" s="11">
        <f t="shared" ref="N97:N98" si="131">IF($E97="M",$J97,0)</f>
        <v>0</v>
      </c>
      <c r="O97" s="11">
        <f t="shared" ref="O97:O98" si="132">IF($E97="P",$J97,0)</f>
        <v>4477.7777777777774</v>
      </c>
      <c r="P97" s="11">
        <f t="shared" ref="P97:P98" si="133">IF($E97="S",$J97,0)</f>
        <v>0</v>
      </c>
      <c r="Q97" s="11">
        <f t="shared" ref="Q97:Q98" si="134">SUM(M97:P97)</f>
        <v>4477.7777777777774</v>
      </c>
      <c r="R97" s="94">
        <v>51</v>
      </c>
    </row>
    <row r="98" spans="1:18" x14ac:dyDescent="0.2">
      <c r="A98" s="168" t="s">
        <v>230</v>
      </c>
      <c r="B98" s="31">
        <v>3</v>
      </c>
      <c r="C98" s="11" t="s">
        <v>68</v>
      </c>
      <c r="D98" s="11" t="s">
        <v>19</v>
      </c>
      <c r="E98" s="12" t="s">
        <v>190</v>
      </c>
      <c r="F98" s="11">
        <v>2</v>
      </c>
      <c r="G98" s="11">
        <f>G97</f>
        <v>90</v>
      </c>
      <c r="H98" s="11">
        <f>H95</f>
        <v>3100</v>
      </c>
      <c r="I98" s="11">
        <f>VLOOKUP(C98,Resources!$B$3:$G$44,6,FALSE)</f>
        <v>185</v>
      </c>
      <c r="J98" s="38">
        <f>(H98/G98)*I98*F98</f>
        <v>12744.444444444443</v>
      </c>
      <c r="K98" s="12">
        <f t="shared" si="128"/>
        <v>68.888888888888886</v>
      </c>
      <c r="L98" s="11">
        <f t="shared" si="129"/>
        <v>34.444444444444443</v>
      </c>
      <c r="M98" s="11">
        <f t="shared" si="130"/>
        <v>0</v>
      </c>
      <c r="N98" s="11">
        <f t="shared" si="131"/>
        <v>0</v>
      </c>
      <c r="O98" s="11">
        <f t="shared" si="132"/>
        <v>12744.444444444443</v>
      </c>
      <c r="P98" s="11">
        <f t="shared" si="133"/>
        <v>0</v>
      </c>
      <c r="Q98" s="11">
        <f t="shared" si="134"/>
        <v>12744.444444444443</v>
      </c>
      <c r="R98" s="94">
        <v>51</v>
      </c>
    </row>
    <row r="99" spans="1:18" x14ac:dyDescent="0.2">
      <c r="A99" s="165" t="s">
        <v>230</v>
      </c>
      <c r="B99" s="30">
        <v>6</v>
      </c>
      <c r="C99" s="13" t="s">
        <v>74</v>
      </c>
    </row>
    <row r="100" spans="1:18" ht="22.5" x14ac:dyDescent="0.2">
      <c r="A100" s="165" t="s">
        <v>230</v>
      </c>
      <c r="B100" s="30">
        <v>8</v>
      </c>
      <c r="C100" s="13" t="s">
        <v>75</v>
      </c>
    </row>
    <row r="101" spans="1:18" ht="22.5" x14ac:dyDescent="0.2">
      <c r="A101" s="165" t="s">
        <v>230</v>
      </c>
      <c r="B101" s="30">
        <v>9</v>
      </c>
      <c r="C101" s="13" t="s">
        <v>76</v>
      </c>
    </row>
    <row r="102" spans="1:18" x14ac:dyDescent="0.2">
      <c r="A102" s="168" t="s">
        <v>230</v>
      </c>
      <c r="B102" s="31">
        <v>10</v>
      </c>
      <c r="C102" s="11" t="s">
        <v>23</v>
      </c>
      <c r="D102" s="11" t="s">
        <v>19</v>
      </c>
      <c r="E102" s="12" t="s">
        <v>190</v>
      </c>
      <c r="F102" s="11">
        <v>1</v>
      </c>
      <c r="G102" s="11">
        <f>G97</f>
        <v>90</v>
      </c>
      <c r="H102" s="11">
        <f>H95</f>
        <v>3100</v>
      </c>
      <c r="I102" s="11">
        <f>VLOOKUP(C102,Resources!$B$3:$G$44,6,FALSE)</f>
        <v>185</v>
      </c>
      <c r="J102" s="38">
        <f>(H102/G102)*I102*F102</f>
        <v>6372.2222222222217</v>
      </c>
      <c r="K102" s="12">
        <f t="shared" ref="K102:K105" si="135">IF(E102="M"," ",L102*F102)</f>
        <v>34.444444444444443</v>
      </c>
      <c r="L102" s="11">
        <f t="shared" ref="L102:L105" si="136">IF(E102="M"," ",H102/G102)</f>
        <v>34.444444444444443</v>
      </c>
      <c r="M102" s="11">
        <f t="shared" ref="M102:M105" si="137">IF($E102="L",$J102,0)</f>
        <v>0</v>
      </c>
      <c r="N102" s="11">
        <f t="shared" ref="N102:N105" si="138">IF($E102="M",$J102,0)</f>
        <v>0</v>
      </c>
      <c r="O102" s="11">
        <f t="shared" ref="O102:O105" si="139">IF($E102="P",$J102,0)</f>
        <v>6372.2222222222217</v>
      </c>
      <c r="P102" s="11">
        <f t="shared" ref="P102:P105" si="140">IF($E102="S",$J102,0)</f>
        <v>0</v>
      </c>
      <c r="Q102" s="11">
        <f t="shared" ref="Q102:Q105" si="141">SUM(M102:P102)</f>
        <v>6372.2222222222217</v>
      </c>
      <c r="R102" s="94">
        <v>51</v>
      </c>
    </row>
    <row r="103" spans="1:18" x14ac:dyDescent="0.2">
      <c r="A103" s="168" t="s">
        <v>230</v>
      </c>
      <c r="B103" s="31">
        <v>11</v>
      </c>
      <c r="C103" s="11" t="s">
        <v>52</v>
      </c>
      <c r="D103" s="11" t="s">
        <v>19</v>
      </c>
      <c r="E103" s="12" t="s">
        <v>190</v>
      </c>
      <c r="F103" s="11">
        <v>1</v>
      </c>
      <c r="G103" s="11">
        <f>G102</f>
        <v>90</v>
      </c>
      <c r="H103" s="11">
        <f>H102</f>
        <v>3100</v>
      </c>
      <c r="I103" s="11">
        <f>VLOOKUP(C103,Resources!$B$3:$G$44,6,FALSE)</f>
        <v>58</v>
      </c>
      <c r="J103" s="38">
        <f>(H103/G103)*I103*F103</f>
        <v>1997.7777777777776</v>
      </c>
      <c r="K103" s="12">
        <f t="shared" si="135"/>
        <v>34.444444444444443</v>
      </c>
      <c r="L103" s="11">
        <f t="shared" si="136"/>
        <v>34.444444444444443</v>
      </c>
      <c r="M103" s="11">
        <f t="shared" si="137"/>
        <v>0</v>
      </c>
      <c r="N103" s="11">
        <f t="shared" si="138"/>
        <v>0</v>
      </c>
      <c r="O103" s="11">
        <f t="shared" si="139"/>
        <v>1997.7777777777776</v>
      </c>
      <c r="P103" s="11">
        <f t="shared" si="140"/>
        <v>0</v>
      </c>
      <c r="Q103" s="11">
        <f t="shared" si="141"/>
        <v>1997.7777777777776</v>
      </c>
      <c r="R103" s="94">
        <v>51</v>
      </c>
    </row>
    <row r="104" spans="1:18" x14ac:dyDescent="0.2">
      <c r="A104" s="168" t="s">
        <v>230</v>
      </c>
      <c r="B104" s="31">
        <v>12</v>
      </c>
      <c r="C104" s="11" t="s">
        <v>53</v>
      </c>
      <c r="D104" s="11" t="s">
        <v>19</v>
      </c>
      <c r="E104" s="12" t="s">
        <v>190</v>
      </c>
      <c r="F104" s="11">
        <v>1</v>
      </c>
      <c r="G104" s="11">
        <f t="shared" ref="G104:G105" si="142">G103</f>
        <v>90</v>
      </c>
      <c r="H104" s="11">
        <f t="shared" ref="H104:H105" si="143">H103</f>
        <v>3100</v>
      </c>
      <c r="I104" s="11">
        <f>VLOOKUP(C104,Resources!$B$3:$G$44,6,FALSE)</f>
        <v>95</v>
      </c>
      <c r="J104" s="38">
        <f>(H104/G104)*I104*F104</f>
        <v>3272.2222222222222</v>
      </c>
      <c r="K104" s="12">
        <f t="shared" si="135"/>
        <v>34.444444444444443</v>
      </c>
      <c r="L104" s="11">
        <f t="shared" si="136"/>
        <v>34.444444444444443</v>
      </c>
      <c r="M104" s="11">
        <f t="shared" si="137"/>
        <v>0</v>
      </c>
      <c r="N104" s="11">
        <f t="shared" si="138"/>
        <v>0</v>
      </c>
      <c r="O104" s="11">
        <f t="shared" si="139"/>
        <v>3272.2222222222222</v>
      </c>
      <c r="P104" s="11">
        <f t="shared" si="140"/>
        <v>0</v>
      </c>
      <c r="Q104" s="11">
        <f t="shared" si="141"/>
        <v>3272.2222222222222</v>
      </c>
      <c r="R104" s="94">
        <v>51</v>
      </c>
    </row>
    <row r="105" spans="1:18" x14ac:dyDescent="0.2">
      <c r="A105" s="168" t="s">
        <v>230</v>
      </c>
      <c r="B105" s="31">
        <v>13</v>
      </c>
      <c r="C105" s="11" t="s">
        <v>5</v>
      </c>
      <c r="D105" s="11" t="s">
        <v>19</v>
      </c>
      <c r="E105" s="12" t="s">
        <v>188</v>
      </c>
      <c r="F105" s="11">
        <v>3</v>
      </c>
      <c r="G105" s="11">
        <f t="shared" si="142"/>
        <v>90</v>
      </c>
      <c r="H105" s="11">
        <f t="shared" si="143"/>
        <v>3100</v>
      </c>
      <c r="I105" s="11">
        <f>VLOOKUP(C105,Resources!$B$3:$G$44,6,FALSE)</f>
        <v>38</v>
      </c>
      <c r="J105" s="38">
        <f>(H105/G105)*I105*F105</f>
        <v>3926.666666666667</v>
      </c>
      <c r="K105" s="12">
        <f t="shared" si="135"/>
        <v>103.33333333333333</v>
      </c>
      <c r="L105" s="11">
        <f t="shared" si="136"/>
        <v>34.444444444444443</v>
      </c>
      <c r="M105" s="11">
        <f t="shared" si="137"/>
        <v>3926.666666666667</v>
      </c>
      <c r="N105" s="11">
        <f t="shared" si="138"/>
        <v>0</v>
      </c>
      <c r="O105" s="11">
        <f t="shared" si="139"/>
        <v>0</v>
      </c>
      <c r="P105" s="11">
        <f t="shared" si="140"/>
        <v>0</v>
      </c>
      <c r="Q105" s="11">
        <f t="shared" si="141"/>
        <v>3926.666666666667</v>
      </c>
      <c r="R105" s="94">
        <v>51</v>
      </c>
    </row>
    <row r="106" spans="1:18" x14ac:dyDescent="0.2">
      <c r="A106" s="165" t="s">
        <v>230</v>
      </c>
      <c r="B106" s="30">
        <v>14</v>
      </c>
      <c r="C106" s="13" t="s">
        <v>77</v>
      </c>
    </row>
    <row r="107" spans="1:18" x14ac:dyDescent="0.2">
      <c r="A107" s="168" t="s">
        <v>230</v>
      </c>
      <c r="B107" s="31">
        <v>15</v>
      </c>
      <c r="C107" s="11" t="s">
        <v>50</v>
      </c>
      <c r="D107" s="11" t="s">
        <v>19</v>
      </c>
      <c r="E107" s="12" t="s">
        <v>190</v>
      </c>
      <c r="F107" s="11">
        <v>27</v>
      </c>
      <c r="G107" s="11">
        <v>1</v>
      </c>
      <c r="H107" s="11">
        <v>1</v>
      </c>
      <c r="I107" s="11">
        <f>VLOOKUP(C107,Resources!$B$3:$G$44,6,FALSE)</f>
        <v>135</v>
      </c>
      <c r="J107" s="38">
        <f>(H107/G107)*I107*F107</f>
        <v>3645</v>
      </c>
      <c r="K107" s="12">
        <f t="shared" ref="K107:K109" si="144">IF(E107="M"," ",L107*F107)</f>
        <v>27</v>
      </c>
      <c r="L107" s="11">
        <f t="shared" ref="L107:L109" si="145">IF(E107="M"," ",H107/G107)</f>
        <v>1</v>
      </c>
      <c r="M107" s="11">
        <f t="shared" ref="M107:M109" si="146">IF($E107="L",$J107,0)</f>
        <v>0</v>
      </c>
      <c r="N107" s="11">
        <f t="shared" ref="N107:N109" si="147">IF($E107="M",$J107,0)</f>
        <v>0</v>
      </c>
      <c r="O107" s="11">
        <f t="shared" ref="O107:O109" si="148">IF($E107="P",$J107,0)</f>
        <v>3645</v>
      </c>
      <c r="P107" s="11">
        <f t="shared" ref="P107:P109" si="149">IF($E107="S",$J107,0)</f>
        <v>0</v>
      </c>
      <c r="Q107" s="11">
        <f t="shared" ref="Q107:Q109" si="150">SUM(M107:P107)</f>
        <v>3645</v>
      </c>
      <c r="R107" s="94">
        <v>59</v>
      </c>
    </row>
    <row r="108" spans="1:18" x14ac:dyDescent="0.2">
      <c r="A108" s="168" t="s">
        <v>230</v>
      </c>
      <c r="B108" s="31">
        <v>16</v>
      </c>
      <c r="C108" s="11" t="s">
        <v>18</v>
      </c>
      <c r="D108" s="11" t="s">
        <v>19</v>
      </c>
      <c r="E108" s="12" t="s">
        <v>190</v>
      </c>
      <c r="F108" s="11">
        <v>4</v>
      </c>
      <c r="G108" s="11">
        <v>1</v>
      </c>
      <c r="H108" s="11">
        <v>1</v>
      </c>
      <c r="I108" s="11">
        <f>VLOOKUP(C108,Resources!$B$3:$G$44,6,FALSE)</f>
        <v>130</v>
      </c>
      <c r="J108" s="38">
        <f>(H108/G108)*I108*F108</f>
        <v>520</v>
      </c>
      <c r="K108" s="12">
        <f t="shared" si="144"/>
        <v>4</v>
      </c>
      <c r="L108" s="11">
        <f t="shared" si="145"/>
        <v>1</v>
      </c>
      <c r="M108" s="11">
        <f t="shared" si="146"/>
        <v>0</v>
      </c>
      <c r="N108" s="11">
        <f t="shared" si="147"/>
        <v>0</v>
      </c>
      <c r="O108" s="11">
        <f t="shared" si="148"/>
        <v>520</v>
      </c>
      <c r="P108" s="11">
        <f t="shared" si="149"/>
        <v>0</v>
      </c>
      <c r="Q108" s="11">
        <f t="shared" si="150"/>
        <v>520</v>
      </c>
      <c r="R108" s="94">
        <v>59</v>
      </c>
    </row>
    <row r="109" spans="1:18" x14ac:dyDescent="0.2">
      <c r="A109" s="168" t="s">
        <v>230</v>
      </c>
      <c r="B109" s="31">
        <v>17</v>
      </c>
      <c r="C109" s="11" t="s">
        <v>68</v>
      </c>
      <c r="D109" s="11" t="s">
        <v>19</v>
      </c>
      <c r="E109" s="12" t="s">
        <v>190</v>
      </c>
      <c r="F109" s="11">
        <v>8</v>
      </c>
      <c r="G109" s="11">
        <v>1</v>
      </c>
      <c r="H109" s="11">
        <v>1</v>
      </c>
      <c r="I109" s="11">
        <f>VLOOKUP(C109,Resources!$B$3:$G$44,6,FALSE)</f>
        <v>185</v>
      </c>
      <c r="J109" s="38">
        <f>(H109/G109)*I109*F109</f>
        <v>1480</v>
      </c>
      <c r="K109" s="12">
        <f t="shared" si="144"/>
        <v>8</v>
      </c>
      <c r="L109" s="11">
        <f t="shared" si="145"/>
        <v>1</v>
      </c>
      <c r="M109" s="11">
        <f t="shared" si="146"/>
        <v>0</v>
      </c>
      <c r="N109" s="11">
        <f t="shared" si="147"/>
        <v>0</v>
      </c>
      <c r="O109" s="11">
        <f t="shared" si="148"/>
        <v>1480</v>
      </c>
      <c r="P109" s="11">
        <f t="shared" si="149"/>
        <v>0</v>
      </c>
      <c r="Q109" s="11">
        <f t="shared" si="150"/>
        <v>1480</v>
      </c>
      <c r="R109" s="94">
        <v>59</v>
      </c>
    </row>
    <row r="110" spans="1:18" ht="22.5" x14ac:dyDescent="0.2">
      <c r="A110" s="165" t="s">
        <v>230</v>
      </c>
      <c r="B110" s="30">
        <v>20</v>
      </c>
      <c r="C110" s="13" t="s">
        <v>78</v>
      </c>
    </row>
    <row r="111" spans="1:18" x14ac:dyDescent="0.2">
      <c r="A111" s="168">
        <v>11.2</v>
      </c>
      <c r="B111" s="31">
        <v>22</v>
      </c>
      <c r="C111" s="11" t="s">
        <v>18</v>
      </c>
      <c r="D111" s="11" t="s">
        <v>19</v>
      </c>
      <c r="E111" s="12" t="s">
        <v>190</v>
      </c>
      <c r="F111" s="11">
        <v>1</v>
      </c>
      <c r="G111" s="11">
        <v>50</v>
      </c>
      <c r="H111" s="45">
        <f>VLOOKUP($A111,'Model Inputs'!$A:$C,3,FALSE)</f>
        <v>550</v>
      </c>
      <c r="I111" s="11">
        <f>VLOOKUP(C111,Resources!$B$3:$G$44,6,FALSE)</f>
        <v>130</v>
      </c>
      <c r="J111" s="38">
        <f>(H111/G111)*I111*F111</f>
        <v>1430</v>
      </c>
      <c r="K111" s="12">
        <f t="shared" ref="K111:K115" si="151">IF(E111="M"," ",L111*F111)</f>
        <v>11</v>
      </c>
      <c r="L111" s="11">
        <f t="shared" ref="L111:L115" si="152">IF(E111="M"," ",H111/G111)</f>
        <v>11</v>
      </c>
      <c r="M111" s="11">
        <f t="shared" ref="M111:M115" si="153">IF($E111="L",$J111,0)</f>
        <v>0</v>
      </c>
      <c r="N111" s="11">
        <f t="shared" ref="N111:N115" si="154">IF($E111="M",$J111,0)</f>
        <v>0</v>
      </c>
      <c r="O111" s="11">
        <f t="shared" ref="O111:O115" si="155">IF($E111="P",$J111,0)</f>
        <v>1430</v>
      </c>
      <c r="P111" s="11">
        <f t="shared" ref="P111:P115" si="156">IF($E111="S",$J111,0)</f>
        <v>0</v>
      </c>
      <c r="Q111" s="11">
        <f t="shared" ref="Q111:Q115" si="157">SUM(M111:P111)</f>
        <v>1430</v>
      </c>
      <c r="R111" s="94">
        <v>222</v>
      </c>
    </row>
    <row r="112" spans="1:18" x14ac:dyDescent="0.2">
      <c r="A112" s="168">
        <v>11.3</v>
      </c>
      <c r="B112" s="31">
        <v>24</v>
      </c>
      <c r="C112" s="11" t="s">
        <v>29</v>
      </c>
      <c r="D112" s="11" t="s">
        <v>19</v>
      </c>
      <c r="E112" s="12" t="s">
        <v>190</v>
      </c>
      <c r="F112" s="11">
        <v>1</v>
      </c>
      <c r="G112" s="45">
        <f>VLOOKUP($A112,'Model Inputs'!$A:$C,3,FALSE)</f>
        <v>10</v>
      </c>
      <c r="H112" s="11">
        <f>H113</f>
        <v>120</v>
      </c>
      <c r="I112" s="11">
        <f>VLOOKUP(C112,Resources!$B$3:$G$44,6,FALSE)</f>
        <v>46.5</v>
      </c>
      <c r="J112" s="38">
        <f>(H112/G112)*I112*F112</f>
        <v>558</v>
      </c>
      <c r="K112" s="12">
        <f t="shared" si="151"/>
        <v>12</v>
      </c>
      <c r="L112" s="11">
        <f t="shared" si="152"/>
        <v>12</v>
      </c>
      <c r="M112" s="11">
        <f t="shared" si="153"/>
        <v>0</v>
      </c>
      <c r="N112" s="11">
        <f t="shared" si="154"/>
        <v>0</v>
      </c>
      <c r="O112" s="11">
        <f t="shared" si="155"/>
        <v>558</v>
      </c>
      <c r="P112" s="11">
        <f t="shared" si="156"/>
        <v>0</v>
      </c>
      <c r="Q112" s="11">
        <f t="shared" si="157"/>
        <v>558</v>
      </c>
      <c r="R112" s="94">
        <v>222</v>
      </c>
    </row>
    <row r="113" spans="1:18" x14ac:dyDescent="0.2">
      <c r="A113" s="168">
        <v>11.4</v>
      </c>
      <c r="B113" s="31">
        <v>25</v>
      </c>
      <c r="C113" s="11" t="s">
        <v>5</v>
      </c>
      <c r="D113" s="11" t="s">
        <v>19</v>
      </c>
      <c r="E113" s="12" t="s">
        <v>188</v>
      </c>
      <c r="F113" s="11">
        <v>3</v>
      </c>
      <c r="G113" s="11">
        <f>G112</f>
        <v>10</v>
      </c>
      <c r="H113" s="45">
        <f>VLOOKUP($A113,'Model Inputs'!$A:$C,3,FALSE)</f>
        <v>120</v>
      </c>
      <c r="I113" s="11">
        <f>VLOOKUP(C113,Resources!$B$3:$G$44,6,FALSE)</f>
        <v>38</v>
      </c>
      <c r="J113" s="38">
        <f>(H113/G113)*I113*F113</f>
        <v>1368</v>
      </c>
      <c r="K113" s="12">
        <f t="shared" si="151"/>
        <v>36</v>
      </c>
      <c r="L113" s="11">
        <f t="shared" si="152"/>
        <v>12</v>
      </c>
      <c r="M113" s="11">
        <f t="shared" si="153"/>
        <v>1368</v>
      </c>
      <c r="N113" s="11">
        <f t="shared" si="154"/>
        <v>0</v>
      </c>
      <c r="O113" s="11">
        <f t="shared" si="155"/>
        <v>0</v>
      </c>
      <c r="P113" s="11">
        <f t="shared" si="156"/>
        <v>0</v>
      </c>
      <c r="Q113" s="11">
        <f t="shared" si="157"/>
        <v>1368</v>
      </c>
      <c r="R113" s="94">
        <v>222</v>
      </c>
    </row>
    <row r="114" spans="1:18" x14ac:dyDescent="0.2">
      <c r="A114" s="168" t="s">
        <v>230</v>
      </c>
      <c r="B114" s="31">
        <v>26</v>
      </c>
      <c r="C114" s="11" t="s">
        <v>196</v>
      </c>
      <c r="D114" s="11" t="s">
        <v>19</v>
      </c>
      <c r="E114" s="12" t="s">
        <v>190</v>
      </c>
      <c r="F114" s="11">
        <v>1</v>
      </c>
      <c r="G114" s="11">
        <f t="shared" ref="G114:G115" si="158">G113</f>
        <v>10</v>
      </c>
      <c r="H114" s="11">
        <f>H113</f>
        <v>120</v>
      </c>
      <c r="I114" s="11">
        <f>VLOOKUP(C114,Resources!$B$3:$G$44,6,FALSE)</f>
        <v>15</v>
      </c>
      <c r="J114" s="38">
        <f>(H114/G114)*I114*F114</f>
        <v>180</v>
      </c>
      <c r="K114" s="12">
        <f t="shared" si="151"/>
        <v>12</v>
      </c>
      <c r="L114" s="11">
        <f t="shared" si="152"/>
        <v>12</v>
      </c>
      <c r="M114" s="11">
        <f t="shared" si="153"/>
        <v>0</v>
      </c>
      <c r="N114" s="11">
        <f t="shared" si="154"/>
        <v>0</v>
      </c>
      <c r="O114" s="11">
        <f t="shared" si="155"/>
        <v>180</v>
      </c>
      <c r="P114" s="11">
        <f t="shared" si="156"/>
        <v>0</v>
      </c>
      <c r="Q114" s="11">
        <f t="shared" si="157"/>
        <v>180</v>
      </c>
      <c r="R114" s="94">
        <v>222</v>
      </c>
    </row>
    <row r="115" spans="1:18" x14ac:dyDescent="0.2">
      <c r="A115" s="168" t="s">
        <v>230</v>
      </c>
      <c r="B115" s="31">
        <v>27</v>
      </c>
      <c r="C115" s="11" t="s">
        <v>53</v>
      </c>
      <c r="D115" s="11" t="s">
        <v>19</v>
      </c>
      <c r="E115" s="12" t="s">
        <v>190</v>
      </c>
      <c r="F115" s="11">
        <v>1</v>
      </c>
      <c r="G115" s="11">
        <f t="shared" si="158"/>
        <v>10</v>
      </c>
      <c r="H115" s="11">
        <f>H113</f>
        <v>120</v>
      </c>
      <c r="I115" s="11">
        <f>VLOOKUP(C115,Resources!$B$3:$G$44,6,FALSE)</f>
        <v>95</v>
      </c>
      <c r="J115" s="38">
        <f>(H115/G115)*I115*F115</f>
        <v>1140</v>
      </c>
      <c r="K115" s="12">
        <f t="shared" si="151"/>
        <v>12</v>
      </c>
      <c r="L115" s="11">
        <f t="shared" si="152"/>
        <v>12</v>
      </c>
      <c r="M115" s="11">
        <f t="shared" si="153"/>
        <v>0</v>
      </c>
      <c r="N115" s="11">
        <f t="shared" si="154"/>
        <v>0</v>
      </c>
      <c r="O115" s="11">
        <f t="shared" si="155"/>
        <v>1140</v>
      </c>
      <c r="P115" s="11">
        <f t="shared" si="156"/>
        <v>0</v>
      </c>
      <c r="Q115" s="11">
        <f t="shared" si="157"/>
        <v>1140</v>
      </c>
      <c r="R115" s="94">
        <v>222</v>
      </c>
    </row>
    <row r="116" spans="1:18" x14ac:dyDescent="0.2">
      <c r="A116" s="165" t="s">
        <v>230</v>
      </c>
    </row>
    <row r="117" spans="1:18" ht="22.5" x14ac:dyDescent="0.2">
      <c r="A117" s="167">
        <v>12</v>
      </c>
      <c r="B117" s="29" t="s">
        <v>79</v>
      </c>
      <c r="C117" s="6" t="s">
        <v>80</v>
      </c>
      <c r="D117" s="7" t="s">
        <v>66</v>
      </c>
      <c r="E117" s="8"/>
      <c r="F117" s="7"/>
      <c r="G117" s="7"/>
      <c r="H117" s="45">
        <f>VLOOKUP($A117,'Model Inputs'!$A:$C,3,FALSE)</f>
        <v>3200</v>
      </c>
      <c r="I117" s="7"/>
      <c r="J117" s="7">
        <f t="shared" ref="J117" si="159">SUBTOTAL(9,J119:J140)</f>
        <v>49669.888888888891</v>
      </c>
      <c r="K117" s="7"/>
      <c r="L117" s="7">
        <f>ROUNDUP(MAX(L119:L140)/work,0)</f>
        <v>4</v>
      </c>
      <c r="M117" s="7">
        <f>SUBTOTAL(9,M119:M140)</f>
        <v>5421.333333333333</v>
      </c>
      <c r="N117" s="7">
        <f>SUBTOTAL(9,N119:N140)</f>
        <v>5500</v>
      </c>
      <c r="O117" s="7">
        <f>SUBTOTAL(9,O119:O140)</f>
        <v>38748.555555555562</v>
      </c>
      <c r="P117" s="7">
        <f>SUBTOTAL(9,P119:P140)</f>
        <v>0</v>
      </c>
      <c r="Q117" s="7">
        <f>SUBTOTAL(9,Q119:Q140)</f>
        <v>49669.888888888891</v>
      </c>
      <c r="R117" s="93"/>
    </row>
    <row r="118" spans="1:18" x14ac:dyDescent="0.2">
      <c r="A118" s="165" t="s">
        <v>230</v>
      </c>
      <c r="B118" s="30">
        <v>1</v>
      </c>
      <c r="C118" s="13" t="s">
        <v>73</v>
      </c>
    </row>
    <row r="119" spans="1:18" x14ac:dyDescent="0.2">
      <c r="A119" s="168">
        <v>12.1</v>
      </c>
      <c r="B119" s="31">
        <v>2</v>
      </c>
      <c r="C119" s="11" t="s">
        <v>18</v>
      </c>
      <c r="D119" s="11" t="s">
        <v>19</v>
      </c>
      <c r="E119" s="12" t="s">
        <v>190</v>
      </c>
      <c r="F119" s="11">
        <v>1</v>
      </c>
      <c r="G119" s="45">
        <f>VLOOKUP($A119,'Model Inputs'!$A:$C,3,FALSE)</f>
        <v>90</v>
      </c>
      <c r="H119" s="11">
        <f>H117</f>
        <v>3200</v>
      </c>
      <c r="I119" s="11">
        <f>VLOOKUP(C119,Resources!$B$3:$G$44,6,FALSE)</f>
        <v>130</v>
      </c>
      <c r="J119" s="38">
        <f>(H119/G119)*I119*F119</f>
        <v>4622.2222222222226</v>
      </c>
      <c r="K119" s="12">
        <f t="shared" ref="K119:K120" si="160">IF(E119="M"," ",L119*F119)</f>
        <v>35.555555555555557</v>
      </c>
      <c r="L119" s="11">
        <f t="shared" ref="L119:L120" si="161">IF(E119="M"," ",H119/G119)</f>
        <v>35.555555555555557</v>
      </c>
      <c r="M119" s="11">
        <f t="shared" ref="M119:M120" si="162">IF($E119="L",$J119,0)</f>
        <v>0</v>
      </c>
      <c r="N119" s="11">
        <f t="shared" ref="N119:N120" si="163">IF($E119="M",$J119,0)</f>
        <v>0</v>
      </c>
      <c r="O119" s="11">
        <f t="shared" ref="O119:O120" si="164">IF($E119="P",$J119,0)</f>
        <v>4622.2222222222226</v>
      </c>
      <c r="P119" s="11">
        <f t="shared" ref="P119:P120" si="165">IF($E119="S",$J119,0)</f>
        <v>0</v>
      </c>
      <c r="Q119" s="11">
        <f t="shared" ref="Q119:Q120" si="166">SUM(M119:P119)</f>
        <v>4622.2222222222226</v>
      </c>
      <c r="R119" s="94">
        <v>51</v>
      </c>
    </row>
    <row r="120" spans="1:18" x14ac:dyDescent="0.2">
      <c r="A120" s="168" t="s">
        <v>230</v>
      </c>
      <c r="B120" s="31">
        <v>3</v>
      </c>
      <c r="C120" s="11" t="s">
        <v>68</v>
      </c>
      <c r="D120" s="11" t="s">
        <v>19</v>
      </c>
      <c r="E120" s="12" t="s">
        <v>190</v>
      </c>
      <c r="F120" s="11">
        <v>2</v>
      </c>
      <c r="G120" s="11">
        <f>G119</f>
        <v>90</v>
      </c>
      <c r="H120" s="11">
        <f>H117</f>
        <v>3200</v>
      </c>
      <c r="I120" s="11">
        <f>VLOOKUP(C120,Resources!$B$3:$G$44,6,FALSE)</f>
        <v>185</v>
      </c>
      <c r="J120" s="38">
        <f>(H120/G120)*I120*F120</f>
        <v>13155.555555555557</v>
      </c>
      <c r="K120" s="12">
        <f t="shared" si="160"/>
        <v>71.111111111111114</v>
      </c>
      <c r="L120" s="11">
        <f t="shared" si="161"/>
        <v>35.555555555555557</v>
      </c>
      <c r="M120" s="11">
        <f t="shared" si="162"/>
        <v>0</v>
      </c>
      <c r="N120" s="11">
        <f t="shared" si="163"/>
        <v>0</v>
      </c>
      <c r="O120" s="11">
        <f t="shared" si="164"/>
        <v>13155.555555555557</v>
      </c>
      <c r="P120" s="11">
        <f t="shared" si="165"/>
        <v>0</v>
      </c>
      <c r="Q120" s="11">
        <f t="shared" si="166"/>
        <v>13155.555555555557</v>
      </c>
      <c r="R120" s="94">
        <v>51</v>
      </c>
    </row>
    <row r="121" spans="1:18" x14ac:dyDescent="0.2">
      <c r="A121" s="165" t="s">
        <v>230</v>
      </c>
      <c r="B121" s="30">
        <v>6</v>
      </c>
      <c r="C121" s="13" t="s">
        <v>74</v>
      </c>
    </row>
    <row r="122" spans="1:18" ht="22.5" x14ac:dyDescent="0.2">
      <c r="A122" s="165" t="s">
        <v>230</v>
      </c>
      <c r="B122" s="30">
        <v>8</v>
      </c>
      <c r="C122" s="13" t="s">
        <v>75</v>
      </c>
    </row>
    <row r="123" spans="1:18" ht="22.5" x14ac:dyDescent="0.2">
      <c r="A123" s="165" t="s">
        <v>230</v>
      </c>
      <c r="B123" s="30">
        <v>9</v>
      </c>
      <c r="C123" s="13" t="s">
        <v>76</v>
      </c>
    </row>
    <row r="124" spans="1:18" x14ac:dyDescent="0.2">
      <c r="A124" s="168" t="s">
        <v>230</v>
      </c>
      <c r="B124" s="31">
        <v>10</v>
      </c>
      <c r="C124" s="11" t="s">
        <v>23</v>
      </c>
      <c r="D124" s="11" t="s">
        <v>19</v>
      </c>
      <c r="E124" s="12" t="s">
        <v>190</v>
      </c>
      <c r="F124" s="11">
        <v>1</v>
      </c>
      <c r="G124" s="11">
        <f>G119</f>
        <v>90</v>
      </c>
      <c r="H124" s="11">
        <f>H117</f>
        <v>3200</v>
      </c>
      <c r="I124" s="11">
        <f>VLOOKUP(C124,Resources!$B$3:$G$44,6,FALSE)</f>
        <v>185</v>
      </c>
      <c r="J124" s="38">
        <f>(H124/G124)*I124*F124</f>
        <v>6577.7777777777783</v>
      </c>
      <c r="K124" s="12">
        <f t="shared" ref="K124:K127" si="167">IF(E124="M"," ",L124*F124)</f>
        <v>35.555555555555557</v>
      </c>
      <c r="L124" s="11">
        <f t="shared" ref="L124:L127" si="168">IF(E124="M"," ",H124/G124)</f>
        <v>35.555555555555557</v>
      </c>
      <c r="M124" s="11">
        <f t="shared" ref="M124:M127" si="169">IF($E124="L",$J124,0)</f>
        <v>0</v>
      </c>
      <c r="N124" s="11">
        <f t="shared" ref="N124:N127" si="170">IF($E124="M",$J124,0)</f>
        <v>0</v>
      </c>
      <c r="O124" s="11">
        <f t="shared" ref="O124:O127" si="171">IF($E124="P",$J124,0)</f>
        <v>6577.7777777777783</v>
      </c>
      <c r="P124" s="11">
        <f t="shared" ref="P124:P127" si="172">IF($E124="S",$J124,0)</f>
        <v>0</v>
      </c>
      <c r="Q124" s="11">
        <f t="shared" ref="Q124:Q127" si="173">SUM(M124:P124)</f>
        <v>6577.7777777777783</v>
      </c>
      <c r="R124" s="94">
        <v>51</v>
      </c>
    </row>
    <row r="125" spans="1:18" x14ac:dyDescent="0.2">
      <c r="A125" s="168" t="s">
        <v>230</v>
      </c>
      <c r="B125" s="31">
        <v>11</v>
      </c>
      <c r="C125" s="11" t="s">
        <v>52</v>
      </c>
      <c r="D125" s="11" t="s">
        <v>19</v>
      </c>
      <c r="E125" s="12" t="s">
        <v>190</v>
      </c>
      <c r="F125" s="11">
        <v>1</v>
      </c>
      <c r="G125" s="11">
        <f>G119</f>
        <v>90</v>
      </c>
      <c r="H125" s="11">
        <f>H124</f>
        <v>3200</v>
      </c>
      <c r="I125" s="11">
        <f>VLOOKUP(C125,Resources!$B$3:$G$44,6,FALSE)</f>
        <v>58</v>
      </c>
      <c r="J125" s="38">
        <f>(H125/G125)*I125*F125</f>
        <v>2062.2222222222222</v>
      </c>
      <c r="K125" s="12">
        <f t="shared" si="167"/>
        <v>35.555555555555557</v>
      </c>
      <c r="L125" s="11">
        <f t="shared" si="168"/>
        <v>35.555555555555557</v>
      </c>
      <c r="M125" s="11">
        <f t="shared" si="169"/>
        <v>0</v>
      </c>
      <c r="N125" s="11">
        <f t="shared" si="170"/>
        <v>0</v>
      </c>
      <c r="O125" s="11">
        <f t="shared" si="171"/>
        <v>2062.2222222222222</v>
      </c>
      <c r="P125" s="11">
        <f t="shared" si="172"/>
        <v>0</v>
      </c>
      <c r="Q125" s="11">
        <f t="shared" si="173"/>
        <v>2062.2222222222222</v>
      </c>
      <c r="R125" s="94">
        <v>51</v>
      </c>
    </row>
    <row r="126" spans="1:18" x14ac:dyDescent="0.2">
      <c r="A126" s="168" t="s">
        <v>230</v>
      </c>
      <c r="B126" s="31">
        <v>12</v>
      </c>
      <c r="C126" s="11" t="s">
        <v>53</v>
      </c>
      <c r="D126" s="11" t="s">
        <v>19</v>
      </c>
      <c r="E126" s="12" t="s">
        <v>190</v>
      </c>
      <c r="F126" s="11">
        <v>1</v>
      </c>
      <c r="G126" s="11">
        <f>G119</f>
        <v>90</v>
      </c>
      <c r="H126" s="11">
        <f t="shared" ref="H126:H127" si="174">H125</f>
        <v>3200</v>
      </c>
      <c r="I126" s="11">
        <f>VLOOKUP(C126,Resources!$B$3:$G$44,6,FALSE)</f>
        <v>95</v>
      </c>
      <c r="J126" s="38">
        <f>(H126/G126)*I126*F126</f>
        <v>3377.7777777777778</v>
      </c>
      <c r="K126" s="12">
        <f t="shared" si="167"/>
        <v>35.555555555555557</v>
      </c>
      <c r="L126" s="11">
        <f t="shared" si="168"/>
        <v>35.555555555555557</v>
      </c>
      <c r="M126" s="11">
        <f t="shared" si="169"/>
        <v>0</v>
      </c>
      <c r="N126" s="11">
        <f t="shared" si="170"/>
        <v>0</v>
      </c>
      <c r="O126" s="11">
        <f t="shared" si="171"/>
        <v>3377.7777777777778</v>
      </c>
      <c r="P126" s="11">
        <f t="shared" si="172"/>
        <v>0</v>
      </c>
      <c r="Q126" s="11">
        <f t="shared" si="173"/>
        <v>3377.7777777777778</v>
      </c>
      <c r="R126" s="94">
        <v>51</v>
      </c>
    </row>
    <row r="127" spans="1:18" x14ac:dyDescent="0.2">
      <c r="A127" s="168" t="s">
        <v>230</v>
      </c>
      <c r="B127" s="31">
        <v>13</v>
      </c>
      <c r="C127" s="11" t="s">
        <v>5</v>
      </c>
      <c r="D127" s="11" t="s">
        <v>19</v>
      </c>
      <c r="E127" s="12" t="s">
        <v>188</v>
      </c>
      <c r="F127" s="11">
        <v>3</v>
      </c>
      <c r="G127" s="11">
        <f>G119</f>
        <v>90</v>
      </c>
      <c r="H127" s="11">
        <f t="shared" si="174"/>
        <v>3200</v>
      </c>
      <c r="I127" s="11">
        <f>VLOOKUP(C127,Resources!$B$3:$G$44,6,FALSE)</f>
        <v>38</v>
      </c>
      <c r="J127" s="38">
        <f>(H127/G127)*I127*F127</f>
        <v>4053.333333333333</v>
      </c>
      <c r="K127" s="12">
        <f t="shared" si="167"/>
        <v>106.66666666666667</v>
      </c>
      <c r="L127" s="11">
        <f t="shared" si="168"/>
        <v>35.555555555555557</v>
      </c>
      <c r="M127" s="11">
        <f t="shared" si="169"/>
        <v>4053.333333333333</v>
      </c>
      <c r="N127" s="11">
        <f t="shared" si="170"/>
        <v>0</v>
      </c>
      <c r="O127" s="11">
        <f t="shared" si="171"/>
        <v>0</v>
      </c>
      <c r="P127" s="11">
        <f t="shared" si="172"/>
        <v>0</v>
      </c>
      <c r="Q127" s="11">
        <f t="shared" si="173"/>
        <v>4053.333333333333</v>
      </c>
      <c r="R127" s="94">
        <v>51</v>
      </c>
    </row>
    <row r="128" spans="1:18" x14ac:dyDescent="0.2">
      <c r="A128" s="165" t="s">
        <v>230</v>
      </c>
      <c r="B128" s="30">
        <v>14</v>
      </c>
      <c r="C128" s="13" t="s">
        <v>77</v>
      </c>
    </row>
    <row r="129" spans="1:18" x14ac:dyDescent="0.2">
      <c r="A129" s="168" t="s">
        <v>230</v>
      </c>
      <c r="B129" s="31">
        <v>15</v>
      </c>
      <c r="C129" s="11" t="s">
        <v>50</v>
      </c>
      <c r="D129" s="11" t="s">
        <v>19</v>
      </c>
      <c r="E129" s="12" t="s">
        <v>190</v>
      </c>
      <c r="F129" s="11">
        <v>27</v>
      </c>
      <c r="G129" s="11">
        <v>1</v>
      </c>
      <c r="H129" s="11">
        <v>1</v>
      </c>
      <c r="I129" s="11">
        <f>VLOOKUP(C129,Resources!$B$3:$G$44,6,FALSE)</f>
        <v>135</v>
      </c>
      <c r="J129" s="38">
        <f>(H129/G129)*I129*F129</f>
        <v>3645</v>
      </c>
      <c r="K129" s="12">
        <f t="shared" ref="K129:K131" si="175">IF(E129="M"," ",L129*F129)</f>
        <v>27</v>
      </c>
      <c r="L129" s="11">
        <f t="shared" ref="L129:L131" si="176">IF(E129="M"," ",H129/G129)</f>
        <v>1</v>
      </c>
      <c r="M129" s="11">
        <f t="shared" ref="M129:M131" si="177">IF($E129="L",$J129,0)</f>
        <v>0</v>
      </c>
      <c r="N129" s="11">
        <f t="shared" ref="N129:N131" si="178">IF($E129="M",$J129,0)</f>
        <v>0</v>
      </c>
      <c r="O129" s="11">
        <f t="shared" ref="O129:O131" si="179">IF($E129="P",$J129,0)</f>
        <v>3645</v>
      </c>
      <c r="P129" s="11">
        <f t="shared" ref="P129:P131" si="180">IF($E129="S",$J129,0)</f>
        <v>0</v>
      </c>
      <c r="Q129" s="11">
        <f t="shared" ref="Q129:Q131" si="181">SUM(M129:P129)</f>
        <v>3645</v>
      </c>
      <c r="R129" s="94">
        <v>59</v>
      </c>
    </row>
    <row r="130" spans="1:18" x14ac:dyDescent="0.2">
      <c r="A130" s="168" t="s">
        <v>230</v>
      </c>
      <c r="B130" s="31">
        <v>16</v>
      </c>
      <c r="C130" s="11" t="s">
        <v>18</v>
      </c>
      <c r="D130" s="11" t="s">
        <v>19</v>
      </c>
      <c r="E130" s="12" t="s">
        <v>190</v>
      </c>
      <c r="F130" s="11">
        <v>4</v>
      </c>
      <c r="G130" s="11">
        <v>1</v>
      </c>
      <c r="H130" s="11">
        <v>1</v>
      </c>
      <c r="I130" s="11">
        <f>VLOOKUP(C130,Resources!$B$3:$G$44,6,FALSE)</f>
        <v>130</v>
      </c>
      <c r="J130" s="38">
        <f>(H130/G130)*I130*F130</f>
        <v>520</v>
      </c>
      <c r="K130" s="12">
        <f t="shared" si="175"/>
        <v>4</v>
      </c>
      <c r="L130" s="11">
        <f t="shared" si="176"/>
        <v>1</v>
      </c>
      <c r="M130" s="11">
        <f t="shared" si="177"/>
        <v>0</v>
      </c>
      <c r="N130" s="11">
        <f t="shared" si="178"/>
        <v>0</v>
      </c>
      <c r="O130" s="11">
        <f t="shared" si="179"/>
        <v>520</v>
      </c>
      <c r="P130" s="11">
        <f t="shared" si="180"/>
        <v>0</v>
      </c>
      <c r="Q130" s="11">
        <f t="shared" si="181"/>
        <v>520</v>
      </c>
      <c r="R130" s="94">
        <v>59</v>
      </c>
    </row>
    <row r="131" spans="1:18" x14ac:dyDescent="0.2">
      <c r="A131" s="168" t="s">
        <v>230</v>
      </c>
      <c r="B131" s="31">
        <v>17</v>
      </c>
      <c r="C131" s="11" t="s">
        <v>68</v>
      </c>
      <c r="D131" s="11" t="s">
        <v>19</v>
      </c>
      <c r="E131" s="12" t="s">
        <v>190</v>
      </c>
      <c r="F131" s="11">
        <v>8</v>
      </c>
      <c r="G131" s="11">
        <v>1</v>
      </c>
      <c r="H131" s="11">
        <v>1</v>
      </c>
      <c r="I131" s="11">
        <f>VLOOKUP(C131,Resources!$B$3:$G$44,6,FALSE)</f>
        <v>185</v>
      </c>
      <c r="J131" s="38">
        <f>(H131/G131)*I131*F131</f>
        <v>1480</v>
      </c>
      <c r="K131" s="12">
        <f t="shared" si="175"/>
        <v>8</v>
      </c>
      <c r="L131" s="11">
        <f t="shared" si="176"/>
        <v>1</v>
      </c>
      <c r="M131" s="11">
        <f t="shared" si="177"/>
        <v>0</v>
      </c>
      <c r="N131" s="11">
        <f t="shared" si="178"/>
        <v>0</v>
      </c>
      <c r="O131" s="11">
        <f t="shared" si="179"/>
        <v>1480</v>
      </c>
      <c r="P131" s="11">
        <f t="shared" si="180"/>
        <v>0</v>
      </c>
      <c r="Q131" s="11">
        <f t="shared" si="181"/>
        <v>1480</v>
      </c>
      <c r="R131" s="94">
        <v>59</v>
      </c>
    </row>
    <row r="132" spans="1:18" ht="22.5" x14ac:dyDescent="0.2">
      <c r="A132" s="165" t="s">
        <v>230</v>
      </c>
      <c r="B132" s="30">
        <v>20</v>
      </c>
      <c r="C132" s="13" t="s">
        <v>78</v>
      </c>
    </row>
    <row r="133" spans="1:18" x14ac:dyDescent="0.2">
      <c r="A133" s="165">
        <v>12.2</v>
      </c>
      <c r="B133" s="30">
        <v>21</v>
      </c>
      <c r="C133" s="9" t="s">
        <v>229</v>
      </c>
      <c r="H133" s="45">
        <f>VLOOKUP($A133,'Model Inputs'!$A:$C,3,FALSE)</f>
        <v>550</v>
      </c>
    </row>
    <row r="134" spans="1:18" x14ac:dyDescent="0.2">
      <c r="A134" s="168" t="s">
        <v>230</v>
      </c>
      <c r="B134" s="31">
        <v>22</v>
      </c>
      <c r="C134" s="11" t="s">
        <v>18</v>
      </c>
      <c r="D134" s="11" t="s">
        <v>19</v>
      </c>
      <c r="E134" s="12" t="s">
        <v>190</v>
      </c>
      <c r="F134" s="11">
        <v>1</v>
      </c>
      <c r="G134" s="11">
        <v>50</v>
      </c>
      <c r="H134" s="11">
        <f>H133</f>
        <v>550</v>
      </c>
      <c r="I134" s="11">
        <f>VLOOKUP(C134,Resources!$B$3:$G$44,6,FALSE)</f>
        <v>130</v>
      </c>
      <c r="J134" s="38">
        <f>(H134/G134)*I134*F134</f>
        <v>1430</v>
      </c>
      <c r="K134" s="12">
        <f t="shared" ref="K134" si="182">IF(E134="M"," ",L134*F134)</f>
        <v>11</v>
      </c>
      <c r="L134" s="11">
        <f t="shared" ref="L134" si="183">IF(E134="M"," ",H134/G134)</f>
        <v>11</v>
      </c>
      <c r="M134" s="11">
        <f t="shared" ref="M134" si="184">IF($E134="L",$J134,0)</f>
        <v>0</v>
      </c>
      <c r="N134" s="11">
        <f t="shared" ref="N134" si="185">IF($E134="M",$J134,0)</f>
        <v>0</v>
      </c>
      <c r="O134" s="11">
        <f t="shared" ref="O134" si="186">IF($E134="P",$J134,0)</f>
        <v>1430</v>
      </c>
      <c r="P134" s="11">
        <f t="shared" ref="P134" si="187">IF($E134="S",$J134,0)</f>
        <v>0</v>
      </c>
      <c r="Q134" s="11">
        <f t="shared" ref="Q134" si="188">SUM(M134:P134)</f>
        <v>1430</v>
      </c>
      <c r="R134" s="94">
        <v>222</v>
      </c>
    </row>
    <row r="135" spans="1:18" ht="12.75" x14ac:dyDescent="0.2">
      <c r="A135" s="165">
        <v>12.3</v>
      </c>
      <c r="B135" s="30">
        <v>23</v>
      </c>
      <c r="C135" s="13" t="s">
        <v>214</v>
      </c>
      <c r="H135" s="45">
        <f>VLOOKUP($A135,'Model Inputs'!$A:$C,3,FALSE)</f>
        <v>120</v>
      </c>
    </row>
    <row r="136" spans="1:18" x14ac:dyDescent="0.2">
      <c r="A136" s="168">
        <v>12.4</v>
      </c>
      <c r="B136" s="31">
        <v>24</v>
      </c>
      <c r="C136" s="11" t="s">
        <v>29</v>
      </c>
      <c r="D136" s="11" t="s">
        <v>19</v>
      </c>
      <c r="E136" s="12" t="s">
        <v>190</v>
      </c>
      <c r="F136" s="11">
        <v>1</v>
      </c>
      <c r="G136" s="45">
        <f>VLOOKUP($A136,'Model Inputs'!$A:$C,3,FALSE)</f>
        <v>10</v>
      </c>
      <c r="H136" s="11">
        <f>H135</f>
        <v>120</v>
      </c>
      <c r="I136" s="11">
        <f>VLOOKUP(C136,Resources!$B$3:$G$44,6,FALSE)</f>
        <v>46.5</v>
      </c>
      <c r="J136" s="38">
        <f>(H136/G136)*I136*F136</f>
        <v>558</v>
      </c>
      <c r="K136" s="12">
        <f t="shared" ref="K136:K140" si="189">IF(E136="M"," ",L136*F136)</f>
        <v>12</v>
      </c>
      <c r="L136" s="11">
        <f t="shared" ref="L136:L140" si="190">IF(E136="M"," ",H136/G136)</f>
        <v>12</v>
      </c>
      <c r="M136" s="11">
        <f t="shared" ref="M136:M140" si="191">IF($E136="L",$J136,0)</f>
        <v>0</v>
      </c>
      <c r="N136" s="11">
        <f t="shared" ref="N136:N140" si="192">IF($E136="M",$J136,0)</f>
        <v>0</v>
      </c>
      <c r="O136" s="11">
        <f t="shared" ref="O136:O140" si="193">IF($E136="P",$J136,0)</f>
        <v>558</v>
      </c>
      <c r="P136" s="11">
        <f t="shared" ref="P136:P140" si="194">IF($E136="S",$J136,0)</f>
        <v>0</v>
      </c>
      <c r="Q136" s="11">
        <f t="shared" ref="Q136:Q140" si="195">SUM(M136:P136)</f>
        <v>558</v>
      </c>
      <c r="R136" s="94">
        <v>222</v>
      </c>
    </row>
    <row r="137" spans="1:18" x14ac:dyDescent="0.2">
      <c r="A137" s="168" t="s">
        <v>230</v>
      </c>
      <c r="B137" s="31">
        <v>25</v>
      </c>
      <c r="C137" s="11" t="s">
        <v>5</v>
      </c>
      <c r="D137" s="11" t="s">
        <v>19</v>
      </c>
      <c r="E137" s="12" t="s">
        <v>188</v>
      </c>
      <c r="F137" s="11">
        <v>3</v>
      </c>
      <c r="G137" s="11">
        <f>G136</f>
        <v>10</v>
      </c>
      <c r="H137" s="11">
        <f t="shared" ref="H137:H139" si="196">H136</f>
        <v>120</v>
      </c>
      <c r="I137" s="11">
        <f>VLOOKUP(C137,Resources!$B$3:$G$44,6,FALSE)</f>
        <v>38</v>
      </c>
      <c r="J137" s="38">
        <f>(H137/G137)*I137*F137</f>
        <v>1368</v>
      </c>
      <c r="K137" s="12">
        <f t="shared" si="189"/>
        <v>36</v>
      </c>
      <c r="L137" s="11">
        <f t="shared" si="190"/>
        <v>12</v>
      </c>
      <c r="M137" s="11">
        <f t="shared" si="191"/>
        <v>1368</v>
      </c>
      <c r="N137" s="11">
        <f t="shared" si="192"/>
        <v>0</v>
      </c>
      <c r="O137" s="11">
        <f t="shared" si="193"/>
        <v>0</v>
      </c>
      <c r="P137" s="11">
        <f t="shared" si="194"/>
        <v>0</v>
      </c>
      <c r="Q137" s="11">
        <f t="shared" si="195"/>
        <v>1368</v>
      </c>
      <c r="R137" s="94">
        <v>222</v>
      </c>
    </row>
    <row r="138" spans="1:18" x14ac:dyDescent="0.2">
      <c r="A138" s="168" t="s">
        <v>230</v>
      </c>
      <c r="B138" s="31">
        <v>26</v>
      </c>
      <c r="C138" s="11" t="s">
        <v>196</v>
      </c>
      <c r="D138" s="11" t="s">
        <v>19</v>
      </c>
      <c r="E138" s="12" t="s">
        <v>190</v>
      </c>
      <c r="F138" s="11">
        <v>1</v>
      </c>
      <c r="G138" s="11">
        <f t="shared" ref="G138:G139" si="197">G137</f>
        <v>10</v>
      </c>
      <c r="H138" s="11">
        <f t="shared" si="196"/>
        <v>120</v>
      </c>
      <c r="I138" s="11">
        <f>VLOOKUP(C138,Resources!$B$3:$G$44,6,FALSE)</f>
        <v>15</v>
      </c>
      <c r="J138" s="38">
        <f>(H138/G138)*I138*F138</f>
        <v>180</v>
      </c>
      <c r="K138" s="12">
        <f t="shared" si="189"/>
        <v>12</v>
      </c>
      <c r="L138" s="11">
        <f t="shared" si="190"/>
        <v>12</v>
      </c>
      <c r="M138" s="11">
        <f t="shared" si="191"/>
        <v>0</v>
      </c>
      <c r="N138" s="11">
        <f t="shared" si="192"/>
        <v>0</v>
      </c>
      <c r="O138" s="11">
        <f t="shared" si="193"/>
        <v>180</v>
      </c>
      <c r="P138" s="11">
        <f t="shared" si="194"/>
        <v>0</v>
      </c>
      <c r="Q138" s="11">
        <f t="shared" si="195"/>
        <v>180</v>
      </c>
      <c r="R138" s="94">
        <v>222</v>
      </c>
    </row>
    <row r="139" spans="1:18" x14ac:dyDescent="0.2">
      <c r="A139" s="168" t="s">
        <v>230</v>
      </c>
      <c r="B139" s="31">
        <v>27</v>
      </c>
      <c r="C139" s="11" t="s">
        <v>53</v>
      </c>
      <c r="D139" s="11" t="s">
        <v>19</v>
      </c>
      <c r="E139" s="12" t="s">
        <v>190</v>
      </c>
      <c r="F139" s="11">
        <v>1</v>
      </c>
      <c r="G139" s="11">
        <f t="shared" si="197"/>
        <v>10</v>
      </c>
      <c r="H139" s="11">
        <f t="shared" si="196"/>
        <v>120</v>
      </c>
      <c r="I139" s="11">
        <f>VLOOKUP(C139,Resources!$B$3:$G$44,6,FALSE)</f>
        <v>95</v>
      </c>
      <c r="J139" s="38">
        <f>(H139/G139)*I139*F139</f>
        <v>1140</v>
      </c>
      <c r="K139" s="12">
        <f t="shared" si="189"/>
        <v>12</v>
      </c>
      <c r="L139" s="11">
        <f t="shared" si="190"/>
        <v>12</v>
      </c>
      <c r="M139" s="11">
        <f t="shared" si="191"/>
        <v>0</v>
      </c>
      <c r="N139" s="11">
        <f t="shared" si="192"/>
        <v>0</v>
      </c>
      <c r="O139" s="11">
        <f t="shared" si="193"/>
        <v>1140</v>
      </c>
      <c r="P139" s="11">
        <f t="shared" si="194"/>
        <v>0</v>
      </c>
      <c r="Q139" s="11">
        <f t="shared" si="195"/>
        <v>1140</v>
      </c>
      <c r="R139" s="94">
        <v>222</v>
      </c>
    </row>
    <row r="140" spans="1:18" x14ac:dyDescent="0.2">
      <c r="A140" s="168" t="s">
        <v>230</v>
      </c>
      <c r="B140" s="31">
        <v>28</v>
      </c>
      <c r="C140" s="11" t="s">
        <v>81</v>
      </c>
      <c r="D140" s="11" t="s">
        <v>82</v>
      </c>
      <c r="E140" s="12" t="s">
        <v>189</v>
      </c>
      <c r="F140" s="11">
        <v>1</v>
      </c>
      <c r="G140" s="11">
        <v>1</v>
      </c>
      <c r="H140" s="11">
        <v>550</v>
      </c>
      <c r="I140" s="11">
        <f>VLOOKUP(C140,Resources!$B$3:$G$44,6,FALSE)</f>
        <v>10</v>
      </c>
      <c r="J140" s="38">
        <f>(H140/G140)*I140*F140</f>
        <v>5500</v>
      </c>
      <c r="K140" s="12" t="str">
        <f t="shared" si="189"/>
        <v xml:space="preserve"> </v>
      </c>
      <c r="L140" s="11" t="str">
        <f t="shared" si="190"/>
        <v xml:space="preserve"> </v>
      </c>
      <c r="M140" s="11">
        <f t="shared" si="191"/>
        <v>0</v>
      </c>
      <c r="N140" s="11">
        <f t="shared" si="192"/>
        <v>5500</v>
      </c>
      <c r="O140" s="11">
        <f t="shared" si="193"/>
        <v>0</v>
      </c>
      <c r="P140" s="11">
        <f t="shared" si="194"/>
        <v>0</v>
      </c>
      <c r="Q140" s="11">
        <f t="shared" si="195"/>
        <v>5500</v>
      </c>
      <c r="R140" s="94">
        <v>222</v>
      </c>
    </row>
    <row r="141" spans="1:18" x14ac:dyDescent="0.2">
      <c r="A141" s="165" t="s">
        <v>230</v>
      </c>
    </row>
    <row r="142" spans="1:18" ht="22.5" x14ac:dyDescent="0.2">
      <c r="A142" s="167">
        <v>13</v>
      </c>
      <c r="B142" s="29" t="s">
        <v>83</v>
      </c>
      <c r="C142" s="6" t="s">
        <v>84</v>
      </c>
      <c r="D142" s="7" t="s">
        <v>66</v>
      </c>
      <c r="E142" s="8"/>
      <c r="F142" s="7"/>
      <c r="G142" s="7"/>
      <c r="H142" s="45">
        <f>VLOOKUP($A142,'Model Inputs'!$A:$C,3,FALSE)</f>
        <v>4300</v>
      </c>
      <c r="I142" s="7"/>
      <c r="J142" s="7">
        <f t="shared" ref="J142" si="198">SUBTOTAL(9,J144:J149)</f>
        <v>189376.12083333332</v>
      </c>
      <c r="K142" s="7"/>
      <c r="L142" s="7">
        <f>ROUNDUP(MAX(L144:L149)/work,0)</f>
        <v>10</v>
      </c>
      <c r="M142" s="7">
        <f>SUBTOTAL(9,M144:M149)</f>
        <v>11742.105555555554</v>
      </c>
      <c r="N142" s="7">
        <f t="shared" ref="N142:Q142" si="199">SUBTOTAL(9,N144:N149)</f>
        <v>159637.5</v>
      </c>
      <c r="O142" s="7">
        <f t="shared" si="199"/>
        <v>17996.515277777777</v>
      </c>
      <c r="P142" s="7">
        <f t="shared" si="199"/>
        <v>0</v>
      </c>
      <c r="Q142" s="7">
        <f t="shared" si="199"/>
        <v>189376.12083333332</v>
      </c>
      <c r="R142" s="93"/>
    </row>
    <row r="143" spans="1:18" ht="12.75" x14ac:dyDescent="0.2">
      <c r="A143" s="170" t="s">
        <v>230</v>
      </c>
      <c r="B143" s="33"/>
      <c r="C143" s="13" t="s">
        <v>202</v>
      </c>
    </row>
    <row r="144" spans="1:18" x14ac:dyDescent="0.2">
      <c r="A144" s="168" t="s">
        <v>230</v>
      </c>
      <c r="B144" s="31">
        <v>1</v>
      </c>
      <c r="C144" s="11" t="s">
        <v>193</v>
      </c>
      <c r="D144" s="11" t="s">
        <v>85</v>
      </c>
      <c r="E144" s="12" t="s">
        <v>189</v>
      </c>
      <c r="F144" s="11">
        <v>1</v>
      </c>
      <c r="G144" s="11">
        <v>1</v>
      </c>
      <c r="H144" s="11">
        <f>H142*1.35</f>
        <v>5805</v>
      </c>
      <c r="I144" s="11">
        <f>VLOOKUP(C144,Resources!$B$3:$G$44,6,FALSE)</f>
        <v>27.5</v>
      </c>
      <c r="J144" s="38">
        <f t="shared" ref="J144:J149" si="200">(H144/G144)*I144*F144</f>
        <v>159637.5</v>
      </c>
      <c r="K144" s="12" t="str">
        <f t="shared" ref="K144:K149" si="201">IF(E144="M"," ",L144*F144)</f>
        <v xml:space="preserve"> </v>
      </c>
      <c r="L144" s="11" t="str">
        <f t="shared" ref="L144:L149" si="202">IF(E144="M"," ",H144/G144)</f>
        <v xml:space="preserve"> </v>
      </c>
      <c r="M144" s="11">
        <f t="shared" ref="M144:M149" si="203">IF($E144="L",$J144,0)</f>
        <v>0</v>
      </c>
      <c r="N144" s="11">
        <f t="shared" ref="N144:N149" si="204">IF($E144="M",$J144,0)</f>
        <v>159637.5</v>
      </c>
      <c r="O144" s="11">
        <f t="shared" ref="O144:O149" si="205">IF($E144="P",$J144,0)</f>
        <v>0</v>
      </c>
      <c r="P144" s="11">
        <f t="shared" ref="P144:P149" si="206">IF($E144="S",$J144,0)</f>
        <v>0</v>
      </c>
      <c r="Q144" s="11">
        <f t="shared" ref="Q144:Q149" si="207">SUM(M144:P144)</f>
        <v>159637.5</v>
      </c>
      <c r="R144" s="94" t="s">
        <v>232</v>
      </c>
    </row>
    <row r="145" spans="1:20" x14ac:dyDescent="0.2">
      <c r="A145" s="168">
        <v>13.1</v>
      </c>
      <c r="B145" s="31">
        <v>2</v>
      </c>
      <c r="C145" s="11" t="s">
        <v>29</v>
      </c>
      <c r="D145" s="11" t="s">
        <v>19</v>
      </c>
      <c r="E145" s="12" t="s">
        <v>190</v>
      </c>
      <c r="F145" s="11">
        <v>1</v>
      </c>
      <c r="G145" s="45">
        <f>VLOOKUP($A145,'Model Inputs'!$A:$C,3,FALSE)</f>
        <v>66.666666666666671</v>
      </c>
      <c r="H145" s="11">
        <f>H144</f>
        <v>5805</v>
      </c>
      <c r="I145" s="11">
        <f>VLOOKUP(C145,Resources!$B$3:$G$44,6,FALSE)</f>
        <v>46.5</v>
      </c>
      <c r="J145" s="38">
        <f t="shared" si="200"/>
        <v>4048.9874999999993</v>
      </c>
      <c r="K145" s="12">
        <f t="shared" si="201"/>
        <v>87.074999999999989</v>
      </c>
      <c r="L145" s="11">
        <f t="shared" si="202"/>
        <v>87.074999999999989</v>
      </c>
      <c r="M145" s="11">
        <f t="shared" si="203"/>
        <v>0</v>
      </c>
      <c r="N145" s="11">
        <f t="shared" si="204"/>
        <v>0</v>
      </c>
      <c r="O145" s="11">
        <f t="shared" si="205"/>
        <v>4048.9874999999993</v>
      </c>
      <c r="P145" s="11">
        <f t="shared" si="206"/>
        <v>0</v>
      </c>
      <c r="Q145" s="11">
        <f t="shared" si="207"/>
        <v>4048.9874999999993</v>
      </c>
      <c r="R145" s="94">
        <v>224</v>
      </c>
    </row>
    <row r="146" spans="1:20" x14ac:dyDescent="0.2">
      <c r="A146" s="168" t="s">
        <v>230</v>
      </c>
      <c r="B146" s="31">
        <v>3</v>
      </c>
      <c r="C146" s="11" t="s">
        <v>5</v>
      </c>
      <c r="D146" s="11" t="s">
        <v>19</v>
      </c>
      <c r="E146" s="12" t="s">
        <v>188</v>
      </c>
      <c r="F146" s="11">
        <v>3</v>
      </c>
      <c r="G146" s="11">
        <f>G145</f>
        <v>66.666666666666671</v>
      </c>
      <c r="H146" s="11">
        <f t="shared" ref="H146:H147" si="208">H145</f>
        <v>5805</v>
      </c>
      <c r="I146" s="11">
        <f>VLOOKUP(C146,Resources!$B$3:$G$44,6,FALSE)</f>
        <v>38</v>
      </c>
      <c r="J146" s="38">
        <f t="shared" si="200"/>
        <v>9926.5499999999993</v>
      </c>
      <c r="K146" s="12">
        <f t="shared" si="201"/>
        <v>261.22499999999997</v>
      </c>
      <c r="L146" s="11">
        <f t="shared" si="202"/>
        <v>87.074999999999989</v>
      </c>
      <c r="M146" s="11">
        <f t="shared" si="203"/>
        <v>9926.5499999999993</v>
      </c>
      <c r="N146" s="11">
        <f t="shared" si="204"/>
        <v>0</v>
      </c>
      <c r="O146" s="11">
        <f t="shared" si="205"/>
        <v>0</v>
      </c>
      <c r="P146" s="11">
        <f t="shared" si="206"/>
        <v>0</v>
      </c>
      <c r="Q146" s="11">
        <f t="shared" si="207"/>
        <v>9926.5499999999993</v>
      </c>
      <c r="R146" s="94">
        <v>224</v>
      </c>
    </row>
    <row r="147" spans="1:20" x14ac:dyDescent="0.2">
      <c r="A147" s="168" t="s">
        <v>230</v>
      </c>
      <c r="B147" s="31">
        <v>4</v>
      </c>
      <c r="C147" s="11" t="s">
        <v>18</v>
      </c>
      <c r="D147" s="11" t="s">
        <v>19</v>
      </c>
      <c r="E147" s="12" t="s">
        <v>190</v>
      </c>
      <c r="F147" s="11">
        <v>1</v>
      </c>
      <c r="G147" s="11">
        <f>G145</f>
        <v>66.666666666666671</v>
      </c>
      <c r="H147" s="11">
        <f t="shared" si="208"/>
        <v>5805</v>
      </c>
      <c r="I147" s="11">
        <f>VLOOKUP(C147,Resources!$B$3:$G$44,6,FALSE)</f>
        <v>130</v>
      </c>
      <c r="J147" s="38">
        <f t="shared" si="200"/>
        <v>11319.749999999998</v>
      </c>
      <c r="K147" s="12">
        <f t="shared" si="201"/>
        <v>87.074999999999989</v>
      </c>
      <c r="L147" s="11">
        <f t="shared" si="202"/>
        <v>87.074999999999989</v>
      </c>
      <c r="M147" s="11">
        <f t="shared" si="203"/>
        <v>0</v>
      </c>
      <c r="N147" s="11">
        <f t="shared" si="204"/>
        <v>0</v>
      </c>
      <c r="O147" s="11">
        <f t="shared" si="205"/>
        <v>11319.749999999998</v>
      </c>
      <c r="P147" s="11">
        <f t="shared" si="206"/>
        <v>0</v>
      </c>
      <c r="Q147" s="11">
        <f t="shared" si="207"/>
        <v>11319.749999999998</v>
      </c>
      <c r="R147" s="94">
        <v>224</v>
      </c>
    </row>
    <row r="148" spans="1:20" x14ac:dyDescent="0.2">
      <c r="A148" s="168">
        <v>13.2</v>
      </c>
      <c r="B148" s="31">
        <v>5</v>
      </c>
      <c r="C148" s="11" t="s">
        <v>70</v>
      </c>
      <c r="D148" s="11" t="s">
        <v>19</v>
      </c>
      <c r="E148" s="12" t="s">
        <v>190</v>
      </c>
      <c r="F148" s="11">
        <v>1</v>
      </c>
      <c r="G148" s="45">
        <f>VLOOKUP($A148,'Model Inputs'!$A:$C,3,FALSE)</f>
        <v>300</v>
      </c>
      <c r="H148" s="11">
        <f>H142/0.3</f>
        <v>14333.333333333334</v>
      </c>
      <c r="I148" s="11">
        <f>VLOOKUP(C148,Resources!$B$3:$G$44,6,FALSE)</f>
        <v>55</v>
      </c>
      <c r="J148" s="38">
        <f t="shared" si="200"/>
        <v>2627.7777777777778</v>
      </c>
      <c r="K148" s="12">
        <f t="shared" si="201"/>
        <v>47.777777777777779</v>
      </c>
      <c r="L148" s="11">
        <f t="shared" si="202"/>
        <v>47.777777777777779</v>
      </c>
      <c r="M148" s="11">
        <f t="shared" si="203"/>
        <v>0</v>
      </c>
      <c r="N148" s="11">
        <f t="shared" si="204"/>
        <v>0</v>
      </c>
      <c r="O148" s="11">
        <f t="shared" si="205"/>
        <v>2627.7777777777778</v>
      </c>
      <c r="P148" s="11">
        <f t="shared" si="206"/>
        <v>0</v>
      </c>
      <c r="Q148" s="11">
        <f t="shared" si="207"/>
        <v>2627.7777777777778</v>
      </c>
      <c r="R148" s="94">
        <v>224</v>
      </c>
    </row>
    <row r="149" spans="1:20" x14ac:dyDescent="0.2">
      <c r="A149" s="168" t="s">
        <v>230</v>
      </c>
      <c r="B149" s="31">
        <v>6</v>
      </c>
      <c r="C149" s="11" t="s">
        <v>5</v>
      </c>
      <c r="D149" s="11" t="s">
        <v>19</v>
      </c>
      <c r="E149" s="12" t="s">
        <v>188</v>
      </c>
      <c r="F149" s="11">
        <v>1</v>
      </c>
      <c r="G149" s="11">
        <f>G148</f>
        <v>300</v>
      </c>
      <c r="H149" s="11">
        <f>H148</f>
        <v>14333.333333333334</v>
      </c>
      <c r="I149" s="11">
        <f>VLOOKUP(C149,Resources!$B$3:$G$44,6,FALSE)</f>
        <v>38</v>
      </c>
      <c r="J149" s="38">
        <f t="shared" si="200"/>
        <v>1815.5555555555557</v>
      </c>
      <c r="K149" s="12">
        <f t="shared" si="201"/>
        <v>47.777777777777779</v>
      </c>
      <c r="L149" s="11">
        <f t="shared" si="202"/>
        <v>47.777777777777779</v>
      </c>
      <c r="M149" s="11">
        <f t="shared" si="203"/>
        <v>1815.5555555555557</v>
      </c>
      <c r="N149" s="11">
        <f t="shared" si="204"/>
        <v>0</v>
      </c>
      <c r="O149" s="11">
        <f t="shared" si="205"/>
        <v>0</v>
      </c>
      <c r="P149" s="11">
        <f t="shared" si="206"/>
        <v>0</v>
      </c>
      <c r="Q149" s="11">
        <f t="shared" si="207"/>
        <v>1815.5555555555557</v>
      </c>
      <c r="R149" s="94">
        <v>224</v>
      </c>
    </row>
    <row r="150" spans="1:20" x14ac:dyDescent="0.2">
      <c r="A150" s="165" t="s">
        <v>230</v>
      </c>
    </row>
    <row r="151" spans="1:20" ht="22.5" x14ac:dyDescent="0.2">
      <c r="A151" s="167">
        <v>14</v>
      </c>
      <c r="B151" s="29" t="s">
        <v>86</v>
      </c>
      <c r="C151" s="6" t="s">
        <v>87</v>
      </c>
      <c r="D151" s="7" t="s">
        <v>66</v>
      </c>
      <c r="E151" s="8"/>
      <c r="F151" s="7"/>
      <c r="G151" s="7"/>
      <c r="H151" s="45">
        <f>VLOOKUP($A151,'Model Inputs'!$A:$C,3,FALSE)</f>
        <v>150</v>
      </c>
      <c r="I151" s="7"/>
      <c r="J151" s="7">
        <f t="shared" ref="J151" si="209">SUBTOTAL(9,J152:J157)</f>
        <v>7821.1437499999993</v>
      </c>
      <c r="K151" s="7"/>
      <c r="L151" s="7">
        <f>ROUNDUP(MAX(L152:L157)/work,0)</f>
        <v>1</v>
      </c>
      <c r="M151" s="7">
        <f>SUBTOTAL(9,M152:M157)</f>
        <v>409.60833333333329</v>
      </c>
      <c r="N151" s="7">
        <f t="shared" ref="N151:Q151" si="210">SUBTOTAL(9,N152:N157)</f>
        <v>6783.75</v>
      </c>
      <c r="O151" s="7">
        <f t="shared" si="210"/>
        <v>627.78541666666649</v>
      </c>
      <c r="P151" s="7">
        <f t="shared" si="210"/>
        <v>0</v>
      </c>
      <c r="Q151" s="7">
        <f t="shared" si="210"/>
        <v>7821.1437499999993</v>
      </c>
      <c r="R151" s="93"/>
    </row>
    <row r="152" spans="1:20" x14ac:dyDescent="0.2">
      <c r="A152" s="168" t="s">
        <v>230</v>
      </c>
      <c r="B152" s="31">
        <v>1</v>
      </c>
      <c r="C152" s="11" t="s">
        <v>88</v>
      </c>
      <c r="D152" s="11" t="s">
        <v>85</v>
      </c>
      <c r="E152" s="12" t="s">
        <v>189</v>
      </c>
      <c r="F152" s="11">
        <v>1</v>
      </c>
      <c r="G152" s="11">
        <v>1</v>
      </c>
      <c r="H152" s="11">
        <f>H151*1.35</f>
        <v>202.5</v>
      </c>
      <c r="I152" s="11">
        <f>VLOOKUP(C152,Resources!$B$3:$G$44,6,FALSE)</f>
        <v>33.5</v>
      </c>
      <c r="J152" s="38">
        <f t="shared" ref="J152:J157" si="211">(H152/G152)*I152*F152</f>
        <v>6783.75</v>
      </c>
      <c r="K152" s="12" t="str">
        <f t="shared" ref="K152:K157" si="212">IF(E152="M"," ",L152*F152)</f>
        <v xml:space="preserve"> </v>
      </c>
      <c r="L152" s="11" t="str">
        <f t="shared" ref="L152:L157" si="213">IF(E152="M"," ",H152/G152)</f>
        <v xml:space="preserve"> </v>
      </c>
      <c r="M152" s="11">
        <f t="shared" ref="M152:M157" si="214">IF($E152="L",$J152,0)</f>
        <v>0</v>
      </c>
      <c r="N152" s="11">
        <f t="shared" ref="N152:N157" si="215">IF($E152="M",$J152,0)</f>
        <v>6783.75</v>
      </c>
      <c r="O152" s="11">
        <f t="shared" ref="O152:O157" si="216">IF($E152="P",$J152,0)</f>
        <v>0</v>
      </c>
      <c r="P152" s="11">
        <f t="shared" ref="P152:P157" si="217">IF($E152="S",$J152,0)</f>
        <v>0</v>
      </c>
      <c r="Q152" s="11">
        <f t="shared" ref="Q152:Q157" si="218">SUM(M152:P152)</f>
        <v>6783.75</v>
      </c>
      <c r="R152" s="94" t="s">
        <v>232</v>
      </c>
    </row>
    <row r="153" spans="1:20" x14ac:dyDescent="0.2">
      <c r="A153" s="168">
        <v>14.1</v>
      </c>
      <c r="B153" s="31">
        <v>2</v>
      </c>
      <c r="C153" s="11" t="s">
        <v>29</v>
      </c>
      <c r="D153" s="11" t="s">
        <v>19</v>
      </c>
      <c r="E153" s="12" t="s">
        <v>190</v>
      </c>
      <c r="F153" s="11">
        <v>1</v>
      </c>
      <c r="G153" s="45">
        <f>VLOOKUP($A153,'Model Inputs'!$A:$C,3,FALSE)</f>
        <v>66.666666666666671</v>
      </c>
      <c r="H153" s="11">
        <f>H152</f>
        <v>202.5</v>
      </c>
      <c r="I153" s="11">
        <f>VLOOKUP(C153,Resources!$B$3:$G$44,6,FALSE)</f>
        <v>46.5</v>
      </c>
      <c r="J153" s="38">
        <f t="shared" si="211"/>
        <v>141.24374999999998</v>
      </c>
      <c r="K153" s="12">
        <f t="shared" si="212"/>
        <v>3.0374999999999996</v>
      </c>
      <c r="L153" s="11">
        <f t="shared" si="213"/>
        <v>3.0374999999999996</v>
      </c>
      <c r="M153" s="11">
        <f t="shared" si="214"/>
        <v>0</v>
      </c>
      <c r="N153" s="11">
        <f t="shared" si="215"/>
        <v>0</v>
      </c>
      <c r="O153" s="11">
        <f t="shared" si="216"/>
        <v>141.24374999999998</v>
      </c>
      <c r="P153" s="11">
        <f t="shared" si="217"/>
        <v>0</v>
      </c>
      <c r="Q153" s="11">
        <f t="shared" si="218"/>
        <v>141.24374999999998</v>
      </c>
      <c r="R153" s="94">
        <v>224</v>
      </c>
    </row>
    <row r="154" spans="1:20" x14ac:dyDescent="0.2">
      <c r="A154" s="168" t="s">
        <v>230</v>
      </c>
      <c r="B154" s="31">
        <v>3</v>
      </c>
      <c r="C154" s="11" t="s">
        <v>5</v>
      </c>
      <c r="D154" s="11" t="s">
        <v>19</v>
      </c>
      <c r="E154" s="12" t="s">
        <v>188</v>
      </c>
      <c r="F154" s="11">
        <v>3</v>
      </c>
      <c r="G154" s="11">
        <f>G153</f>
        <v>66.666666666666671</v>
      </c>
      <c r="H154" s="11">
        <f t="shared" ref="H154:H155" si="219">H153</f>
        <v>202.5</v>
      </c>
      <c r="I154" s="11">
        <f>VLOOKUP(C154,Resources!$B$3:$G$44,6,FALSE)</f>
        <v>38</v>
      </c>
      <c r="J154" s="38">
        <f t="shared" si="211"/>
        <v>346.27499999999998</v>
      </c>
      <c r="K154" s="12">
        <f t="shared" si="212"/>
        <v>9.1124999999999989</v>
      </c>
      <c r="L154" s="11">
        <f t="shared" si="213"/>
        <v>3.0374999999999996</v>
      </c>
      <c r="M154" s="11">
        <f t="shared" si="214"/>
        <v>346.27499999999998</v>
      </c>
      <c r="N154" s="11">
        <f t="shared" si="215"/>
        <v>0</v>
      </c>
      <c r="O154" s="11">
        <f t="shared" si="216"/>
        <v>0</v>
      </c>
      <c r="P154" s="11">
        <f t="shared" si="217"/>
        <v>0</v>
      </c>
      <c r="Q154" s="11">
        <f t="shared" si="218"/>
        <v>346.27499999999998</v>
      </c>
      <c r="R154" s="94">
        <v>224</v>
      </c>
    </row>
    <row r="155" spans="1:20" x14ac:dyDescent="0.2">
      <c r="A155" s="168" t="s">
        <v>230</v>
      </c>
      <c r="B155" s="31">
        <v>4</v>
      </c>
      <c r="C155" s="11" t="s">
        <v>18</v>
      </c>
      <c r="D155" s="11" t="s">
        <v>19</v>
      </c>
      <c r="E155" s="12" t="s">
        <v>190</v>
      </c>
      <c r="F155" s="11">
        <v>1</v>
      </c>
      <c r="G155" s="11">
        <f>G153</f>
        <v>66.666666666666671</v>
      </c>
      <c r="H155" s="11">
        <f t="shared" si="219"/>
        <v>202.5</v>
      </c>
      <c r="I155" s="11">
        <f>VLOOKUP(C155,Resources!$B$3:$G$44,6,FALSE)</f>
        <v>130</v>
      </c>
      <c r="J155" s="38">
        <f t="shared" si="211"/>
        <v>394.87499999999994</v>
      </c>
      <c r="K155" s="12">
        <f t="shared" si="212"/>
        <v>3.0374999999999996</v>
      </c>
      <c r="L155" s="11">
        <f t="shared" si="213"/>
        <v>3.0374999999999996</v>
      </c>
      <c r="M155" s="11">
        <f t="shared" si="214"/>
        <v>0</v>
      </c>
      <c r="N155" s="11">
        <f t="shared" si="215"/>
        <v>0</v>
      </c>
      <c r="O155" s="11">
        <f t="shared" si="216"/>
        <v>394.87499999999994</v>
      </c>
      <c r="P155" s="11">
        <f t="shared" si="217"/>
        <v>0</v>
      </c>
      <c r="Q155" s="11">
        <f t="shared" si="218"/>
        <v>394.87499999999994</v>
      </c>
      <c r="R155" s="94">
        <v>224</v>
      </c>
    </row>
    <row r="156" spans="1:20" x14ac:dyDescent="0.2">
      <c r="A156" s="168">
        <v>14.2</v>
      </c>
      <c r="B156" s="31">
        <v>5</v>
      </c>
      <c r="C156" s="11" t="s">
        <v>70</v>
      </c>
      <c r="D156" s="11" t="s">
        <v>19</v>
      </c>
      <c r="E156" s="12" t="s">
        <v>190</v>
      </c>
      <c r="F156" s="11">
        <v>1</v>
      </c>
      <c r="G156" s="45">
        <f>VLOOKUP($A156,'Model Inputs'!$A:$C,3,FALSE)</f>
        <v>300</v>
      </c>
      <c r="H156" s="11">
        <f>H151/0.3</f>
        <v>500</v>
      </c>
      <c r="I156" s="11">
        <f>VLOOKUP(C156,Resources!$B$3:$G$44,6,FALSE)</f>
        <v>55</v>
      </c>
      <c r="J156" s="38">
        <f t="shared" si="211"/>
        <v>91.666666666666671</v>
      </c>
      <c r="K156" s="12">
        <f t="shared" si="212"/>
        <v>1.6666666666666667</v>
      </c>
      <c r="L156" s="11">
        <f t="shared" si="213"/>
        <v>1.6666666666666667</v>
      </c>
      <c r="M156" s="11">
        <f t="shared" si="214"/>
        <v>0</v>
      </c>
      <c r="N156" s="11">
        <f t="shared" si="215"/>
        <v>0</v>
      </c>
      <c r="O156" s="11">
        <f t="shared" si="216"/>
        <v>91.666666666666671</v>
      </c>
      <c r="P156" s="11">
        <f t="shared" si="217"/>
        <v>0</v>
      </c>
      <c r="Q156" s="11">
        <f t="shared" si="218"/>
        <v>91.666666666666671</v>
      </c>
      <c r="R156" s="94">
        <v>224</v>
      </c>
    </row>
    <row r="157" spans="1:20" x14ac:dyDescent="0.2">
      <c r="A157" s="168" t="s">
        <v>230</v>
      </c>
      <c r="B157" s="31">
        <v>6</v>
      </c>
      <c r="C157" s="11" t="s">
        <v>5</v>
      </c>
      <c r="D157" s="11" t="s">
        <v>19</v>
      </c>
      <c r="E157" s="12" t="s">
        <v>188</v>
      </c>
      <c r="F157" s="11">
        <v>1</v>
      </c>
      <c r="G157" s="11">
        <f>G156</f>
        <v>300</v>
      </c>
      <c r="H157" s="11">
        <f>H156</f>
        <v>500</v>
      </c>
      <c r="I157" s="11">
        <f>VLOOKUP(C157,Resources!$B$3:$G$44,6,FALSE)</f>
        <v>38</v>
      </c>
      <c r="J157" s="38">
        <f t="shared" si="211"/>
        <v>63.333333333333336</v>
      </c>
      <c r="K157" s="12">
        <f t="shared" si="212"/>
        <v>1.6666666666666667</v>
      </c>
      <c r="L157" s="11">
        <f t="shared" si="213"/>
        <v>1.6666666666666667</v>
      </c>
      <c r="M157" s="11">
        <f t="shared" si="214"/>
        <v>63.333333333333336</v>
      </c>
      <c r="N157" s="11">
        <f t="shared" si="215"/>
        <v>0</v>
      </c>
      <c r="O157" s="11">
        <f t="shared" si="216"/>
        <v>0</v>
      </c>
      <c r="P157" s="11">
        <f t="shared" si="217"/>
        <v>0</v>
      </c>
      <c r="Q157" s="11">
        <f t="shared" si="218"/>
        <v>63.333333333333336</v>
      </c>
      <c r="R157" s="94">
        <v>224</v>
      </c>
    </row>
    <row r="158" spans="1:20" x14ac:dyDescent="0.2">
      <c r="A158" s="165" t="s">
        <v>230</v>
      </c>
    </row>
    <row r="159" spans="1:20" s="36" customFormat="1" x14ac:dyDescent="0.2">
      <c r="A159" s="169">
        <v>15</v>
      </c>
      <c r="B159" s="32"/>
      <c r="C159" s="2" t="s">
        <v>203</v>
      </c>
      <c r="D159" s="34"/>
      <c r="E159" s="35"/>
      <c r="F159" s="34"/>
      <c r="G159" s="34"/>
      <c r="H159" s="34"/>
      <c r="I159" s="34"/>
      <c r="J159" s="39"/>
      <c r="K159" s="35"/>
      <c r="L159" s="34"/>
      <c r="M159" s="34"/>
      <c r="N159" s="34"/>
      <c r="O159" s="34"/>
      <c r="P159" s="34"/>
      <c r="Q159" s="34"/>
      <c r="R159" s="95"/>
      <c r="S159" s="5"/>
      <c r="T159" s="5"/>
    </row>
    <row r="160" spans="1:20" ht="22.5" x14ac:dyDescent="0.2">
      <c r="A160" s="167">
        <v>16</v>
      </c>
      <c r="B160" s="29" t="s">
        <v>89</v>
      </c>
      <c r="C160" s="6" t="s">
        <v>90</v>
      </c>
      <c r="D160" s="7" t="s">
        <v>31</v>
      </c>
      <c r="E160" s="8"/>
      <c r="F160" s="7"/>
      <c r="G160" s="7"/>
      <c r="H160" s="45">
        <f>VLOOKUP($A160,'Model Inputs'!$A:$C,3,FALSE)</f>
        <v>420</v>
      </c>
      <c r="I160" s="7"/>
      <c r="J160" s="7">
        <f t="shared" ref="J160" si="220">SUBTOTAL(9,J163:J175)</f>
        <v>20541</v>
      </c>
      <c r="K160" s="7"/>
      <c r="L160" s="7">
        <f>ROUNDUP(MAX(L163:L175)/work,0)</f>
        <v>3</v>
      </c>
      <c r="M160" s="7">
        <f>SUBTOTAL(9,M163:M175)</f>
        <v>2194.5</v>
      </c>
      <c r="N160" s="7">
        <f t="shared" ref="N160:Q160" si="221">SUBTOTAL(9,N163:N175)</f>
        <v>0</v>
      </c>
      <c r="O160" s="7">
        <f t="shared" si="221"/>
        <v>18346.5</v>
      </c>
      <c r="P160" s="7">
        <f t="shared" si="221"/>
        <v>0</v>
      </c>
      <c r="Q160" s="7">
        <f t="shared" si="221"/>
        <v>20541</v>
      </c>
      <c r="R160" s="93"/>
      <c r="S160" s="36"/>
    </row>
    <row r="161" spans="1:20" x14ac:dyDescent="0.2">
      <c r="A161" s="165" t="s">
        <v>230</v>
      </c>
      <c r="B161" s="30">
        <v>1</v>
      </c>
      <c r="C161" s="13" t="s">
        <v>73</v>
      </c>
    </row>
    <row r="162" spans="1:20" x14ac:dyDescent="0.2">
      <c r="A162" s="165">
        <v>16.100000000000001</v>
      </c>
      <c r="B162" s="30">
        <v>2</v>
      </c>
      <c r="C162" s="9" t="s">
        <v>204</v>
      </c>
      <c r="H162" s="45">
        <f>VLOOKUP($A162,'Model Inputs'!$A:$C,3,FALSE)</f>
        <v>1732.5</v>
      </c>
    </row>
    <row r="163" spans="1:20" x14ac:dyDescent="0.2">
      <c r="A163" s="168">
        <v>16.2</v>
      </c>
      <c r="B163" s="31">
        <v>3</v>
      </c>
      <c r="C163" s="11" t="s">
        <v>18</v>
      </c>
      <c r="D163" s="11" t="s">
        <v>19</v>
      </c>
      <c r="E163" s="12" t="s">
        <v>190</v>
      </c>
      <c r="F163" s="11">
        <v>1</v>
      </c>
      <c r="G163" s="45">
        <f>VLOOKUP($A163,'Model Inputs'!$A:$C,3,FALSE)</f>
        <v>90</v>
      </c>
      <c r="H163" s="11">
        <f>H162</f>
        <v>1732.5</v>
      </c>
      <c r="I163" s="11">
        <f>VLOOKUP(C163,Resources!$B$3:$G$44,6,FALSE)</f>
        <v>130</v>
      </c>
      <c r="J163" s="38">
        <f>(H163/G163)*I163*F163</f>
        <v>2502.5</v>
      </c>
      <c r="K163" s="12">
        <f t="shared" ref="K163:K164" si="222">IF(E163="M"," ",L163*F163)</f>
        <v>19.25</v>
      </c>
      <c r="L163" s="11">
        <f t="shared" ref="L163:L164" si="223">IF(E163="M"," ",H163/G163)</f>
        <v>19.25</v>
      </c>
      <c r="M163" s="11">
        <f t="shared" ref="M163:M164" si="224">IF($E163="L",$J163,0)</f>
        <v>0</v>
      </c>
      <c r="N163" s="11">
        <f t="shared" ref="N163:N164" si="225">IF($E163="M",$J163,0)</f>
        <v>0</v>
      </c>
      <c r="O163" s="11">
        <f t="shared" ref="O163:O164" si="226">IF($E163="P",$J163,0)</f>
        <v>2502.5</v>
      </c>
      <c r="P163" s="11">
        <f t="shared" ref="P163:P164" si="227">IF($E163="S",$J163,0)</f>
        <v>0</v>
      </c>
      <c r="Q163" s="11">
        <f t="shared" ref="Q163:Q164" si="228">SUM(M163:P163)</f>
        <v>2502.5</v>
      </c>
      <c r="R163" s="94">
        <v>51</v>
      </c>
    </row>
    <row r="164" spans="1:20" x14ac:dyDescent="0.2">
      <c r="A164" s="168" t="s">
        <v>230</v>
      </c>
      <c r="B164" s="31">
        <v>4</v>
      </c>
      <c r="C164" s="11" t="s">
        <v>68</v>
      </c>
      <c r="D164" s="11" t="s">
        <v>19</v>
      </c>
      <c r="E164" s="12" t="s">
        <v>190</v>
      </c>
      <c r="F164" s="11">
        <v>2</v>
      </c>
      <c r="G164" s="11">
        <f>G163</f>
        <v>90</v>
      </c>
      <c r="H164" s="11">
        <f>H162</f>
        <v>1732.5</v>
      </c>
      <c r="I164" s="11">
        <f>VLOOKUP(C164,Resources!$B$3:$G$44,6,FALSE)</f>
        <v>185</v>
      </c>
      <c r="J164" s="38">
        <f>(H164/G164)*I164*F164</f>
        <v>7122.5</v>
      </c>
      <c r="K164" s="12">
        <f t="shared" si="222"/>
        <v>38.5</v>
      </c>
      <c r="L164" s="11">
        <f t="shared" si="223"/>
        <v>19.25</v>
      </c>
      <c r="M164" s="11">
        <f t="shared" si="224"/>
        <v>0</v>
      </c>
      <c r="N164" s="11">
        <f t="shared" si="225"/>
        <v>0</v>
      </c>
      <c r="O164" s="11">
        <f t="shared" si="226"/>
        <v>7122.5</v>
      </c>
      <c r="P164" s="11">
        <f t="shared" si="227"/>
        <v>0</v>
      </c>
      <c r="Q164" s="11">
        <f t="shared" si="228"/>
        <v>7122.5</v>
      </c>
      <c r="R164" s="94">
        <v>51</v>
      </c>
    </row>
    <row r="165" spans="1:20" x14ac:dyDescent="0.2">
      <c r="A165" s="165" t="s">
        <v>230</v>
      </c>
      <c r="B165" s="30">
        <v>7</v>
      </c>
      <c r="C165" s="13" t="s">
        <v>74</v>
      </c>
    </row>
    <row r="166" spans="1:20" ht="22.5" x14ac:dyDescent="0.2">
      <c r="A166" s="165" t="s">
        <v>230</v>
      </c>
      <c r="B166" s="30">
        <v>9</v>
      </c>
      <c r="C166" s="13" t="s">
        <v>75</v>
      </c>
    </row>
    <row r="167" spans="1:20" ht="22.5" x14ac:dyDescent="0.2">
      <c r="A167" s="165" t="s">
        <v>230</v>
      </c>
      <c r="B167" s="30">
        <v>10</v>
      </c>
      <c r="C167" s="13" t="s">
        <v>76</v>
      </c>
    </row>
    <row r="168" spans="1:20" x14ac:dyDescent="0.2">
      <c r="A168" s="168" t="s">
        <v>230</v>
      </c>
      <c r="B168" s="31">
        <v>11</v>
      </c>
      <c r="C168" s="11" t="s">
        <v>23</v>
      </c>
      <c r="D168" s="11" t="s">
        <v>19</v>
      </c>
      <c r="E168" s="12" t="s">
        <v>190</v>
      </c>
      <c r="F168" s="11">
        <v>1</v>
      </c>
      <c r="G168" s="11">
        <f>G163</f>
        <v>90</v>
      </c>
      <c r="H168" s="11">
        <f>H162</f>
        <v>1732.5</v>
      </c>
      <c r="I168" s="11">
        <f>VLOOKUP(C168,Resources!$B$3:$G$44,6,FALSE)</f>
        <v>185</v>
      </c>
      <c r="J168" s="38">
        <f>(H168/G168)*I168*F168</f>
        <v>3561.25</v>
      </c>
      <c r="K168" s="12">
        <f t="shared" ref="K168:K171" si="229">IF(E168="M"," ",L168*F168)</f>
        <v>19.25</v>
      </c>
      <c r="L168" s="11">
        <f t="shared" ref="L168:L171" si="230">IF(E168="M"," ",H168/G168)</f>
        <v>19.25</v>
      </c>
      <c r="M168" s="11">
        <f t="shared" ref="M168:M171" si="231">IF($E168="L",$J168,0)</f>
        <v>0</v>
      </c>
      <c r="N168" s="11">
        <f t="shared" ref="N168:N171" si="232">IF($E168="M",$J168,0)</f>
        <v>0</v>
      </c>
      <c r="O168" s="11">
        <f t="shared" ref="O168:O171" si="233">IF($E168="P",$J168,0)</f>
        <v>3561.25</v>
      </c>
      <c r="P168" s="11">
        <f t="shared" ref="P168:P171" si="234">IF($E168="S",$J168,0)</f>
        <v>0</v>
      </c>
      <c r="Q168" s="11">
        <f t="shared" ref="Q168:Q171" si="235">SUM(M168:P168)</f>
        <v>3561.25</v>
      </c>
      <c r="R168" s="94">
        <v>51</v>
      </c>
      <c r="T168" s="36"/>
    </row>
    <row r="169" spans="1:20" x14ac:dyDescent="0.2">
      <c r="A169" s="168" t="s">
        <v>230</v>
      </c>
      <c r="B169" s="31">
        <v>12</v>
      </c>
      <c r="C169" s="11" t="s">
        <v>52</v>
      </c>
      <c r="D169" s="11" t="s">
        <v>19</v>
      </c>
      <c r="E169" s="12" t="s">
        <v>190</v>
      </c>
      <c r="F169" s="11">
        <v>1</v>
      </c>
      <c r="G169" s="11">
        <f>G163</f>
        <v>90</v>
      </c>
      <c r="H169" s="11">
        <f>H162</f>
        <v>1732.5</v>
      </c>
      <c r="I169" s="11">
        <f>VLOOKUP(C169,Resources!$B$3:$G$44,6,FALSE)</f>
        <v>58</v>
      </c>
      <c r="J169" s="38">
        <f>(H169/G169)*I169*F169</f>
        <v>1116.5</v>
      </c>
      <c r="K169" s="12">
        <f t="shared" si="229"/>
        <v>19.25</v>
      </c>
      <c r="L169" s="11">
        <f t="shared" si="230"/>
        <v>19.25</v>
      </c>
      <c r="M169" s="11">
        <f t="shared" si="231"/>
        <v>0</v>
      </c>
      <c r="N169" s="11">
        <f t="shared" si="232"/>
        <v>0</v>
      </c>
      <c r="O169" s="11">
        <f t="shared" si="233"/>
        <v>1116.5</v>
      </c>
      <c r="P169" s="11">
        <f t="shared" si="234"/>
        <v>0</v>
      </c>
      <c r="Q169" s="11">
        <f t="shared" si="235"/>
        <v>1116.5</v>
      </c>
      <c r="R169" s="94">
        <v>51</v>
      </c>
    </row>
    <row r="170" spans="1:20" x14ac:dyDescent="0.2">
      <c r="A170" s="168" t="s">
        <v>230</v>
      </c>
      <c r="B170" s="31">
        <v>13</v>
      </c>
      <c r="C170" s="11" t="s">
        <v>53</v>
      </c>
      <c r="D170" s="11" t="s">
        <v>19</v>
      </c>
      <c r="E170" s="12" t="s">
        <v>190</v>
      </c>
      <c r="F170" s="11">
        <v>1</v>
      </c>
      <c r="G170" s="11">
        <f>G163</f>
        <v>90</v>
      </c>
      <c r="H170" s="11">
        <f>H162</f>
        <v>1732.5</v>
      </c>
      <c r="I170" s="11">
        <f>VLOOKUP(C170,Resources!$B$3:$G$44,6,FALSE)</f>
        <v>95</v>
      </c>
      <c r="J170" s="38">
        <f>(H170/G170)*I170*F170</f>
        <v>1828.75</v>
      </c>
      <c r="K170" s="12">
        <f t="shared" si="229"/>
        <v>19.25</v>
      </c>
      <c r="L170" s="11">
        <f t="shared" si="230"/>
        <v>19.25</v>
      </c>
      <c r="M170" s="11">
        <f t="shared" si="231"/>
        <v>0</v>
      </c>
      <c r="N170" s="11">
        <f t="shared" si="232"/>
        <v>0</v>
      </c>
      <c r="O170" s="11">
        <f t="shared" si="233"/>
        <v>1828.75</v>
      </c>
      <c r="P170" s="11">
        <f t="shared" si="234"/>
        <v>0</v>
      </c>
      <c r="Q170" s="11">
        <f t="shared" si="235"/>
        <v>1828.75</v>
      </c>
      <c r="R170" s="94">
        <v>51</v>
      </c>
    </row>
    <row r="171" spans="1:20" x14ac:dyDescent="0.2">
      <c r="A171" s="168" t="s">
        <v>230</v>
      </c>
      <c r="B171" s="31">
        <v>14</v>
      </c>
      <c r="C171" s="11" t="s">
        <v>5</v>
      </c>
      <c r="D171" s="11" t="s">
        <v>19</v>
      </c>
      <c r="E171" s="12" t="s">
        <v>188</v>
      </c>
      <c r="F171" s="11">
        <v>3</v>
      </c>
      <c r="G171" s="11">
        <f>G163</f>
        <v>90</v>
      </c>
      <c r="H171" s="11">
        <f>H162</f>
        <v>1732.5</v>
      </c>
      <c r="I171" s="11">
        <f>VLOOKUP(C171,Resources!$B$3:$G$44,6,FALSE)</f>
        <v>38</v>
      </c>
      <c r="J171" s="38">
        <f>(H171/G171)*I171*F171</f>
        <v>2194.5</v>
      </c>
      <c r="K171" s="12">
        <f t="shared" si="229"/>
        <v>57.75</v>
      </c>
      <c r="L171" s="11">
        <f t="shared" si="230"/>
        <v>19.25</v>
      </c>
      <c r="M171" s="11">
        <f t="shared" si="231"/>
        <v>2194.5</v>
      </c>
      <c r="N171" s="11">
        <f t="shared" si="232"/>
        <v>0</v>
      </c>
      <c r="O171" s="11">
        <f t="shared" si="233"/>
        <v>0</v>
      </c>
      <c r="P171" s="11">
        <f t="shared" si="234"/>
        <v>0</v>
      </c>
      <c r="Q171" s="11">
        <f t="shared" si="235"/>
        <v>2194.5</v>
      </c>
      <c r="R171" s="94">
        <v>51</v>
      </c>
    </row>
    <row r="172" spans="1:20" x14ac:dyDescent="0.2">
      <c r="A172" s="165" t="s">
        <v>230</v>
      </c>
      <c r="B172" s="30">
        <v>15</v>
      </c>
      <c r="C172" s="13" t="s">
        <v>77</v>
      </c>
    </row>
    <row r="173" spans="1:20" x14ac:dyDescent="0.2">
      <c r="A173" s="168" t="s">
        <v>230</v>
      </c>
      <c r="B173" s="31">
        <v>16</v>
      </c>
      <c r="C173" s="11" t="s">
        <v>50</v>
      </c>
      <c r="D173" s="11" t="s">
        <v>19</v>
      </c>
      <c r="E173" s="12" t="s">
        <v>190</v>
      </c>
      <c r="F173" s="11">
        <v>9</v>
      </c>
      <c r="G173" s="11">
        <v>1</v>
      </c>
      <c r="H173" s="11">
        <v>1</v>
      </c>
      <c r="I173" s="11">
        <f>VLOOKUP(C173,Resources!$B$3:$G$44,6,FALSE)</f>
        <v>135</v>
      </c>
      <c r="J173" s="38">
        <f>(H173/G173)*I173*F173</f>
        <v>1215</v>
      </c>
      <c r="K173" s="12">
        <f t="shared" ref="K173:K175" si="236">IF(E173="M"," ",L173*F173)</f>
        <v>9</v>
      </c>
      <c r="L173" s="11">
        <f t="shared" ref="L173:L175" si="237">IF(E173="M"," ",H173/G173)</f>
        <v>1</v>
      </c>
      <c r="M173" s="11">
        <f t="shared" ref="M173:M175" si="238">IF($E173="L",$J173,0)</f>
        <v>0</v>
      </c>
      <c r="N173" s="11">
        <f t="shared" ref="N173:N175" si="239">IF($E173="M",$J173,0)</f>
        <v>0</v>
      </c>
      <c r="O173" s="11">
        <f t="shared" ref="O173:O175" si="240">IF($E173="P",$J173,0)</f>
        <v>1215</v>
      </c>
      <c r="P173" s="11">
        <f t="shared" ref="P173:P175" si="241">IF($E173="S",$J173,0)</f>
        <v>0</v>
      </c>
      <c r="Q173" s="11">
        <f t="shared" ref="Q173:Q175" si="242">SUM(M173:P173)</f>
        <v>1215</v>
      </c>
      <c r="R173" s="94">
        <v>59</v>
      </c>
    </row>
    <row r="174" spans="1:20" x14ac:dyDescent="0.2">
      <c r="A174" s="168" t="s">
        <v>230</v>
      </c>
      <c r="B174" s="31">
        <v>17</v>
      </c>
      <c r="C174" s="11" t="s">
        <v>18</v>
      </c>
      <c r="D174" s="11" t="s">
        <v>19</v>
      </c>
      <c r="E174" s="12" t="s">
        <v>190</v>
      </c>
      <c r="F174" s="11">
        <v>2</v>
      </c>
      <c r="G174" s="11">
        <v>1</v>
      </c>
      <c r="H174" s="11">
        <v>1</v>
      </c>
      <c r="I174" s="11">
        <f>VLOOKUP(C174,Resources!$B$3:$G$44,6,FALSE)</f>
        <v>130</v>
      </c>
      <c r="J174" s="38">
        <f>(H174/G174)*I174*F174</f>
        <v>260</v>
      </c>
      <c r="K174" s="12">
        <f t="shared" si="236"/>
        <v>2</v>
      </c>
      <c r="L174" s="11">
        <f t="shared" si="237"/>
        <v>1</v>
      </c>
      <c r="M174" s="11">
        <f t="shared" si="238"/>
        <v>0</v>
      </c>
      <c r="N174" s="11">
        <f t="shared" si="239"/>
        <v>0</v>
      </c>
      <c r="O174" s="11">
        <f t="shared" si="240"/>
        <v>260</v>
      </c>
      <c r="P174" s="11">
        <f t="shared" si="241"/>
        <v>0</v>
      </c>
      <c r="Q174" s="11">
        <f t="shared" si="242"/>
        <v>260</v>
      </c>
      <c r="R174" s="94">
        <v>59</v>
      </c>
    </row>
    <row r="175" spans="1:20" x14ac:dyDescent="0.2">
      <c r="A175" s="168" t="s">
        <v>230</v>
      </c>
      <c r="B175" s="31">
        <v>18</v>
      </c>
      <c r="C175" s="11" t="s">
        <v>68</v>
      </c>
      <c r="D175" s="11" t="s">
        <v>19</v>
      </c>
      <c r="E175" s="12" t="s">
        <v>190</v>
      </c>
      <c r="F175" s="11">
        <v>4</v>
      </c>
      <c r="G175" s="11">
        <v>1</v>
      </c>
      <c r="H175" s="11">
        <v>1</v>
      </c>
      <c r="I175" s="11">
        <f>VLOOKUP(C175,Resources!$B$3:$G$44,6,FALSE)</f>
        <v>185</v>
      </c>
      <c r="J175" s="38">
        <f>(H175/G175)*I175*F175</f>
        <v>740</v>
      </c>
      <c r="K175" s="12">
        <f t="shared" si="236"/>
        <v>4</v>
      </c>
      <c r="L175" s="11">
        <f t="shared" si="237"/>
        <v>1</v>
      </c>
      <c r="M175" s="11">
        <f t="shared" si="238"/>
        <v>0</v>
      </c>
      <c r="N175" s="11">
        <f t="shared" si="239"/>
        <v>0</v>
      </c>
      <c r="O175" s="11">
        <f t="shared" si="240"/>
        <v>740</v>
      </c>
      <c r="P175" s="11">
        <f t="shared" si="241"/>
        <v>0</v>
      </c>
      <c r="Q175" s="11">
        <f t="shared" si="242"/>
        <v>740</v>
      </c>
      <c r="R175" s="94">
        <v>59</v>
      </c>
    </row>
    <row r="176" spans="1:20" x14ac:dyDescent="0.2">
      <c r="A176" s="165" t="s">
        <v>230</v>
      </c>
    </row>
    <row r="177" spans="1:18" ht="22.5" x14ac:dyDescent="0.2">
      <c r="A177" s="167">
        <v>17</v>
      </c>
      <c r="B177" s="29" t="s">
        <v>91</v>
      </c>
      <c r="C177" s="6" t="s">
        <v>92</v>
      </c>
      <c r="D177" s="7" t="s">
        <v>31</v>
      </c>
      <c r="E177" s="8"/>
      <c r="F177" s="7"/>
      <c r="G177" s="7"/>
      <c r="H177" s="45">
        <f>VLOOKUP($A177,'Model Inputs'!$A:$C,3,FALSE)</f>
        <v>260</v>
      </c>
      <c r="I177" s="7"/>
      <c r="J177" s="7">
        <f t="shared" ref="J177" si="243">SUBTOTAL(9,J180:J192)</f>
        <v>13559.666666666666</v>
      </c>
      <c r="K177" s="7"/>
      <c r="L177" s="7">
        <f>ROUNDUP(MAX(L180:L192)/work,0)</f>
        <v>2</v>
      </c>
      <c r="M177" s="7">
        <f>SUBTOTAL(9,M180:M192)</f>
        <v>1358.5</v>
      </c>
      <c r="N177" s="7">
        <f t="shared" ref="N177:Q177" si="244">SUBTOTAL(9,N180:N192)</f>
        <v>0</v>
      </c>
      <c r="O177" s="7">
        <f t="shared" si="244"/>
        <v>12201.166666666666</v>
      </c>
      <c r="P177" s="7">
        <f t="shared" si="244"/>
        <v>0</v>
      </c>
      <c r="Q177" s="7">
        <f t="shared" si="244"/>
        <v>13559.666666666666</v>
      </c>
      <c r="R177" s="93"/>
    </row>
    <row r="178" spans="1:18" x14ac:dyDescent="0.2">
      <c r="A178" s="165" t="s">
        <v>230</v>
      </c>
      <c r="B178" s="30">
        <v>1</v>
      </c>
      <c r="C178" s="13" t="s">
        <v>73</v>
      </c>
    </row>
    <row r="179" spans="1:18" x14ac:dyDescent="0.2">
      <c r="A179" s="165">
        <v>17.100000000000001</v>
      </c>
      <c r="B179" s="30">
        <v>2</v>
      </c>
      <c r="C179" s="9" t="s">
        <v>204</v>
      </c>
      <c r="H179" s="45">
        <f>VLOOKUP($A179,'Model Inputs'!$A:$C,3,FALSE)</f>
        <v>1072.5</v>
      </c>
    </row>
    <row r="180" spans="1:18" x14ac:dyDescent="0.2">
      <c r="A180" s="168">
        <v>17.2</v>
      </c>
      <c r="B180" s="31">
        <v>3</v>
      </c>
      <c r="C180" s="11" t="s">
        <v>18</v>
      </c>
      <c r="D180" s="11" t="s">
        <v>19</v>
      </c>
      <c r="E180" s="12" t="s">
        <v>190</v>
      </c>
      <c r="F180" s="11">
        <v>1</v>
      </c>
      <c r="G180" s="45">
        <f>VLOOKUP($A180,'Model Inputs'!$A:$C,3,FALSE)</f>
        <v>90</v>
      </c>
      <c r="H180" s="11">
        <f>H179</f>
        <v>1072.5</v>
      </c>
      <c r="I180" s="11">
        <f>VLOOKUP(C180,Resources!$B$3:$G$44,6,FALSE)</f>
        <v>130</v>
      </c>
      <c r="J180" s="38">
        <f>(H180/G180)*I180*F180</f>
        <v>1549.1666666666665</v>
      </c>
      <c r="K180" s="12">
        <f t="shared" ref="K180:K181" si="245">IF(E180="M"," ",L180*F180)</f>
        <v>11.916666666666666</v>
      </c>
      <c r="L180" s="11">
        <f t="shared" ref="L180:L181" si="246">IF(E180="M"," ",H180/G180)</f>
        <v>11.916666666666666</v>
      </c>
      <c r="M180" s="11">
        <f t="shared" ref="M180:M181" si="247">IF($E180="L",$J180,0)</f>
        <v>0</v>
      </c>
      <c r="N180" s="11">
        <f t="shared" ref="N180:N181" si="248">IF($E180="M",$J180,0)</f>
        <v>0</v>
      </c>
      <c r="O180" s="11">
        <f t="shared" ref="O180:O181" si="249">IF($E180="P",$J180,0)</f>
        <v>1549.1666666666665</v>
      </c>
      <c r="P180" s="11">
        <f t="shared" ref="P180:P181" si="250">IF($E180="S",$J180,0)</f>
        <v>0</v>
      </c>
      <c r="Q180" s="11">
        <f t="shared" ref="Q180:Q181" si="251">SUM(M180:P180)</f>
        <v>1549.1666666666665</v>
      </c>
      <c r="R180" s="94">
        <v>51</v>
      </c>
    </row>
    <row r="181" spans="1:18" x14ac:dyDescent="0.2">
      <c r="A181" s="168" t="s">
        <v>230</v>
      </c>
      <c r="B181" s="31">
        <v>4</v>
      </c>
      <c r="C181" s="11" t="s">
        <v>68</v>
      </c>
      <c r="D181" s="11" t="s">
        <v>19</v>
      </c>
      <c r="E181" s="12" t="s">
        <v>190</v>
      </c>
      <c r="F181" s="11">
        <v>2</v>
      </c>
      <c r="G181" s="11">
        <f>G180</f>
        <v>90</v>
      </c>
      <c r="H181" s="11">
        <f>H179</f>
        <v>1072.5</v>
      </c>
      <c r="I181" s="11">
        <f>VLOOKUP(C181,Resources!$B$3:$G$44,6,FALSE)</f>
        <v>185</v>
      </c>
      <c r="J181" s="38">
        <f>(H181/G181)*I181*F181</f>
        <v>4409.1666666666661</v>
      </c>
      <c r="K181" s="12">
        <f t="shared" si="245"/>
        <v>23.833333333333332</v>
      </c>
      <c r="L181" s="11">
        <f t="shared" si="246"/>
        <v>11.916666666666666</v>
      </c>
      <c r="M181" s="11">
        <f t="shared" si="247"/>
        <v>0</v>
      </c>
      <c r="N181" s="11">
        <f t="shared" si="248"/>
        <v>0</v>
      </c>
      <c r="O181" s="11">
        <f t="shared" si="249"/>
        <v>4409.1666666666661</v>
      </c>
      <c r="P181" s="11">
        <f t="shared" si="250"/>
        <v>0</v>
      </c>
      <c r="Q181" s="11">
        <f t="shared" si="251"/>
        <v>4409.1666666666661</v>
      </c>
      <c r="R181" s="94">
        <v>51</v>
      </c>
    </row>
    <row r="182" spans="1:18" x14ac:dyDescent="0.2">
      <c r="A182" s="165" t="s">
        <v>230</v>
      </c>
      <c r="B182" s="30">
        <v>7</v>
      </c>
      <c r="C182" s="13" t="s">
        <v>74</v>
      </c>
    </row>
    <row r="183" spans="1:18" ht="22.5" x14ac:dyDescent="0.2">
      <c r="A183" s="165" t="s">
        <v>230</v>
      </c>
      <c r="B183" s="30">
        <v>9</v>
      </c>
      <c r="C183" s="13" t="s">
        <v>75</v>
      </c>
    </row>
    <row r="184" spans="1:18" ht="22.5" x14ac:dyDescent="0.2">
      <c r="A184" s="165" t="s">
        <v>230</v>
      </c>
      <c r="B184" s="30">
        <v>10</v>
      </c>
      <c r="C184" s="13" t="s">
        <v>76</v>
      </c>
    </row>
    <row r="185" spans="1:18" x14ac:dyDescent="0.2">
      <c r="A185" s="168" t="s">
        <v>230</v>
      </c>
      <c r="B185" s="31">
        <v>11</v>
      </c>
      <c r="C185" s="11" t="s">
        <v>23</v>
      </c>
      <c r="D185" s="11" t="s">
        <v>19</v>
      </c>
      <c r="E185" s="12" t="s">
        <v>190</v>
      </c>
      <c r="F185" s="11">
        <v>1</v>
      </c>
      <c r="G185" s="11">
        <f>G180</f>
        <v>90</v>
      </c>
      <c r="H185" s="11">
        <f>H179</f>
        <v>1072.5</v>
      </c>
      <c r="I185" s="11">
        <f>VLOOKUP(C185,Resources!$B$3:$G$44,6,FALSE)</f>
        <v>185</v>
      </c>
      <c r="J185" s="38">
        <f>(H185/G185)*I185*F185</f>
        <v>2204.583333333333</v>
      </c>
      <c r="K185" s="12">
        <f t="shared" ref="K185:K188" si="252">IF(E185="M"," ",L185*F185)</f>
        <v>11.916666666666666</v>
      </c>
      <c r="L185" s="11">
        <f t="shared" ref="L185:L188" si="253">IF(E185="M"," ",H185/G185)</f>
        <v>11.916666666666666</v>
      </c>
      <c r="M185" s="11">
        <f t="shared" ref="M185:M188" si="254">IF($E185="L",$J185,0)</f>
        <v>0</v>
      </c>
      <c r="N185" s="11">
        <f t="shared" ref="N185:N188" si="255">IF($E185="M",$J185,0)</f>
        <v>0</v>
      </c>
      <c r="O185" s="11">
        <f t="shared" ref="O185:O188" si="256">IF($E185="P",$J185,0)</f>
        <v>2204.583333333333</v>
      </c>
      <c r="P185" s="11">
        <f t="shared" ref="P185:P188" si="257">IF($E185="S",$J185,0)</f>
        <v>0</v>
      </c>
      <c r="Q185" s="11">
        <f t="shared" ref="Q185:Q188" si="258">SUM(M185:P185)</f>
        <v>2204.583333333333</v>
      </c>
      <c r="R185" s="94">
        <v>51</v>
      </c>
    </row>
    <row r="186" spans="1:18" x14ac:dyDescent="0.2">
      <c r="A186" s="168" t="s">
        <v>230</v>
      </c>
      <c r="B186" s="31">
        <v>12</v>
      </c>
      <c r="C186" s="11" t="s">
        <v>52</v>
      </c>
      <c r="D186" s="11" t="s">
        <v>19</v>
      </c>
      <c r="E186" s="12" t="s">
        <v>190</v>
      </c>
      <c r="F186" s="11">
        <v>1</v>
      </c>
      <c r="G186" s="11">
        <f>G180</f>
        <v>90</v>
      </c>
      <c r="H186" s="11">
        <f>H179</f>
        <v>1072.5</v>
      </c>
      <c r="I186" s="11">
        <f>VLOOKUP(C186,Resources!$B$3:$G$44,6,FALSE)</f>
        <v>58</v>
      </c>
      <c r="J186" s="38">
        <f>(H186/G186)*I186*F186</f>
        <v>691.16666666666663</v>
      </c>
      <c r="K186" s="12">
        <f t="shared" si="252"/>
        <v>11.916666666666666</v>
      </c>
      <c r="L186" s="11">
        <f t="shared" si="253"/>
        <v>11.916666666666666</v>
      </c>
      <c r="M186" s="11">
        <f t="shared" si="254"/>
        <v>0</v>
      </c>
      <c r="N186" s="11">
        <f t="shared" si="255"/>
        <v>0</v>
      </c>
      <c r="O186" s="11">
        <f t="shared" si="256"/>
        <v>691.16666666666663</v>
      </c>
      <c r="P186" s="11">
        <f t="shared" si="257"/>
        <v>0</v>
      </c>
      <c r="Q186" s="11">
        <f t="shared" si="258"/>
        <v>691.16666666666663</v>
      </c>
      <c r="R186" s="94">
        <v>51</v>
      </c>
    </row>
    <row r="187" spans="1:18" x14ac:dyDescent="0.2">
      <c r="A187" s="168" t="s">
        <v>230</v>
      </c>
      <c r="B187" s="31">
        <v>13</v>
      </c>
      <c r="C187" s="11" t="s">
        <v>53</v>
      </c>
      <c r="D187" s="11" t="s">
        <v>19</v>
      </c>
      <c r="E187" s="12" t="s">
        <v>190</v>
      </c>
      <c r="F187" s="11">
        <v>1</v>
      </c>
      <c r="G187" s="11">
        <f>G180</f>
        <v>90</v>
      </c>
      <c r="H187" s="11">
        <f>H179</f>
        <v>1072.5</v>
      </c>
      <c r="I187" s="11">
        <f>VLOOKUP(C187,Resources!$B$3:$G$44,6,FALSE)</f>
        <v>95</v>
      </c>
      <c r="J187" s="38">
        <f>(H187/G187)*I187*F187</f>
        <v>1132.0833333333333</v>
      </c>
      <c r="K187" s="12">
        <f t="shared" si="252"/>
        <v>11.916666666666666</v>
      </c>
      <c r="L187" s="11">
        <f t="shared" si="253"/>
        <v>11.916666666666666</v>
      </c>
      <c r="M187" s="11">
        <f t="shared" si="254"/>
        <v>0</v>
      </c>
      <c r="N187" s="11">
        <f t="shared" si="255"/>
        <v>0</v>
      </c>
      <c r="O187" s="11">
        <f t="shared" si="256"/>
        <v>1132.0833333333333</v>
      </c>
      <c r="P187" s="11">
        <f t="shared" si="257"/>
        <v>0</v>
      </c>
      <c r="Q187" s="11">
        <f t="shared" si="258"/>
        <v>1132.0833333333333</v>
      </c>
      <c r="R187" s="94">
        <v>51</v>
      </c>
    </row>
    <row r="188" spans="1:18" x14ac:dyDescent="0.2">
      <c r="A188" s="168" t="s">
        <v>230</v>
      </c>
      <c r="B188" s="31">
        <v>14</v>
      </c>
      <c r="C188" s="11" t="s">
        <v>5</v>
      </c>
      <c r="D188" s="11" t="s">
        <v>19</v>
      </c>
      <c r="E188" s="12" t="s">
        <v>188</v>
      </c>
      <c r="F188" s="11">
        <v>3</v>
      </c>
      <c r="G188" s="11">
        <f>G180</f>
        <v>90</v>
      </c>
      <c r="H188" s="11">
        <f>H179</f>
        <v>1072.5</v>
      </c>
      <c r="I188" s="11">
        <f>VLOOKUP(C188,Resources!$B$3:$G$44,6,FALSE)</f>
        <v>38</v>
      </c>
      <c r="J188" s="38">
        <f>(H188/G188)*I188*F188</f>
        <v>1358.5</v>
      </c>
      <c r="K188" s="12">
        <f t="shared" si="252"/>
        <v>35.75</v>
      </c>
      <c r="L188" s="11">
        <f t="shared" si="253"/>
        <v>11.916666666666666</v>
      </c>
      <c r="M188" s="11">
        <f t="shared" si="254"/>
        <v>1358.5</v>
      </c>
      <c r="N188" s="11">
        <f t="shared" si="255"/>
        <v>0</v>
      </c>
      <c r="O188" s="11">
        <f t="shared" si="256"/>
        <v>0</v>
      </c>
      <c r="P188" s="11">
        <f t="shared" si="257"/>
        <v>0</v>
      </c>
      <c r="Q188" s="11">
        <f t="shared" si="258"/>
        <v>1358.5</v>
      </c>
      <c r="R188" s="94">
        <v>51</v>
      </c>
    </row>
    <row r="189" spans="1:18" x14ac:dyDescent="0.2">
      <c r="A189" s="165" t="s">
        <v>230</v>
      </c>
      <c r="B189" s="30">
        <v>15</v>
      </c>
      <c r="C189" s="13" t="s">
        <v>77</v>
      </c>
    </row>
    <row r="190" spans="1:18" x14ac:dyDescent="0.2">
      <c r="A190" s="168" t="s">
        <v>230</v>
      </c>
      <c r="B190" s="31">
        <v>16</v>
      </c>
      <c r="C190" s="11" t="s">
        <v>50</v>
      </c>
      <c r="D190" s="11" t="s">
        <v>19</v>
      </c>
      <c r="E190" s="12" t="s">
        <v>190</v>
      </c>
      <c r="F190" s="11">
        <v>9</v>
      </c>
      <c r="G190" s="11">
        <v>1</v>
      </c>
      <c r="H190" s="11">
        <v>1</v>
      </c>
      <c r="I190" s="11">
        <f>VLOOKUP(C190,Resources!$B$3:$G$44,6,FALSE)</f>
        <v>135</v>
      </c>
      <c r="J190" s="38">
        <f>(H190/G190)*I190*F190</f>
        <v>1215</v>
      </c>
      <c r="K190" s="12">
        <f t="shared" ref="K190:K192" si="259">IF(E190="M"," ",L190*F190)</f>
        <v>9</v>
      </c>
      <c r="L190" s="11">
        <f t="shared" ref="L190:L192" si="260">IF(E190="M"," ",H190/G190)</f>
        <v>1</v>
      </c>
      <c r="M190" s="11">
        <f t="shared" ref="M190:M192" si="261">IF($E190="L",$J190,0)</f>
        <v>0</v>
      </c>
      <c r="N190" s="11">
        <f t="shared" ref="N190:N192" si="262">IF($E190="M",$J190,0)</f>
        <v>0</v>
      </c>
      <c r="O190" s="11">
        <f t="shared" ref="O190:O192" si="263">IF($E190="P",$J190,0)</f>
        <v>1215</v>
      </c>
      <c r="P190" s="11">
        <f t="shared" ref="P190:P192" si="264">IF($E190="S",$J190,0)</f>
        <v>0</v>
      </c>
      <c r="Q190" s="11">
        <f t="shared" ref="Q190:Q192" si="265">SUM(M190:P190)</f>
        <v>1215</v>
      </c>
      <c r="R190" s="94">
        <v>59</v>
      </c>
    </row>
    <row r="191" spans="1:18" x14ac:dyDescent="0.2">
      <c r="A191" s="168" t="s">
        <v>230</v>
      </c>
      <c r="B191" s="31">
        <v>17</v>
      </c>
      <c r="C191" s="11" t="s">
        <v>18</v>
      </c>
      <c r="D191" s="11" t="s">
        <v>19</v>
      </c>
      <c r="E191" s="12" t="s">
        <v>190</v>
      </c>
      <c r="F191" s="11">
        <v>2</v>
      </c>
      <c r="G191" s="11">
        <v>1</v>
      </c>
      <c r="H191" s="11">
        <v>1</v>
      </c>
      <c r="I191" s="11">
        <f>VLOOKUP(C191,Resources!$B$3:$G$44,6,FALSE)</f>
        <v>130</v>
      </c>
      <c r="J191" s="38">
        <f>(H191/G191)*I191*F191</f>
        <v>260</v>
      </c>
      <c r="K191" s="12">
        <f t="shared" si="259"/>
        <v>2</v>
      </c>
      <c r="L191" s="11">
        <f t="shared" si="260"/>
        <v>1</v>
      </c>
      <c r="M191" s="11">
        <f t="shared" si="261"/>
        <v>0</v>
      </c>
      <c r="N191" s="11">
        <f t="shared" si="262"/>
        <v>0</v>
      </c>
      <c r="O191" s="11">
        <f t="shared" si="263"/>
        <v>260</v>
      </c>
      <c r="P191" s="11">
        <f t="shared" si="264"/>
        <v>0</v>
      </c>
      <c r="Q191" s="11">
        <f t="shared" si="265"/>
        <v>260</v>
      </c>
      <c r="R191" s="94">
        <v>59</v>
      </c>
    </row>
    <row r="192" spans="1:18" x14ac:dyDescent="0.2">
      <c r="A192" s="168" t="s">
        <v>230</v>
      </c>
      <c r="B192" s="31">
        <v>18</v>
      </c>
      <c r="C192" s="11" t="s">
        <v>68</v>
      </c>
      <c r="D192" s="11" t="s">
        <v>19</v>
      </c>
      <c r="E192" s="12" t="s">
        <v>190</v>
      </c>
      <c r="F192" s="11">
        <v>4</v>
      </c>
      <c r="G192" s="11">
        <v>1</v>
      </c>
      <c r="H192" s="11">
        <v>1</v>
      </c>
      <c r="I192" s="11">
        <f>VLOOKUP(C192,Resources!$B$3:$G$44,6,FALSE)</f>
        <v>185</v>
      </c>
      <c r="J192" s="38">
        <f>(H192/G192)*I192*F192</f>
        <v>740</v>
      </c>
      <c r="K192" s="12">
        <f t="shared" si="259"/>
        <v>4</v>
      </c>
      <c r="L192" s="11">
        <f t="shared" si="260"/>
        <v>1</v>
      </c>
      <c r="M192" s="11">
        <f t="shared" si="261"/>
        <v>0</v>
      </c>
      <c r="N192" s="11">
        <f t="shared" si="262"/>
        <v>0</v>
      </c>
      <c r="O192" s="11">
        <f t="shared" si="263"/>
        <v>740</v>
      </c>
      <c r="P192" s="11">
        <f t="shared" si="264"/>
        <v>0</v>
      </c>
      <c r="Q192" s="11">
        <f t="shared" si="265"/>
        <v>740</v>
      </c>
      <c r="R192" s="94">
        <v>59</v>
      </c>
    </row>
    <row r="193" spans="1:20" x14ac:dyDescent="0.2">
      <c r="A193" s="165" t="s">
        <v>230</v>
      </c>
    </row>
    <row r="194" spans="1:20" s="36" customFormat="1" x14ac:dyDescent="0.2">
      <c r="A194" s="169">
        <v>18</v>
      </c>
      <c r="B194" s="32"/>
      <c r="C194" s="2" t="s">
        <v>205</v>
      </c>
      <c r="D194" s="34"/>
      <c r="E194" s="35"/>
      <c r="F194" s="34"/>
      <c r="G194" s="34"/>
      <c r="H194" s="34"/>
      <c r="I194" s="34"/>
      <c r="J194" s="39"/>
      <c r="K194" s="35"/>
      <c r="L194" s="34"/>
      <c r="M194" s="34"/>
      <c r="N194" s="34"/>
      <c r="O194" s="34"/>
      <c r="P194" s="34"/>
      <c r="Q194" s="34"/>
      <c r="R194" s="95"/>
      <c r="S194" s="5"/>
      <c r="T194" s="5"/>
    </row>
    <row r="195" spans="1:20" ht="22.5" x14ac:dyDescent="0.2">
      <c r="A195" s="167">
        <v>19</v>
      </c>
      <c r="B195" s="29" t="s">
        <v>93</v>
      </c>
      <c r="C195" s="6" t="s">
        <v>94</v>
      </c>
      <c r="D195" s="7" t="s">
        <v>45</v>
      </c>
      <c r="E195" s="8"/>
      <c r="F195" s="7"/>
      <c r="G195" s="7"/>
      <c r="H195" s="45">
        <f>VLOOKUP($A195,'Model Inputs'!$A:$C,3,FALSE)</f>
        <v>2000</v>
      </c>
      <c r="I195" s="7"/>
      <c r="J195" s="7">
        <f t="shared" ref="J195" si="266">SUBTOTAL(9,J198:J208)</f>
        <v>6690</v>
      </c>
      <c r="K195" s="7"/>
      <c r="L195" s="7">
        <f>ROUNDUP(MAX(L198:L208)/work,0)</f>
        <v>2</v>
      </c>
      <c r="M195" s="7">
        <f>SUBTOTAL(9,M198:M208)</f>
        <v>886.66666666666674</v>
      </c>
      <c r="N195" s="7">
        <f t="shared" ref="N195:Q195" si="267">SUBTOTAL(9,N198:N208)</f>
        <v>0</v>
      </c>
      <c r="O195" s="7">
        <f t="shared" si="267"/>
        <v>5803.3333333333339</v>
      </c>
      <c r="P195" s="7">
        <f t="shared" si="267"/>
        <v>0</v>
      </c>
      <c r="Q195" s="7">
        <f t="shared" si="267"/>
        <v>6690</v>
      </c>
      <c r="R195" s="93"/>
      <c r="S195" s="36"/>
    </row>
    <row r="196" spans="1:20" x14ac:dyDescent="0.2">
      <c r="A196" s="165" t="s">
        <v>230</v>
      </c>
      <c r="B196" s="30">
        <v>1</v>
      </c>
      <c r="C196" s="13" t="s">
        <v>46</v>
      </c>
    </row>
    <row r="197" spans="1:20" ht="33.75" x14ac:dyDescent="0.2">
      <c r="A197" s="165" t="s">
        <v>230</v>
      </c>
      <c r="B197" s="30">
        <v>2</v>
      </c>
      <c r="C197" s="13" t="s">
        <v>47</v>
      </c>
    </row>
    <row r="198" spans="1:20" x14ac:dyDescent="0.2">
      <c r="A198" s="168" t="s">
        <v>230</v>
      </c>
      <c r="B198" s="31">
        <v>3</v>
      </c>
      <c r="C198" s="11" t="s">
        <v>23</v>
      </c>
      <c r="D198" s="11" t="s">
        <v>19</v>
      </c>
      <c r="E198" s="12" t="s">
        <v>190</v>
      </c>
      <c r="F198" s="11">
        <v>1</v>
      </c>
      <c r="G198" s="11">
        <v>150</v>
      </c>
      <c r="H198" s="11">
        <f>H195*0.15</f>
        <v>300</v>
      </c>
      <c r="I198" s="11">
        <f>VLOOKUP(C198,Resources!$B$3:$G$44,6,FALSE)</f>
        <v>185</v>
      </c>
      <c r="J198" s="38">
        <f>(H198/G198)*I198*F198</f>
        <v>370</v>
      </c>
      <c r="K198" s="12">
        <f t="shared" ref="K198:K200" si="268">IF(E198="M"," ",L198*F198)</f>
        <v>2</v>
      </c>
      <c r="L198" s="11">
        <f t="shared" ref="L198:L200" si="269">IF(E198="M"," ",H198/G198)</f>
        <v>2</v>
      </c>
      <c r="M198" s="11">
        <f t="shared" ref="M198:M200" si="270">IF($E198="L",$J198,0)</f>
        <v>0</v>
      </c>
      <c r="N198" s="11">
        <f t="shared" ref="N198:N200" si="271">IF($E198="M",$J198,0)</f>
        <v>0</v>
      </c>
      <c r="O198" s="11">
        <f t="shared" ref="O198:O200" si="272">IF($E198="P",$J198,0)</f>
        <v>370</v>
      </c>
      <c r="P198" s="11">
        <f t="shared" ref="P198:P200" si="273">IF($E198="S",$J198,0)</f>
        <v>0</v>
      </c>
      <c r="Q198" s="11">
        <f t="shared" ref="Q198:Q200" si="274">SUM(M198:P198)</f>
        <v>370</v>
      </c>
      <c r="R198" s="94">
        <v>31</v>
      </c>
    </row>
    <row r="199" spans="1:20" x14ac:dyDescent="0.2">
      <c r="A199" s="168">
        <v>19.100000000000001</v>
      </c>
      <c r="B199" s="31">
        <v>4</v>
      </c>
      <c r="C199" s="11" t="s">
        <v>18</v>
      </c>
      <c r="D199" s="11" t="s">
        <v>19</v>
      </c>
      <c r="E199" s="12" t="s">
        <v>190</v>
      </c>
      <c r="F199" s="11">
        <v>1</v>
      </c>
      <c r="G199" s="45">
        <f>VLOOKUP($A199,'Model Inputs'!$A:$C,3,FALSE)</f>
        <v>90</v>
      </c>
      <c r="H199" s="11">
        <f>H198</f>
        <v>300</v>
      </c>
      <c r="I199" s="11">
        <f>VLOOKUP(C199,Resources!$B$3:$G$44,6,FALSE)</f>
        <v>130</v>
      </c>
      <c r="J199" s="38">
        <f>(H199/G199)*I199*F199</f>
        <v>433.33333333333337</v>
      </c>
      <c r="K199" s="12">
        <f t="shared" si="268"/>
        <v>3.3333333333333335</v>
      </c>
      <c r="L199" s="11">
        <f t="shared" si="269"/>
        <v>3.3333333333333335</v>
      </c>
      <c r="M199" s="11">
        <f t="shared" si="270"/>
        <v>0</v>
      </c>
      <c r="N199" s="11">
        <f t="shared" si="271"/>
        <v>0</v>
      </c>
      <c r="O199" s="11">
        <f t="shared" si="272"/>
        <v>433.33333333333337</v>
      </c>
      <c r="P199" s="11">
        <f t="shared" si="273"/>
        <v>0</v>
      </c>
      <c r="Q199" s="11">
        <f t="shared" si="274"/>
        <v>433.33333333333337</v>
      </c>
      <c r="R199" s="94">
        <v>31</v>
      </c>
    </row>
    <row r="200" spans="1:20" x14ac:dyDescent="0.2">
      <c r="A200" s="168" t="s">
        <v>230</v>
      </c>
      <c r="B200" s="31">
        <v>5</v>
      </c>
      <c r="C200" s="11" t="s">
        <v>5</v>
      </c>
      <c r="D200" s="11" t="s">
        <v>19</v>
      </c>
      <c r="E200" s="12" t="s">
        <v>188</v>
      </c>
      <c r="F200" s="11">
        <v>1</v>
      </c>
      <c r="G200" s="11">
        <f>G199</f>
        <v>90</v>
      </c>
      <c r="H200" s="11">
        <f>H199</f>
        <v>300</v>
      </c>
      <c r="I200" s="11">
        <f>VLOOKUP(C200,Resources!$B$3:$G$44,6,FALSE)</f>
        <v>38</v>
      </c>
      <c r="J200" s="38">
        <f>(H200/G200)*I200*F200</f>
        <v>126.66666666666667</v>
      </c>
      <c r="K200" s="12">
        <f t="shared" si="268"/>
        <v>3.3333333333333335</v>
      </c>
      <c r="L200" s="11">
        <f t="shared" si="269"/>
        <v>3.3333333333333335</v>
      </c>
      <c r="M200" s="11">
        <f t="shared" si="270"/>
        <v>126.66666666666667</v>
      </c>
      <c r="N200" s="11">
        <f t="shared" si="271"/>
        <v>0</v>
      </c>
      <c r="O200" s="11">
        <f t="shared" si="272"/>
        <v>0</v>
      </c>
      <c r="P200" s="11">
        <f t="shared" si="273"/>
        <v>0</v>
      </c>
      <c r="Q200" s="11">
        <f t="shared" si="274"/>
        <v>126.66666666666667</v>
      </c>
      <c r="R200" s="94">
        <v>31</v>
      </c>
    </row>
    <row r="201" spans="1:20" x14ac:dyDescent="0.2">
      <c r="A201" s="165" t="s">
        <v>230</v>
      </c>
      <c r="B201" s="30">
        <v>8</v>
      </c>
      <c r="C201" s="13" t="s">
        <v>48</v>
      </c>
    </row>
    <row r="202" spans="1:20" x14ac:dyDescent="0.2">
      <c r="A202" s="165" t="s">
        <v>230</v>
      </c>
      <c r="B202" s="30">
        <v>9</v>
      </c>
      <c r="C202" s="13" t="s">
        <v>49</v>
      </c>
    </row>
    <row r="203" spans="1:20" x14ac:dyDescent="0.2">
      <c r="A203" s="168">
        <v>19.2</v>
      </c>
      <c r="B203" s="31">
        <v>10</v>
      </c>
      <c r="C203" s="11" t="s">
        <v>50</v>
      </c>
      <c r="D203" s="11" t="s">
        <v>19</v>
      </c>
      <c r="E203" s="12" t="s">
        <v>190</v>
      </c>
      <c r="F203" s="11">
        <v>1</v>
      </c>
      <c r="G203" s="45">
        <f>VLOOKUP($A203,'Model Inputs'!$A:$C,3,FALSE)</f>
        <v>200</v>
      </c>
      <c r="H203" s="11">
        <f>H195</f>
        <v>2000</v>
      </c>
      <c r="I203" s="11">
        <f>VLOOKUP(C203,Resources!$B$3:$G$44,6,FALSE)</f>
        <v>135</v>
      </c>
      <c r="J203" s="38">
        <f>(H203/G203)*I203*F203</f>
        <v>1350</v>
      </c>
      <c r="K203" s="12">
        <f t="shared" ref="K203:K204" si="275">IF(E203="M"," ",L203*F203)</f>
        <v>10</v>
      </c>
      <c r="L203" s="11">
        <f t="shared" ref="L203:L204" si="276">IF(E203="M"," ",H203/G203)</f>
        <v>10</v>
      </c>
      <c r="M203" s="11">
        <f t="shared" ref="M203:M204" si="277">IF($E203="L",$J203,0)</f>
        <v>0</v>
      </c>
      <c r="N203" s="11">
        <f t="shared" ref="N203:N204" si="278">IF($E203="M",$J203,0)</f>
        <v>0</v>
      </c>
      <c r="O203" s="11">
        <f t="shared" ref="O203:O204" si="279">IF($E203="P",$J203,0)</f>
        <v>1350</v>
      </c>
      <c r="P203" s="11">
        <f t="shared" ref="P203:P204" si="280">IF($E203="S",$J203,0)</f>
        <v>0</v>
      </c>
      <c r="Q203" s="11">
        <f t="shared" ref="Q203:Q204" si="281">SUM(M203:P203)</f>
        <v>1350</v>
      </c>
      <c r="R203" s="94">
        <v>59</v>
      </c>
      <c r="T203" s="36"/>
    </row>
    <row r="204" spans="1:20" x14ac:dyDescent="0.2">
      <c r="A204" s="168" t="s">
        <v>230</v>
      </c>
      <c r="B204" s="31">
        <v>11</v>
      </c>
      <c r="C204" s="11" t="s">
        <v>5</v>
      </c>
      <c r="D204" s="11" t="s">
        <v>19</v>
      </c>
      <c r="E204" s="12" t="s">
        <v>188</v>
      </c>
      <c r="F204" s="11">
        <v>1</v>
      </c>
      <c r="G204" s="11">
        <f>G203</f>
        <v>200</v>
      </c>
      <c r="H204" s="11">
        <f>H195</f>
        <v>2000</v>
      </c>
      <c r="I204" s="11">
        <f>VLOOKUP(C204,Resources!$B$3:$G$44,6,FALSE)</f>
        <v>38</v>
      </c>
      <c r="J204" s="38">
        <f>(H204/G204)*I204*F204</f>
        <v>380</v>
      </c>
      <c r="K204" s="12">
        <f t="shared" si="275"/>
        <v>10</v>
      </c>
      <c r="L204" s="11">
        <f t="shared" si="276"/>
        <v>10</v>
      </c>
      <c r="M204" s="11">
        <f t="shared" si="277"/>
        <v>380</v>
      </c>
      <c r="N204" s="11">
        <f t="shared" si="278"/>
        <v>0</v>
      </c>
      <c r="O204" s="11">
        <f t="shared" si="279"/>
        <v>0</v>
      </c>
      <c r="P204" s="11">
        <f t="shared" si="280"/>
        <v>0</v>
      </c>
      <c r="Q204" s="11">
        <f t="shared" si="281"/>
        <v>380</v>
      </c>
      <c r="R204" s="94">
        <v>59</v>
      </c>
    </row>
    <row r="205" spans="1:20" x14ac:dyDescent="0.2">
      <c r="A205" s="165" t="s">
        <v>230</v>
      </c>
      <c r="B205" s="30">
        <v>15</v>
      </c>
      <c r="C205" s="13" t="s">
        <v>54</v>
      </c>
    </row>
    <row r="206" spans="1:20" ht="22.5" x14ac:dyDescent="0.2">
      <c r="A206" s="165" t="s">
        <v>230</v>
      </c>
      <c r="B206" s="30">
        <v>16</v>
      </c>
      <c r="C206" s="13" t="s">
        <v>55</v>
      </c>
    </row>
    <row r="207" spans="1:20" x14ac:dyDescent="0.2">
      <c r="A207" s="168" t="s">
        <v>230</v>
      </c>
      <c r="B207" s="31">
        <v>17</v>
      </c>
      <c r="C207" s="11" t="s">
        <v>56</v>
      </c>
      <c r="D207" s="11" t="s">
        <v>57</v>
      </c>
      <c r="E207" s="12" t="s">
        <v>190</v>
      </c>
      <c r="F207" s="11">
        <v>1</v>
      </c>
      <c r="G207" s="11">
        <f>G203</f>
        <v>200</v>
      </c>
      <c r="H207" s="11">
        <f>H195</f>
        <v>2000</v>
      </c>
      <c r="I207" s="11">
        <f>VLOOKUP(C207,Resources!$B$3:$G$44,6,FALSE)</f>
        <v>365</v>
      </c>
      <c r="J207" s="38">
        <f>(H207/G207)*I207*F207</f>
        <v>3650</v>
      </c>
      <c r="K207" s="12">
        <f t="shared" ref="K207:K208" si="282">IF(E207="M"," ",L207*F207)</f>
        <v>10</v>
      </c>
      <c r="L207" s="11">
        <f t="shared" ref="L207:L208" si="283">IF(E207="M"," ",H207/G207)</f>
        <v>10</v>
      </c>
      <c r="M207" s="11">
        <f t="shared" ref="M207:M208" si="284">IF($E207="L",$J207,0)</f>
        <v>0</v>
      </c>
      <c r="N207" s="11">
        <f t="shared" ref="N207:N208" si="285">IF($E207="M",$J207,0)</f>
        <v>0</v>
      </c>
      <c r="O207" s="11">
        <f t="shared" ref="O207:O208" si="286">IF($E207="P",$J207,0)</f>
        <v>3650</v>
      </c>
      <c r="P207" s="11">
        <f t="shared" ref="P207:P208" si="287">IF($E207="S",$J207,0)</f>
        <v>0</v>
      </c>
      <c r="Q207" s="11">
        <f t="shared" ref="Q207:Q208" si="288">SUM(M207:P207)</f>
        <v>3650</v>
      </c>
      <c r="R207" s="94">
        <v>59</v>
      </c>
    </row>
    <row r="208" spans="1:20" x14ac:dyDescent="0.2">
      <c r="A208" s="168" t="s">
        <v>230</v>
      </c>
      <c r="B208" s="31">
        <v>18</v>
      </c>
      <c r="C208" s="11" t="s">
        <v>5</v>
      </c>
      <c r="D208" s="11" t="s">
        <v>19</v>
      </c>
      <c r="E208" s="12" t="s">
        <v>188</v>
      </c>
      <c r="F208" s="11">
        <v>1</v>
      </c>
      <c r="G208" s="11">
        <f>G203</f>
        <v>200</v>
      </c>
      <c r="H208" s="11">
        <f>H195</f>
        <v>2000</v>
      </c>
      <c r="I208" s="11">
        <f>VLOOKUP(C208,Resources!$B$3:$G$44,6,FALSE)</f>
        <v>38</v>
      </c>
      <c r="J208" s="38">
        <f>(H208/G208)*I208*F208</f>
        <v>380</v>
      </c>
      <c r="K208" s="12">
        <f t="shared" si="282"/>
        <v>10</v>
      </c>
      <c r="L208" s="11">
        <f t="shared" si="283"/>
        <v>10</v>
      </c>
      <c r="M208" s="11">
        <f t="shared" si="284"/>
        <v>380</v>
      </c>
      <c r="N208" s="11">
        <f t="shared" si="285"/>
        <v>0</v>
      </c>
      <c r="O208" s="11">
        <f t="shared" si="286"/>
        <v>0</v>
      </c>
      <c r="P208" s="11">
        <f t="shared" si="287"/>
        <v>0</v>
      </c>
      <c r="Q208" s="11">
        <f t="shared" si="288"/>
        <v>380</v>
      </c>
      <c r="R208" s="94">
        <v>59</v>
      </c>
    </row>
    <row r="209" spans="1:18" x14ac:dyDescent="0.2">
      <c r="A209" s="165" t="s">
        <v>230</v>
      </c>
    </row>
    <row r="210" spans="1:18" ht="22.5" x14ac:dyDescent="0.2">
      <c r="A210" s="167">
        <v>20</v>
      </c>
      <c r="B210" s="29" t="s">
        <v>95</v>
      </c>
      <c r="C210" s="6" t="s">
        <v>96</v>
      </c>
      <c r="D210" s="7" t="s">
        <v>66</v>
      </c>
      <c r="E210" s="8"/>
      <c r="F210" s="7"/>
      <c r="G210" s="7"/>
      <c r="H210" s="45">
        <f>VLOOKUP($A210,'Model Inputs'!$A:$C,3,FALSE)</f>
        <v>2000</v>
      </c>
      <c r="I210" s="7"/>
      <c r="J210" s="7">
        <f t="shared" ref="J210" si="289">SUBTOTAL(9,J212:J232)</f>
        <v>27266.555555555555</v>
      </c>
      <c r="K210" s="7"/>
      <c r="L210" s="7">
        <f>ROUNDUP(MAX(L212:L232)/work,0)</f>
        <v>3</v>
      </c>
      <c r="M210" s="7">
        <f>SUBTOTAL(9,M212:M232)</f>
        <v>3901.3333333333335</v>
      </c>
      <c r="N210" s="7">
        <f t="shared" ref="N210:Q210" si="290">SUBTOTAL(9,N212:N232)</f>
        <v>0</v>
      </c>
      <c r="O210" s="7">
        <f t="shared" si="290"/>
        <v>23365.222222222223</v>
      </c>
      <c r="P210" s="7">
        <f t="shared" si="290"/>
        <v>0</v>
      </c>
      <c r="Q210" s="7">
        <f t="shared" si="290"/>
        <v>27266.555555555555</v>
      </c>
      <c r="R210" s="93"/>
    </row>
    <row r="211" spans="1:18" x14ac:dyDescent="0.2">
      <c r="A211" s="165" t="s">
        <v>230</v>
      </c>
      <c r="B211" s="30">
        <v>1</v>
      </c>
      <c r="C211" s="13" t="s">
        <v>73</v>
      </c>
    </row>
    <row r="212" spans="1:18" x14ac:dyDescent="0.2">
      <c r="A212" s="168">
        <v>20.100000000000001</v>
      </c>
      <c r="B212" s="31">
        <v>2</v>
      </c>
      <c r="C212" s="11" t="s">
        <v>18</v>
      </c>
      <c r="D212" s="11" t="s">
        <v>19</v>
      </c>
      <c r="E212" s="12" t="s">
        <v>190</v>
      </c>
      <c r="F212" s="11">
        <v>1</v>
      </c>
      <c r="G212" s="45">
        <f>VLOOKUP($A212,'Model Inputs'!$A:$C,3,FALSE)</f>
        <v>90</v>
      </c>
      <c r="H212" s="11">
        <f>H210</f>
        <v>2000</v>
      </c>
      <c r="I212" s="11">
        <f>VLOOKUP(C212,Resources!$B$3:$G$44,6,FALSE)</f>
        <v>130</v>
      </c>
      <c r="J212" s="38">
        <f>(H212/G212)*I212*F212</f>
        <v>2888.8888888888887</v>
      </c>
      <c r="K212" s="12">
        <f t="shared" ref="K212:K213" si="291">IF(E212="M"," ",L212*F212)</f>
        <v>22.222222222222221</v>
      </c>
      <c r="L212" s="11">
        <f t="shared" ref="L212:L213" si="292">IF(E212="M"," ",H212/G212)</f>
        <v>22.222222222222221</v>
      </c>
      <c r="M212" s="11">
        <f t="shared" ref="M212:M213" si="293">IF($E212="L",$J212,0)</f>
        <v>0</v>
      </c>
      <c r="N212" s="11">
        <f t="shared" ref="N212:N213" si="294">IF($E212="M",$J212,0)</f>
        <v>0</v>
      </c>
      <c r="O212" s="11">
        <f t="shared" ref="O212:O213" si="295">IF($E212="P",$J212,0)</f>
        <v>2888.8888888888887</v>
      </c>
      <c r="P212" s="11">
        <f t="shared" ref="P212:P213" si="296">IF($E212="S",$J212,0)</f>
        <v>0</v>
      </c>
      <c r="Q212" s="11">
        <f t="shared" ref="Q212:Q213" si="297">SUM(M212:P212)</f>
        <v>2888.8888888888887</v>
      </c>
      <c r="R212" s="94">
        <v>51</v>
      </c>
    </row>
    <row r="213" spans="1:18" x14ac:dyDescent="0.2">
      <c r="A213" s="168" t="s">
        <v>230</v>
      </c>
      <c r="B213" s="31">
        <v>3</v>
      </c>
      <c r="C213" s="11" t="s">
        <v>68</v>
      </c>
      <c r="D213" s="11" t="s">
        <v>19</v>
      </c>
      <c r="E213" s="12" t="s">
        <v>190</v>
      </c>
      <c r="F213" s="11">
        <v>2</v>
      </c>
      <c r="G213" s="11">
        <f>G212</f>
        <v>90</v>
      </c>
      <c r="H213" s="11">
        <f>H210</f>
        <v>2000</v>
      </c>
      <c r="I213" s="11">
        <f>VLOOKUP(C213,Resources!$B$3:$G$44,6,FALSE)</f>
        <v>185</v>
      </c>
      <c r="J213" s="38">
        <f>(H213/G213)*I213*F213</f>
        <v>8222.2222222222226</v>
      </c>
      <c r="K213" s="12">
        <f t="shared" si="291"/>
        <v>44.444444444444443</v>
      </c>
      <c r="L213" s="11">
        <f t="shared" si="292"/>
        <v>22.222222222222221</v>
      </c>
      <c r="M213" s="11">
        <f t="shared" si="293"/>
        <v>0</v>
      </c>
      <c r="N213" s="11">
        <f t="shared" si="294"/>
        <v>0</v>
      </c>
      <c r="O213" s="11">
        <f t="shared" si="295"/>
        <v>8222.2222222222226</v>
      </c>
      <c r="P213" s="11">
        <f t="shared" si="296"/>
        <v>0</v>
      </c>
      <c r="Q213" s="11">
        <f t="shared" si="297"/>
        <v>8222.2222222222226</v>
      </c>
      <c r="R213" s="94">
        <v>51</v>
      </c>
    </row>
    <row r="214" spans="1:18" x14ac:dyDescent="0.2">
      <c r="A214" s="165" t="s">
        <v>230</v>
      </c>
      <c r="B214" s="30">
        <v>6</v>
      </c>
      <c r="C214" s="13" t="s">
        <v>74</v>
      </c>
    </row>
    <row r="215" spans="1:18" ht="22.5" x14ac:dyDescent="0.2">
      <c r="A215" s="165" t="s">
        <v>230</v>
      </c>
      <c r="B215" s="30">
        <v>8</v>
      </c>
      <c r="C215" s="13" t="s">
        <v>75</v>
      </c>
    </row>
    <row r="216" spans="1:18" ht="22.5" x14ac:dyDescent="0.2">
      <c r="A216" s="165" t="s">
        <v>230</v>
      </c>
      <c r="B216" s="30">
        <v>9</v>
      </c>
      <c r="C216" s="13" t="s">
        <v>76</v>
      </c>
    </row>
    <row r="217" spans="1:18" x14ac:dyDescent="0.2">
      <c r="A217" s="168" t="s">
        <v>230</v>
      </c>
      <c r="B217" s="31">
        <v>10</v>
      </c>
      <c r="C217" s="11" t="s">
        <v>23</v>
      </c>
      <c r="D217" s="11" t="s">
        <v>19</v>
      </c>
      <c r="E217" s="12" t="s">
        <v>190</v>
      </c>
      <c r="F217" s="11">
        <v>1</v>
      </c>
      <c r="G217" s="11">
        <f>G212</f>
        <v>90</v>
      </c>
      <c r="H217" s="11">
        <f>H210</f>
        <v>2000</v>
      </c>
      <c r="I217" s="11">
        <f>VLOOKUP(C217,Resources!$B$3:$G$44,6,FALSE)</f>
        <v>185</v>
      </c>
      <c r="J217" s="38">
        <f>(H217/G217)*I217*F217</f>
        <v>4111.1111111111113</v>
      </c>
      <c r="K217" s="12">
        <f t="shared" ref="K217:K220" si="298">IF(E217="M"," ",L217*F217)</f>
        <v>22.222222222222221</v>
      </c>
      <c r="L217" s="11">
        <f t="shared" ref="L217:L220" si="299">IF(E217="M"," ",H217/G217)</f>
        <v>22.222222222222221</v>
      </c>
      <c r="M217" s="11">
        <f t="shared" ref="M217:M220" si="300">IF($E217="L",$J217,0)</f>
        <v>0</v>
      </c>
      <c r="N217" s="11">
        <f t="shared" ref="N217:N220" si="301">IF($E217="M",$J217,0)</f>
        <v>0</v>
      </c>
      <c r="O217" s="11">
        <f t="shared" ref="O217:O220" si="302">IF($E217="P",$J217,0)</f>
        <v>4111.1111111111113</v>
      </c>
      <c r="P217" s="11">
        <f t="shared" ref="P217:P220" si="303">IF($E217="S",$J217,0)</f>
        <v>0</v>
      </c>
      <c r="Q217" s="11">
        <f t="shared" ref="Q217:Q220" si="304">SUM(M217:P217)</f>
        <v>4111.1111111111113</v>
      </c>
      <c r="R217" s="94">
        <v>51</v>
      </c>
    </row>
    <row r="218" spans="1:18" x14ac:dyDescent="0.2">
      <c r="A218" s="168" t="s">
        <v>230</v>
      </c>
      <c r="B218" s="31">
        <v>11</v>
      </c>
      <c r="C218" s="11" t="s">
        <v>52</v>
      </c>
      <c r="D218" s="11" t="s">
        <v>19</v>
      </c>
      <c r="E218" s="12" t="s">
        <v>190</v>
      </c>
      <c r="F218" s="11">
        <v>1</v>
      </c>
      <c r="G218" s="11">
        <f>G212</f>
        <v>90</v>
      </c>
      <c r="H218" s="11">
        <f>H210</f>
        <v>2000</v>
      </c>
      <c r="I218" s="11">
        <f>VLOOKUP(C218,Resources!$B$3:$G$44,6,FALSE)</f>
        <v>58</v>
      </c>
      <c r="J218" s="38">
        <f>(H218/G218)*I218*F218</f>
        <v>1288.8888888888889</v>
      </c>
      <c r="K218" s="12">
        <f t="shared" si="298"/>
        <v>22.222222222222221</v>
      </c>
      <c r="L218" s="11">
        <f t="shared" si="299"/>
        <v>22.222222222222221</v>
      </c>
      <c r="M218" s="11">
        <f t="shared" si="300"/>
        <v>0</v>
      </c>
      <c r="N218" s="11">
        <f t="shared" si="301"/>
        <v>0</v>
      </c>
      <c r="O218" s="11">
        <f t="shared" si="302"/>
        <v>1288.8888888888889</v>
      </c>
      <c r="P218" s="11">
        <f t="shared" si="303"/>
        <v>0</v>
      </c>
      <c r="Q218" s="11">
        <f t="shared" si="304"/>
        <v>1288.8888888888889</v>
      </c>
      <c r="R218" s="94">
        <v>51</v>
      </c>
    </row>
    <row r="219" spans="1:18" x14ac:dyDescent="0.2">
      <c r="A219" s="168" t="s">
        <v>230</v>
      </c>
      <c r="B219" s="31">
        <v>12</v>
      </c>
      <c r="C219" s="11" t="s">
        <v>53</v>
      </c>
      <c r="D219" s="11" t="s">
        <v>19</v>
      </c>
      <c r="E219" s="12" t="s">
        <v>190</v>
      </c>
      <c r="F219" s="11">
        <v>1</v>
      </c>
      <c r="G219" s="11">
        <f>G212</f>
        <v>90</v>
      </c>
      <c r="H219" s="11">
        <f>H210</f>
        <v>2000</v>
      </c>
      <c r="I219" s="11">
        <f>VLOOKUP(C219,Resources!$B$3:$G$44,6,FALSE)</f>
        <v>95</v>
      </c>
      <c r="J219" s="38">
        <f>(H219/G219)*I219*F219</f>
        <v>2111.1111111111109</v>
      </c>
      <c r="K219" s="12">
        <f t="shared" si="298"/>
        <v>22.222222222222221</v>
      </c>
      <c r="L219" s="11">
        <f t="shared" si="299"/>
        <v>22.222222222222221</v>
      </c>
      <c r="M219" s="11">
        <f t="shared" si="300"/>
        <v>0</v>
      </c>
      <c r="N219" s="11">
        <f t="shared" si="301"/>
        <v>0</v>
      </c>
      <c r="O219" s="11">
        <f t="shared" si="302"/>
        <v>2111.1111111111109</v>
      </c>
      <c r="P219" s="11">
        <f t="shared" si="303"/>
        <v>0</v>
      </c>
      <c r="Q219" s="11">
        <f t="shared" si="304"/>
        <v>2111.1111111111109</v>
      </c>
      <c r="R219" s="94">
        <v>51</v>
      </c>
    </row>
    <row r="220" spans="1:18" x14ac:dyDescent="0.2">
      <c r="A220" s="168" t="s">
        <v>230</v>
      </c>
      <c r="B220" s="31">
        <v>13</v>
      </c>
      <c r="C220" s="11" t="s">
        <v>5</v>
      </c>
      <c r="D220" s="11" t="s">
        <v>19</v>
      </c>
      <c r="E220" s="12" t="s">
        <v>188</v>
      </c>
      <c r="F220" s="11">
        <v>3</v>
      </c>
      <c r="G220" s="11">
        <f>G212</f>
        <v>90</v>
      </c>
      <c r="H220" s="11">
        <f>H210</f>
        <v>2000</v>
      </c>
      <c r="I220" s="11">
        <f>VLOOKUP(C220,Resources!$B$3:$G$44,6,FALSE)</f>
        <v>38</v>
      </c>
      <c r="J220" s="38">
        <f>(H220/G220)*I220*F220</f>
        <v>2533.3333333333335</v>
      </c>
      <c r="K220" s="12">
        <f t="shared" si="298"/>
        <v>66.666666666666657</v>
      </c>
      <c r="L220" s="11">
        <f t="shared" si="299"/>
        <v>22.222222222222221</v>
      </c>
      <c r="M220" s="11">
        <f t="shared" si="300"/>
        <v>2533.3333333333335</v>
      </c>
      <c r="N220" s="11">
        <f t="shared" si="301"/>
        <v>0</v>
      </c>
      <c r="O220" s="11">
        <f t="shared" si="302"/>
        <v>0</v>
      </c>
      <c r="P220" s="11">
        <f t="shared" si="303"/>
        <v>0</v>
      </c>
      <c r="Q220" s="11">
        <f t="shared" si="304"/>
        <v>2533.3333333333335</v>
      </c>
      <c r="R220" s="94">
        <v>51</v>
      </c>
    </row>
    <row r="221" spans="1:18" x14ac:dyDescent="0.2">
      <c r="A221" s="165" t="s">
        <v>230</v>
      </c>
      <c r="B221" s="30">
        <v>14</v>
      </c>
      <c r="C221" s="13" t="s">
        <v>77</v>
      </c>
    </row>
    <row r="222" spans="1:18" x14ac:dyDescent="0.2">
      <c r="A222" s="168" t="s">
        <v>230</v>
      </c>
      <c r="B222" s="31">
        <v>15</v>
      </c>
      <c r="C222" s="11" t="s">
        <v>50</v>
      </c>
      <c r="D222" s="11" t="s">
        <v>19</v>
      </c>
      <c r="E222" s="12" t="s">
        <v>190</v>
      </c>
      <c r="F222" s="11">
        <v>9</v>
      </c>
      <c r="G222" s="11">
        <v>1</v>
      </c>
      <c r="H222" s="11">
        <v>1</v>
      </c>
      <c r="I222" s="11">
        <f>VLOOKUP(C222,Resources!$B$3:$G$44,6,FALSE)</f>
        <v>135</v>
      </c>
      <c r="J222" s="38">
        <f>(H222/G222)*I222*F222</f>
        <v>1215</v>
      </c>
      <c r="K222" s="12">
        <f t="shared" ref="K222:K224" si="305">IF(E222="M"," ",L222*F222)</f>
        <v>9</v>
      </c>
      <c r="L222" s="11">
        <f t="shared" ref="L222:L224" si="306">IF(E222="M"," ",H222/G222)</f>
        <v>1</v>
      </c>
      <c r="M222" s="11">
        <f t="shared" ref="M222:M224" si="307">IF($E222="L",$J222,0)</f>
        <v>0</v>
      </c>
      <c r="N222" s="11">
        <f t="shared" ref="N222:N224" si="308">IF($E222="M",$J222,0)</f>
        <v>0</v>
      </c>
      <c r="O222" s="11">
        <f t="shared" ref="O222:O224" si="309">IF($E222="P",$J222,0)</f>
        <v>1215</v>
      </c>
      <c r="P222" s="11">
        <f t="shared" ref="P222:P224" si="310">IF($E222="S",$J222,0)</f>
        <v>0</v>
      </c>
      <c r="Q222" s="11">
        <f t="shared" ref="Q222:Q224" si="311">SUM(M222:P222)</f>
        <v>1215</v>
      </c>
      <c r="R222" s="94">
        <v>59</v>
      </c>
    </row>
    <row r="223" spans="1:18" x14ac:dyDescent="0.2">
      <c r="A223" s="168" t="s">
        <v>230</v>
      </c>
      <c r="B223" s="31">
        <v>16</v>
      </c>
      <c r="C223" s="11" t="s">
        <v>18</v>
      </c>
      <c r="D223" s="11" t="s">
        <v>19</v>
      </c>
      <c r="E223" s="12" t="s">
        <v>190</v>
      </c>
      <c r="F223" s="11">
        <v>2</v>
      </c>
      <c r="G223" s="11">
        <v>1</v>
      </c>
      <c r="H223" s="11">
        <v>1</v>
      </c>
      <c r="I223" s="11">
        <f>VLOOKUP(C223,Resources!$B$3:$G$44,6,FALSE)</f>
        <v>130</v>
      </c>
      <c r="J223" s="38">
        <f>(H223/G223)*I223*F223</f>
        <v>260</v>
      </c>
      <c r="K223" s="12">
        <f t="shared" si="305"/>
        <v>2</v>
      </c>
      <c r="L223" s="11">
        <f t="shared" si="306"/>
        <v>1</v>
      </c>
      <c r="M223" s="11">
        <f t="shared" si="307"/>
        <v>0</v>
      </c>
      <c r="N223" s="11">
        <f t="shared" si="308"/>
        <v>0</v>
      </c>
      <c r="O223" s="11">
        <f t="shared" si="309"/>
        <v>260</v>
      </c>
      <c r="P223" s="11">
        <f t="shared" si="310"/>
        <v>0</v>
      </c>
      <c r="Q223" s="11">
        <f t="shared" si="311"/>
        <v>260</v>
      </c>
      <c r="R223" s="94">
        <v>59</v>
      </c>
    </row>
    <row r="224" spans="1:18" x14ac:dyDescent="0.2">
      <c r="A224" s="168" t="s">
        <v>230</v>
      </c>
      <c r="B224" s="31">
        <v>17</v>
      </c>
      <c r="C224" s="11" t="s">
        <v>68</v>
      </c>
      <c r="D224" s="11" t="s">
        <v>19</v>
      </c>
      <c r="E224" s="12" t="s">
        <v>190</v>
      </c>
      <c r="F224" s="11">
        <v>4</v>
      </c>
      <c r="G224" s="11">
        <v>1</v>
      </c>
      <c r="H224" s="11">
        <v>1</v>
      </c>
      <c r="I224" s="11">
        <f>VLOOKUP(C224,Resources!$B$3:$G$44,6,FALSE)</f>
        <v>185</v>
      </c>
      <c r="J224" s="38">
        <f>(H224/G224)*I224*F224</f>
        <v>740</v>
      </c>
      <c r="K224" s="12">
        <f t="shared" si="305"/>
        <v>4</v>
      </c>
      <c r="L224" s="11">
        <f t="shared" si="306"/>
        <v>1</v>
      </c>
      <c r="M224" s="11">
        <f t="shared" si="307"/>
        <v>0</v>
      </c>
      <c r="N224" s="11">
        <f t="shared" si="308"/>
        <v>0</v>
      </c>
      <c r="O224" s="11">
        <f t="shared" si="309"/>
        <v>740</v>
      </c>
      <c r="P224" s="11">
        <f t="shared" si="310"/>
        <v>0</v>
      </c>
      <c r="Q224" s="11">
        <f t="shared" si="311"/>
        <v>740</v>
      </c>
      <c r="R224" s="94">
        <v>59</v>
      </c>
    </row>
    <row r="225" spans="1:20" ht="22.5" x14ac:dyDescent="0.2">
      <c r="A225" s="165" t="s">
        <v>230</v>
      </c>
      <c r="B225" s="30">
        <v>20</v>
      </c>
      <c r="C225" s="13" t="s">
        <v>78</v>
      </c>
    </row>
    <row r="226" spans="1:20" x14ac:dyDescent="0.2">
      <c r="A226" s="165">
        <v>20.2</v>
      </c>
      <c r="B226" s="30">
        <v>21</v>
      </c>
      <c r="C226" s="9" t="s">
        <v>206</v>
      </c>
      <c r="H226" s="45">
        <f>VLOOKUP($A226,'Model Inputs'!$A:$C,3,FALSE)</f>
        <v>250</v>
      </c>
    </row>
    <row r="227" spans="1:20" x14ac:dyDescent="0.2">
      <c r="A227" s="168" t="s">
        <v>230</v>
      </c>
      <c r="B227" s="31">
        <v>22</v>
      </c>
      <c r="C227" s="11" t="s">
        <v>18</v>
      </c>
      <c r="D227" s="11" t="s">
        <v>19</v>
      </c>
      <c r="E227" s="12" t="s">
        <v>190</v>
      </c>
      <c r="F227" s="11">
        <v>1</v>
      </c>
      <c r="G227" s="11">
        <v>50</v>
      </c>
      <c r="H227" s="11">
        <f>H226</f>
        <v>250</v>
      </c>
      <c r="I227" s="11">
        <f>VLOOKUP(C227,Resources!$B$3:$G$44,6,FALSE)</f>
        <v>130</v>
      </c>
      <c r="J227" s="38">
        <f>(H227/G227)*I227*F227</f>
        <v>650</v>
      </c>
      <c r="K227" s="12">
        <f t="shared" ref="K227" si="312">IF(E227="M"," ",L227*F227)</f>
        <v>5</v>
      </c>
      <c r="L227" s="11">
        <f t="shared" ref="L227" si="313">IF(E227="M"," ",H227/G227)</f>
        <v>5</v>
      </c>
      <c r="M227" s="11">
        <f t="shared" ref="M227" si="314">IF($E227="L",$J227,0)</f>
        <v>0</v>
      </c>
      <c r="N227" s="11">
        <f t="shared" ref="N227" si="315">IF($E227="M",$J227,0)</f>
        <v>0</v>
      </c>
      <c r="O227" s="11">
        <f t="shared" ref="O227" si="316">IF($E227="P",$J227,0)</f>
        <v>650</v>
      </c>
      <c r="P227" s="11">
        <f t="shared" ref="P227" si="317">IF($E227="S",$J227,0)</f>
        <v>0</v>
      </c>
      <c r="Q227" s="11">
        <f t="shared" ref="Q227" si="318">SUM(M227:P227)</f>
        <v>650</v>
      </c>
      <c r="R227" s="94">
        <v>222</v>
      </c>
    </row>
    <row r="228" spans="1:20" ht="12.75" x14ac:dyDescent="0.2">
      <c r="A228" s="165">
        <v>20.3</v>
      </c>
      <c r="B228" s="30">
        <v>23</v>
      </c>
      <c r="C228" s="9" t="s">
        <v>207</v>
      </c>
      <c r="H228" s="45">
        <f>VLOOKUP($A228,'Model Inputs'!$A:$C,3,FALSE)</f>
        <v>120</v>
      </c>
    </row>
    <row r="229" spans="1:20" x14ac:dyDescent="0.2">
      <c r="A229" s="168">
        <v>20.399999999999999</v>
      </c>
      <c r="B229" s="31">
        <v>24</v>
      </c>
      <c r="C229" s="11" t="s">
        <v>29</v>
      </c>
      <c r="D229" s="11" t="s">
        <v>19</v>
      </c>
      <c r="E229" s="12" t="s">
        <v>190</v>
      </c>
      <c r="F229" s="11">
        <v>1</v>
      </c>
      <c r="G229" s="45">
        <f>VLOOKUP($A229,'Model Inputs'!$A:$C,3,FALSE)</f>
        <v>10</v>
      </c>
      <c r="H229" s="11">
        <f>H228</f>
        <v>120</v>
      </c>
      <c r="I229" s="11">
        <f>VLOOKUP(C229,Resources!$B$3:$G$44,6,FALSE)</f>
        <v>46.5</v>
      </c>
      <c r="J229" s="38">
        <f>(H229/G229)*I229*F229</f>
        <v>558</v>
      </c>
      <c r="K229" s="12">
        <f t="shared" ref="K229:K232" si="319">IF(E229="M"," ",L229*F229)</f>
        <v>12</v>
      </c>
      <c r="L229" s="11">
        <f t="shared" ref="L229:L232" si="320">IF(E229="M"," ",H229/G229)</f>
        <v>12</v>
      </c>
      <c r="M229" s="11">
        <f t="shared" ref="M229:M232" si="321">IF($E229="L",$J229,0)</f>
        <v>0</v>
      </c>
      <c r="N229" s="11">
        <f t="shared" ref="N229:N232" si="322">IF($E229="M",$J229,0)</f>
        <v>0</v>
      </c>
      <c r="O229" s="11">
        <f t="shared" ref="O229:O232" si="323">IF($E229="P",$J229,0)</f>
        <v>558</v>
      </c>
      <c r="P229" s="11">
        <f t="shared" ref="P229:P232" si="324">IF($E229="S",$J229,0)</f>
        <v>0</v>
      </c>
      <c r="Q229" s="11">
        <f t="shared" ref="Q229:Q232" si="325">SUM(M229:P229)</f>
        <v>558</v>
      </c>
      <c r="R229" s="94">
        <v>222</v>
      </c>
    </row>
    <row r="230" spans="1:20" x14ac:dyDescent="0.2">
      <c r="A230" s="168" t="s">
        <v>230</v>
      </c>
      <c r="B230" s="31">
        <v>25</v>
      </c>
      <c r="C230" s="11" t="s">
        <v>5</v>
      </c>
      <c r="D230" s="11" t="s">
        <v>19</v>
      </c>
      <c r="E230" s="12" t="s">
        <v>188</v>
      </c>
      <c r="F230" s="11">
        <v>3</v>
      </c>
      <c r="G230" s="11">
        <f>G229</f>
        <v>10</v>
      </c>
      <c r="H230" s="11">
        <f>H229</f>
        <v>120</v>
      </c>
      <c r="I230" s="11">
        <f>VLOOKUP(C230,Resources!$B$3:$G$44,6,FALSE)</f>
        <v>38</v>
      </c>
      <c r="J230" s="38">
        <f>(H230/G230)*I230*F230</f>
        <v>1368</v>
      </c>
      <c r="K230" s="12">
        <f t="shared" si="319"/>
        <v>36</v>
      </c>
      <c r="L230" s="11">
        <f t="shared" si="320"/>
        <v>12</v>
      </c>
      <c r="M230" s="11">
        <f t="shared" si="321"/>
        <v>1368</v>
      </c>
      <c r="N230" s="11">
        <f t="shared" si="322"/>
        <v>0</v>
      </c>
      <c r="O230" s="11">
        <f t="shared" si="323"/>
        <v>0</v>
      </c>
      <c r="P230" s="11">
        <f t="shared" si="324"/>
        <v>0</v>
      </c>
      <c r="Q230" s="11">
        <f t="shared" si="325"/>
        <v>1368</v>
      </c>
      <c r="R230" s="94">
        <v>222</v>
      </c>
    </row>
    <row r="231" spans="1:20" x14ac:dyDescent="0.2">
      <c r="A231" s="168" t="s">
        <v>230</v>
      </c>
      <c r="B231" s="31">
        <v>26</v>
      </c>
      <c r="C231" s="11" t="s">
        <v>196</v>
      </c>
      <c r="D231" s="11" t="s">
        <v>19</v>
      </c>
      <c r="E231" s="12" t="s">
        <v>190</v>
      </c>
      <c r="F231" s="11">
        <v>1</v>
      </c>
      <c r="G231" s="11">
        <f>G229</f>
        <v>10</v>
      </c>
      <c r="H231" s="11">
        <f t="shared" ref="H231:H232" si="326">H230</f>
        <v>120</v>
      </c>
      <c r="I231" s="11">
        <f>VLOOKUP(C231,Resources!$B$3:$G$44,6,FALSE)</f>
        <v>15</v>
      </c>
      <c r="J231" s="38">
        <f>(H231/G231)*I231*F231</f>
        <v>180</v>
      </c>
      <c r="K231" s="12">
        <f t="shared" si="319"/>
        <v>12</v>
      </c>
      <c r="L231" s="11">
        <f t="shared" si="320"/>
        <v>12</v>
      </c>
      <c r="M231" s="11">
        <f t="shared" si="321"/>
        <v>0</v>
      </c>
      <c r="N231" s="11">
        <f t="shared" si="322"/>
        <v>0</v>
      </c>
      <c r="O231" s="11">
        <f t="shared" si="323"/>
        <v>180</v>
      </c>
      <c r="P231" s="11">
        <f t="shared" si="324"/>
        <v>0</v>
      </c>
      <c r="Q231" s="11">
        <f t="shared" si="325"/>
        <v>180</v>
      </c>
      <c r="R231" s="94">
        <v>222</v>
      </c>
    </row>
    <row r="232" spans="1:20" x14ac:dyDescent="0.2">
      <c r="A232" s="168" t="s">
        <v>230</v>
      </c>
      <c r="B232" s="31">
        <v>27</v>
      </c>
      <c r="C232" s="11" t="s">
        <v>53</v>
      </c>
      <c r="D232" s="11" t="s">
        <v>19</v>
      </c>
      <c r="E232" s="12" t="s">
        <v>190</v>
      </c>
      <c r="F232" s="11">
        <v>1</v>
      </c>
      <c r="G232" s="11">
        <f>G229</f>
        <v>10</v>
      </c>
      <c r="H232" s="11">
        <f t="shared" si="326"/>
        <v>120</v>
      </c>
      <c r="I232" s="11">
        <f>VLOOKUP(C232,Resources!$B$3:$G$44,6,FALSE)</f>
        <v>95</v>
      </c>
      <c r="J232" s="38">
        <f>(H232/G232)*I232*F232</f>
        <v>1140</v>
      </c>
      <c r="K232" s="12">
        <f t="shared" si="319"/>
        <v>12</v>
      </c>
      <c r="L232" s="11">
        <f t="shared" si="320"/>
        <v>12</v>
      </c>
      <c r="M232" s="11">
        <f t="shared" si="321"/>
        <v>0</v>
      </c>
      <c r="N232" s="11">
        <f t="shared" si="322"/>
        <v>0</v>
      </c>
      <c r="O232" s="11">
        <f t="shared" si="323"/>
        <v>1140</v>
      </c>
      <c r="P232" s="11">
        <f t="shared" si="324"/>
        <v>0</v>
      </c>
      <c r="Q232" s="11">
        <f t="shared" si="325"/>
        <v>1140</v>
      </c>
      <c r="R232" s="94">
        <v>222</v>
      </c>
    </row>
    <row r="233" spans="1:20" x14ac:dyDescent="0.2">
      <c r="A233" s="165" t="s">
        <v>230</v>
      </c>
    </row>
    <row r="234" spans="1:20" ht="22.5" x14ac:dyDescent="0.2">
      <c r="A234" s="167">
        <v>21</v>
      </c>
      <c r="B234" s="29" t="s">
        <v>97</v>
      </c>
      <c r="C234" s="6" t="s">
        <v>98</v>
      </c>
      <c r="D234" s="7" t="s">
        <v>31</v>
      </c>
      <c r="E234" s="8"/>
      <c r="F234" s="7"/>
      <c r="G234" s="7"/>
      <c r="H234" s="45">
        <f>VLOOKUP($A234,'Model Inputs'!$A:$C,3,FALSE)</f>
        <v>300</v>
      </c>
      <c r="I234" s="7"/>
      <c r="J234" s="7">
        <f t="shared" ref="J234" si="327">SUBTOTAL(9,J235)</f>
        <v>2970</v>
      </c>
      <c r="K234" s="7"/>
      <c r="L234" s="7">
        <f>ROUNDUP(MAX(L235)/work,0)</f>
        <v>5</v>
      </c>
      <c r="M234" s="7">
        <f>SUBTOTAL(9,M235)</f>
        <v>0</v>
      </c>
      <c r="N234" s="7">
        <f t="shared" ref="N234:Q234" si="328">SUBTOTAL(9,N235)</f>
        <v>0</v>
      </c>
      <c r="O234" s="7">
        <f t="shared" si="328"/>
        <v>0</v>
      </c>
      <c r="P234" s="7">
        <f t="shared" si="328"/>
        <v>2970</v>
      </c>
      <c r="Q234" s="7">
        <f t="shared" si="328"/>
        <v>2970</v>
      </c>
      <c r="R234" s="93"/>
    </row>
    <row r="235" spans="1:20" x14ac:dyDescent="0.2">
      <c r="A235" s="168" t="s">
        <v>230</v>
      </c>
      <c r="B235" s="31">
        <v>1</v>
      </c>
      <c r="C235" s="11" t="s">
        <v>99</v>
      </c>
      <c r="D235" s="11" t="s">
        <v>31</v>
      </c>
      <c r="E235" s="12" t="s">
        <v>191</v>
      </c>
      <c r="F235" s="11">
        <v>1</v>
      </c>
      <c r="G235" s="11">
        <f>60/9</f>
        <v>6.666666666666667</v>
      </c>
      <c r="H235" s="11">
        <f>H234</f>
        <v>300</v>
      </c>
      <c r="I235" s="11">
        <f>VLOOKUP(C235,Resources!$B$3:$G$44,6,FALSE)</f>
        <v>66</v>
      </c>
      <c r="J235" s="38">
        <f>(H235/G235)*I235*F235</f>
        <v>2970</v>
      </c>
      <c r="K235" s="12">
        <f t="shared" ref="K235" si="329">IF(E235="M"," ",L235*F235)</f>
        <v>45</v>
      </c>
      <c r="L235" s="11">
        <f t="shared" ref="L235" si="330">IF(E235="M"," ",H235/G235)</f>
        <v>45</v>
      </c>
      <c r="M235" s="11">
        <f t="shared" ref="M235" si="331">IF($E235="L",$J235,0)</f>
        <v>0</v>
      </c>
      <c r="N235" s="11">
        <f t="shared" ref="N235" si="332">IF($E235="M",$J235,0)</f>
        <v>0</v>
      </c>
      <c r="O235" s="11">
        <f t="shared" ref="O235" si="333">IF($E235="P",$J235,0)</f>
        <v>0</v>
      </c>
      <c r="P235" s="11">
        <f t="shared" ref="P235" si="334">IF($E235="S",$J235,0)</f>
        <v>2970</v>
      </c>
      <c r="Q235" s="11">
        <f t="shared" ref="Q235" si="335">SUM(M235:P235)</f>
        <v>2970</v>
      </c>
      <c r="R235" s="94">
        <v>131</v>
      </c>
    </row>
    <row r="236" spans="1:20" x14ac:dyDescent="0.2">
      <c r="A236" s="165" t="s">
        <v>230</v>
      </c>
    </row>
    <row r="237" spans="1:20" s="36" customFormat="1" x14ac:dyDescent="0.2">
      <c r="A237" s="169">
        <v>22</v>
      </c>
      <c r="B237" s="32"/>
      <c r="C237" s="2" t="s">
        <v>208</v>
      </c>
      <c r="D237" s="34"/>
      <c r="E237" s="35"/>
      <c r="F237" s="34"/>
      <c r="G237" s="34"/>
      <c r="H237" s="34"/>
      <c r="I237" s="34"/>
      <c r="J237" s="39"/>
      <c r="K237" s="35"/>
      <c r="L237" s="34"/>
      <c r="M237" s="34"/>
      <c r="N237" s="34"/>
      <c r="O237" s="34"/>
      <c r="P237" s="34"/>
      <c r="Q237" s="34"/>
      <c r="R237" s="95"/>
      <c r="S237" s="5"/>
      <c r="T237" s="5"/>
    </row>
    <row r="238" spans="1:20" ht="22.5" x14ac:dyDescent="0.2">
      <c r="A238" s="167">
        <v>23</v>
      </c>
      <c r="B238" s="29" t="s">
        <v>100</v>
      </c>
      <c r="C238" s="6" t="s">
        <v>101</v>
      </c>
      <c r="D238" s="7" t="s">
        <v>45</v>
      </c>
      <c r="E238" s="8"/>
      <c r="F238" s="7"/>
      <c r="G238" s="7"/>
      <c r="H238" s="45">
        <f>VLOOKUP($A238,'Model Inputs'!$A:$C,3,FALSE)</f>
        <v>2800</v>
      </c>
      <c r="I238" s="7"/>
      <c r="J238" s="7">
        <f t="shared" ref="J238" si="336">SUBTOTAL(9,J241:J251)</f>
        <v>9366</v>
      </c>
      <c r="K238" s="7"/>
      <c r="L238" s="7">
        <f>ROUNDUP(MAX(L241:L251)/work,0)</f>
        <v>2</v>
      </c>
      <c r="M238" s="7">
        <f>SUBTOTAL(9,M241:M251)</f>
        <v>1241.3333333333335</v>
      </c>
      <c r="N238" s="7">
        <f t="shared" ref="N238:Q238" si="337">SUBTOTAL(9,N241:N251)</f>
        <v>0</v>
      </c>
      <c r="O238" s="7">
        <f t="shared" si="337"/>
        <v>8124.666666666667</v>
      </c>
      <c r="P238" s="7">
        <f t="shared" si="337"/>
        <v>0</v>
      </c>
      <c r="Q238" s="7">
        <f t="shared" si="337"/>
        <v>9366</v>
      </c>
      <c r="R238" s="93"/>
      <c r="S238" s="36"/>
    </row>
    <row r="239" spans="1:20" x14ac:dyDescent="0.2">
      <c r="A239" s="165" t="s">
        <v>230</v>
      </c>
      <c r="B239" s="30">
        <v>1</v>
      </c>
      <c r="C239" s="13" t="s">
        <v>46</v>
      </c>
    </row>
    <row r="240" spans="1:20" ht="33.75" x14ac:dyDescent="0.2">
      <c r="A240" s="165" t="s">
        <v>230</v>
      </c>
      <c r="B240" s="30">
        <v>2</v>
      </c>
      <c r="C240" s="13" t="s">
        <v>47</v>
      </c>
    </row>
    <row r="241" spans="1:20" x14ac:dyDescent="0.2">
      <c r="A241" s="168" t="s">
        <v>230</v>
      </c>
      <c r="B241" s="31">
        <v>3</v>
      </c>
      <c r="C241" s="11" t="s">
        <v>23</v>
      </c>
      <c r="D241" s="11" t="s">
        <v>19</v>
      </c>
      <c r="E241" s="12" t="s">
        <v>190</v>
      </c>
      <c r="F241" s="11">
        <v>1</v>
      </c>
      <c r="G241" s="11">
        <v>150</v>
      </c>
      <c r="H241" s="11">
        <v>420</v>
      </c>
      <c r="I241" s="11">
        <f>VLOOKUP(C241,Resources!$B$3:$G$44,6,FALSE)</f>
        <v>185</v>
      </c>
      <c r="J241" s="38">
        <f>(H241/G241)*I241*F241</f>
        <v>518</v>
      </c>
      <c r="K241" s="12">
        <f t="shared" ref="K241:K243" si="338">IF(E241="M"," ",L241*F241)</f>
        <v>2.8</v>
      </c>
      <c r="L241" s="11">
        <f t="shared" ref="L241:L243" si="339">IF(E241="M"," ",H241/G241)</f>
        <v>2.8</v>
      </c>
      <c r="M241" s="11">
        <f t="shared" ref="M241:M243" si="340">IF($E241="L",$J241,0)</f>
        <v>0</v>
      </c>
      <c r="N241" s="11">
        <f t="shared" ref="N241:N243" si="341">IF($E241="M",$J241,0)</f>
        <v>0</v>
      </c>
      <c r="O241" s="11">
        <f t="shared" ref="O241:O243" si="342">IF($E241="P",$J241,0)</f>
        <v>518</v>
      </c>
      <c r="P241" s="11">
        <f t="shared" ref="P241:P243" si="343">IF($E241="S",$J241,0)</f>
        <v>0</v>
      </c>
      <c r="Q241" s="11">
        <f t="shared" ref="Q241:Q243" si="344">SUM(M241:P241)</f>
        <v>518</v>
      </c>
      <c r="R241" s="94">
        <v>31</v>
      </c>
    </row>
    <row r="242" spans="1:20" x14ac:dyDescent="0.2">
      <c r="A242" s="168">
        <v>23.1</v>
      </c>
      <c r="B242" s="31">
        <v>4</v>
      </c>
      <c r="C242" s="11" t="s">
        <v>18</v>
      </c>
      <c r="D242" s="11" t="s">
        <v>19</v>
      </c>
      <c r="E242" s="12" t="s">
        <v>190</v>
      </c>
      <c r="F242" s="11">
        <v>1</v>
      </c>
      <c r="G242" s="45">
        <f>VLOOKUP($A242,'Model Inputs'!$A:$C,3,FALSE)</f>
        <v>90</v>
      </c>
      <c r="H242" s="11">
        <v>420</v>
      </c>
      <c r="I242" s="11">
        <f>VLOOKUP(C242,Resources!$B$3:$G$44,6,FALSE)</f>
        <v>130</v>
      </c>
      <c r="J242" s="38">
        <f>(H242/G242)*I242*F242</f>
        <v>606.66666666666674</v>
      </c>
      <c r="K242" s="12">
        <f t="shared" si="338"/>
        <v>4.666666666666667</v>
      </c>
      <c r="L242" s="11">
        <f t="shared" si="339"/>
        <v>4.666666666666667</v>
      </c>
      <c r="M242" s="11">
        <f t="shared" si="340"/>
        <v>0</v>
      </c>
      <c r="N242" s="11">
        <f t="shared" si="341"/>
        <v>0</v>
      </c>
      <c r="O242" s="11">
        <f t="shared" si="342"/>
        <v>606.66666666666674</v>
      </c>
      <c r="P242" s="11">
        <f t="shared" si="343"/>
        <v>0</v>
      </c>
      <c r="Q242" s="11">
        <f t="shared" si="344"/>
        <v>606.66666666666674</v>
      </c>
      <c r="R242" s="94">
        <v>31</v>
      </c>
    </row>
    <row r="243" spans="1:20" x14ac:dyDescent="0.2">
      <c r="A243" s="168" t="s">
        <v>230</v>
      </c>
      <c r="B243" s="31">
        <v>5</v>
      </c>
      <c r="C243" s="11" t="s">
        <v>5</v>
      </c>
      <c r="D243" s="11" t="s">
        <v>19</v>
      </c>
      <c r="E243" s="12" t="s">
        <v>188</v>
      </c>
      <c r="F243" s="11">
        <v>1</v>
      </c>
      <c r="G243" s="11">
        <f>G242</f>
        <v>90</v>
      </c>
      <c r="H243" s="11">
        <v>420</v>
      </c>
      <c r="I243" s="11">
        <f>VLOOKUP(C243,Resources!$B$3:$G$44,6,FALSE)</f>
        <v>38</v>
      </c>
      <c r="J243" s="38">
        <f>(H243/G243)*I243*F243</f>
        <v>177.33333333333334</v>
      </c>
      <c r="K243" s="12">
        <f t="shared" si="338"/>
        <v>4.666666666666667</v>
      </c>
      <c r="L243" s="11">
        <f t="shared" si="339"/>
        <v>4.666666666666667</v>
      </c>
      <c r="M243" s="11">
        <f t="shared" si="340"/>
        <v>177.33333333333334</v>
      </c>
      <c r="N243" s="11">
        <f t="shared" si="341"/>
        <v>0</v>
      </c>
      <c r="O243" s="11">
        <f t="shared" si="342"/>
        <v>0</v>
      </c>
      <c r="P243" s="11">
        <f t="shared" si="343"/>
        <v>0</v>
      </c>
      <c r="Q243" s="11">
        <f t="shared" si="344"/>
        <v>177.33333333333334</v>
      </c>
      <c r="R243" s="94">
        <v>31</v>
      </c>
    </row>
    <row r="244" spans="1:20" x14ac:dyDescent="0.2">
      <c r="A244" s="165" t="s">
        <v>230</v>
      </c>
      <c r="B244" s="30">
        <v>8</v>
      </c>
      <c r="C244" s="13" t="s">
        <v>48</v>
      </c>
    </row>
    <row r="245" spans="1:20" x14ac:dyDescent="0.2">
      <c r="A245" s="165" t="s">
        <v>230</v>
      </c>
      <c r="B245" s="30">
        <v>9</v>
      </c>
      <c r="C245" s="13" t="s">
        <v>49</v>
      </c>
    </row>
    <row r="246" spans="1:20" x14ac:dyDescent="0.2">
      <c r="A246" s="168">
        <v>23.2</v>
      </c>
      <c r="B246" s="31">
        <v>10</v>
      </c>
      <c r="C246" s="11" t="s">
        <v>50</v>
      </c>
      <c r="D246" s="11" t="s">
        <v>19</v>
      </c>
      <c r="E246" s="12" t="s">
        <v>190</v>
      </c>
      <c r="F246" s="11">
        <v>1</v>
      </c>
      <c r="G246" s="45">
        <f>VLOOKUP($A246,'Model Inputs'!$A:$C,3,FALSE)</f>
        <v>200</v>
      </c>
      <c r="H246" s="11">
        <v>2800</v>
      </c>
      <c r="I246" s="11">
        <f>VLOOKUP(C246,Resources!$B$3:$G$44,6,FALSE)</f>
        <v>135</v>
      </c>
      <c r="J246" s="38">
        <f>(H246/G246)*I246*F246</f>
        <v>1890</v>
      </c>
      <c r="K246" s="12">
        <f t="shared" ref="K246:K247" si="345">IF(E246="M"," ",L246*F246)</f>
        <v>14</v>
      </c>
      <c r="L246" s="11">
        <f t="shared" ref="L246:L247" si="346">IF(E246="M"," ",H246/G246)</f>
        <v>14</v>
      </c>
      <c r="M246" s="11">
        <f t="shared" ref="M246:M247" si="347">IF($E246="L",$J246,0)</f>
        <v>0</v>
      </c>
      <c r="N246" s="11">
        <f t="shared" ref="N246:N247" si="348">IF($E246="M",$J246,0)</f>
        <v>0</v>
      </c>
      <c r="O246" s="11">
        <f t="shared" ref="O246:O247" si="349">IF($E246="P",$J246,0)</f>
        <v>1890</v>
      </c>
      <c r="P246" s="11">
        <f t="shared" ref="P246:P247" si="350">IF($E246="S",$J246,0)</f>
        <v>0</v>
      </c>
      <c r="Q246" s="11">
        <f t="shared" ref="Q246:Q247" si="351">SUM(M246:P246)</f>
        <v>1890</v>
      </c>
      <c r="R246" s="94">
        <v>59</v>
      </c>
      <c r="T246" s="36"/>
    </row>
    <row r="247" spans="1:20" x14ac:dyDescent="0.2">
      <c r="A247" s="168" t="s">
        <v>230</v>
      </c>
      <c r="B247" s="31">
        <v>11</v>
      </c>
      <c r="C247" s="11" t="s">
        <v>5</v>
      </c>
      <c r="D247" s="11" t="s">
        <v>19</v>
      </c>
      <c r="E247" s="12" t="s">
        <v>188</v>
      </c>
      <c r="F247" s="11">
        <v>1</v>
      </c>
      <c r="G247" s="11">
        <f>G246</f>
        <v>200</v>
      </c>
      <c r="H247" s="11">
        <v>2800</v>
      </c>
      <c r="I247" s="11">
        <f>VLOOKUP(C247,Resources!$B$3:$G$44,6,FALSE)</f>
        <v>38</v>
      </c>
      <c r="J247" s="38">
        <f>(H247/G247)*I247*F247</f>
        <v>532</v>
      </c>
      <c r="K247" s="12">
        <f t="shared" si="345"/>
        <v>14</v>
      </c>
      <c r="L247" s="11">
        <f t="shared" si="346"/>
        <v>14</v>
      </c>
      <c r="M247" s="11">
        <f t="shared" si="347"/>
        <v>532</v>
      </c>
      <c r="N247" s="11">
        <f t="shared" si="348"/>
        <v>0</v>
      </c>
      <c r="O247" s="11">
        <f t="shared" si="349"/>
        <v>0</v>
      </c>
      <c r="P247" s="11">
        <f t="shared" si="350"/>
        <v>0</v>
      </c>
      <c r="Q247" s="11">
        <f t="shared" si="351"/>
        <v>532</v>
      </c>
      <c r="R247" s="94">
        <v>59</v>
      </c>
    </row>
    <row r="248" spans="1:20" x14ac:dyDescent="0.2">
      <c r="A248" s="165" t="s">
        <v>230</v>
      </c>
      <c r="B248" s="30">
        <v>15</v>
      </c>
      <c r="C248" s="13" t="s">
        <v>54</v>
      </c>
    </row>
    <row r="249" spans="1:20" ht="22.5" x14ac:dyDescent="0.2">
      <c r="A249" s="165" t="s">
        <v>230</v>
      </c>
      <c r="B249" s="30">
        <v>16</v>
      </c>
      <c r="C249" s="13" t="s">
        <v>55</v>
      </c>
    </row>
    <row r="250" spans="1:20" x14ac:dyDescent="0.2">
      <c r="A250" s="168" t="s">
        <v>230</v>
      </c>
      <c r="B250" s="31">
        <v>17</v>
      </c>
      <c r="C250" s="11" t="s">
        <v>56</v>
      </c>
      <c r="D250" s="11" t="s">
        <v>57</v>
      </c>
      <c r="E250" s="12" t="s">
        <v>190</v>
      </c>
      <c r="F250" s="11">
        <v>1</v>
      </c>
      <c r="G250" s="11">
        <f>G246</f>
        <v>200</v>
      </c>
      <c r="H250" s="11">
        <v>2800</v>
      </c>
      <c r="I250" s="11">
        <f>VLOOKUP(C250,Resources!$B$3:$G$44,6,FALSE)</f>
        <v>365</v>
      </c>
      <c r="J250" s="38">
        <f>(H250/G250)*I250*F250</f>
        <v>5110</v>
      </c>
      <c r="K250" s="12">
        <f t="shared" ref="K250:K251" si="352">IF(E250="M"," ",L250*F250)</f>
        <v>14</v>
      </c>
      <c r="L250" s="11">
        <f t="shared" ref="L250:L251" si="353">IF(E250="M"," ",H250/G250)</f>
        <v>14</v>
      </c>
      <c r="M250" s="11">
        <f t="shared" ref="M250:M251" si="354">IF($E250="L",$J250,0)</f>
        <v>0</v>
      </c>
      <c r="N250" s="11">
        <f t="shared" ref="N250:N251" si="355">IF($E250="M",$J250,0)</f>
        <v>0</v>
      </c>
      <c r="O250" s="11">
        <f t="shared" ref="O250:O251" si="356">IF($E250="P",$J250,0)</f>
        <v>5110</v>
      </c>
      <c r="P250" s="11">
        <f t="shared" ref="P250:P251" si="357">IF($E250="S",$J250,0)</f>
        <v>0</v>
      </c>
      <c r="Q250" s="11">
        <f t="shared" ref="Q250:Q251" si="358">SUM(M250:P250)</f>
        <v>5110</v>
      </c>
      <c r="R250" s="94">
        <v>59</v>
      </c>
    </row>
    <row r="251" spans="1:20" x14ac:dyDescent="0.2">
      <c r="A251" s="168" t="s">
        <v>230</v>
      </c>
      <c r="B251" s="31">
        <v>18</v>
      </c>
      <c r="C251" s="11" t="s">
        <v>5</v>
      </c>
      <c r="D251" s="11" t="s">
        <v>19</v>
      </c>
      <c r="E251" s="12" t="s">
        <v>188</v>
      </c>
      <c r="F251" s="11">
        <v>1</v>
      </c>
      <c r="G251" s="11">
        <f>G246</f>
        <v>200</v>
      </c>
      <c r="H251" s="11">
        <v>2800</v>
      </c>
      <c r="I251" s="11">
        <f>VLOOKUP(C251,Resources!$B$3:$G$44,6,FALSE)</f>
        <v>38</v>
      </c>
      <c r="J251" s="38">
        <f>(H251/G251)*I251*F251</f>
        <v>532</v>
      </c>
      <c r="K251" s="12">
        <f t="shared" si="352"/>
        <v>14</v>
      </c>
      <c r="L251" s="11">
        <f t="shared" si="353"/>
        <v>14</v>
      </c>
      <c r="M251" s="11">
        <f t="shared" si="354"/>
        <v>532</v>
      </c>
      <c r="N251" s="11">
        <f t="shared" si="355"/>
        <v>0</v>
      </c>
      <c r="O251" s="11">
        <f t="shared" si="356"/>
        <v>0</v>
      </c>
      <c r="P251" s="11">
        <f t="shared" si="357"/>
        <v>0</v>
      </c>
      <c r="Q251" s="11">
        <f t="shared" si="358"/>
        <v>532</v>
      </c>
      <c r="R251" s="94">
        <v>59</v>
      </c>
    </row>
    <row r="252" spans="1:20" x14ac:dyDescent="0.2">
      <c r="A252" s="165" t="s">
        <v>230</v>
      </c>
    </row>
    <row r="253" spans="1:20" ht="22.5" x14ac:dyDescent="0.2">
      <c r="A253" s="167">
        <v>24</v>
      </c>
      <c r="B253" s="29" t="s">
        <v>102</v>
      </c>
      <c r="C253" s="6" t="s">
        <v>103</v>
      </c>
      <c r="D253" s="7" t="s">
        <v>66</v>
      </c>
      <c r="E253" s="8"/>
      <c r="F253" s="7"/>
      <c r="G253" s="7"/>
      <c r="H253" s="45">
        <f>VLOOKUP($A253,'Model Inputs'!$A:$C,3,FALSE)</f>
        <v>1500</v>
      </c>
      <c r="I253" s="7"/>
      <c r="J253" s="7">
        <f t="shared" ref="J253" si="359">SUBTOTAL(9,J255:J267)</f>
        <v>18081.666666666668</v>
      </c>
      <c r="K253" s="7"/>
      <c r="L253" s="7">
        <f>ROUNDUP(MAX(L255:L267)/work,0)</f>
        <v>2</v>
      </c>
      <c r="M253" s="7">
        <f>SUBTOTAL(9,M255:M267)</f>
        <v>1900</v>
      </c>
      <c r="N253" s="7">
        <f t="shared" ref="N253:Q253" si="360">SUBTOTAL(9,N255:N267)</f>
        <v>0</v>
      </c>
      <c r="O253" s="7">
        <f t="shared" si="360"/>
        <v>16181.666666666668</v>
      </c>
      <c r="P253" s="7">
        <f t="shared" si="360"/>
        <v>0</v>
      </c>
      <c r="Q253" s="7">
        <f t="shared" si="360"/>
        <v>18081.666666666668</v>
      </c>
      <c r="R253" s="93"/>
    </row>
    <row r="254" spans="1:20" x14ac:dyDescent="0.2">
      <c r="A254" s="165" t="s">
        <v>230</v>
      </c>
      <c r="B254" s="30">
        <v>1</v>
      </c>
      <c r="C254" s="13" t="s">
        <v>73</v>
      </c>
    </row>
    <row r="255" spans="1:20" x14ac:dyDescent="0.2">
      <c r="A255" s="168">
        <v>24.1</v>
      </c>
      <c r="B255" s="31">
        <v>2</v>
      </c>
      <c r="C255" s="11" t="s">
        <v>18</v>
      </c>
      <c r="D255" s="11" t="s">
        <v>19</v>
      </c>
      <c r="E255" s="12" t="s">
        <v>190</v>
      </c>
      <c r="F255" s="11">
        <v>1</v>
      </c>
      <c r="G255" s="45">
        <f>VLOOKUP($A255,'Model Inputs'!$A:$C,3,FALSE)</f>
        <v>90</v>
      </c>
      <c r="H255" s="11">
        <v>1500</v>
      </c>
      <c r="I255" s="11">
        <f>VLOOKUP(C255,Resources!$B$3:$G$44,6,FALSE)</f>
        <v>130</v>
      </c>
      <c r="J255" s="38">
        <f>(H255/G255)*I255*F255</f>
        <v>2166.666666666667</v>
      </c>
      <c r="K255" s="12">
        <f t="shared" ref="K255:K256" si="361">IF(E255="M"," ",L255*F255)</f>
        <v>16.666666666666668</v>
      </c>
      <c r="L255" s="11">
        <f t="shared" ref="L255:L256" si="362">IF(E255="M"," ",H255/G255)</f>
        <v>16.666666666666668</v>
      </c>
      <c r="M255" s="11">
        <f t="shared" ref="M255:M256" si="363">IF($E255="L",$J255,0)</f>
        <v>0</v>
      </c>
      <c r="N255" s="11">
        <f t="shared" ref="N255:N256" si="364">IF($E255="M",$J255,0)</f>
        <v>0</v>
      </c>
      <c r="O255" s="11">
        <f t="shared" ref="O255:O256" si="365">IF($E255="P",$J255,0)</f>
        <v>2166.666666666667</v>
      </c>
      <c r="P255" s="11">
        <f t="shared" ref="P255:P256" si="366">IF($E255="S",$J255,0)</f>
        <v>0</v>
      </c>
      <c r="Q255" s="11">
        <f t="shared" ref="Q255:Q256" si="367">SUM(M255:P255)</f>
        <v>2166.666666666667</v>
      </c>
      <c r="R255" s="94">
        <v>51</v>
      </c>
    </row>
    <row r="256" spans="1:20" x14ac:dyDescent="0.2">
      <c r="A256" s="168" t="s">
        <v>230</v>
      </c>
      <c r="B256" s="31">
        <v>3</v>
      </c>
      <c r="C256" s="11" t="s">
        <v>68</v>
      </c>
      <c r="D256" s="11" t="s">
        <v>19</v>
      </c>
      <c r="E256" s="12" t="s">
        <v>190</v>
      </c>
      <c r="F256" s="11">
        <v>2</v>
      </c>
      <c r="G256" s="11">
        <f>G255</f>
        <v>90</v>
      </c>
      <c r="H256" s="11">
        <v>1500</v>
      </c>
      <c r="I256" s="11">
        <f>VLOOKUP(C256,Resources!$B$3:$G$44,6,FALSE)</f>
        <v>185</v>
      </c>
      <c r="J256" s="38">
        <f>(H256/G256)*I256*F256</f>
        <v>6166.666666666667</v>
      </c>
      <c r="K256" s="12">
        <f t="shared" si="361"/>
        <v>33.333333333333336</v>
      </c>
      <c r="L256" s="11">
        <f t="shared" si="362"/>
        <v>16.666666666666668</v>
      </c>
      <c r="M256" s="11">
        <f t="shared" si="363"/>
        <v>0</v>
      </c>
      <c r="N256" s="11">
        <f t="shared" si="364"/>
        <v>0</v>
      </c>
      <c r="O256" s="11">
        <f t="shared" si="365"/>
        <v>6166.666666666667</v>
      </c>
      <c r="P256" s="11">
        <f t="shared" si="366"/>
        <v>0</v>
      </c>
      <c r="Q256" s="11">
        <f t="shared" si="367"/>
        <v>6166.666666666667</v>
      </c>
      <c r="R256" s="94">
        <v>51</v>
      </c>
    </row>
    <row r="257" spans="1:18" x14ac:dyDescent="0.2">
      <c r="A257" s="165" t="s">
        <v>230</v>
      </c>
      <c r="B257" s="30">
        <v>7</v>
      </c>
      <c r="C257" s="13" t="s">
        <v>74</v>
      </c>
    </row>
    <row r="258" spans="1:18" ht="22.5" x14ac:dyDescent="0.2">
      <c r="A258" s="165" t="s">
        <v>230</v>
      </c>
      <c r="B258" s="30">
        <v>9</v>
      </c>
      <c r="C258" s="13" t="s">
        <v>75</v>
      </c>
    </row>
    <row r="259" spans="1:18" ht="22.5" x14ac:dyDescent="0.2">
      <c r="A259" s="165" t="s">
        <v>230</v>
      </c>
      <c r="B259" s="30">
        <v>10</v>
      </c>
      <c r="C259" s="13" t="s">
        <v>76</v>
      </c>
    </row>
    <row r="260" spans="1:18" x14ac:dyDescent="0.2">
      <c r="A260" s="168" t="s">
        <v>230</v>
      </c>
      <c r="B260" s="31">
        <v>11</v>
      </c>
      <c r="C260" s="11" t="s">
        <v>23</v>
      </c>
      <c r="D260" s="11" t="s">
        <v>19</v>
      </c>
      <c r="E260" s="12" t="s">
        <v>190</v>
      </c>
      <c r="F260" s="11">
        <v>1</v>
      </c>
      <c r="G260" s="11">
        <f>G255</f>
        <v>90</v>
      </c>
      <c r="H260" s="11">
        <v>1500</v>
      </c>
      <c r="I260" s="11">
        <f>VLOOKUP(C260,Resources!$B$3:$G$44,6,FALSE)</f>
        <v>185</v>
      </c>
      <c r="J260" s="38">
        <f>(H260/G260)*I260*F260</f>
        <v>3083.3333333333335</v>
      </c>
      <c r="K260" s="12">
        <f t="shared" ref="K260:K263" si="368">IF(E260="M"," ",L260*F260)</f>
        <v>16.666666666666668</v>
      </c>
      <c r="L260" s="11">
        <f t="shared" ref="L260:L263" si="369">IF(E260="M"," ",H260/G260)</f>
        <v>16.666666666666668</v>
      </c>
      <c r="M260" s="11">
        <f t="shared" ref="M260:M263" si="370">IF($E260="L",$J260,0)</f>
        <v>0</v>
      </c>
      <c r="N260" s="11">
        <f t="shared" ref="N260:N263" si="371">IF($E260="M",$J260,0)</f>
        <v>0</v>
      </c>
      <c r="O260" s="11">
        <f t="shared" ref="O260:O263" si="372">IF($E260="P",$J260,0)</f>
        <v>3083.3333333333335</v>
      </c>
      <c r="P260" s="11">
        <f t="shared" ref="P260:P263" si="373">IF($E260="S",$J260,0)</f>
        <v>0</v>
      </c>
      <c r="Q260" s="11">
        <f t="shared" ref="Q260:Q263" si="374">SUM(M260:P260)</f>
        <v>3083.3333333333335</v>
      </c>
      <c r="R260" s="94">
        <v>51</v>
      </c>
    </row>
    <row r="261" spans="1:18" x14ac:dyDescent="0.2">
      <c r="A261" s="168" t="s">
        <v>230</v>
      </c>
      <c r="B261" s="31">
        <v>12</v>
      </c>
      <c r="C261" s="11" t="s">
        <v>52</v>
      </c>
      <c r="D261" s="11" t="s">
        <v>19</v>
      </c>
      <c r="E261" s="12" t="s">
        <v>190</v>
      </c>
      <c r="F261" s="11">
        <v>1</v>
      </c>
      <c r="G261" s="11">
        <f>G255</f>
        <v>90</v>
      </c>
      <c r="H261" s="11">
        <v>1500</v>
      </c>
      <c r="I261" s="11">
        <f>VLOOKUP(C261,Resources!$B$3:$G$44,6,FALSE)</f>
        <v>58</v>
      </c>
      <c r="J261" s="38">
        <f>(H261/G261)*I261*F261</f>
        <v>966.66666666666674</v>
      </c>
      <c r="K261" s="12">
        <f t="shared" si="368"/>
        <v>16.666666666666668</v>
      </c>
      <c r="L261" s="11">
        <f t="shared" si="369"/>
        <v>16.666666666666668</v>
      </c>
      <c r="M261" s="11">
        <f t="shared" si="370"/>
        <v>0</v>
      </c>
      <c r="N261" s="11">
        <f t="shared" si="371"/>
        <v>0</v>
      </c>
      <c r="O261" s="11">
        <f t="shared" si="372"/>
        <v>966.66666666666674</v>
      </c>
      <c r="P261" s="11">
        <f t="shared" si="373"/>
        <v>0</v>
      </c>
      <c r="Q261" s="11">
        <f t="shared" si="374"/>
        <v>966.66666666666674</v>
      </c>
      <c r="R261" s="94">
        <v>51</v>
      </c>
    </row>
    <row r="262" spans="1:18" x14ac:dyDescent="0.2">
      <c r="A262" s="168" t="s">
        <v>230</v>
      </c>
      <c r="B262" s="31">
        <v>13</v>
      </c>
      <c r="C262" s="11" t="s">
        <v>53</v>
      </c>
      <c r="D262" s="11" t="s">
        <v>19</v>
      </c>
      <c r="E262" s="12" t="s">
        <v>190</v>
      </c>
      <c r="F262" s="11">
        <v>1</v>
      </c>
      <c r="G262" s="11">
        <f>G255</f>
        <v>90</v>
      </c>
      <c r="H262" s="11">
        <v>1500</v>
      </c>
      <c r="I262" s="11">
        <f>VLOOKUP(C262,Resources!$B$3:$G$44,6,FALSE)</f>
        <v>95</v>
      </c>
      <c r="J262" s="38">
        <f>(H262/G262)*I262*F262</f>
        <v>1583.3333333333335</v>
      </c>
      <c r="K262" s="12">
        <f t="shared" si="368"/>
        <v>16.666666666666668</v>
      </c>
      <c r="L262" s="11">
        <f t="shared" si="369"/>
        <v>16.666666666666668</v>
      </c>
      <c r="M262" s="11">
        <f t="shared" si="370"/>
        <v>0</v>
      </c>
      <c r="N262" s="11">
        <f t="shared" si="371"/>
        <v>0</v>
      </c>
      <c r="O262" s="11">
        <f t="shared" si="372"/>
        <v>1583.3333333333335</v>
      </c>
      <c r="P262" s="11">
        <f t="shared" si="373"/>
        <v>0</v>
      </c>
      <c r="Q262" s="11">
        <f t="shared" si="374"/>
        <v>1583.3333333333335</v>
      </c>
      <c r="R262" s="94">
        <v>51</v>
      </c>
    </row>
    <row r="263" spans="1:18" x14ac:dyDescent="0.2">
      <c r="A263" s="168" t="s">
        <v>230</v>
      </c>
      <c r="B263" s="31">
        <v>14</v>
      </c>
      <c r="C263" s="11" t="s">
        <v>5</v>
      </c>
      <c r="D263" s="11" t="s">
        <v>19</v>
      </c>
      <c r="E263" s="12" t="s">
        <v>188</v>
      </c>
      <c r="F263" s="11">
        <v>3</v>
      </c>
      <c r="G263" s="11">
        <f>G255</f>
        <v>90</v>
      </c>
      <c r="H263" s="11">
        <v>1500</v>
      </c>
      <c r="I263" s="11">
        <f>VLOOKUP(C263,Resources!$B$3:$G$44,6,FALSE)</f>
        <v>38</v>
      </c>
      <c r="J263" s="38">
        <f>(H263/G263)*I263*F263</f>
        <v>1900</v>
      </c>
      <c r="K263" s="12">
        <f t="shared" si="368"/>
        <v>50</v>
      </c>
      <c r="L263" s="11">
        <f t="shared" si="369"/>
        <v>16.666666666666668</v>
      </c>
      <c r="M263" s="11">
        <f t="shared" si="370"/>
        <v>1900</v>
      </c>
      <c r="N263" s="11">
        <f t="shared" si="371"/>
        <v>0</v>
      </c>
      <c r="O263" s="11">
        <f t="shared" si="372"/>
        <v>0</v>
      </c>
      <c r="P263" s="11">
        <f t="shared" si="373"/>
        <v>0</v>
      </c>
      <c r="Q263" s="11">
        <f t="shared" si="374"/>
        <v>1900</v>
      </c>
      <c r="R263" s="94">
        <v>51</v>
      </c>
    </row>
    <row r="264" spans="1:18" x14ac:dyDescent="0.2">
      <c r="A264" s="165" t="s">
        <v>230</v>
      </c>
      <c r="B264" s="30">
        <v>15</v>
      </c>
      <c r="C264" s="13" t="s">
        <v>77</v>
      </c>
    </row>
    <row r="265" spans="1:18" x14ac:dyDescent="0.2">
      <c r="A265" s="168" t="s">
        <v>230</v>
      </c>
      <c r="B265" s="31">
        <v>16</v>
      </c>
      <c r="C265" s="11" t="s">
        <v>50</v>
      </c>
      <c r="D265" s="11" t="s">
        <v>19</v>
      </c>
      <c r="E265" s="12" t="s">
        <v>190</v>
      </c>
      <c r="F265" s="11">
        <v>9</v>
      </c>
      <c r="G265" s="11">
        <v>1</v>
      </c>
      <c r="H265" s="11">
        <v>1</v>
      </c>
      <c r="I265" s="11">
        <f>VLOOKUP(C265,Resources!$B$3:$G$44,6,FALSE)</f>
        <v>135</v>
      </c>
      <c r="J265" s="38">
        <f>(H265/G265)*I265*F265</f>
        <v>1215</v>
      </c>
      <c r="K265" s="12">
        <f t="shared" ref="K265:K267" si="375">IF(E265="M"," ",L265*F265)</f>
        <v>9</v>
      </c>
      <c r="L265" s="11">
        <f t="shared" ref="L265:L267" si="376">IF(E265="M"," ",H265/G265)</f>
        <v>1</v>
      </c>
      <c r="M265" s="11">
        <f t="shared" ref="M265:M267" si="377">IF($E265="L",$J265,0)</f>
        <v>0</v>
      </c>
      <c r="N265" s="11">
        <f t="shared" ref="N265:N267" si="378">IF($E265="M",$J265,0)</f>
        <v>0</v>
      </c>
      <c r="O265" s="11">
        <f t="shared" ref="O265:O267" si="379">IF($E265="P",$J265,0)</f>
        <v>1215</v>
      </c>
      <c r="P265" s="11">
        <f t="shared" ref="P265:P267" si="380">IF($E265="S",$J265,0)</f>
        <v>0</v>
      </c>
      <c r="Q265" s="11">
        <f t="shared" ref="Q265:Q267" si="381">SUM(M265:P265)</f>
        <v>1215</v>
      </c>
      <c r="R265" s="94">
        <v>59</v>
      </c>
    </row>
    <row r="266" spans="1:18" x14ac:dyDescent="0.2">
      <c r="A266" s="168" t="s">
        <v>230</v>
      </c>
      <c r="B266" s="31">
        <v>17</v>
      </c>
      <c r="C266" s="11" t="s">
        <v>18</v>
      </c>
      <c r="D266" s="11" t="s">
        <v>19</v>
      </c>
      <c r="E266" s="12" t="s">
        <v>190</v>
      </c>
      <c r="F266" s="11">
        <v>2</v>
      </c>
      <c r="G266" s="11">
        <v>1</v>
      </c>
      <c r="H266" s="11">
        <v>1</v>
      </c>
      <c r="I266" s="11">
        <f>VLOOKUP(C266,Resources!$B$3:$G$44,6,FALSE)</f>
        <v>130</v>
      </c>
      <c r="J266" s="38">
        <f>(H266/G266)*I266*F266</f>
        <v>260</v>
      </c>
      <c r="K266" s="12">
        <f t="shared" si="375"/>
        <v>2</v>
      </c>
      <c r="L266" s="11">
        <f t="shared" si="376"/>
        <v>1</v>
      </c>
      <c r="M266" s="11">
        <f t="shared" si="377"/>
        <v>0</v>
      </c>
      <c r="N266" s="11">
        <f t="shared" si="378"/>
        <v>0</v>
      </c>
      <c r="O266" s="11">
        <f t="shared" si="379"/>
        <v>260</v>
      </c>
      <c r="P266" s="11">
        <f t="shared" si="380"/>
        <v>0</v>
      </c>
      <c r="Q266" s="11">
        <f t="shared" si="381"/>
        <v>260</v>
      </c>
      <c r="R266" s="94">
        <v>59</v>
      </c>
    </row>
    <row r="267" spans="1:18" x14ac:dyDescent="0.2">
      <c r="A267" s="168" t="s">
        <v>230</v>
      </c>
      <c r="B267" s="31">
        <v>18</v>
      </c>
      <c r="C267" s="11" t="s">
        <v>68</v>
      </c>
      <c r="D267" s="11" t="s">
        <v>19</v>
      </c>
      <c r="E267" s="12" t="s">
        <v>190</v>
      </c>
      <c r="F267" s="11">
        <v>4</v>
      </c>
      <c r="G267" s="11">
        <v>1</v>
      </c>
      <c r="H267" s="11">
        <v>1</v>
      </c>
      <c r="I267" s="11">
        <f>VLOOKUP(C267,Resources!$B$3:$G$44,6,FALSE)</f>
        <v>185</v>
      </c>
      <c r="J267" s="38">
        <f>(H267/G267)*I267*F267</f>
        <v>740</v>
      </c>
      <c r="K267" s="12">
        <f t="shared" si="375"/>
        <v>4</v>
      </c>
      <c r="L267" s="11">
        <f t="shared" si="376"/>
        <v>1</v>
      </c>
      <c r="M267" s="11">
        <f t="shared" si="377"/>
        <v>0</v>
      </c>
      <c r="N267" s="11">
        <f t="shared" si="378"/>
        <v>0</v>
      </c>
      <c r="O267" s="11">
        <f t="shared" si="379"/>
        <v>740</v>
      </c>
      <c r="P267" s="11">
        <f t="shared" si="380"/>
        <v>0</v>
      </c>
      <c r="Q267" s="11">
        <f t="shared" si="381"/>
        <v>740</v>
      </c>
      <c r="R267" s="94">
        <v>59</v>
      </c>
    </row>
    <row r="268" spans="1:18" x14ac:dyDescent="0.2">
      <c r="A268" s="165" t="s">
        <v>230</v>
      </c>
    </row>
    <row r="269" spans="1:18" ht="22.5" x14ac:dyDescent="0.2">
      <c r="A269" s="167">
        <v>25</v>
      </c>
      <c r="B269" s="29" t="s">
        <v>104</v>
      </c>
      <c r="C269" s="6" t="s">
        <v>105</v>
      </c>
      <c r="D269" s="7" t="s">
        <v>12</v>
      </c>
      <c r="E269" s="8"/>
      <c r="F269" s="7"/>
      <c r="G269" s="7"/>
      <c r="H269" s="7">
        <v>1</v>
      </c>
      <c r="I269" s="7"/>
      <c r="J269" s="7">
        <f t="shared" ref="J269" si="382">SUBTOTAL(9,J270:J272)</f>
        <v>1670.5</v>
      </c>
      <c r="K269" s="7"/>
      <c r="L269" s="45">
        <f>VLOOKUP($A269,'Model Inputs'!$A:$C,3,FALSE)</f>
        <v>1</v>
      </c>
      <c r="M269" s="7">
        <f>SUBTOTAL(9,M270:M272)</f>
        <v>228</v>
      </c>
      <c r="N269" s="7">
        <f t="shared" ref="N269:Q269" si="383">SUBTOTAL(9,N270:N272)</f>
        <v>662.5</v>
      </c>
      <c r="O269" s="7">
        <f t="shared" si="383"/>
        <v>780</v>
      </c>
      <c r="P269" s="7">
        <f t="shared" si="383"/>
        <v>0</v>
      </c>
      <c r="Q269" s="7">
        <f t="shared" si="383"/>
        <v>1670.5</v>
      </c>
      <c r="R269" s="93"/>
    </row>
    <row r="270" spans="1:18" x14ac:dyDescent="0.2">
      <c r="A270" s="168" t="s">
        <v>230</v>
      </c>
      <c r="B270" s="31">
        <v>1</v>
      </c>
      <c r="C270" s="11" t="s">
        <v>106</v>
      </c>
      <c r="D270" s="11" t="s">
        <v>107</v>
      </c>
      <c r="E270" s="12" t="s">
        <v>189</v>
      </c>
      <c r="F270" s="11">
        <v>1</v>
      </c>
      <c r="G270" s="11">
        <v>1</v>
      </c>
      <c r="H270" s="11">
        <v>25</v>
      </c>
      <c r="I270" s="11">
        <f>VLOOKUP(C270,Resources!$B$3:$G$44,6,FALSE)</f>
        <v>26.5</v>
      </c>
      <c r="J270" s="38">
        <f>(H270/G270)*I270*F270</f>
        <v>662.5</v>
      </c>
      <c r="K270" s="12" t="str">
        <f t="shared" ref="K270:K272" si="384">IF(E270="M"," ",L270*F270)</f>
        <v xml:space="preserve"> </v>
      </c>
      <c r="L270" s="11" t="str">
        <f t="shared" ref="L270:L272" si="385">IF(E270="M"," ",H270/G270)</f>
        <v xml:space="preserve"> </v>
      </c>
      <c r="M270" s="11">
        <f t="shared" ref="M270:M272" si="386">IF($E270="L",$J270,0)</f>
        <v>0</v>
      </c>
      <c r="N270" s="11">
        <f t="shared" ref="N270:N272" si="387">IF($E270="M",$J270,0)</f>
        <v>662.5</v>
      </c>
      <c r="O270" s="11">
        <f t="shared" ref="O270:O272" si="388">IF($E270="P",$J270,0)</f>
        <v>0</v>
      </c>
      <c r="P270" s="11">
        <f t="shared" ref="P270:P272" si="389">IF($E270="S",$J270,0)</f>
        <v>0</v>
      </c>
      <c r="Q270" s="11">
        <f t="shared" ref="Q270:Q272" si="390">SUM(M270:P270)</f>
        <v>662.5</v>
      </c>
      <c r="R270" s="94" t="s">
        <v>233</v>
      </c>
    </row>
    <row r="271" spans="1:18" x14ac:dyDescent="0.2">
      <c r="A271" s="168" t="s">
        <v>230</v>
      </c>
      <c r="B271" s="31">
        <v>2</v>
      </c>
      <c r="C271" s="11" t="s">
        <v>18</v>
      </c>
      <c r="D271" s="11" t="s">
        <v>19</v>
      </c>
      <c r="E271" s="12" t="s">
        <v>190</v>
      </c>
      <c r="F271" s="11">
        <v>6</v>
      </c>
      <c r="G271" s="11">
        <v>1</v>
      </c>
      <c r="H271" s="11">
        <v>1</v>
      </c>
      <c r="I271" s="11">
        <f>VLOOKUP(C271,Resources!$B$3:$G$44,6,FALSE)</f>
        <v>130</v>
      </c>
      <c r="J271" s="38">
        <f>(H271/G271)*I271*F271</f>
        <v>780</v>
      </c>
      <c r="K271" s="12">
        <f t="shared" si="384"/>
        <v>6</v>
      </c>
      <c r="L271" s="11">
        <f t="shared" si="385"/>
        <v>1</v>
      </c>
      <c r="M271" s="11">
        <f t="shared" si="386"/>
        <v>0</v>
      </c>
      <c r="N271" s="11">
        <f t="shared" si="387"/>
        <v>0</v>
      </c>
      <c r="O271" s="11">
        <f t="shared" si="388"/>
        <v>780</v>
      </c>
      <c r="P271" s="11">
        <f t="shared" si="389"/>
        <v>0</v>
      </c>
      <c r="Q271" s="11">
        <f t="shared" si="390"/>
        <v>780</v>
      </c>
      <c r="R271" s="94">
        <v>221</v>
      </c>
    </row>
    <row r="272" spans="1:18" x14ac:dyDescent="0.2">
      <c r="A272" s="168" t="s">
        <v>230</v>
      </c>
      <c r="B272" s="31">
        <v>3</v>
      </c>
      <c r="C272" s="11" t="s">
        <v>5</v>
      </c>
      <c r="D272" s="11" t="s">
        <v>19</v>
      </c>
      <c r="E272" s="12" t="s">
        <v>188</v>
      </c>
      <c r="F272" s="11">
        <v>6</v>
      </c>
      <c r="G272" s="11">
        <v>1</v>
      </c>
      <c r="H272" s="11">
        <v>1</v>
      </c>
      <c r="I272" s="11">
        <f>VLOOKUP(C272,Resources!$B$3:$G$44,6,FALSE)</f>
        <v>38</v>
      </c>
      <c r="J272" s="38">
        <f>(H272/G272)*I272*F272</f>
        <v>228</v>
      </c>
      <c r="K272" s="12">
        <f t="shared" si="384"/>
        <v>6</v>
      </c>
      <c r="L272" s="11">
        <f t="shared" si="385"/>
        <v>1</v>
      </c>
      <c r="M272" s="11">
        <f t="shared" si="386"/>
        <v>228</v>
      </c>
      <c r="N272" s="11">
        <f t="shared" si="387"/>
        <v>0</v>
      </c>
      <c r="O272" s="11">
        <f t="shared" si="388"/>
        <v>0</v>
      </c>
      <c r="P272" s="11">
        <f t="shared" si="389"/>
        <v>0</v>
      </c>
      <c r="Q272" s="11">
        <f t="shared" si="390"/>
        <v>228</v>
      </c>
      <c r="R272" s="94">
        <v>221</v>
      </c>
    </row>
    <row r="273" spans="1:20" x14ac:dyDescent="0.2">
      <c r="A273" s="165" t="s">
        <v>230</v>
      </c>
    </row>
    <row r="274" spans="1:20" s="36" customFormat="1" x14ac:dyDescent="0.2">
      <c r="A274" s="169" t="s">
        <v>230</v>
      </c>
      <c r="B274" s="32"/>
      <c r="C274" s="2" t="s">
        <v>209</v>
      </c>
      <c r="D274" s="34"/>
      <c r="E274" s="35"/>
      <c r="F274" s="34"/>
      <c r="G274" s="34"/>
      <c r="H274" s="34"/>
      <c r="I274" s="34"/>
      <c r="J274" s="39"/>
      <c r="K274" s="35"/>
      <c r="L274" s="34"/>
      <c r="M274" s="34"/>
      <c r="N274" s="34"/>
      <c r="O274" s="34"/>
      <c r="P274" s="34"/>
      <c r="Q274" s="34"/>
      <c r="R274" s="95"/>
      <c r="S274" s="5"/>
      <c r="T274" s="5"/>
    </row>
    <row r="275" spans="1:20" ht="22.5" x14ac:dyDescent="0.2">
      <c r="A275" s="167">
        <v>26</v>
      </c>
      <c r="B275" s="29" t="s">
        <v>108</v>
      </c>
      <c r="C275" s="6" t="s">
        <v>109</v>
      </c>
      <c r="D275" s="7" t="s">
        <v>31</v>
      </c>
      <c r="E275" s="8"/>
      <c r="F275" s="7"/>
      <c r="G275" s="7"/>
      <c r="H275" s="45">
        <f>VLOOKUP($A275,'Model Inputs'!$A:$C,3,FALSE)</f>
        <v>230</v>
      </c>
      <c r="I275" s="7"/>
      <c r="J275" s="7">
        <f t="shared" ref="J275" si="391">SUBTOTAL(9,J276:J277)</f>
        <v>1449</v>
      </c>
      <c r="K275" s="7"/>
      <c r="L275" s="7">
        <f>ROUNDUP(MAX(L276:L277)/work,0)</f>
        <v>1</v>
      </c>
      <c r="M275" s="7">
        <f>SUBTOTAL(9,M276:M277)</f>
        <v>0</v>
      </c>
      <c r="N275" s="7">
        <f t="shared" ref="N275:Q275" si="392">SUBTOTAL(9,N276:N277)</f>
        <v>0</v>
      </c>
      <c r="O275" s="7">
        <f t="shared" si="392"/>
        <v>1449</v>
      </c>
      <c r="P275" s="7">
        <f t="shared" si="392"/>
        <v>0</v>
      </c>
      <c r="Q275" s="7">
        <f t="shared" si="392"/>
        <v>1449</v>
      </c>
      <c r="R275" s="93"/>
      <c r="S275" s="36"/>
    </row>
    <row r="276" spans="1:20" x14ac:dyDescent="0.2">
      <c r="A276" s="168" t="s">
        <v>230</v>
      </c>
      <c r="B276" s="31">
        <v>1</v>
      </c>
      <c r="C276" s="11" t="s">
        <v>18</v>
      </c>
      <c r="D276" s="11" t="s">
        <v>19</v>
      </c>
      <c r="E276" s="12" t="s">
        <v>190</v>
      </c>
      <c r="F276" s="11">
        <v>1</v>
      </c>
      <c r="G276" s="11">
        <v>50</v>
      </c>
      <c r="H276" s="11">
        <f>H275</f>
        <v>230</v>
      </c>
      <c r="I276" s="11">
        <f>VLOOKUP(C276,Resources!$B$3:$G$44,6,FALSE)</f>
        <v>130</v>
      </c>
      <c r="J276" s="38">
        <f>(H276/G276)*I276*F276</f>
        <v>598</v>
      </c>
      <c r="K276" s="12">
        <f t="shared" ref="K276:K277" si="393">IF(E276="M"," ",L276*F276)</f>
        <v>4.5999999999999996</v>
      </c>
      <c r="L276" s="11">
        <f t="shared" ref="L276:L277" si="394">IF(E276="M"," ",H276/G276)</f>
        <v>4.5999999999999996</v>
      </c>
      <c r="M276" s="11">
        <f t="shared" ref="M276:M277" si="395">IF($E276="L",$J276,0)</f>
        <v>0</v>
      </c>
      <c r="N276" s="11">
        <f t="shared" ref="N276:N277" si="396">IF($E276="M",$J276,0)</f>
        <v>0</v>
      </c>
      <c r="O276" s="11">
        <f t="shared" ref="O276:O277" si="397">IF($E276="P",$J276,0)</f>
        <v>598</v>
      </c>
      <c r="P276" s="11">
        <f t="shared" ref="P276:P277" si="398">IF($E276="S",$J276,0)</f>
        <v>0</v>
      </c>
      <c r="Q276" s="11">
        <f t="shared" ref="Q276:Q277" si="399">SUM(M276:P276)</f>
        <v>598</v>
      </c>
      <c r="R276" s="94">
        <v>59</v>
      </c>
    </row>
    <row r="277" spans="1:20" x14ac:dyDescent="0.2">
      <c r="A277" s="168" t="s">
        <v>230</v>
      </c>
      <c r="B277" s="31">
        <v>2</v>
      </c>
      <c r="C277" s="11" t="s">
        <v>68</v>
      </c>
      <c r="D277" s="11" t="s">
        <v>19</v>
      </c>
      <c r="E277" s="12" t="s">
        <v>190</v>
      </c>
      <c r="F277" s="11">
        <v>1</v>
      </c>
      <c r="G277" s="11">
        <v>50</v>
      </c>
      <c r="H277" s="11">
        <f>H275</f>
        <v>230</v>
      </c>
      <c r="I277" s="11">
        <f>VLOOKUP(C277,Resources!$B$3:$G$44,6,FALSE)</f>
        <v>185</v>
      </c>
      <c r="J277" s="38">
        <f>(H277/G277)*I277*F277</f>
        <v>850.99999999999989</v>
      </c>
      <c r="K277" s="12">
        <f t="shared" si="393"/>
        <v>4.5999999999999996</v>
      </c>
      <c r="L277" s="11">
        <f t="shared" si="394"/>
        <v>4.5999999999999996</v>
      </c>
      <c r="M277" s="11">
        <f t="shared" si="395"/>
        <v>0</v>
      </c>
      <c r="N277" s="11">
        <f t="shared" si="396"/>
        <v>0</v>
      </c>
      <c r="O277" s="11">
        <f t="shared" si="397"/>
        <v>850.99999999999989</v>
      </c>
      <c r="P277" s="11">
        <f t="shared" si="398"/>
        <v>0</v>
      </c>
      <c r="Q277" s="11">
        <f t="shared" si="399"/>
        <v>850.99999999999989</v>
      </c>
      <c r="R277" s="94">
        <v>59</v>
      </c>
    </row>
    <row r="278" spans="1:20" x14ac:dyDescent="0.2">
      <c r="A278" s="165" t="s">
        <v>230</v>
      </c>
    </row>
    <row r="279" spans="1:20" s="36" customFormat="1" x14ac:dyDescent="0.2">
      <c r="A279" s="169">
        <v>27</v>
      </c>
      <c r="B279" s="32"/>
      <c r="C279" s="2" t="s">
        <v>210</v>
      </c>
      <c r="D279" s="34"/>
      <c r="E279" s="35"/>
      <c r="F279" s="34"/>
      <c r="G279" s="34"/>
      <c r="H279" s="34"/>
      <c r="I279" s="34"/>
      <c r="J279" s="39"/>
      <c r="K279" s="35"/>
      <c r="L279" s="34"/>
      <c r="M279" s="34"/>
      <c r="N279" s="34"/>
      <c r="O279" s="34"/>
      <c r="P279" s="34"/>
      <c r="Q279" s="34"/>
      <c r="R279" s="95"/>
      <c r="S279" s="5"/>
      <c r="T279" s="5"/>
    </row>
    <row r="280" spans="1:20" ht="22.5" x14ac:dyDescent="0.2">
      <c r="A280" s="167">
        <v>28</v>
      </c>
      <c r="B280" s="29" t="s">
        <v>110</v>
      </c>
      <c r="C280" s="6" t="s">
        <v>111</v>
      </c>
      <c r="D280" s="7" t="s">
        <v>45</v>
      </c>
      <c r="E280" s="8"/>
      <c r="F280" s="7"/>
      <c r="G280" s="7"/>
      <c r="H280" s="45">
        <f>VLOOKUP($A280,'Model Inputs'!$A:$C,3,FALSE)</f>
        <v>20000</v>
      </c>
      <c r="I280" s="7"/>
      <c r="J280" s="7">
        <f t="shared" ref="J280" si="400">SUBTOTAL(9,J282:J286)</f>
        <v>27766.666666666672</v>
      </c>
      <c r="K280" s="7"/>
      <c r="L280" s="7">
        <f>ROUNDUP(MAX(L282:L286)/work,0)</f>
        <v>8</v>
      </c>
      <c r="M280" s="7">
        <f>SUBTOTAL(9,M282:M286)</f>
        <v>5066.666666666667</v>
      </c>
      <c r="N280" s="7">
        <f t="shared" ref="N280:Q280" si="401">SUBTOTAL(9,N282:N286)</f>
        <v>0</v>
      </c>
      <c r="O280" s="7">
        <f t="shared" si="401"/>
        <v>22700.000000000004</v>
      </c>
      <c r="P280" s="7">
        <f t="shared" si="401"/>
        <v>0</v>
      </c>
      <c r="Q280" s="7">
        <f t="shared" si="401"/>
        <v>27766.666666666672</v>
      </c>
      <c r="R280" s="93"/>
      <c r="S280" s="36"/>
    </row>
    <row r="281" spans="1:20" ht="22.5" x14ac:dyDescent="0.2">
      <c r="A281" s="165" t="s">
        <v>230</v>
      </c>
      <c r="B281" s="30">
        <v>1</v>
      </c>
      <c r="C281" s="13" t="s">
        <v>112</v>
      </c>
    </row>
    <row r="282" spans="1:20" x14ac:dyDescent="0.2">
      <c r="A282" s="168" t="s">
        <v>230</v>
      </c>
      <c r="B282" s="31">
        <v>2</v>
      </c>
      <c r="C282" s="11" t="s">
        <v>23</v>
      </c>
      <c r="D282" s="11" t="s">
        <v>19</v>
      </c>
      <c r="E282" s="12" t="s">
        <v>190</v>
      </c>
      <c r="F282" s="11">
        <v>1</v>
      </c>
      <c r="G282" s="11">
        <v>150</v>
      </c>
      <c r="H282" s="11">
        <f>H280*0.15</f>
        <v>3000</v>
      </c>
      <c r="I282" s="11">
        <f>VLOOKUP(C282,Resources!$B$3:$G$44,6,FALSE)</f>
        <v>185</v>
      </c>
      <c r="J282" s="38">
        <f>(H282/G282)*I282*F282</f>
        <v>3700</v>
      </c>
      <c r="K282" s="12">
        <f t="shared" ref="K282:K286" si="402">IF(E282="M"," ",L282*F282)</f>
        <v>20</v>
      </c>
      <c r="L282" s="11">
        <f t="shared" ref="L282:L286" si="403">IF(E282="M"," ",H282/G282)</f>
        <v>20</v>
      </c>
      <c r="M282" s="11">
        <f t="shared" ref="M282:M286" si="404">IF($E282="L",$J282,0)</f>
        <v>0</v>
      </c>
      <c r="N282" s="11">
        <f t="shared" ref="N282:N286" si="405">IF($E282="M",$J282,0)</f>
        <v>0</v>
      </c>
      <c r="O282" s="11">
        <f t="shared" ref="O282:O286" si="406">IF($E282="P",$J282,0)</f>
        <v>3700</v>
      </c>
      <c r="P282" s="11">
        <f t="shared" ref="P282:P286" si="407">IF($E282="S",$J282,0)</f>
        <v>0</v>
      </c>
      <c r="Q282" s="11">
        <f t="shared" ref="Q282:Q286" si="408">SUM(M282:P282)</f>
        <v>3700</v>
      </c>
      <c r="R282" s="94">
        <v>51</v>
      </c>
    </row>
    <row r="283" spans="1:20" x14ac:dyDescent="0.2">
      <c r="A283" s="168" t="s">
        <v>230</v>
      </c>
      <c r="B283" s="31">
        <v>3</v>
      </c>
      <c r="C283" s="11" t="s">
        <v>50</v>
      </c>
      <c r="D283" s="11" t="s">
        <v>19</v>
      </c>
      <c r="E283" s="12" t="s">
        <v>190</v>
      </c>
      <c r="F283" s="11">
        <v>1</v>
      </c>
      <c r="G283" s="11">
        <v>300</v>
      </c>
      <c r="H283" s="11">
        <f>H280</f>
        <v>20000</v>
      </c>
      <c r="I283" s="11">
        <f>VLOOKUP(C283,Resources!$B$3:$G$44,6,FALSE)</f>
        <v>135</v>
      </c>
      <c r="J283" s="38">
        <f>(H283/G283)*I283*F283</f>
        <v>9000</v>
      </c>
      <c r="K283" s="12">
        <f t="shared" si="402"/>
        <v>66.666666666666671</v>
      </c>
      <c r="L283" s="11">
        <f t="shared" si="403"/>
        <v>66.666666666666671</v>
      </c>
      <c r="M283" s="11">
        <f t="shared" si="404"/>
        <v>0</v>
      </c>
      <c r="N283" s="11">
        <f t="shared" si="405"/>
        <v>0</v>
      </c>
      <c r="O283" s="11">
        <f t="shared" si="406"/>
        <v>9000</v>
      </c>
      <c r="P283" s="11">
        <f t="shared" si="407"/>
        <v>0</v>
      </c>
      <c r="Q283" s="11">
        <f t="shared" si="408"/>
        <v>9000</v>
      </c>
      <c r="R283" s="94">
        <v>51</v>
      </c>
      <c r="T283" s="36"/>
    </row>
    <row r="284" spans="1:20" x14ac:dyDescent="0.2">
      <c r="A284" s="168" t="s">
        <v>230</v>
      </c>
      <c r="B284" s="31">
        <v>4</v>
      </c>
      <c r="C284" s="11" t="s">
        <v>53</v>
      </c>
      <c r="D284" s="11" t="s">
        <v>19</v>
      </c>
      <c r="E284" s="12" t="s">
        <v>190</v>
      </c>
      <c r="F284" s="11">
        <v>1</v>
      </c>
      <c r="G284" s="11">
        <v>300</v>
      </c>
      <c r="H284" s="11">
        <f>H280</f>
        <v>20000</v>
      </c>
      <c r="I284" s="11">
        <f>VLOOKUP(C284,Resources!$B$3:$G$44,6,FALSE)</f>
        <v>95</v>
      </c>
      <c r="J284" s="38">
        <f>(H284/G284)*I284*F284</f>
        <v>6333.3333333333339</v>
      </c>
      <c r="K284" s="12">
        <f t="shared" si="402"/>
        <v>66.666666666666671</v>
      </c>
      <c r="L284" s="11">
        <f t="shared" si="403"/>
        <v>66.666666666666671</v>
      </c>
      <c r="M284" s="11">
        <f t="shared" si="404"/>
        <v>0</v>
      </c>
      <c r="N284" s="11">
        <f t="shared" si="405"/>
        <v>0</v>
      </c>
      <c r="O284" s="11">
        <f t="shared" si="406"/>
        <v>6333.3333333333339</v>
      </c>
      <c r="P284" s="11">
        <f t="shared" si="407"/>
        <v>0</v>
      </c>
      <c r="Q284" s="11">
        <f t="shared" si="408"/>
        <v>6333.3333333333339</v>
      </c>
      <c r="R284" s="94">
        <v>51</v>
      </c>
    </row>
    <row r="285" spans="1:20" x14ac:dyDescent="0.2">
      <c r="A285" s="168" t="s">
        <v>230</v>
      </c>
      <c r="B285" s="31">
        <v>5</v>
      </c>
      <c r="C285" s="11" t="s">
        <v>70</v>
      </c>
      <c r="D285" s="11" t="s">
        <v>19</v>
      </c>
      <c r="E285" s="12" t="s">
        <v>190</v>
      </c>
      <c r="F285" s="11">
        <v>1</v>
      </c>
      <c r="G285" s="11">
        <v>300</v>
      </c>
      <c r="H285" s="11">
        <f>H280</f>
        <v>20000</v>
      </c>
      <c r="I285" s="11">
        <f>VLOOKUP(C285,Resources!$B$3:$G$44,6,FALSE)</f>
        <v>55</v>
      </c>
      <c r="J285" s="38">
        <f>(H285/G285)*I285*F285</f>
        <v>3666.666666666667</v>
      </c>
      <c r="K285" s="12">
        <f t="shared" si="402"/>
        <v>66.666666666666671</v>
      </c>
      <c r="L285" s="11">
        <f t="shared" si="403"/>
        <v>66.666666666666671</v>
      </c>
      <c r="M285" s="11">
        <f t="shared" si="404"/>
        <v>0</v>
      </c>
      <c r="N285" s="11">
        <f t="shared" si="405"/>
        <v>0</v>
      </c>
      <c r="O285" s="11">
        <f t="shared" si="406"/>
        <v>3666.666666666667</v>
      </c>
      <c r="P285" s="11">
        <f t="shared" si="407"/>
        <v>0</v>
      </c>
      <c r="Q285" s="11">
        <f t="shared" si="408"/>
        <v>3666.666666666667</v>
      </c>
      <c r="R285" s="94">
        <v>51</v>
      </c>
    </row>
    <row r="286" spans="1:20" x14ac:dyDescent="0.2">
      <c r="A286" s="168" t="s">
        <v>230</v>
      </c>
      <c r="B286" s="31">
        <v>6</v>
      </c>
      <c r="C286" s="11" t="s">
        <v>5</v>
      </c>
      <c r="D286" s="11" t="s">
        <v>19</v>
      </c>
      <c r="E286" s="12" t="s">
        <v>188</v>
      </c>
      <c r="F286" s="11">
        <v>2</v>
      </c>
      <c r="G286" s="11">
        <v>300</v>
      </c>
      <c r="H286" s="11">
        <f>H280</f>
        <v>20000</v>
      </c>
      <c r="I286" s="11">
        <f>VLOOKUP(C286,Resources!$B$3:$G$44,6,FALSE)</f>
        <v>38</v>
      </c>
      <c r="J286" s="38">
        <f>(H286/G286)*I286*F286</f>
        <v>5066.666666666667</v>
      </c>
      <c r="K286" s="12">
        <f t="shared" si="402"/>
        <v>133.33333333333334</v>
      </c>
      <c r="L286" s="11">
        <f t="shared" si="403"/>
        <v>66.666666666666671</v>
      </c>
      <c r="M286" s="11">
        <f t="shared" si="404"/>
        <v>5066.666666666667</v>
      </c>
      <c r="N286" s="11">
        <f t="shared" si="405"/>
        <v>0</v>
      </c>
      <c r="O286" s="11">
        <f t="shared" si="406"/>
        <v>0</v>
      </c>
      <c r="P286" s="11">
        <f t="shared" si="407"/>
        <v>0</v>
      </c>
      <c r="Q286" s="11">
        <f t="shared" si="408"/>
        <v>5066.666666666667</v>
      </c>
      <c r="R286" s="94">
        <v>51</v>
      </c>
    </row>
    <row r="287" spans="1:20" x14ac:dyDescent="0.2">
      <c r="A287" s="165" t="s">
        <v>230</v>
      </c>
    </row>
    <row r="288" spans="1:20" ht="22.5" x14ac:dyDescent="0.2">
      <c r="A288" s="167">
        <v>29</v>
      </c>
      <c r="B288" s="29" t="s">
        <v>113</v>
      </c>
      <c r="C288" s="6" t="s">
        <v>114</v>
      </c>
      <c r="D288" s="7" t="s">
        <v>45</v>
      </c>
      <c r="E288" s="8"/>
      <c r="F288" s="7"/>
      <c r="G288" s="7"/>
      <c r="H288" s="45">
        <f>VLOOKUP($A288,'Model Inputs'!$A:$C,3,FALSE)</f>
        <v>20000</v>
      </c>
      <c r="I288" s="7"/>
      <c r="J288" s="7">
        <f t="shared" ref="J288" si="409">SUBTOTAL(9,J289:J292)</f>
        <v>24066.666666666668</v>
      </c>
      <c r="K288" s="7"/>
      <c r="L288" s="7">
        <f>ROUNDUP(MAX(L289:L292)/work,0)</f>
        <v>8</v>
      </c>
      <c r="M288" s="7">
        <f>SUBTOTAL(9,M289:M292)</f>
        <v>5066.666666666667</v>
      </c>
      <c r="N288" s="7">
        <f t="shared" ref="N288:Q288" si="410">SUBTOTAL(9,N289:N292)</f>
        <v>0</v>
      </c>
      <c r="O288" s="7">
        <f t="shared" si="410"/>
        <v>19000</v>
      </c>
      <c r="P288" s="7">
        <f t="shared" si="410"/>
        <v>0</v>
      </c>
      <c r="Q288" s="7">
        <f t="shared" si="410"/>
        <v>24066.666666666668</v>
      </c>
      <c r="R288" s="93"/>
      <c r="T288" s="36"/>
    </row>
    <row r="289" spans="1:20" x14ac:dyDescent="0.2">
      <c r="A289" s="168" t="s">
        <v>230</v>
      </c>
      <c r="B289" s="31">
        <v>1</v>
      </c>
      <c r="C289" s="11" t="s">
        <v>50</v>
      </c>
      <c r="D289" s="11" t="s">
        <v>19</v>
      </c>
      <c r="E289" s="12" t="s">
        <v>190</v>
      </c>
      <c r="F289" s="11">
        <v>1</v>
      </c>
      <c r="G289" s="11">
        <v>300</v>
      </c>
      <c r="H289" s="11">
        <f>H288</f>
        <v>20000</v>
      </c>
      <c r="I289" s="11">
        <f>VLOOKUP(C289,Resources!$B$3:$G$44,6,FALSE)</f>
        <v>135</v>
      </c>
      <c r="J289" s="38">
        <f>(H289/G289)*I289*F289</f>
        <v>9000</v>
      </c>
      <c r="K289" s="12">
        <f t="shared" ref="K289:K292" si="411">IF(E289="M"," ",L289*F289)</f>
        <v>66.666666666666671</v>
      </c>
      <c r="L289" s="11">
        <f t="shared" ref="L289:L292" si="412">IF(E289="M"," ",H289/G289)</f>
        <v>66.666666666666671</v>
      </c>
      <c r="M289" s="11">
        <f t="shared" ref="M289:M292" si="413">IF($E289="L",$J289,0)</f>
        <v>0</v>
      </c>
      <c r="N289" s="11">
        <f t="shared" ref="N289:N292" si="414">IF($E289="M",$J289,0)</f>
        <v>0</v>
      </c>
      <c r="O289" s="11">
        <f t="shared" ref="O289:O292" si="415">IF($E289="P",$J289,0)</f>
        <v>9000</v>
      </c>
      <c r="P289" s="11">
        <f t="shared" ref="P289:P292" si="416">IF($E289="S",$J289,0)</f>
        <v>0</v>
      </c>
      <c r="Q289" s="11">
        <f t="shared" ref="Q289:Q292" si="417">SUM(M289:P289)</f>
        <v>9000</v>
      </c>
      <c r="R289" s="94">
        <v>59</v>
      </c>
    </row>
    <row r="290" spans="1:20" x14ac:dyDescent="0.2">
      <c r="A290" s="168" t="s">
        <v>230</v>
      </c>
      <c r="B290" s="31">
        <v>2</v>
      </c>
      <c r="C290" s="11" t="s">
        <v>53</v>
      </c>
      <c r="D290" s="11" t="s">
        <v>19</v>
      </c>
      <c r="E290" s="12" t="s">
        <v>190</v>
      </c>
      <c r="F290" s="11">
        <v>1</v>
      </c>
      <c r="G290" s="11">
        <v>300</v>
      </c>
      <c r="H290" s="11">
        <f>H288</f>
        <v>20000</v>
      </c>
      <c r="I290" s="11">
        <f>VLOOKUP(C290,Resources!$B$3:$G$44,6,FALSE)</f>
        <v>95</v>
      </c>
      <c r="J290" s="38">
        <f>(H290/G290)*I290*F290</f>
        <v>6333.3333333333339</v>
      </c>
      <c r="K290" s="12">
        <f t="shared" si="411"/>
        <v>66.666666666666671</v>
      </c>
      <c r="L290" s="11">
        <f t="shared" si="412"/>
        <v>66.666666666666671</v>
      </c>
      <c r="M290" s="11">
        <f t="shared" si="413"/>
        <v>0</v>
      </c>
      <c r="N290" s="11">
        <f t="shared" si="414"/>
        <v>0</v>
      </c>
      <c r="O290" s="11">
        <f t="shared" si="415"/>
        <v>6333.3333333333339</v>
      </c>
      <c r="P290" s="11">
        <f t="shared" si="416"/>
        <v>0</v>
      </c>
      <c r="Q290" s="11">
        <f t="shared" si="417"/>
        <v>6333.3333333333339</v>
      </c>
      <c r="R290" s="94">
        <v>59</v>
      </c>
    </row>
    <row r="291" spans="1:20" x14ac:dyDescent="0.2">
      <c r="A291" s="168" t="s">
        <v>230</v>
      </c>
      <c r="B291" s="31">
        <v>3</v>
      </c>
      <c r="C291" s="11" t="s">
        <v>70</v>
      </c>
      <c r="D291" s="11" t="s">
        <v>19</v>
      </c>
      <c r="E291" s="12" t="s">
        <v>190</v>
      </c>
      <c r="F291" s="11">
        <v>1</v>
      </c>
      <c r="G291" s="11">
        <v>300</v>
      </c>
      <c r="H291" s="11">
        <f>H288</f>
        <v>20000</v>
      </c>
      <c r="I291" s="11">
        <f>VLOOKUP(C291,Resources!$B$3:$G$44,6,FALSE)</f>
        <v>55</v>
      </c>
      <c r="J291" s="38">
        <f>(H291/G291)*I291*F291</f>
        <v>3666.666666666667</v>
      </c>
      <c r="K291" s="12">
        <f t="shared" si="411"/>
        <v>66.666666666666671</v>
      </c>
      <c r="L291" s="11">
        <f t="shared" si="412"/>
        <v>66.666666666666671</v>
      </c>
      <c r="M291" s="11">
        <f t="shared" si="413"/>
        <v>0</v>
      </c>
      <c r="N291" s="11">
        <f t="shared" si="414"/>
        <v>0</v>
      </c>
      <c r="O291" s="11">
        <f t="shared" si="415"/>
        <v>3666.666666666667</v>
      </c>
      <c r="P291" s="11">
        <f t="shared" si="416"/>
        <v>0</v>
      </c>
      <c r="Q291" s="11">
        <f t="shared" si="417"/>
        <v>3666.666666666667</v>
      </c>
      <c r="R291" s="94">
        <v>59</v>
      </c>
    </row>
    <row r="292" spans="1:20" x14ac:dyDescent="0.2">
      <c r="A292" s="168" t="s">
        <v>230</v>
      </c>
      <c r="B292" s="31">
        <v>4</v>
      </c>
      <c r="C292" s="11" t="s">
        <v>5</v>
      </c>
      <c r="D292" s="11" t="s">
        <v>19</v>
      </c>
      <c r="E292" s="12" t="s">
        <v>188</v>
      </c>
      <c r="F292" s="11">
        <v>2</v>
      </c>
      <c r="G292" s="11">
        <v>300</v>
      </c>
      <c r="H292" s="11">
        <f>H288</f>
        <v>20000</v>
      </c>
      <c r="I292" s="11">
        <f>VLOOKUP(C292,Resources!$B$3:$G$44,6,FALSE)</f>
        <v>38</v>
      </c>
      <c r="J292" s="38">
        <f>(H292/G292)*I292*F292</f>
        <v>5066.666666666667</v>
      </c>
      <c r="K292" s="12">
        <f t="shared" si="411"/>
        <v>133.33333333333334</v>
      </c>
      <c r="L292" s="11">
        <f t="shared" si="412"/>
        <v>66.666666666666671</v>
      </c>
      <c r="M292" s="11">
        <f t="shared" si="413"/>
        <v>5066.666666666667</v>
      </c>
      <c r="N292" s="11">
        <f t="shared" si="414"/>
        <v>0</v>
      </c>
      <c r="O292" s="11">
        <f t="shared" si="415"/>
        <v>0</v>
      </c>
      <c r="P292" s="11">
        <f t="shared" si="416"/>
        <v>0</v>
      </c>
      <c r="Q292" s="11">
        <f t="shared" si="417"/>
        <v>5066.666666666667</v>
      </c>
      <c r="R292" s="94">
        <v>59</v>
      </c>
    </row>
    <row r="293" spans="1:20" x14ac:dyDescent="0.2">
      <c r="A293" s="165" t="s">
        <v>230</v>
      </c>
    </row>
    <row r="294" spans="1:20" s="36" customFormat="1" x14ac:dyDescent="0.2">
      <c r="A294" s="169">
        <v>30</v>
      </c>
      <c r="B294" s="32"/>
      <c r="C294" s="2" t="s">
        <v>211</v>
      </c>
      <c r="D294" s="34"/>
      <c r="E294" s="35"/>
      <c r="F294" s="34"/>
      <c r="G294" s="34"/>
      <c r="H294" s="34"/>
      <c r="I294" s="34"/>
      <c r="J294" s="39"/>
      <c r="K294" s="35"/>
      <c r="L294" s="34"/>
      <c r="M294" s="34"/>
      <c r="N294" s="34"/>
      <c r="O294" s="34"/>
      <c r="P294" s="34"/>
      <c r="Q294" s="34"/>
      <c r="R294" s="95"/>
      <c r="S294" s="5"/>
      <c r="T294" s="5"/>
    </row>
    <row r="295" spans="1:20" ht="22.5" x14ac:dyDescent="0.2">
      <c r="A295" s="167">
        <v>31</v>
      </c>
      <c r="B295" s="29" t="s">
        <v>115</v>
      </c>
      <c r="C295" s="6" t="s">
        <v>116</v>
      </c>
      <c r="D295" s="7" t="s">
        <v>45</v>
      </c>
      <c r="E295" s="8"/>
      <c r="F295" s="7"/>
      <c r="G295" s="7"/>
      <c r="H295" s="45">
        <f>VLOOKUP($A295,'Model Inputs'!$A:$C,3,FALSE)</f>
        <v>2400</v>
      </c>
      <c r="I295" s="7"/>
      <c r="J295" s="7">
        <f t="shared" ref="J295" si="418">SUBTOTAL(9,J296:J300)</f>
        <v>36204.928399357996</v>
      </c>
      <c r="K295" s="7"/>
      <c r="L295" s="7">
        <f>ROUNDUP(MAX(L296:L300)/work,0)</f>
        <v>2</v>
      </c>
      <c r="M295" s="7">
        <f>SUBTOTAL(9,M296:M300)</f>
        <v>1805.7509712451438</v>
      </c>
      <c r="N295" s="7">
        <f t="shared" ref="N295:Q295" si="419">SUBTOTAL(9,N296:N300)</f>
        <v>29884.799999999999</v>
      </c>
      <c r="O295" s="7">
        <f t="shared" si="419"/>
        <v>4514.3774281128599</v>
      </c>
      <c r="P295" s="7">
        <f t="shared" si="419"/>
        <v>0</v>
      </c>
      <c r="Q295" s="7">
        <f t="shared" si="419"/>
        <v>36204.928399357996</v>
      </c>
      <c r="R295" s="93"/>
      <c r="S295" s="36"/>
    </row>
    <row r="296" spans="1:20" x14ac:dyDescent="0.2">
      <c r="A296" s="168" t="s">
        <v>230</v>
      </c>
      <c r="B296" s="31">
        <v>1</v>
      </c>
      <c r="C296" s="11" t="s">
        <v>117</v>
      </c>
      <c r="D296" s="11" t="s">
        <v>107</v>
      </c>
      <c r="E296" s="12" t="s">
        <v>189</v>
      </c>
      <c r="F296" s="11">
        <v>1</v>
      </c>
      <c r="G296" s="11">
        <v>1</v>
      </c>
      <c r="H296" s="11">
        <f>H295*0.44</f>
        <v>1056</v>
      </c>
      <c r="I296" s="11">
        <f>VLOOKUP(C296,Resources!$B$3:$G$44,6,FALSE)</f>
        <v>28.3</v>
      </c>
      <c r="J296" s="38">
        <f>(H296/G296)*I296*F296</f>
        <v>29884.799999999999</v>
      </c>
      <c r="K296" s="12" t="str">
        <f t="shared" ref="K296:K300" si="420">IF(E296="M"," ",L296*F296)</f>
        <v xml:space="preserve"> </v>
      </c>
      <c r="L296" s="11" t="str">
        <f t="shared" ref="L296:L300" si="421">IF(E296="M"," ",H296/G296)</f>
        <v xml:space="preserve"> </v>
      </c>
      <c r="M296" s="11">
        <f t="shared" ref="M296:M300" si="422">IF($E296="L",$J296,0)</f>
        <v>0</v>
      </c>
      <c r="N296" s="11">
        <f t="shared" ref="N296:N300" si="423">IF($E296="M",$J296,0)</f>
        <v>29884.799999999999</v>
      </c>
      <c r="O296" s="11">
        <f t="shared" ref="O296:O300" si="424">IF($E296="P",$J296,0)</f>
        <v>0</v>
      </c>
      <c r="P296" s="11">
        <f t="shared" ref="P296:P300" si="425">IF($E296="S",$J296,0)</f>
        <v>0</v>
      </c>
      <c r="Q296" s="11">
        <f t="shared" ref="Q296:Q300" si="426">SUM(M296:P296)</f>
        <v>29884.799999999999</v>
      </c>
      <c r="R296" s="94" t="s">
        <v>231</v>
      </c>
    </row>
    <row r="297" spans="1:20" x14ac:dyDescent="0.2">
      <c r="A297" s="168" t="s">
        <v>230</v>
      </c>
      <c r="B297" s="31">
        <v>2</v>
      </c>
      <c r="C297" s="11" t="s">
        <v>50</v>
      </c>
      <c r="D297" s="11" t="s">
        <v>19</v>
      </c>
      <c r="E297" s="12" t="s">
        <v>190</v>
      </c>
      <c r="F297" s="11">
        <v>1</v>
      </c>
      <c r="G297" s="11">
        <v>66.667000000000002</v>
      </c>
      <c r="H297" s="11">
        <f>H296</f>
        <v>1056</v>
      </c>
      <c r="I297" s="11">
        <f>VLOOKUP(C297,Resources!$B$3:$G$44,6,FALSE)</f>
        <v>135</v>
      </c>
      <c r="J297" s="38">
        <f>(H297/G297)*I297*F297</f>
        <v>2138.3893080534599</v>
      </c>
      <c r="K297" s="12">
        <f t="shared" si="420"/>
        <v>15.839920800395998</v>
      </c>
      <c r="L297" s="11">
        <f t="shared" si="421"/>
        <v>15.839920800395998</v>
      </c>
      <c r="M297" s="11">
        <f t="shared" si="422"/>
        <v>0</v>
      </c>
      <c r="N297" s="11">
        <f t="shared" si="423"/>
        <v>0</v>
      </c>
      <c r="O297" s="11">
        <f t="shared" si="424"/>
        <v>2138.3893080534599</v>
      </c>
      <c r="P297" s="11">
        <f t="shared" si="425"/>
        <v>0</v>
      </c>
      <c r="Q297" s="11">
        <f t="shared" si="426"/>
        <v>2138.3893080534599</v>
      </c>
      <c r="R297" s="94">
        <v>62</v>
      </c>
    </row>
    <row r="298" spans="1:20" x14ac:dyDescent="0.2">
      <c r="A298" s="168" t="s">
        <v>230</v>
      </c>
      <c r="B298" s="31">
        <v>3</v>
      </c>
      <c r="C298" s="11" t="s">
        <v>70</v>
      </c>
      <c r="D298" s="11" t="s">
        <v>19</v>
      </c>
      <c r="E298" s="12" t="s">
        <v>190</v>
      </c>
      <c r="F298" s="11">
        <v>1</v>
      </c>
      <c r="G298" s="11">
        <v>66.667000000000002</v>
      </c>
      <c r="H298" s="11">
        <f t="shared" ref="H298:H300" si="427">H297</f>
        <v>1056</v>
      </c>
      <c r="I298" s="11">
        <f>VLOOKUP(C298,Resources!$B$3:$G$44,6,FALSE)</f>
        <v>55</v>
      </c>
      <c r="J298" s="38">
        <f>(H298/G298)*I298*F298</f>
        <v>871.19564402177991</v>
      </c>
      <c r="K298" s="12">
        <f t="shared" si="420"/>
        <v>15.839920800395998</v>
      </c>
      <c r="L298" s="11">
        <f t="shared" si="421"/>
        <v>15.839920800395998</v>
      </c>
      <c r="M298" s="11">
        <f t="shared" si="422"/>
        <v>0</v>
      </c>
      <c r="N298" s="11">
        <f t="shared" si="423"/>
        <v>0</v>
      </c>
      <c r="O298" s="11">
        <f t="shared" si="424"/>
        <v>871.19564402177991</v>
      </c>
      <c r="P298" s="11">
        <f t="shared" si="425"/>
        <v>0</v>
      </c>
      <c r="Q298" s="11">
        <f t="shared" si="426"/>
        <v>871.19564402177991</v>
      </c>
      <c r="R298" s="94">
        <v>62</v>
      </c>
    </row>
    <row r="299" spans="1:20" x14ac:dyDescent="0.2">
      <c r="A299" s="168" t="s">
        <v>230</v>
      </c>
      <c r="B299" s="31">
        <v>4</v>
      </c>
      <c r="C299" s="11" t="s">
        <v>53</v>
      </c>
      <c r="D299" s="11" t="s">
        <v>19</v>
      </c>
      <c r="E299" s="12" t="s">
        <v>190</v>
      </c>
      <c r="F299" s="11">
        <v>1</v>
      </c>
      <c r="G299" s="11">
        <v>66.667000000000002</v>
      </c>
      <c r="H299" s="11">
        <f t="shared" si="427"/>
        <v>1056</v>
      </c>
      <c r="I299" s="11">
        <f>VLOOKUP(C299,Resources!$B$3:$G$44,6,FALSE)</f>
        <v>95</v>
      </c>
      <c r="J299" s="38">
        <f>(H299/G299)*I299*F299</f>
        <v>1504.7924760376197</v>
      </c>
      <c r="K299" s="12">
        <f t="shared" si="420"/>
        <v>15.839920800395998</v>
      </c>
      <c r="L299" s="11">
        <f t="shared" si="421"/>
        <v>15.839920800395998</v>
      </c>
      <c r="M299" s="11">
        <f t="shared" si="422"/>
        <v>0</v>
      </c>
      <c r="N299" s="11">
        <f t="shared" si="423"/>
        <v>0</v>
      </c>
      <c r="O299" s="11">
        <f t="shared" si="424"/>
        <v>1504.7924760376197</v>
      </c>
      <c r="P299" s="11">
        <f t="shared" si="425"/>
        <v>0</v>
      </c>
      <c r="Q299" s="11">
        <f t="shared" si="426"/>
        <v>1504.7924760376197</v>
      </c>
      <c r="R299" s="94">
        <v>62</v>
      </c>
    </row>
    <row r="300" spans="1:20" x14ac:dyDescent="0.2">
      <c r="A300" s="168" t="s">
        <v>230</v>
      </c>
      <c r="B300" s="31">
        <v>5</v>
      </c>
      <c r="C300" s="11" t="s">
        <v>5</v>
      </c>
      <c r="D300" s="11" t="s">
        <v>19</v>
      </c>
      <c r="E300" s="12" t="s">
        <v>188</v>
      </c>
      <c r="F300" s="11">
        <v>3</v>
      </c>
      <c r="G300" s="11">
        <v>66.667000000000002</v>
      </c>
      <c r="H300" s="11">
        <f t="shared" si="427"/>
        <v>1056</v>
      </c>
      <c r="I300" s="11">
        <f>VLOOKUP(C300,Resources!$B$3:$G$44,6,FALSE)</f>
        <v>38</v>
      </c>
      <c r="J300" s="38">
        <f>(H300/G300)*I300*F300</f>
        <v>1805.7509712451438</v>
      </c>
      <c r="K300" s="12">
        <f t="shared" si="420"/>
        <v>47.51976240118799</v>
      </c>
      <c r="L300" s="11">
        <f t="shared" si="421"/>
        <v>15.839920800395998</v>
      </c>
      <c r="M300" s="11">
        <f t="shared" si="422"/>
        <v>1805.7509712451438</v>
      </c>
      <c r="N300" s="11">
        <f t="shared" si="423"/>
        <v>0</v>
      </c>
      <c r="O300" s="11">
        <f t="shared" si="424"/>
        <v>0</v>
      </c>
      <c r="P300" s="11">
        <f t="shared" si="425"/>
        <v>0</v>
      </c>
      <c r="Q300" s="11">
        <f t="shared" si="426"/>
        <v>1805.7509712451438</v>
      </c>
      <c r="R300" s="94">
        <v>62</v>
      </c>
    </row>
    <row r="301" spans="1:20" x14ac:dyDescent="0.2">
      <c r="A301" s="165" t="s">
        <v>230</v>
      </c>
    </row>
    <row r="302" spans="1:20" s="36" customFormat="1" x14ac:dyDescent="0.2">
      <c r="A302" s="169">
        <v>32</v>
      </c>
      <c r="B302" s="32"/>
      <c r="C302" s="2" t="s">
        <v>212</v>
      </c>
      <c r="D302" s="34"/>
      <c r="E302" s="35"/>
      <c r="F302" s="34"/>
      <c r="G302" s="34"/>
      <c r="H302" s="34"/>
      <c r="I302" s="34"/>
      <c r="J302" s="39"/>
      <c r="K302" s="35"/>
      <c r="L302" s="34"/>
      <c r="M302" s="34"/>
      <c r="N302" s="34"/>
      <c r="O302" s="34"/>
      <c r="P302" s="34"/>
      <c r="Q302" s="34"/>
      <c r="R302" s="95"/>
      <c r="S302" s="5"/>
      <c r="T302" s="5"/>
    </row>
    <row r="303" spans="1:20" ht="22.5" x14ac:dyDescent="0.2">
      <c r="A303" s="167">
        <v>33</v>
      </c>
      <c r="B303" s="29" t="s">
        <v>118</v>
      </c>
      <c r="C303" s="6" t="s">
        <v>119</v>
      </c>
      <c r="D303" s="7" t="s">
        <v>45</v>
      </c>
      <c r="E303" s="8"/>
      <c r="F303" s="7"/>
      <c r="G303" s="7"/>
      <c r="H303" s="45">
        <f>VLOOKUP($A303,'Model Inputs'!$A:$C,3,FALSE)</f>
        <v>15200</v>
      </c>
      <c r="I303" s="7"/>
      <c r="J303" s="7">
        <f t="shared" ref="J303" si="428">SUBTOTAL(9,J305:J307)</f>
        <v>140573.15680961299</v>
      </c>
      <c r="K303" s="7"/>
      <c r="L303" s="7">
        <f>ROUNDUP(MAX(L305:L307)/work,0)</f>
        <v>11</v>
      </c>
      <c r="M303" s="7">
        <f>SUBTOTAL(9,M305:M307)</f>
        <v>11222.251952032304</v>
      </c>
      <c r="N303" s="7">
        <f t="shared" ref="N303:Q303" si="429">SUBTOTAL(9,N305:N307)</f>
        <v>116553.60000000001</v>
      </c>
      <c r="O303" s="7">
        <f t="shared" si="429"/>
        <v>12797.304857580697</v>
      </c>
      <c r="P303" s="7">
        <f t="shared" si="429"/>
        <v>0</v>
      </c>
      <c r="Q303" s="7">
        <f t="shared" si="429"/>
        <v>140573.15680961299</v>
      </c>
      <c r="R303" s="93"/>
      <c r="S303" s="36"/>
      <c r="T303" s="36"/>
    </row>
    <row r="304" spans="1:20" x14ac:dyDescent="0.2">
      <c r="A304" s="165" t="s">
        <v>230</v>
      </c>
      <c r="C304" s="13" t="s">
        <v>215</v>
      </c>
    </row>
    <row r="305" spans="1:20" x14ac:dyDescent="0.2">
      <c r="A305" s="168" t="s">
        <v>230</v>
      </c>
      <c r="B305" s="31">
        <v>1</v>
      </c>
      <c r="C305" s="11" t="s">
        <v>120</v>
      </c>
      <c r="D305" s="11" t="s">
        <v>82</v>
      </c>
      <c r="E305" s="12" t="s">
        <v>189</v>
      </c>
      <c r="F305" s="11">
        <v>1</v>
      </c>
      <c r="G305" s="11">
        <v>1</v>
      </c>
      <c r="H305" s="11">
        <f>H303*1.065</f>
        <v>16188</v>
      </c>
      <c r="I305" s="11">
        <f>VLOOKUP(C305,Resources!$B$3:$G$44,6,FALSE)</f>
        <v>7.2</v>
      </c>
      <c r="J305" s="38">
        <f>(H305/G305)*I305*F305</f>
        <v>116553.60000000001</v>
      </c>
      <c r="K305" s="12" t="str">
        <f t="shared" ref="K305:K307" si="430">IF(E305="M"," ",L305*F305)</f>
        <v xml:space="preserve"> </v>
      </c>
      <c r="L305" s="11" t="str">
        <f t="shared" ref="L305:L307" si="431">IF(E305="M"," ",H305/G305)</f>
        <v xml:space="preserve"> </v>
      </c>
      <c r="M305" s="11">
        <f t="shared" ref="M305:M307" si="432">IF($E305="L",$J305,0)</f>
        <v>0</v>
      </c>
      <c r="N305" s="11">
        <f t="shared" ref="N305:N307" si="433">IF($E305="M",$J305,0)</f>
        <v>116553.60000000001</v>
      </c>
      <c r="O305" s="11">
        <f t="shared" ref="O305:O307" si="434">IF($E305="P",$J305,0)</f>
        <v>0</v>
      </c>
      <c r="P305" s="11">
        <f t="shared" ref="P305:P307" si="435">IF($E305="S",$J305,0)</f>
        <v>0</v>
      </c>
      <c r="Q305" s="11">
        <f t="shared" ref="Q305:Q307" si="436">SUM(M305:P305)</f>
        <v>116553.60000000001</v>
      </c>
      <c r="R305" s="94">
        <v>223</v>
      </c>
    </row>
    <row r="306" spans="1:20" x14ac:dyDescent="0.2">
      <c r="A306" s="168">
        <v>33.1</v>
      </c>
      <c r="B306" s="31">
        <v>2</v>
      </c>
      <c r="C306" s="11" t="s">
        <v>18</v>
      </c>
      <c r="D306" s="11" t="s">
        <v>19</v>
      </c>
      <c r="E306" s="12" t="s">
        <v>190</v>
      </c>
      <c r="F306" s="11">
        <v>1</v>
      </c>
      <c r="G306" s="45">
        <f>VLOOKUP($A306,'Model Inputs'!$A:$C,3,FALSE)</f>
        <v>164.44399999999999</v>
      </c>
      <c r="H306" s="11">
        <f>H305</f>
        <v>16188</v>
      </c>
      <c r="I306" s="11">
        <f>VLOOKUP(C306,Resources!$B$3:$G$44,6,FALSE)</f>
        <v>130</v>
      </c>
      <c r="J306" s="38">
        <f>(H306/G306)*I306*F306</f>
        <v>12797.304857580697</v>
      </c>
      <c r="K306" s="12">
        <f t="shared" si="430"/>
        <v>98.440806596774593</v>
      </c>
      <c r="L306" s="11">
        <f t="shared" si="431"/>
        <v>98.440806596774593</v>
      </c>
      <c r="M306" s="11">
        <f t="shared" si="432"/>
        <v>0</v>
      </c>
      <c r="N306" s="11">
        <f t="shared" si="433"/>
        <v>0</v>
      </c>
      <c r="O306" s="11">
        <f t="shared" si="434"/>
        <v>12797.304857580697</v>
      </c>
      <c r="P306" s="11">
        <f t="shared" si="435"/>
        <v>0</v>
      </c>
      <c r="Q306" s="11">
        <f t="shared" si="436"/>
        <v>12797.304857580697</v>
      </c>
      <c r="R306" s="94">
        <v>223</v>
      </c>
    </row>
    <row r="307" spans="1:20" x14ac:dyDescent="0.2">
      <c r="A307" s="168" t="s">
        <v>230</v>
      </c>
      <c r="B307" s="31">
        <v>3</v>
      </c>
      <c r="C307" s="11" t="s">
        <v>5</v>
      </c>
      <c r="D307" s="11" t="s">
        <v>19</v>
      </c>
      <c r="E307" s="12" t="s">
        <v>188</v>
      </c>
      <c r="F307" s="11">
        <v>3</v>
      </c>
      <c r="G307" s="11">
        <f>G306</f>
        <v>164.44399999999999</v>
      </c>
      <c r="H307" s="11">
        <f>H306</f>
        <v>16188</v>
      </c>
      <c r="I307" s="11">
        <f>VLOOKUP(C307,Resources!$B$3:$G$44,6,FALSE)</f>
        <v>38</v>
      </c>
      <c r="J307" s="38">
        <f>(H307/G307)*I307*F307</f>
        <v>11222.251952032304</v>
      </c>
      <c r="K307" s="12">
        <f t="shared" si="430"/>
        <v>295.32241979032381</v>
      </c>
      <c r="L307" s="11">
        <f t="shared" si="431"/>
        <v>98.440806596774593</v>
      </c>
      <c r="M307" s="11">
        <f t="shared" si="432"/>
        <v>11222.251952032304</v>
      </c>
      <c r="N307" s="11">
        <f t="shared" si="433"/>
        <v>0</v>
      </c>
      <c r="O307" s="11">
        <f t="shared" si="434"/>
        <v>0</v>
      </c>
      <c r="P307" s="11">
        <f t="shared" si="435"/>
        <v>0</v>
      </c>
      <c r="Q307" s="11">
        <f t="shared" si="436"/>
        <v>11222.251952032304</v>
      </c>
      <c r="R307" s="94">
        <v>223</v>
      </c>
    </row>
    <row r="308" spans="1:20" x14ac:dyDescent="0.2">
      <c r="A308" s="165" t="s">
        <v>230</v>
      </c>
    </row>
    <row r="309" spans="1:20" ht="22.5" x14ac:dyDescent="0.2">
      <c r="A309" s="167">
        <v>34</v>
      </c>
      <c r="B309" s="29" t="s">
        <v>121</v>
      </c>
      <c r="C309" s="6" t="s">
        <v>122</v>
      </c>
      <c r="D309" s="7" t="s">
        <v>45</v>
      </c>
      <c r="E309" s="8"/>
      <c r="F309" s="7"/>
      <c r="G309" s="7"/>
      <c r="H309" s="45">
        <f>VLOOKUP($A309,'Model Inputs'!$A:$C,3,FALSE)</f>
        <v>15200</v>
      </c>
      <c r="I309" s="7"/>
      <c r="J309" s="7">
        <f t="shared" ref="J309" si="437">SUBTOTAL(9,J311:J312)</f>
        <v>50804.592065383964</v>
      </c>
      <c r="K309" s="7"/>
      <c r="L309" s="7">
        <f>ROUNDUP(MAX(L311:L312)/work,0)</f>
        <v>11</v>
      </c>
      <c r="M309" s="7">
        <f>SUBTOTAL(9,M311:M312)</f>
        <v>11064.192065383962</v>
      </c>
      <c r="N309" s="7">
        <f t="shared" ref="N309:Q309" si="438">SUBTOTAL(9,N311:N312)</f>
        <v>39740.400000000001</v>
      </c>
      <c r="O309" s="7">
        <f t="shared" si="438"/>
        <v>0</v>
      </c>
      <c r="P309" s="7">
        <f t="shared" si="438"/>
        <v>0</v>
      </c>
      <c r="Q309" s="7">
        <f t="shared" si="438"/>
        <v>50804.592065383964</v>
      </c>
      <c r="R309" s="93"/>
    </row>
    <row r="310" spans="1:20" x14ac:dyDescent="0.2">
      <c r="A310" s="165" t="s">
        <v>230</v>
      </c>
      <c r="C310" s="13" t="s">
        <v>216</v>
      </c>
    </row>
    <row r="311" spans="1:20" x14ac:dyDescent="0.2">
      <c r="A311" s="168" t="s">
        <v>230</v>
      </c>
      <c r="B311" s="31">
        <v>1</v>
      </c>
      <c r="C311" s="11" t="s">
        <v>195</v>
      </c>
      <c r="D311" s="11" t="s">
        <v>82</v>
      </c>
      <c r="E311" s="12" t="s">
        <v>189</v>
      </c>
      <c r="F311" s="11">
        <v>1</v>
      </c>
      <c r="G311" s="11">
        <v>1</v>
      </c>
      <c r="H311" s="11">
        <f>H309*1.05</f>
        <v>15960</v>
      </c>
      <c r="I311" s="11">
        <f>VLOOKUP(C311,Resources!$B$3:$G$44,6,FALSE)</f>
        <v>2.4900000000000002</v>
      </c>
      <c r="J311" s="38">
        <f>(H311/G311)*I311*F311</f>
        <v>39740.400000000001</v>
      </c>
      <c r="K311" s="12" t="str">
        <f t="shared" ref="K311:K312" si="439">IF(E311="M"," ",L311*F311)</f>
        <v xml:space="preserve"> </v>
      </c>
      <c r="L311" s="11" t="str">
        <f t="shared" ref="L311:L312" si="440">IF(E311="M"," ",H311/G311)</f>
        <v xml:space="preserve"> </v>
      </c>
      <c r="M311" s="11">
        <f t="shared" ref="M311:M312" si="441">IF($E311="L",$J311,0)</f>
        <v>0</v>
      </c>
      <c r="N311" s="11">
        <f t="shared" ref="N311:N312" si="442">IF($E311="M",$J311,0)</f>
        <v>39740.400000000001</v>
      </c>
      <c r="O311" s="11">
        <f t="shared" ref="O311:O312" si="443">IF($E311="P",$J311,0)</f>
        <v>0</v>
      </c>
      <c r="P311" s="11">
        <f t="shared" ref="P311:P312" si="444">IF($E311="S",$J311,0)</f>
        <v>0</v>
      </c>
      <c r="Q311" s="11">
        <f t="shared" ref="Q311:Q312" si="445">SUM(M311:P311)</f>
        <v>39740.400000000001</v>
      </c>
      <c r="R311" s="94">
        <v>161</v>
      </c>
      <c r="T311" s="36"/>
    </row>
    <row r="312" spans="1:20" x14ac:dyDescent="0.2">
      <c r="A312" s="168" t="s">
        <v>230</v>
      </c>
      <c r="B312" s="31">
        <v>2</v>
      </c>
      <c r="C312" s="11" t="s">
        <v>5</v>
      </c>
      <c r="D312" s="11" t="s">
        <v>19</v>
      </c>
      <c r="E312" s="12" t="s">
        <v>188</v>
      </c>
      <c r="F312" s="11">
        <v>3</v>
      </c>
      <c r="G312" s="11">
        <v>164.44399999999999</v>
      </c>
      <c r="H312" s="11">
        <f>H311</f>
        <v>15960</v>
      </c>
      <c r="I312" s="11">
        <f>VLOOKUP(C312,Resources!$B$3:$G$44,6,FALSE)</f>
        <v>38</v>
      </c>
      <c r="J312" s="38">
        <f>(H312/G312)*I312*F312</f>
        <v>11064.192065383962</v>
      </c>
      <c r="K312" s="12">
        <f t="shared" si="439"/>
        <v>291.16294908905161</v>
      </c>
      <c r="L312" s="11">
        <f t="shared" si="440"/>
        <v>97.054316363017207</v>
      </c>
      <c r="M312" s="11">
        <f t="shared" si="441"/>
        <v>11064.192065383962</v>
      </c>
      <c r="N312" s="11">
        <f t="shared" si="442"/>
        <v>0</v>
      </c>
      <c r="O312" s="11">
        <f t="shared" si="443"/>
        <v>0</v>
      </c>
      <c r="P312" s="11">
        <f t="shared" si="444"/>
        <v>0</v>
      </c>
      <c r="Q312" s="11">
        <f t="shared" si="445"/>
        <v>11064.192065383962</v>
      </c>
      <c r="R312" s="94">
        <v>161</v>
      </c>
    </row>
    <row r="313" spans="1:20" x14ac:dyDescent="0.2">
      <c r="A313" s="165" t="s">
        <v>230</v>
      </c>
    </row>
    <row r="314" spans="1:20" ht="22.5" x14ac:dyDescent="0.2">
      <c r="A314" s="167">
        <v>35</v>
      </c>
      <c r="B314" s="29" t="s">
        <v>123</v>
      </c>
      <c r="C314" s="6" t="s">
        <v>124</v>
      </c>
      <c r="D314" s="7" t="s">
        <v>45</v>
      </c>
      <c r="E314" s="8"/>
      <c r="F314" s="7"/>
      <c r="G314" s="7"/>
      <c r="H314" s="45">
        <f>VLOOKUP($A314,'Model Inputs'!$A:$C,3,FALSE)</f>
        <v>15200</v>
      </c>
      <c r="I314" s="7"/>
      <c r="J314" s="7">
        <f t="shared" ref="J314" si="446">SUBTOTAL(9,J315:J316)</f>
        <v>27502.992065383962</v>
      </c>
      <c r="K314" s="7"/>
      <c r="L314" s="7">
        <f>ROUNDUP(MAX(L315:L316)/work,0)</f>
        <v>11</v>
      </c>
      <c r="M314" s="7">
        <f>SUBTOTAL(9,M315:M316)</f>
        <v>11064.192065383962</v>
      </c>
      <c r="N314" s="7">
        <f t="shared" ref="N314:Q314" si="447">SUBTOTAL(9,N315:N316)</f>
        <v>16438.8</v>
      </c>
      <c r="O314" s="7">
        <f t="shared" si="447"/>
        <v>0</v>
      </c>
      <c r="P314" s="7">
        <f t="shared" si="447"/>
        <v>0</v>
      </c>
      <c r="Q314" s="7">
        <f t="shared" si="447"/>
        <v>27502.992065383962</v>
      </c>
      <c r="R314" s="93"/>
    </row>
    <row r="315" spans="1:20" x14ac:dyDescent="0.2">
      <c r="A315" s="168" t="s">
        <v>230</v>
      </c>
      <c r="B315" s="31">
        <v>1</v>
      </c>
      <c r="C315" s="11" t="s">
        <v>194</v>
      </c>
      <c r="D315" s="11" t="s">
        <v>82</v>
      </c>
      <c r="E315" s="12" t="s">
        <v>189</v>
      </c>
      <c r="F315" s="11">
        <v>1</v>
      </c>
      <c r="G315" s="11">
        <v>1</v>
      </c>
      <c r="H315" s="11">
        <v>15960</v>
      </c>
      <c r="I315" s="11">
        <f>VLOOKUP(C315,Resources!$B$3:$G$44,6,FALSE)</f>
        <v>1.03</v>
      </c>
      <c r="J315" s="38">
        <f>(H315/G315)*I315*F315</f>
        <v>16438.8</v>
      </c>
      <c r="K315" s="12" t="str">
        <f t="shared" ref="K315:K316" si="448">IF(E315="M"," ",L315*F315)</f>
        <v xml:space="preserve"> </v>
      </c>
      <c r="L315" s="11" t="str">
        <f t="shared" ref="L315:L316" si="449">IF(E315="M"," ",H315/G315)</f>
        <v xml:space="preserve"> </v>
      </c>
      <c r="M315" s="11">
        <f t="shared" ref="M315:M316" si="450">IF($E315="L",$J315,0)</f>
        <v>0</v>
      </c>
      <c r="N315" s="11">
        <f t="shared" ref="N315:N316" si="451">IF($E315="M",$J315,0)</f>
        <v>16438.8</v>
      </c>
      <c r="O315" s="11">
        <f t="shared" ref="O315:O316" si="452">IF($E315="P",$J315,0)</f>
        <v>0</v>
      </c>
      <c r="P315" s="11">
        <f t="shared" ref="P315:P316" si="453">IF($E315="S",$J315,0)</f>
        <v>0</v>
      </c>
      <c r="Q315" s="11">
        <f t="shared" ref="Q315:Q316" si="454">SUM(M315:P315)</f>
        <v>16438.8</v>
      </c>
      <c r="R315" s="94">
        <v>162</v>
      </c>
    </row>
    <row r="316" spans="1:20" x14ac:dyDescent="0.2">
      <c r="A316" s="168" t="s">
        <v>230</v>
      </c>
      <c r="B316" s="31">
        <v>2</v>
      </c>
      <c r="C316" s="11" t="s">
        <v>5</v>
      </c>
      <c r="D316" s="11" t="s">
        <v>19</v>
      </c>
      <c r="E316" s="12" t="s">
        <v>188</v>
      </c>
      <c r="F316" s="11">
        <v>3</v>
      </c>
      <c r="G316" s="11">
        <v>164.44399999999999</v>
      </c>
      <c r="H316" s="11">
        <v>15960</v>
      </c>
      <c r="I316" s="11">
        <f>VLOOKUP(C316,Resources!$B$3:$G$44,6,FALSE)</f>
        <v>38</v>
      </c>
      <c r="J316" s="38">
        <f>(H316/G316)*I316*F316</f>
        <v>11064.192065383962</v>
      </c>
      <c r="K316" s="12">
        <f t="shared" si="448"/>
        <v>291.16294908905161</v>
      </c>
      <c r="L316" s="11">
        <f t="shared" si="449"/>
        <v>97.054316363017207</v>
      </c>
      <c r="M316" s="11">
        <f t="shared" si="450"/>
        <v>11064.192065383962</v>
      </c>
      <c r="N316" s="11">
        <f t="shared" si="451"/>
        <v>0</v>
      </c>
      <c r="O316" s="11">
        <f t="shared" si="452"/>
        <v>0</v>
      </c>
      <c r="P316" s="11">
        <f t="shared" si="453"/>
        <v>0</v>
      </c>
      <c r="Q316" s="11">
        <f t="shared" si="454"/>
        <v>11064.192065383962</v>
      </c>
      <c r="R316" s="94">
        <v>162</v>
      </c>
    </row>
    <row r="317" spans="1:20" x14ac:dyDescent="0.2">
      <c r="A317" s="165" t="s">
        <v>230</v>
      </c>
    </row>
    <row r="318" spans="1:20" ht="22.5" x14ac:dyDescent="0.2">
      <c r="A318" s="167">
        <v>36</v>
      </c>
      <c r="B318" s="29" t="s">
        <v>125</v>
      </c>
      <c r="C318" s="6" t="s">
        <v>126</v>
      </c>
      <c r="D318" s="7" t="s">
        <v>45</v>
      </c>
      <c r="E318" s="8"/>
      <c r="F318" s="7"/>
      <c r="G318" s="7"/>
      <c r="H318" s="7">
        <v>3400</v>
      </c>
      <c r="I318" s="7"/>
      <c r="J318" s="7">
        <f t="shared" ref="J318" si="455">SUBTOTAL(9,J319)</f>
        <v>26553</v>
      </c>
      <c r="K318" s="7"/>
      <c r="L318" s="45">
        <f>VLOOKUP($A318,'Model Inputs'!$A:$C,3,FALSE)</f>
        <v>1</v>
      </c>
      <c r="M318" s="7">
        <f>SUBTOTAL(9,M319)</f>
        <v>0</v>
      </c>
      <c r="N318" s="7">
        <f t="shared" ref="N318:Q318" si="456">SUBTOTAL(9,N319)</f>
        <v>0</v>
      </c>
      <c r="O318" s="7">
        <f t="shared" si="456"/>
        <v>0</v>
      </c>
      <c r="P318" s="7">
        <f t="shared" si="456"/>
        <v>26553</v>
      </c>
      <c r="Q318" s="7">
        <f t="shared" si="456"/>
        <v>26553</v>
      </c>
      <c r="R318" s="93"/>
    </row>
    <row r="319" spans="1:20" x14ac:dyDescent="0.2">
      <c r="A319" s="168" t="s">
        <v>230</v>
      </c>
      <c r="B319" s="31">
        <v>1</v>
      </c>
      <c r="C319" s="11" t="s">
        <v>197</v>
      </c>
      <c r="D319" s="11" t="s">
        <v>12</v>
      </c>
      <c r="E319" s="12" t="s">
        <v>191</v>
      </c>
      <c r="F319" s="11">
        <v>1</v>
      </c>
      <c r="G319" s="11">
        <v>1</v>
      </c>
      <c r="H319" s="11">
        <v>1</v>
      </c>
      <c r="I319" s="11">
        <f>VLOOKUP(C319,Resources!$B$3:$G$44,6,FALSE)</f>
        <v>26553</v>
      </c>
      <c r="J319" s="38">
        <f>(H319/G319)*I319*F319</f>
        <v>26553</v>
      </c>
      <c r="K319" s="12">
        <f t="shared" ref="K319" si="457">IF(E319="M"," ",L319*F319)</f>
        <v>1</v>
      </c>
      <c r="L319" s="11">
        <f t="shared" ref="L319" si="458">IF(E319="M"," ",H319/G319)</f>
        <v>1</v>
      </c>
      <c r="M319" s="11">
        <f t="shared" ref="M319" si="459">IF($E319="L",$J319,0)</f>
        <v>0</v>
      </c>
      <c r="N319" s="11">
        <f t="shared" ref="N319" si="460">IF($E319="M",$J319,0)</f>
        <v>0</v>
      </c>
      <c r="O319" s="11">
        <f t="shared" ref="O319" si="461">IF($E319="P",$J319,0)</f>
        <v>0</v>
      </c>
      <c r="P319" s="11">
        <f t="shared" ref="P319" si="462">IF($E319="S",$J319,0)</f>
        <v>26553</v>
      </c>
      <c r="Q319" s="11">
        <f t="shared" ref="Q319" si="463">SUM(M319:P319)</f>
        <v>26553</v>
      </c>
      <c r="R319" s="94">
        <v>222</v>
      </c>
    </row>
    <row r="320" spans="1:20" x14ac:dyDescent="0.2">
      <c r="A320" s="165" t="s">
        <v>230</v>
      </c>
    </row>
    <row r="321" spans="1:20" s="36" customFormat="1" x14ac:dyDescent="0.2">
      <c r="A321" s="169">
        <v>37</v>
      </c>
      <c r="B321" s="32"/>
      <c r="C321" s="2" t="s">
        <v>213</v>
      </c>
      <c r="D321" s="34"/>
      <c r="E321" s="35"/>
      <c r="F321" s="34"/>
      <c r="G321" s="34"/>
      <c r="H321" s="34"/>
      <c r="I321" s="34"/>
      <c r="J321" s="39"/>
      <c r="K321" s="35"/>
      <c r="L321" s="34"/>
      <c r="M321" s="34"/>
      <c r="N321" s="34"/>
      <c r="O321" s="34"/>
      <c r="P321" s="34"/>
      <c r="Q321" s="34"/>
      <c r="R321" s="95"/>
      <c r="S321" s="5"/>
      <c r="T321" s="5"/>
    </row>
    <row r="322" spans="1:20" ht="22.5" x14ac:dyDescent="0.2">
      <c r="A322" s="167">
        <v>38</v>
      </c>
      <c r="B322" s="29" t="s">
        <v>127</v>
      </c>
      <c r="C322" s="6" t="s">
        <v>128</v>
      </c>
      <c r="D322" s="7" t="s">
        <v>31</v>
      </c>
      <c r="E322" s="8"/>
      <c r="F322" s="7"/>
      <c r="G322" s="7"/>
      <c r="H322" s="45">
        <f>VLOOKUP($A322,'Model Inputs'!$A:$C,3,FALSE)</f>
        <v>550</v>
      </c>
      <c r="I322" s="7"/>
      <c r="J322" s="7">
        <f t="shared" ref="J322" si="464">SUBTOTAL(9,J323:J330)</f>
        <v>21419</v>
      </c>
      <c r="K322" s="7"/>
      <c r="L322" s="7">
        <f>ROUNDUP(MAX(L323:L330)/work,0)</f>
        <v>5</v>
      </c>
      <c r="M322" s="7">
        <f>SUBTOTAL(9,M323:M330)</f>
        <v>4484</v>
      </c>
      <c r="N322" s="7">
        <f t="shared" ref="N322:Q322" si="465">SUBTOTAL(9,N323:N330)</f>
        <v>12595</v>
      </c>
      <c r="O322" s="7">
        <f t="shared" si="465"/>
        <v>2340</v>
      </c>
      <c r="P322" s="7">
        <f t="shared" si="465"/>
        <v>2000</v>
      </c>
      <c r="Q322" s="7">
        <f t="shared" si="465"/>
        <v>21419</v>
      </c>
      <c r="R322" s="93"/>
      <c r="S322" s="36"/>
    </row>
    <row r="323" spans="1:20" x14ac:dyDescent="0.2">
      <c r="A323" s="168" t="s">
        <v>230</v>
      </c>
      <c r="B323" s="31">
        <v>1</v>
      </c>
      <c r="C323" s="11" t="s">
        <v>129</v>
      </c>
      <c r="D323" s="11" t="s">
        <v>31</v>
      </c>
      <c r="E323" s="12" t="s">
        <v>189</v>
      </c>
      <c r="F323" s="11">
        <v>1</v>
      </c>
      <c r="G323" s="11">
        <v>1</v>
      </c>
      <c r="H323" s="11">
        <v>550</v>
      </c>
      <c r="I323" s="11">
        <f>VLOOKUP(C323,Resources!$B$3:$G$44,6,FALSE)</f>
        <v>22.9</v>
      </c>
      <c r="J323" s="38">
        <f>(H323/G323)*I323*F323</f>
        <v>12595</v>
      </c>
      <c r="K323" s="12" t="str">
        <f t="shared" ref="K323" si="466">IF(E323="M"," ",L323*F323)</f>
        <v xml:space="preserve"> </v>
      </c>
      <c r="L323" s="11" t="str">
        <f t="shared" ref="L323" si="467">IF(E323="M"," ",H323/G323)</f>
        <v xml:space="preserve"> </v>
      </c>
      <c r="M323" s="11">
        <f t="shared" ref="M323" si="468">IF($E323="L",$J323,0)</f>
        <v>0</v>
      </c>
      <c r="N323" s="11">
        <f t="shared" ref="N323" si="469">IF($E323="M",$J323,0)</f>
        <v>12595</v>
      </c>
      <c r="O323" s="11">
        <f t="shared" ref="O323" si="470">IF($E323="P",$J323,0)</f>
        <v>0</v>
      </c>
      <c r="P323" s="11">
        <f t="shared" ref="P323" si="471">IF($E323="S",$J323,0)</f>
        <v>0</v>
      </c>
      <c r="Q323" s="11">
        <f t="shared" ref="Q323" si="472">SUM(M323:P323)</f>
        <v>12595</v>
      </c>
      <c r="R323" s="94" t="s">
        <v>234</v>
      </c>
    </row>
    <row r="324" spans="1:20" x14ac:dyDescent="0.2">
      <c r="A324" s="165" t="s">
        <v>230</v>
      </c>
      <c r="B324" s="30">
        <v>3</v>
      </c>
      <c r="C324" s="13" t="s">
        <v>130</v>
      </c>
    </row>
    <row r="325" spans="1:20" x14ac:dyDescent="0.2">
      <c r="A325" s="168" t="s">
        <v>230</v>
      </c>
      <c r="B325" s="31">
        <v>4</v>
      </c>
      <c r="C325" s="11" t="s">
        <v>5</v>
      </c>
      <c r="D325" s="11" t="s">
        <v>19</v>
      </c>
      <c r="E325" s="12" t="s">
        <v>188</v>
      </c>
      <c r="F325" s="11">
        <v>2</v>
      </c>
      <c r="G325" s="11">
        <v>1</v>
      </c>
      <c r="H325" s="11">
        <v>41</v>
      </c>
      <c r="I325" s="11">
        <f>VLOOKUP(C325,Resources!$B$3:$G$44,6,FALSE)</f>
        <v>38</v>
      </c>
      <c r="J325" s="38">
        <f>(H325/G325)*I325*F325</f>
        <v>3116</v>
      </c>
      <c r="K325" s="12">
        <f t="shared" ref="K325" si="473">IF(E325="M"," ",L325*F325)</f>
        <v>82</v>
      </c>
      <c r="L325" s="11">
        <f t="shared" ref="L325" si="474">IF(E325="M"," ",H325/G325)</f>
        <v>41</v>
      </c>
      <c r="M325" s="11">
        <f t="shared" ref="M325" si="475">IF($E325="L",$J325,0)</f>
        <v>3116</v>
      </c>
      <c r="N325" s="11">
        <f t="shared" ref="N325" si="476">IF($E325="M",$J325,0)</f>
        <v>0</v>
      </c>
      <c r="O325" s="11">
        <f t="shared" ref="O325" si="477">IF($E325="P",$J325,0)</f>
        <v>0</v>
      </c>
      <c r="P325" s="11">
        <f t="shared" ref="P325" si="478">IF($E325="S",$J325,0)</f>
        <v>0</v>
      </c>
      <c r="Q325" s="11">
        <f t="shared" ref="Q325" si="479">SUM(M325:P325)</f>
        <v>3116</v>
      </c>
      <c r="R325" s="94">
        <v>91</v>
      </c>
    </row>
    <row r="326" spans="1:20" x14ac:dyDescent="0.2">
      <c r="A326" s="165" t="s">
        <v>230</v>
      </c>
      <c r="B326" s="30">
        <v>5</v>
      </c>
      <c r="C326" s="13" t="s">
        <v>131</v>
      </c>
    </row>
    <row r="327" spans="1:20" x14ac:dyDescent="0.2">
      <c r="A327" s="168" t="s">
        <v>230</v>
      </c>
      <c r="B327" s="31">
        <v>6</v>
      </c>
      <c r="C327" s="11" t="s">
        <v>132</v>
      </c>
      <c r="D327" s="11" t="s">
        <v>33</v>
      </c>
      <c r="E327" s="12" t="s">
        <v>191</v>
      </c>
      <c r="F327" s="11">
        <v>1</v>
      </c>
      <c r="G327" s="11">
        <v>1</v>
      </c>
      <c r="H327" s="11">
        <v>40</v>
      </c>
      <c r="I327" s="11">
        <f>VLOOKUP(C327,Resources!$B$3:$G$44,6,FALSE)</f>
        <v>50</v>
      </c>
      <c r="J327" s="38">
        <f>(H327/G327)*I327*F327</f>
        <v>2000</v>
      </c>
      <c r="K327" s="12">
        <f t="shared" ref="K327" si="480">IF(E327="M"," ",L327*F327)</f>
        <v>40</v>
      </c>
      <c r="L327" s="11">
        <f t="shared" ref="L327" si="481">IF(E327="M"," ",H327/G327)</f>
        <v>40</v>
      </c>
      <c r="M327" s="11">
        <f t="shared" ref="M327" si="482">IF($E327="L",$J327,0)</f>
        <v>0</v>
      </c>
      <c r="N327" s="11">
        <f t="shared" ref="N327" si="483">IF($E327="M",$J327,0)</f>
        <v>0</v>
      </c>
      <c r="O327" s="11">
        <f t="shared" ref="O327" si="484">IF($E327="P",$J327,0)</f>
        <v>0</v>
      </c>
      <c r="P327" s="11">
        <f t="shared" ref="P327" si="485">IF($E327="S",$J327,0)</f>
        <v>2000</v>
      </c>
      <c r="Q327" s="11">
        <f t="shared" ref="Q327" si="486">SUM(M327:P327)</f>
        <v>2000</v>
      </c>
      <c r="R327" s="94">
        <v>91</v>
      </c>
    </row>
    <row r="328" spans="1:20" x14ac:dyDescent="0.2">
      <c r="A328" s="165" t="s">
        <v>230</v>
      </c>
      <c r="B328" s="30">
        <v>7</v>
      </c>
      <c r="C328" s="13" t="s">
        <v>133</v>
      </c>
    </row>
    <row r="329" spans="1:20" x14ac:dyDescent="0.2">
      <c r="A329" s="168" t="s">
        <v>230</v>
      </c>
      <c r="B329" s="31">
        <v>8</v>
      </c>
      <c r="C329" s="11" t="s">
        <v>18</v>
      </c>
      <c r="D329" s="11" t="s">
        <v>19</v>
      </c>
      <c r="E329" s="12" t="s">
        <v>190</v>
      </c>
      <c r="F329" s="11">
        <v>1</v>
      </c>
      <c r="G329" s="11">
        <v>1</v>
      </c>
      <c r="H329" s="11">
        <v>18</v>
      </c>
      <c r="I329" s="11">
        <f>VLOOKUP(C329,Resources!$B$3:$G$44,6,FALSE)</f>
        <v>130</v>
      </c>
      <c r="J329" s="38">
        <f>(H329/G329)*I329*F329</f>
        <v>2340</v>
      </c>
      <c r="K329" s="12">
        <f t="shared" ref="K329:K330" si="487">IF(E329="M"," ",L329*F329)</f>
        <v>18</v>
      </c>
      <c r="L329" s="11">
        <f t="shared" ref="L329:L330" si="488">IF(E329="M"," ",H329/G329)</f>
        <v>18</v>
      </c>
      <c r="M329" s="11">
        <f t="shared" ref="M329:M330" si="489">IF($E329="L",$J329,0)</f>
        <v>0</v>
      </c>
      <c r="N329" s="11">
        <f t="shared" ref="N329:N330" si="490">IF($E329="M",$J329,0)</f>
        <v>0</v>
      </c>
      <c r="O329" s="11">
        <f t="shared" ref="O329:O330" si="491">IF($E329="P",$J329,0)</f>
        <v>2340</v>
      </c>
      <c r="P329" s="11">
        <f t="shared" ref="P329:P330" si="492">IF($E329="S",$J329,0)</f>
        <v>0</v>
      </c>
      <c r="Q329" s="11">
        <f t="shared" ref="Q329:Q330" si="493">SUM(M329:P329)</f>
        <v>2340</v>
      </c>
      <c r="R329" s="94">
        <v>91</v>
      </c>
    </row>
    <row r="330" spans="1:20" x14ac:dyDescent="0.2">
      <c r="A330" s="168" t="s">
        <v>230</v>
      </c>
      <c r="B330" s="31">
        <v>9</v>
      </c>
      <c r="C330" s="11" t="s">
        <v>5</v>
      </c>
      <c r="D330" s="11" t="s">
        <v>19</v>
      </c>
      <c r="E330" s="12" t="s">
        <v>188</v>
      </c>
      <c r="F330" s="11">
        <v>2</v>
      </c>
      <c r="G330" s="11">
        <v>1</v>
      </c>
      <c r="H330" s="11">
        <v>18</v>
      </c>
      <c r="I330" s="11">
        <f>VLOOKUP(C330,Resources!$B$3:$G$44,6,FALSE)</f>
        <v>38</v>
      </c>
      <c r="J330" s="38">
        <f>(H330/G330)*I330*F330</f>
        <v>1368</v>
      </c>
      <c r="K330" s="12">
        <f t="shared" si="487"/>
        <v>36</v>
      </c>
      <c r="L330" s="11">
        <f t="shared" si="488"/>
        <v>18</v>
      </c>
      <c r="M330" s="11">
        <f t="shared" si="489"/>
        <v>1368</v>
      </c>
      <c r="N330" s="11">
        <f t="shared" si="490"/>
        <v>0</v>
      </c>
      <c r="O330" s="11">
        <f t="shared" si="491"/>
        <v>0</v>
      </c>
      <c r="P330" s="11">
        <f t="shared" si="492"/>
        <v>0</v>
      </c>
      <c r="Q330" s="11">
        <f t="shared" si="493"/>
        <v>1368</v>
      </c>
      <c r="R330" s="94">
        <v>91</v>
      </c>
      <c r="T330" s="36"/>
    </row>
    <row r="331" spans="1:20" x14ac:dyDescent="0.2">
      <c r="A331" s="165" t="s">
        <v>230</v>
      </c>
    </row>
    <row r="332" spans="1:20" ht="22.5" x14ac:dyDescent="0.2">
      <c r="A332" s="167">
        <v>39</v>
      </c>
      <c r="B332" s="29" t="s">
        <v>134</v>
      </c>
      <c r="C332" s="6" t="s">
        <v>135</v>
      </c>
      <c r="D332" s="7" t="s">
        <v>31</v>
      </c>
      <c r="E332" s="8"/>
      <c r="F332" s="7"/>
      <c r="G332" s="7"/>
      <c r="H332" s="45">
        <f>VLOOKUP($A332,'Model Inputs'!$A:$C,3,FALSE)</f>
        <v>80</v>
      </c>
      <c r="I332" s="7"/>
      <c r="J332" s="7">
        <f t="shared" ref="J332" si="494">SUBTOTAL(9,J333:J341)</f>
        <v>6097</v>
      </c>
      <c r="K332" s="7"/>
      <c r="L332" s="7">
        <f>ROUNDUP(MAX(L333:L341)/work,0)</f>
        <v>2</v>
      </c>
      <c r="M332" s="7">
        <f>SUBTOTAL(9,M333:M341)</f>
        <v>988</v>
      </c>
      <c r="N332" s="7">
        <f t="shared" ref="N332:Q332" si="495">SUBTOTAL(9,N333:N341)</f>
        <v>3789</v>
      </c>
      <c r="O332" s="7">
        <f t="shared" si="495"/>
        <v>520</v>
      </c>
      <c r="P332" s="7">
        <f t="shared" si="495"/>
        <v>800</v>
      </c>
      <c r="Q332" s="7">
        <f t="shared" si="495"/>
        <v>6097</v>
      </c>
      <c r="R332" s="93"/>
    </row>
    <row r="333" spans="1:20" x14ac:dyDescent="0.2">
      <c r="A333" s="168" t="s">
        <v>230</v>
      </c>
      <c r="B333" s="31">
        <v>1</v>
      </c>
      <c r="C333" s="11" t="s">
        <v>129</v>
      </c>
      <c r="D333" s="11" t="s">
        <v>31</v>
      </c>
      <c r="E333" s="12" t="s">
        <v>189</v>
      </c>
      <c r="F333" s="11">
        <v>1</v>
      </c>
      <c r="G333" s="11">
        <v>1</v>
      </c>
      <c r="H333" s="11">
        <v>80</v>
      </c>
      <c r="I333" s="11">
        <f>VLOOKUP(C333,Resources!$B$3:$G$44,6,FALSE)</f>
        <v>22.9</v>
      </c>
      <c r="J333" s="38">
        <f>(H333/G333)*I333*F333</f>
        <v>1832</v>
      </c>
      <c r="K333" s="12" t="str">
        <f t="shared" ref="K333:K334" si="496">IF(E333="M"," ",L333*F333)</f>
        <v xml:space="preserve"> </v>
      </c>
      <c r="L333" s="11" t="str">
        <f t="shared" ref="L333:L334" si="497">IF(E333="M"," ",H333/G333)</f>
        <v xml:space="preserve"> </v>
      </c>
      <c r="M333" s="11">
        <f t="shared" ref="M333:M334" si="498">IF($E333="L",$J333,0)</f>
        <v>0</v>
      </c>
      <c r="N333" s="11">
        <f t="shared" ref="N333:N334" si="499">IF($E333="M",$J333,0)</f>
        <v>1832</v>
      </c>
      <c r="O333" s="11">
        <f t="shared" ref="O333:O334" si="500">IF($E333="P",$J333,0)</f>
        <v>0</v>
      </c>
      <c r="P333" s="11">
        <f t="shared" ref="P333:P334" si="501">IF($E333="S",$J333,0)</f>
        <v>0</v>
      </c>
      <c r="Q333" s="11">
        <f t="shared" ref="Q333:Q334" si="502">SUM(M333:P333)</f>
        <v>1832</v>
      </c>
      <c r="R333" s="94" t="s">
        <v>234</v>
      </c>
    </row>
    <row r="334" spans="1:20" x14ac:dyDescent="0.2">
      <c r="A334" s="168" t="s">
        <v>230</v>
      </c>
      <c r="B334" s="31">
        <v>2</v>
      </c>
      <c r="C334" s="11" t="s">
        <v>132</v>
      </c>
      <c r="D334" s="11" t="s">
        <v>33</v>
      </c>
      <c r="E334" s="12" t="s">
        <v>191</v>
      </c>
      <c r="F334" s="11">
        <v>1</v>
      </c>
      <c r="G334" s="11">
        <v>1</v>
      </c>
      <c r="H334" s="11">
        <v>6</v>
      </c>
      <c r="I334" s="11">
        <f>VLOOKUP(C334,Resources!$B$3:$G$44,6,FALSE)</f>
        <v>50</v>
      </c>
      <c r="J334" s="38">
        <f>(H334/G334)*I334*F334</f>
        <v>300</v>
      </c>
      <c r="K334" s="12">
        <f t="shared" si="496"/>
        <v>6</v>
      </c>
      <c r="L334" s="11">
        <f t="shared" si="497"/>
        <v>6</v>
      </c>
      <c r="M334" s="11">
        <f t="shared" si="498"/>
        <v>0</v>
      </c>
      <c r="N334" s="11">
        <f t="shared" si="499"/>
        <v>0</v>
      </c>
      <c r="O334" s="11">
        <f t="shared" si="500"/>
        <v>0</v>
      </c>
      <c r="P334" s="11">
        <f t="shared" si="501"/>
        <v>300</v>
      </c>
      <c r="Q334" s="11">
        <f t="shared" si="502"/>
        <v>300</v>
      </c>
      <c r="R334" s="94">
        <v>91</v>
      </c>
    </row>
    <row r="335" spans="1:20" x14ac:dyDescent="0.2">
      <c r="A335" s="165" t="s">
        <v>230</v>
      </c>
      <c r="B335" s="30">
        <v>3</v>
      </c>
      <c r="C335" s="13" t="s">
        <v>133</v>
      </c>
    </row>
    <row r="336" spans="1:20" x14ac:dyDescent="0.2">
      <c r="A336" s="168" t="s">
        <v>230</v>
      </c>
      <c r="B336" s="31">
        <v>4</v>
      </c>
      <c r="C336" s="11" t="s">
        <v>18</v>
      </c>
      <c r="D336" s="11" t="s">
        <v>19</v>
      </c>
      <c r="E336" s="12" t="s">
        <v>190</v>
      </c>
      <c r="F336" s="11">
        <v>1</v>
      </c>
      <c r="G336" s="11">
        <v>1</v>
      </c>
      <c r="H336" s="11">
        <v>4</v>
      </c>
      <c r="I336" s="11">
        <f>VLOOKUP(C336,Resources!$B$3:$G$44,6,FALSE)</f>
        <v>130</v>
      </c>
      <c r="J336" s="38">
        <f>(H336/G336)*I336*F336</f>
        <v>520</v>
      </c>
      <c r="K336" s="12">
        <f t="shared" ref="K336:K337" si="503">IF(E336="M"," ",L336*F336)</f>
        <v>4</v>
      </c>
      <c r="L336" s="11">
        <f t="shared" ref="L336:L337" si="504">IF(E336="M"," ",H336/G336)</f>
        <v>4</v>
      </c>
      <c r="M336" s="11">
        <f t="shared" ref="M336:M337" si="505">IF($E336="L",$J336,0)</f>
        <v>0</v>
      </c>
      <c r="N336" s="11">
        <f t="shared" ref="N336:N337" si="506">IF($E336="M",$J336,0)</f>
        <v>0</v>
      </c>
      <c r="O336" s="11">
        <f t="shared" ref="O336:O337" si="507">IF($E336="P",$J336,0)</f>
        <v>520</v>
      </c>
      <c r="P336" s="11">
        <f t="shared" ref="P336:P337" si="508">IF($E336="S",$J336,0)</f>
        <v>0</v>
      </c>
      <c r="Q336" s="11">
        <f t="shared" ref="Q336:Q337" si="509">SUM(M336:P336)</f>
        <v>520</v>
      </c>
      <c r="R336" s="94">
        <v>91</v>
      </c>
    </row>
    <row r="337" spans="1:18" x14ac:dyDescent="0.2">
      <c r="A337" s="168" t="s">
        <v>230</v>
      </c>
      <c r="B337" s="31">
        <v>5</v>
      </c>
      <c r="C337" s="11" t="s">
        <v>5</v>
      </c>
      <c r="D337" s="11" t="s">
        <v>19</v>
      </c>
      <c r="E337" s="12" t="s">
        <v>188</v>
      </c>
      <c r="F337" s="11">
        <v>2</v>
      </c>
      <c r="G337" s="11">
        <v>1</v>
      </c>
      <c r="H337" s="11">
        <v>4</v>
      </c>
      <c r="I337" s="11">
        <f>VLOOKUP(C337,Resources!$B$3:$G$44,6,FALSE)</f>
        <v>38</v>
      </c>
      <c r="J337" s="38">
        <f>(H337/G337)*I337*F337</f>
        <v>304</v>
      </c>
      <c r="K337" s="12">
        <f t="shared" si="503"/>
        <v>8</v>
      </c>
      <c r="L337" s="11">
        <f t="shared" si="504"/>
        <v>4</v>
      </c>
      <c r="M337" s="11">
        <f t="shared" si="505"/>
        <v>304</v>
      </c>
      <c r="N337" s="11">
        <f t="shared" si="506"/>
        <v>0</v>
      </c>
      <c r="O337" s="11">
        <f t="shared" si="507"/>
        <v>0</v>
      </c>
      <c r="P337" s="11">
        <f t="shared" si="508"/>
        <v>0</v>
      </c>
      <c r="Q337" s="11">
        <f t="shared" si="509"/>
        <v>304</v>
      </c>
      <c r="R337" s="94">
        <v>91</v>
      </c>
    </row>
    <row r="338" spans="1:18" x14ac:dyDescent="0.2">
      <c r="A338" s="165" t="s">
        <v>230</v>
      </c>
      <c r="B338" s="30">
        <v>6</v>
      </c>
      <c r="C338" s="13" t="s">
        <v>136</v>
      </c>
    </row>
    <row r="339" spans="1:18" x14ac:dyDescent="0.2">
      <c r="A339" s="168" t="s">
        <v>230</v>
      </c>
      <c r="B339" s="31">
        <v>7</v>
      </c>
      <c r="C339" s="11" t="s">
        <v>137</v>
      </c>
      <c r="D339" s="11" t="s">
        <v>33</v>
      </c>
      <c r="E339" s="12" t="s">
        <v>189</v>
      </c>
      <c r="F339" s="11">
        <v>1</v>
      </c>
      <c r="G339" s="11">
        <v>1</v>
      </c>
      <c r="H339" s="11">
        <v>5</v>
      </c>
      <c r="I339" s="11">
        <f>VLOOKUP(C339,Resources!$B$3:$G$44,6,FALSE)</f>
        <v>391.4</v>
      </c>
      <c r="J339" s="38">
        <f>(H339/G339)*I339*F339</f>
        <v>1957</v>
      </c>
      <c r="K339" s="12" t="str">
        <f t="shared" ref="K339:K341" si="510">IF(E339="M"," ",L339*F339)</f>
        <v xml:space="preserve"> </v>
      </c>
      <c r="L339" s="11" t="str">
        <f t="shared" ref="L339:L341" si="511">IF(E339="M"," ",H339/G339)</f>
        <v xml:space="preserve"> </v>
      </c>
      <c r="M339" s="11">
        <f t="shared" ref="M339:M341" si="512">IF($E339="L",$J339,0)</f>
        <v>0</v>
      </c>
      <c r="N339" s="11">
        <f t="shared" ref="N339:N341" si="513">IF($E339="M",$J339,0)</f>
        <v>1957</v>
      </c>
      <c r="O339" s="11">
        <f t="shared" ref="O339:O341" si="514">IF($E339="P",$J339,0)</f>
        <v>0</v>
      </c>
      <c r="P339" s="11">
        <f t="shared" ref="P339:P341" si="515">IF($E339="S",$J339,0)</f>
        <v>0</v>
      </c>
      <c r="Q339" s="11">
        <f t="shared" ref="Q339:Q341" si="516">SUM(M339:P339)</f>
        <v>1957</v>
      </c>
      <c r="R339" s="94">
        <v>91</v>
      </c>
    </row>
    <row r="340" spans="1:18" x14ac:dyDescent="0.2">
      <c r="A340" s="168" t="s">
        <v>230</v>
      </c>
      <c r="B340" s="31">
        <v>8</v>
      </c>
      <c r="C340" s="11" t="s">
        <v>132</v>
      </c>
      <c r="D340" s="11" t="s">
        <v>33</v>
      </c>
      <c r="E340" s="12" t="s">
        <v>191</v>
      </c>
      <c r="F340" s="11">
        <v>1</v>
      </c>
      <c r="G340" s="11">
        <v>1</v>
      </c>
      <c r="H340" s="11">
        <v>10</v>
      </c>
      <c r="I340" s="11">
        <f>VLOOKUP(C340,Resources!$B$3:$G$44,6,FALSE)</f>
        <v>50</v>
      </c>
      <c r="J340" s="38">
        <f>(H340/G340)*I340*F340</f>
        <v>500</v>
      </c>
      <c r="K340" s="12">
        <f t="shared" si="510"/>
        <v>10</v>
      </c>
      <c r="L340" s="11">
        <f t="shared" si="511"/>
        <v>10</v>
      </c>
      <c r="M340" s="11">
        <f t="shared" si="512"/>
        <v>0</v>
      </c>
      <c r="N340" s="11">
        <f t="shared" si="513"/>
        <v>0</v>
      </c>
      <c r="O340" s="11">
        <f t="shared" si="514"/>
        <v>0</v>
      </c>
      <c r="P340" s="11">
        <f t="shared" si="515"/>
        <v>500</v>
      </c>
      <c r="Q340" s="11">
        <f t="shared" si="516"/>
        <v>500</v>
      </c>
      <c r="R340" s="94">
        <v>91</v>
      </c>
    </row>
    <row r="341" spans="1:18" x14ac:dyDescent="0.2">
      <c r="A341" s="168" t="s">
        <v>230</v>
      </c>
      <c r="B341" s="31">
        <v>9</v>
      </c>
      <c r="C341" s="11" t="s">
        <v>5</v>
      </c>
      <c r="D341" s="11" t="s">
        <v>19</v>
      </c>
      <c r="E341" s="12" t="s">
        <v>188</v>
      </c>
      <c r="F341" s="11">
        <v>2</v>
      </c>
      <c r="G341" s="11">
        <v>1</v>
      </c>
      <c r="H341" s="11">
        <v>9</v>
      </c>
      <c r="I341" s="11">
        <f>VLOOKUP(C341,Resources!$B$3:$G$44,6,FALSE)</f>
        <v>38</v>
      </c>
      <c r="J341" s="38">
        <f>(H341/G341)*I341*F341</f>
        <v>684</v>
      </c>
      <c r="K341" s="12">
        <f t="shared" si="510"/>
        <v>18</v>
      </c>
      <c r="L341" s="11">
        <f t="shared" si="511"/>
        <v>9</v>
      </c>
      <c r="M341" s="11">
        <f t="shared" si="512"/>
        <v>684</v>
      </c>
      <c r="N341" s="11">
        <f t="shared" si="513"/>
        <v>0</v>
      </c>
      <c r="O341" s="11">
        <f t="shared" si="514"/>
        <v>0</v>
      </c>
      <c r="P341" s="11">
        <f t="shared" si="515"/>
        <v>0</v>
      </c>
      <c r="Q341" s="11">
        <f t="shared" si="516"/>
        <v>684</v>
      </c>
      <c r="R341" s="94">
        <v>91</v>
      </c>
    </row>
    <row r="342" spans="1:18" x14ac:dyDescent="0.2">
      <c r="A342" s="165" t="s">
        <v>230</v>
      </c>
    </row>
    <row r="343" spans="1:18" ht="22.5" x14ac:dyDescent="0.2">
      <c r="A343" s="167">
        <v>40</v>
      </c>
      <c r="B343" s="29" t="s">
        <v>138</v>
      </c>
      <c r="C343" s="6" t="s">
        <v>139</v>
      </c>
      <c r="D343" s="7" t="s">
        <v>31</v>
      </c>
      <c r="E343" s="8"/>
      <c r="F343" s="7"/>
      <c r="G343" s="7"/>
      <c r="H343" s="45">
        <f>VLOOKUP($A343,'Model Inputs'!$A:$C,3,FALSE)</f>
        <v>110</v>
      </c>
      <c r="I343" s="7"/>
      <c r="J343" s="7">
        <f t="shared" ref="J343" si="517">SUBTOTAL(9,J344:J349)</f>
        <v>4255</v>
      </c>
      <c r="K343" s="7"/>
      <c r="L343" s="7">
        <f>ROUNDUP(MAX(L344:L349)/work,0)</f>
        <v>2</v>
      </c>
      <c r="M343" s="7">
        <f>SUBTOTAL(9,M344:M349)</f>
        <v>456</v>
      </c>
      <c r="N343" s="7">
        <f t="shared" ref="N343:Q343" si="518">SUBTOTAL(9,N344:N349)</f>
        <v>2519</v>
      </c>
      <c r="O343" s="7">
        <f t="shared" si="518"/>
        <v>780</v>
      </c>
      <c r="P343" s="7">
        <f t="shared" si="518"/>
        <v>500</v>
      </c>
      <c r="Q343" s="7">
        <f t="shared" si="518"/>
        <v>4255</v>
      </c>
      <c r="R343" s="93"/>
    </row>
    <row r="344" spans="1:18" x14ac:dyDescent="0.2">
      <c r="A344" s="168" t="s">
        <v>230</v>
      </c>
      <c r="B344" s="31">
        <v>1</v>
      </c>
      <c r="C344" s="11" t="s">
        <v>129</v>
      </c>
      <c r="D344" s="11" t="s">
        <v>31</v>
      </c>
      <c r="E344" s="12" t="s">
        <v>189</v>
      </c>
      <c r="F344" s="11">
        <v>1</v>
      </c>
      <c r="G344" s="11">
        <v>1</v>
      </c>
      <c r="H344" s="11">
        <v>110</v>
      </c>
      <c r="I344" s="11">
        <f>VLOOKUP(C344,Resources!$B$3:$G$44,6,FALSE)</f>
        <v>22.9</v>
      </c>
      <c r="J344" s="38">
        <f>(H344/G344)*I344*F344</f>
        <v>2519</v>
      </c>
      <c r="K344" s="12" t="str">
        <f t="shared" ref="K344" si="519">IF(E344="M"," ",L344*F344)</f>
        <v xml:space="preserve"> </v>
      </c>
      <c r="L344" s="11" t="str">
        <f t="shared" ref="L344" si="520">IF(E344="M"," ",H344/G344)</f>
        <v xml:space="preserve"> </v>
      </c>
      <c r="M344" s="11">
        <f t="shared" ref="M344" si="521">IF($E344="L",$J344,0)</f>
        <v>0</v>
      </c>
      <c r="N344" s="11">
        <f t="shared" ref="N344" si="522">IF($E344="M",$J344,0)</f>
        <v>2519</v>
      </c>
      <c r="O344" s="11">
        <f t="shared" ref="O344" si="523">IF($E344="P",$J344,0)</f>
        <v>0</v>
      </c>
      <c r="P344" s="11">
        <f t="shared" ref="P344" si="524">IF($E344="S",$J344,0)</f>
        <v>0</v>
      </c>
      <c r="Q344" s="11">
        <f t="shared" ref="Q344" si="525">SUM(M344:P344)</f>
        <v>2519</v>
      </c>
      <c r="R344" s="94" t="s">
        <v>234</v>
      </c>
    </row>
    <row r="345" spans="1:18" x14ac:dyDescent="0.2">
      <c r="A345" s="165" t="s">
        <v>230</v>
      </c>
      <c r="B345" s="30">
        <v>3</v>
      </c>
      <c r="C345" s="13" t="s">
        <v>131</v>
      </c>
    </row>
    <row r="346" spans="1:18" x14ac:dyDescent="0.2">
      <c r="A346" s="168" t="s">
        <v>230</v>
      </c>
      <c r="B346" s="31">
        <v>4</v>
      </c>
      <c r="C346" s="11" t="s">
        <v>132</v>
      </c>
      <c r="D346" s="11" t="s">
        <v>33</v>
      </c>
      <c r="E346" s="12" t="s">
        <v>191</v>
      </c>
      <c r="F346" s="11">
        <v>1</v>
      </c>
      <c r="G346" s="11">
        <v>1</v>
      </c>
      <c r="H346" s="11">
        <v>10</v>
      </c>
      <c r="I346" s="11">
        <f>VLOOKUP(C346,Resources!$B$3:$G$44,6,FALSE)</f>
        <v>50</v>
      </c>
      <c r="J346" s="38">
        <f>(H346/G346)*I346*F346</f>
        <v>500</v>
      </c>
      <c r="K346" s="12">
        <f t="shared" ref="K346" si="526">IF(E346="M"," ",L346*F346)</f>
        <v>10</v>
      </c>
      <c r="L346" s="11">
        <f t="shared" ref="L346" si="527">IF(E346="M"," ",H346/G346)</f>
        <v>10</v>
      </c>
      <c r="M346" s="11">
        <f t="shared" ref="M346" si="528">IF($E346="L",$J346,0)</f>
        <v>0</v>
      </c>
      <c r="N346" s="11">
        <f t="shared" ref="N346" si="529">IF($E346="M",$J346,0)</f>
        <v>0</v>
      </c>
      <c r="O346" s="11">
        <f t="shared" ref="O346" si="530">IF($E346="P",$J346,0)</f>
        <v>0</v>
      </c>
      <c r="P346" s="11">
        <f t="shared" ref="P346" si="531">IF($E346="S",$J346,0)</f>
        <v>500</v>
      </c>
      <c r="Q346" s="11">
        <f t="shared" ref="Q346" si="532">SUM(M346:P346)</f>
        <v>500</v>
      </c>
      <c r="R346" s="94">
        <v>91</v>
      </c>
    </row>
    <row r="347" spans="1:18" x14ac:dyDescent="0.2">
      <c r="A347" s="165" t="s">
        <v>230</v>
      </c>
      <c r="B347" s="30">
        <v>5</v>
      </c>
      <c r="C347" s="13" t="s">
        <v>133</v>
      </c>
    </row>
    <row r="348" spans="1:18" x14ac:dyDescent="0.2">
      <c r="A348" s="168" t="s">
        <v>230</v>
      </c>
      <c r="B348" s="31">
        <v>6</v>
      </c>
      <c r="C348" s="11" t="s">
        <v>18</v>
      </c>
      <c r="D348" s="11" t="s">
        <v>19</v>
      </c>
      <c r="E348" s="12" t="s">
        <v>190</v>
      </c>
      <c r="F348" s="11">
        <v>1</v>
      </c>
      <c r="G348" s="11">
        <v>1</v>
      </c>
      <c r="H348" s="11">
        <v>6</v>
      </c>
      <c r="I348" s="11">
        <f>VLOOKUP(C348,Resources!$B$3:$G$44,6,FALSE)</f>
        <v>130</v>
      </c>
      <c r="J348" s="38">
        <f>(H348/G348)*I348*F348</f>
        <v>780</v>
      </c>
      <c r="K348" s="12">
        <f t="shared" ref="K348:K349" si="533">IF(E348="M"," ",L348*F348)</f>
        <v>6</v>
      </c>
      <c r="L348" s="11">
        <f t="shared" ref="L348:L349" si="534">IF(E348="M"," ",H348/G348)</f>
        <v>6</v>
      </c>
      <c r="M348" s="11">
        <f t="shared" ref="M348:M349" si="535">IF($E348="L",$J348,0)</f>
        <v>0</v>
      </c>
      <c r="N348" s="11">
        <f t="shared" ref="N348:N349" si="536">IF($E348="M",$J348,0)</f>
        <v>0</v>
      </c>
      <c r="O348" s="11">
        <f t="shared" ref="O348:O349" si="537">IF($E348="P",$J348,0)</f>
        <v>780</v>
      </c>
      <c r="P348" s="11">
        <f t="shared" ref="P348:P349" si="538">IF($E348="S",$J348,0)</f>
        <v>0</v>
      </c>
      <c r="Q348" s="11">
        <f t="shared" ref="Q348:Q349" si="539">SUM(M348:P348)</f>
        <v>780</v>
      </c>
      <c r="R348" s="94">
        <v>91</v>
      </c>
    </row>
    <row r="349" spans="1:18" x14ac:dyDescent="0.2">
      <c r="A349" s="168" t="s">
        <v>230</v>
      </c>
      <c r="B349" s="31">
        <v>7</v>
      </c>
      <c r="C349" s="11" t="s">
        <v>5</v>
      </c>
      <c r="D349" s="11" t="s">
        <v>19</v>
      </c>
      <c r="E349" s="12" t="s">
        <v>188</v>
      </c>
      <c r="F349" s="11">
        <v>2</v>
      </c>
      <c r="G349" s="11">
        <v>1</v>
      </c>
      <c r="H349" s="11">
        <v>6</v>
      </c>
      <c r="I349" s="11">
        <f>VLOOKUP(C349,Resources!$B$3:$G$44,6,FALSE)</f>
        <v>38</v>
      </c>
      <c r="J349" s="38">
        <f>(H349/G349)*I349*F349</f>
        <v>456</v>
      </c>
      <c r="K349" s="12">
        <f t="shared" si="533"/>
        <v>12</v>
      </c>
      <c r="L349" s="11">
        <f t="shared" si="534"/>
        <v>6</v>
      </c>
      <c r="M349" s="11">
        <f t="shared" si="535"/>
        <v>456</v>
      </c>
      <c r="N349" s="11">
        <f t="shared" si="536"/>
        <v>0</v>
      </c>
      <c r="O349" s="11">
        <f t="shared" si="537"/>
        <v>0</v>
      </c>
      <c r="P349" s="11">
        <f t="shared" si="538"/>
        <v>0</v>
      </c>
      <c r="Q349" s="11">
        <f t="shared" si="539"/>
        <v>456</v>
      </c>
      <c r="R349" s="94">
        <v>91</v>
      </c>
    </row>
    <row r="350" spans="1:18" x14ac:dyDescent="0.2">
      <c r="A350" s="165" t="s">
        <v>230</v>
      </c>
    </row>
    <row r="351" spans="1:18" x14ac:dyDescent="0.2">
      <c r="C351" s="5"/>
      <c r="J351" s="37">
        <f>SUBTOTAL(9,J4:J349)</f>
        <v>1026742.5464389202</v>
      </c>
    </row>
    <row r="352" spans="1:18" x14ac:dyDescent="0.2">
      <c r="C352" s="16" t="s">
        <v>271</v>
      </c>
    </row>
    <row r="353" spans="1:20" s="14" customFormat="1" x14ac:dyDescent="0.2">
      <c r="A353" s="169">
        <v>41</v>
      </c>
      <c r="B353" s="32" t="s">
        <v>0</v>
      </c>
      <c r="C353" s="16" t="s">
        <v>1</v>
      </c>
      <c r="D353" s="15" t="s">
        <v>2</v>
      </c>
      <c r="E353" s="41"/>
      <c r="F353" s="17" t="s">
        <v>141</v>
      </c>
      <c r="G353" s="17" t="s">
        <v>142</v>
      </c>
      <c r="H353" s="17" t="s">
        <v>3</v>
      </c>
      <c r="I353" s="17" t="s">
        <v>4</v>
      </c>
      <c r="J353" s="17"/>
      <c r="K353" s="17"/>
      <c r="N353" s="17" t="s">
        <v>6</v>
      </c>
      <c r="O353" s="17" t="s">
        <v>7</v>
      </c>
      <c r="P353" s="17" t="s">
        <v>8</v>
      </c>
      <c r="Q353" s="17" t="s">
        <v>9</v>
      </c>
      <c r="R353" s="95"/>
      <c r="S353" s="5"/>
      <c r="T353" s="5"/>
    </row>
    <row r="354" spans="1:20" s="14" customFormat="1" ht="22.5" x14ac:dyDescent="0.2">
      <c r="A354" s="167">
        <v>42</v>
      </c>
      <c r="B354" s="29" t="s">
        <v>143</v>
      </c>
      <c r="C354" s="18" t="s">
        <v>144</v>
      </c>
      <c r="D354" s="19" t="s">
        <v>145</v>
      </c>
      <c r="E354" s="42"/>
      <c r="F354" s="20"/>
      <c r="G354" s="20"/>
      <c r="H354" s="20">
        <v>1</v>
      </c>
      <c r="I354" s="20"/>
      <c r="J354" s="21">
        <f t="shared" ref="J354" si="540">SUBTOTAL(9,J355:J356)</f>
        <v>47350</v>
      </c>
      <c r="K354" s="21"/>
      <c r="L354" s="21">
        <f>L355</f>
        <v>11</v>
      </c>
      <c r="M354" s="21">
        <f>SUBTOTAL(9,M355:M356)</f>
        <v>36850</v>
      </c>
      <c r="N354" s="21">
        <f t="shared" ref="N354:Q354" si="541">SUBTOTAL(9,N355:N356)</f>
        <v>0</v>
      </c>
      <c r="O354" s="21">
        <f t="shared" si="541"/>
        <v>0</v>
      </c>
      <c r="P354" s="21">
        <f t="shared" si="541"/>
        <v>10500</v>
      </c>
      <c r="Q354" s="21">
        <f t="shared" si="541"/>
        <v>47350</v>
      </c>
      <c r="R354" s="93"/>
      <c r="T354" s="5"/>
    </row>
    <row r="355" spans="1:20" s="14" customFormat="1" x14ac:dyDescent="0.2">
      <c r="A355" s="168" t="s">
        <v>230</v>
      </c>
      <c r="B355" s="31">
        <v>1</v>
      </c>
      <c r="C355" s="25" t="s">
        <v>28</v>
      </c>
      <c r="D355" s="25" t="s">
        <v>22</v>
      </c>
      <c r="E355" s="43" t="s">
        <v>188</v>
      </c>
      <c r="F355" s="26">
        <v>1</v>
      </c>
      <c r="G355" s="26">
        <v>1</v>
      </c>
      <c r="H355" s="26">
        <v>11</v>
      </c>
      <c r="I355" s="11">
        <f>VLOOKUP(C355,Resources!$B$3:$G$44,6,FALSE)</f>
        <v>3350</v>
      </c>
      <c r="J355" s="38">
        <f>(H355/G355)*I355*F355</f>
        <v>36850</v>
      </c>
      <c r="K355" s="12">
        <f t="shared" ref="K355:K356" si="542">IF(E355="M"," ",L355*F355)</f>
        <v>11</v>
      </c>
      <c r="L355" s="11">
        <f t="shared" ref="L355:L356" si="543">IF(E355="M"," ",H355/G355)</f>
        <v>11</v>
      </c>
      <c r="M355" s="11">
        <f t="shared" ref="M355:M356" si="544">IF($E355="L",$J355,0)</f>
        <v>36850</v>
      </c>
      <c r="N355" s="11">
        <f t="shared" ref="N355:N356" si="545">IF($E355="M",$J355,0)</f>
        <v>0</v>
      </c>
      <c r="O355" s="11">
        <f t="shared" ref="O355:O356" si="546">IF($E355="P",$J355,0)</f>
        <v>0</v>
      </c>
      <c r="P355" s="11">
        <f t="shared" ref="P355:P356" si="547">IF($E355="S",$J355,0)</f>
        <v>0</v>
      </c>
      <c r="Q355" s="11">
        <f t="shared" ref="Q355:Q356" si="548">SUM(M355:P355)</f>
        <v>36850</v>
      </c>
      <c r="R355" s="94">
        <v>902</v>
      </c>
      <c r="T355" s="5"/>
    </row>
    <row r="356" spans="1:20" s="14" customFormat="1" x14ac:dyDescent="0.2">
      <c r="A356" s="168" t="s">
        <v>230</v>
      </c>
      <c r="B356" s="31">
        <v>2</v>
      </c>
      <c r="C356" s="25" t="s">
        <v>146</v>
      </c>
      <c r="D356" s="25" t="s">
        <v>57</v>
      </c>
      <c r="E356" s="43" t="s">
        <v>191</v>
      </c>
      <c r="F356" s="26">
        <v>1</v>
      </c>
      <c r="G356" s="26">
        <v>1</v>
      </c>
      <c r="H356" s="26">
        <v>84</v>
      </c>
      <c r="I356" s="11">
        <f>VLOOKUP(C356,Resources!$B$3:$G$44,6,FALSE)</f>
        <v>125</v>
      </c>
      <c r="J356" s="38">
        <f>(H356/G356)*I356*F356</f>
        <v>10500</v>
      </c>
      <c r="K356" s="12">
        <f t="shared" si="542"/>
        <v>84</v>
      </c>
      <c r="L356" s="11">
        <f t="shared" si="543"/>
        <v>84</v>
      </c>
      <c r="M356" s="11">
        <f t="shared" si="544"/>
        <v>0</v>
      </c>
      <c r="N356" s="11">
        <f t="shared" si="545"/>
        <v>0</v>
      </c>
      <c r="O356" s="11">
        <f t="shared" si="546"/>
        <v>0</v>
      </c>
      <c r="P356" s="11">
        <f t="shared" si="547"/>
        <v>10500</v>
      </c>
      <c r="Q356" s="11">
        <f t="shared" si="548"/>
        <v>10500</v>
      </c>
      <c r="R356" s="94">
        <v>911</v>
      </c>
      <c r="T356" s="5"/>
    </row>
    <row r="357" spans="1:20" s="14" customFormat="1" x14ac:dyDescent="0.2">
      <c r="A357" s="165" t="s">
        <v>230</v>
      </c>
      <c r="B357" s="30"/>
      <c r="C357" s="27"/>
      <c r="D357" s="22"/>
      <c r="E357" s="44"/>
      <c r="F357" s="23"/>
      <c r="G357" s="23"/>
      <c r="H357" s="23"/>
      <c r="I357" s="23"/>
      <c r="J357" s="40"/>
      <c r="K357" s="24"/>
      <c r="L357" s="24"/>
      <c r="M357" s="24"/>
      <c r="N357" s="24"/>
      <c r="O357" s="24"/>
      <c r="P357" s="24"/>
      <c r="Q357" s="24"/>
      <c r="R357" s="91"/>
      <c r="T357" s="5"/>
    </row>
    <row r="358" spans="1:20" s="14" customFormat="1" ht="22.5" x14ac:dyDescent="0.2">
      <c r="A358" s="167">
        <v>43</v>
      </c>
      <c r="B358" s="29" t="s">
        <v>147</v>
      </c>
      <c r="C358" s="18" t="s">
        <v>148</v>
      </c>
      <c r="D358" s="19" t="s">
        <v>145</v>
      </c>
      <c r="E358" s="42"/>
      <c r="F358" s="20"/>
      <c r="G358" s="20"/>
      <c r="H358" s="20">
        <v>1</v>
      </c>
      <c r="I358" s="20"/>
      <c r="J358" s="21">
        <f t="shared" ref="J358" si="549">SUBTOTAL(9,J359)</f>
        <v>13000</v>
      </c>
      <c r="K358" s="21"/>
      <c r="L358" s="21">
        <f>MAX(L359)</f>
        <v>1</v>
      </c>
      <c r="M358" s="21">
        <f>SUBTOTAL(9,M359)</f>
        <v>13000</v>
      </c>
      <c r="N358" s="21">
        <f t="shared" ref="N358:Q358" si="550">SUBTOTAL(9,N359)</f>
        <v>0</v>
      </c>
      <c r="O358" s="21">
        <f t="shared" si="550"/>
        <v>0</v>
      </c>
      <c r="P358" s="21">
        <f t="shared" si="550"/>
        <v>0</v>
      </c>
      <c r="Q358" s="21">
        <f t="shared" si="550"/>
        <v>13000</v>
      </c>
      <c r="R358" s="93"/>
      <c r="T358" s="5"/>
    </row>
    <row r="359" spans="1:20" s="14" customFormat="1" x14ac:dyDescent="0.2">
      <c r="A359" s="168" t="s">
        <v>230</v>
      </c>
      <c r="B359" s="31">
        <v>1</v>
      </c>
      <c r="C359" s="25" t="s">
        <v>21</v>
      </c>
      <c r="D359" s="25" t="s">
        <v>22</v>
      </c>
      <c r="E359" s="43" t="s">
        <v>188</v>
      </c>
      <c r="F359" s="26">
        <v>4</v>
      </c>
      <c r="G359" s="26">
        <v>1</v>
      </c>
      <c r="H359" s="26">
        <v>1</v>
      </c>
      <c r="I359" s="11">
        <f>VLOOKUP(C359,Resources!$B$3:$G$44,6,FALSE)</f>
        <v>3250</v>
      </c>
      <c r="J359" s="38">
        <f>(H359/G359)*I359*F359</f>
        <v>13000</v>
      </c>
      <c r="K359" s="12">
        <f t="shared" ref="K359" si="551">IF(E359="M"," ",L359*F359)</f>
        <v>4</v>
      </c>
      <c r="L359" s="11">
        <f t="shared" ref="L359" si="552">IF(E359="M"," ",H359/G359)</f>
        <v>1</v>
      </c>
      <c r="M359" s="11">
        <f t="shared" ref="M359" si="553">IF($E359="L",$J359,0)</f>
        <v>13000</v>
      </c>
      <c r="N359" s="11">
        <f t="shared" ref="N359" si="554">IF($E359="M",$J359,0)</f>
        <v>0</v>
      </c>
      <c r="O359" s="11">
        <f t="shared" ref="O359" si="555">IF($E359="P",$J359,0)</f>
        <v>0</v>
      </c>
      <c r="P359" s="11">
        <f t="shared" ref="P359" si="556">IF($E359="S",$J359,0)</f>
        <v>0</v>
      </c>
      <c r="Q359" s="11">
        <f t="shared" ref="Q359" si="557">SUM(M359:P359)</f>
        <v>13000</v>
      </c>
      <c r="R359" s="94">
        <v>901</v>
      </c>
      <c r="T359" s="5"/>
    </row>
    <row r="360" spans="1:20" s="14" customFormat="1" x14ac:dyDescent="0.2">
      <c r="A360" s="165" t="s">
        <v>230</v>
      </c>
      <c r="B360" s="30"/>
      <c r="C360" s="27"/>
      <c r="D360" s="22"/>
      <c r="E360" s="44"/>
      <c r="F360" s="23"/>
      <c r="G360" s="23"/>
      <c r="H360" s="23"/>
      <c r="I360" s="23"/>
      <c r="J360" s="40"/>
      <c r="K360" s="24"/>
      <c r="L360" s="24"/>
      <c r="M360" s="24"/>
      <c r="N360" s="24"/>
      <c r="O360" s="24"/>
      <c r="P360" s="24"/>
      <c r="Q360" s="24"/>
      <c r="R360" s="91"/>
      <c r="T360" s="5"/>
    </row>
    <row r="361" spans="1:20" s="14" customFormat="1" ht="22.5" x14ac:dyDescent="0.2">
      <c r="A361" s="167">
        <v>44</v>
      </c>
      <c r="B361" s="29" t="s">
        <v>149</v>
      </c>
      <c r="C361" s="18" t="s">
        <v>150</v>
      </c>
      <c r="D361" s="19" t="s">
        <v>145</v>
      </c>
      <c r="E361" s="42"/>
      <c r="F361" s="20"/>
      <c r="G361" s="20"/>
      <c r="H361" s="20">
        <v>1</v>
      </c>
      <c r="I361" s="20"/>
      <c r="J361" s="21">
        <f t="shared" ref="J361" si="558">SUBTOTAL(9,J362)</f>
        <v>2500</v>
      </c>
      <c r="K361" s="21"/>
      <c r="L361" s="21">
        <f>MAX(L362)</f>
        <v>0</v>
      </c>
      <c r="M361" s="21">
        <f>SUBTOTAL(9,M362)</f>
        <v>0</v>
      </c>
      <c r="N361" s="21">
        <f t="shared" ref="N361:Q361" si="559">SUBTOTAL(9,N362)</f>
        <v>2500</v>
      </c>
      <c r="O361" s="21">
        <f t="shared" si="559"/>
        <v>0</v>
      </c>
      <c r="P361" s="21">
        <f t="shared" si="559"/>
        <v>0</v>
      </c>
      <c r="Q361" s="21">
        <f t="shared" si="559"/>
        <v>2500</v>
      </c>
      <c r="R361" s="93"/>
      <c r="T361" s="5"/>
    </row>
    <row r="362" spans="1:20" s="14" customFormat="1" x14ac:dyDescent="0.2">
      <c r="A362" s="168" t="s">
        <v>230</v>
      </c>
      <c r="B362" s="31">
        <v>1</v>
      </c>
      <c r="C362" s="25" t="s">
        <v>150</v>
      </c>
      <c r="D362" s="25" t="s">
        <v>12</v>
      </c>
      <c r="E362" s="43" t="s">
        <v>189</v>
      </c>
      <c r="F362" s="26">
        <v>2500</v>
      </c>
      <c r="G362" s="26">
        <v>1</v>
      </c>
      <c r="H362" s="26">
        <v>1</v>
      </c>
      <c r="I362" s="11">
        <f>VLOOKUP(C362,Resources!$B$3:$G$44,6,FALSE)</f>
        <v>1</v>
      </c>
      <c r="J362" s="38">
        <f>(H362/G362)*I362*F362</f>
        <v>2500</v>
      </c>
      <c r="K362" s="12" t="str">
        <f t="shared" ref="K362" si="560">IF(E362="M"," ",L362*F362)</f>
        <v xml:space="preserve"> </v>
      </c>
      <c r="L362" s="11" t="str">
        <f t="shared" ref="L362" si="561">IF(E362="M"," ",H362/G362)</f>
        <v xml:space="preserve"> </v>
      </c>
      <c r="M362" s="11">
        <f t="shared" ref="M362" si="562">IF($E362="L",$J362,0)</f>
        <v>0</v>
      </c>
      <c r="N362" s="11">
        <f t="shared" ref="N362" si="563">IF($E362="M",$J362,0)</f>
        <v>2500</v>
      </c>
      <c r="O362" s="11">
        <f t="shared" ref="O362" si="564">IF($E362="P",$J362,0)</f>
        <v>0</v>
      </c>
      <c r="P362" s="11">
        <f t="shared" ref="P362" si="565">IF($E362="S",$J362,0)</f>
        <v>0</v>
      </c>
      <c r="Q362" s="11">
        <f t="shared" ref="Q362" si="566">SUM(M362:P362)</f>
        <v>2500</v>
      </c>
      <c r="R362" s="94">
        <v>905</v>
      </c>
    </row>
    <row r="363" spans="1:20" s="14" customFormat="1" x14ac:dyDescent="0.2">
      <c r="A363" s="165" t="s">
        <v>230</v>
      </c>
      <c r="B363" s="30"/>
      <c r="C363" s="27"/>
      <c r="D363" s="22"/>
      <c r="E363" s="44"/>
      <c r="F363" s="23"/>
      <c r="G363" s="23"/>
      <c r="H363" s="23"/>
      <c r="I363" s="23"/>
      <c r="J363" s="40"/>
      <c r="K363" s="24"/>
      <c r="L363" s="24"/>
      <c r="M363" s="24"/>
      <c r="N363" s="24"/>
      <c r="O363" s="24"/>
      <c r="P363" s="24"/>
      <c r="Q363" s="24"/>
      <c r="R363" s="91"/>
    </row>
    <row r="364" spans="1:20" s="14" customFormat="1" ht="22.5" x14ac:dyDescent="0.2">
      <c r="A364" s="167">
        <v>45</v>
      </c>
      <c r="B364" s="29" t="s">
        <v>151</v>
      </c>
      <c r="C364" s="18" t="s">
        <v>152</v>
      </c>
      <c r="D364" s="19" t="s">
        <v>145</v>
      </c>
      <c r="E364" s="42"/>
      <c r="F364" s="20"/>
      <c r="G364" s="20"/>
      <c r="H364" s="20">
        <v>1</v>
      </c>
      <c r="I364" s="20"/>
      <c r="J364" s="21">
        <f t="shared" ref="J364" si="567">SUBTOTAL(9,J365)</f>
        <v>15000</v>
      </c>
      <c r="K364" s="21"/>
      <c r="L364" s="21">
        <f>MAX(L365)</f>
        <v>1</v>
      </c>
      <c r="M364" s="21">
        <f>SUBTOTAL(9,M365)</f>
        <v>0</v>
      </c>
      <c r="N364" s="21">
        <f t="shared" ref="N364:Q364" si="568">SUBTOTAL(9,N365)</f>
        <v>0</v>
      </c>
      <c r="O364" s="21">
        <f t="shared" si="568"/>
        <v>15000</v>
      </c>
      <c r="P364" s="21">
        <f t="shared" si="568"/>
        <v>0</v>
      </c>
      <c r="Q364" s="21">
        <f t="shared" si="568"/>
        <v>15000</v>
      </c>
      <c r="R364" s="93"/>
    </row>
    <row r="365" spans="1:20" s="14" customFormat="1" x14ac:dyDescent="0.2">
      <c r="A365" s="168" t="s">
        <v>230</v>
      </c>
      <c r="B365" s="31">
        <v>1</v>
      </c>
      <c r="C365" s="25" t="s">
        <v>153</v>
      </c>
      <c r="D365" s="25" t="s">
        <v>22</v>
      </c>
      <c r="E365" s="43" t="s">
        <v>190</v>
      </c>
      <c r="F365" s="26">
        <v>12</v>
      </c>
      <c r="G365" s="26">
        <v>1</v>
      </c>
      <c r="H365" s="26">
        <v>1</v>
      </c>
      <c r="I365" s="11">
        <f>VLOOKUP(C365,Resources!$B$3:$G$44,6,FALSE)</f>
        <v>1250</v>
      </c>
      <c r="J365" s="38">
        <f>(H365/G365)*I365*F365</f>
        <v>15000</v>
      </c>
      <c r="K365" s="12">
        <f t="shared" ref="K365" si="569">IF(E365="M"," ",L365*F365)</f>
        <v>12</v>
      </c>
      <c r="L365" s="11">
        <f t="shared" ref="L365" si="570">IF(E365="M"," ",H365/G365)</f>
        <v>1</v>
      </c>
      <c r="M365" s="11">
        <f t="shared" ref="M365" si="571">IF($E365="L",$J365,0)</f>
        <v>0</v>
      </c>
      <c r="N365" s="11">
        <f t="shared" ref="N365" si="572">IF($E365="M",$J365,0)</f>
        <v>0</v>
      </c>
      <c r="O365" s="11">
        <f t="shared" ref="O365" si="573">IF($E365="P",$J365,0)</f>
        <v>15000</v>
      </c>
      <c r="P365" s="11">
        <f t="shared" ref="P365" si="574">IF($E365="S",$J365,0)</f>
        <v>0</v>
      </c>
      <c r="Q365" s="11">
        <f t="shared" ref="Q365" si="575">SUM(M365:P365)</f>
        <v>15000</v>
      </c>
      <c r="R365" s="94">
        <v>903</v>
      </c>
    </row>
    <row r="366" spans="1:20" s="14" customFormat="1" x14ac:dyDescent="0.2">
      <c r="A366" s="165" t="s">
        <v>230</v>
      </c>
      <c r="B366" s="30"/>
      <c r="C366" s="27"/>
      <c r="D366" s="22"/>
      <c r="E366" s="44"/>
      <c r="F366" s="23"/>
      <c r="G366" s="23"/>
      <c r="H366" s="23"/>
      <c r="I366" s="23"/>
      <c r="J366" s="40"/>
      <c r="K366" s="24"/>
      <c r="L366" s="24"/>
      <c r="M366" s="24"/>
      <c r="N366" s="24"/>
      <c r="O366" s="24"/>
      <c r="P366" s="24"/>
      <c r="Q366" s="24"/>
      <c r="R366" s="91"/>
    </row>
    <row r="367" spans="1:20" s="14" customFormat="1" ht="22.5" x14ac:dyDescent="0.2">
      <c r="A367" s="167">
        <v>46</v>
      </c>
      <c r="B367" s="29" t="s">
        <v>154</v>
      </c>
      <c r="C367" s="18" t="s">
        <v>155</v>
      </c>
      <c r="D367" s="19" t="s">
        <v>145</v>
      </c>
      <c r="E367" s="42"/>
      <c r="F367" s="20"/>
      <c r="G367" s="20"/>
      <c r="H367" s="20">
        <v>1</v>
      </c>
      <c r="I367" s="20"/>
      <c r="J367" s="21">
        <f t="shared" ref="J367" si="576">SUBTOTAL(9,J368)</f>
        <v>3324</v>
      </c>
      <c r="K367" s="21"/>
      <c r="L367" s="21">
        <f>MAX(L368)</f>
        <v>1</v>
      </c>
      <c r="M367" s="21">
        <f>SUBTOTAL(9,M368)</f>
        <v>0</v>
      </c>
      <c r="N367" s="21">
        <f t="shared" ref="N367:Q367" si="577">SUBTOTAL(9,N368)</f>
        <v>0</v>
      </c>
      <c r="O367" s="21">
        <f t="shared" si="577"/>
        <v>3324</v>
      </c>
      <c r="P367" s="21">
        <f t="shared" si="577"/>
        <v>0</v>
      </c>
      <c r="Q367" s="21">
        <f t="shared" si="577"/>
        <v>3324</v>
      </c>
      <c r="R367" s="93"/>
    </row>
    <row r="368" spans="1:20" s="14" customFormat="1" x14ac:dyDescent="0.2">
      <c r="A368" s="168" t="s">
        <v>230</v>
      </c>
      <c r="B368" s="31">
        <v>1</v>
      </c>
      <c r="C368" s="25" t="s">
        <v>155</v>
      </c>
      <c r="D368" s="25" t="s">
        <v>22</v>
      </c>
      <c r="E368" s="43" t="s">
        <v>190</v>
      </c>
      <c r="F368" s="26">
        <v>12</v>
      </c>
      <c r="G368" s="26">
        <v>1</v>
      </c>
      <c r="H368" s="26">
        <v>1</v>
      </c>
      <c r="I368" s="11">
        <f>VLOOKUP(C368,Resources!$B$3:$G$44,6,FALSE)</f>
        <v>277</v>
      </c>
      <c r="J368" s="38">
        <f>(H368/G368)*I368*F368</f>
        <v>3324</v>
      </c>
      <c r="K368" s="12">
        <f t="shared" ref="K368" si="578">IF(E368="M"," ",L368*F368)</f>
        <v>12</v>
      </c>
      <c r="L368" s="11">
        <f t="shared" ref="L368" si="579">IF(E368="M"," ",H368/G368)</f>
        <v>1</v>
      </c>
      <c r="M368" s="11">
        <f t="shared" ref="M368" si="580">IF($E368="L",$J368,0)</f>
        <v>0</v>
      </c>
      <c r="N368" s="11">
        <f t="shared" ref="N368" si="581">IF($E368="M",$J368,0)</f>
        <v>0</v>
      </c>
      <c r="O368" s="11">
        <f t="shared" ref="O368" si="582">IF($E368="P",$J368,0)</f>
        <v>3324</v>
      </c>
      <c r="P368" s="11">
        <f t="shared" ref="P368" si="583">IF($E368="S",$J368,0)</f>
        <v>0</v>
      </c>
      <c r="Q368" s="11">
        <f t="shared" ref="Q368" si="584">SUM(M368:P368)</f>
        <v>3324</v>
      </c>
      <c r="R368" s="94">
        <v>905</v>
      </c>
    </row>
    <row r="369" spans="1:20" s="14" customFormat="1" x14ac:dyDescent="0.2">
      <c r="A369" s="165" t="s">
        <v>230</v>
      </c>
      <c r="B369" s="30"/>
      <c r="C369" s="27"/>
      <c r="D369" s="22"/>
      <c r="E369" s="44"/>
      <c r="F369" s="23"/>
      <c r="G369" s="23"/>
      <c r="H369" s="23"/>
      <c r="I369" s="23"/>
      <c r="J369" s="40"/>
      <c r="K369" s="24"/>
      <c r="L369" s="24"/>
      <c r="M369" s="24"/>
      <c r="N369" s="24"/>
      <c r="O369" s="24"/>
      <c r="P369" s="24"/>
      <c r="Q369" s="24"/>
      <c r="R369" s="91"/>
    </row>
    <row r="370" spans="1:20" s="14" customFormat="1" ht="22.5" x14ac:dyDescent="0.2">
      <c r="A370" s="167">
        <v>47</v>
      </c>
      <c r="B370" s="29" t="s">
        <v>156</v>
      </c>
      <c r="C370" s="18" t="s">
        <v>157</v>
      </c>
      <c r="D370" s="19" t="s">
        <v>12</v>
      </c>
      <c r="E370" s="42"/>
      <c r="F370" s="20"/>
      <c r="G370" s="20"/>
      <c r="H370" s="20">
        <v>1</v>
      </c>
      <c r="I370" s="20"/>
      <c r="J370" s="21">
        <f t="shared" ref="J370" si="585">SUBTOTAL(9,J371)</f>
        <v>5625</v>
      </c>
      <c r="K370" s="21"/>
      <c r="L370" s="21">
        <f>MAX(L371)</f>
        <v>5625</v>
      </c>
      <c r="M370" s="21">
        <f>SUBTOTAL(9,M371)</f>
        <v>0</v>
      </c>
      <c r="N370" s="21">
        <f t="shared" ref="N370:Q370" si="586">SUBTOTAL(9,N371)</f>
        <v>0</v>
      </c>
      <c r="O370" s="21">
        <f t="shared" si="586"/>
        <v>0</v>
      </c>
      <c r="P370" s="21">
        <f t="shared" si="586"/>
        <v>5625</v>
      </c>
      <c r="Q370" s="21">
        <f t="shared" si="586"/>
        <v>5625</v>
      </c>
      <c r="R370" s="93"/>
    </row>
    <row r="371" spans="1:20" s="14" customFormat="1" x14ac:dyDescent="0.2">
      <c r="A371" s="168" t="s">
        <v>230</v>
      </c>
      <c r="B371" s="31">
        <v>1</v>
      </c>
      <c r="C371" s="25" t="s">
        <v>157</v>
      </c>
      <c r="D371" s="25" t="s">
        <v>12</v>
      </c>
      <c r="E371" s="43" t="s">
        <v>191</v>
      </c>
      <c r="F371" s="26">
        <v>1</v>
      </c>
      <c r="G371" s="26">
        <v>1</v>
      </c>
      <c r="H371" s="26">
        <v>5625</v>
      </c>
      <c r="I371" s="11">
        <f>VLOOKUP(C371,Resources!$B$3:$G$44,6,FALSE)</f>
        <v>1</v>
      </c>
      <c r="J371" s="38">
        <f>(H371/G371)*I371*F371</f>
        <v>5625</v>
      </c>
      <c r="K371" s="12">
        <f t="shared" ref="K371" si="587">IF(E371="M"," ",L371*F371)</f>
        <v>5625</v>
      </c>
      <c r="L371" s="11">
        <f t="shared" ref="L371" si="588">IF(E371="M"," ",H371/G371)</f>
        <v>5625</v>
      </c>
      <c r="M371" s="11">
        <f t="shared" ref="M371" si="589">IF($E371="L",$J371,0)</f>
        <v>0</v>
      </c>
      <c r="N371" s="11">
        <f t="shared" ref="N371" si="590">IF($E371="M",$J371,0)</f>
        <v>0</v>
      </c>
      <c r="O371" s="11">
        <f t="shared" ref="O371" si="591">IF($E371="P",$J371,0)</f>
        <v>0</v>
      </c>
      <c r="P371" s="11">
        <f t="shared" ref="P371" si="592">IF($E371="S",$J371,0)</f>
        <v>5625</v>
      </c>
      <c r="Q371" s="11">
        <f t="shared" ref="Q371" si="593">SUM(M371:P371)</f>
        <v>5625</v>
      </c>
      <c r="R371" s="94">
        <v>904</v>
      </c>
    </row>
    <row r="372" spans="1:20" x14ac:dyDescent="0.2">
      <c r="A372" s="165" t="s">
        <v>230</v>
      </c>
      <c r="S372" s="14"/>
      <c r="T372" s="14"/>
    </row>
    <row r="373" spans="1:20" s="36" customFormat="1" x14ac:dyDescent="0.2">
      <c r="A373" s="169" t="s">
        <v>230</v>
      </c>
      <c r="B373" s="32"/>
      <c r="C373" s="2" t="s">
        <v>248</v>
      </c>
      <c r="D373" s="34"/>
      <c r="E373" s="35"/>
      <c r="F373" s="34"/>
      <c r="G373" s="34"/>
      <c r="H373" s="34"/>
      <c r="I373" s="34"/>
      <c r="J373" s="39"/>
      <c r="K373" s="35"/>
      <c r="L373" s="34"/>
      <c r="M373" s="34"/>
      <c r="N373" s="34"/>
      <c r="O373" s="34"/>
      <c r="P373" s="34"/>
      <c r="Q373" s="34"/>
      <c r="R373" s="95"/>
      <c r="S373" s="81"/>
      <c r="T373" s="81"/>
    </row>
    <row r="374" spans="1:20" x14ac:dyDescent="0.2">
      <c r="A374" s="165" t="s">
        <v>230</v>
      </c>
      <c r="S374" s="14"/>
      <c r="T374" s="14"/>
    </row>
    <row r="375" spans="1:20" s="14" customFormat="1" x14ac:dyDescent="0.2">
      <c r="A375" s="167">
        <v>48</v>
      </c>
      <c r="B375" s="29" t="s">
        <v>239</v>
      </c>
      <c r="C375" s="18" t="s">
        <v>240</v>
      </c>
      <c r="D375" s="19" t="s">
        <v>33</v>
      </c>
      <c r="E375" s="42"/>
      <c r="F375" s="20">
        <v>835.25</v>
      </c>
      <c r="G375" s="20"/>
      <c r="H375" s="45">
        <f>VLOOKUP($A375,'Model Inputs'!$A:$C,3,FALSE)</f>
        <v>80</v>
      </c>
      <c r="I375" s="20"/>
      <c r="J375" s="21">
        <f>SUBTOTAL(9,J376:J378)</f>
        <v>21704.504504504504</v>
      </c>
      <c r="K375" s="21"/>
      <c r="L375" s="21">
        <f>MAX(L376:L378)</f>
        <v>3.0030030030030028</v>
      </c>
      <c r="M375" s="21">
        <f>SUBTOTAL(9,M376:M378)</f>
        <v>114.1141141141141</v>
      </c>
      <c r="N375" s="21">
        <f t="shared" ref="N375:Q375" si="594">SUBTOTAL(9,N376:N378)</f>
        <v>21200</v>
      </c>
      <c r="O375" s="21">
        <f t="shared" si="594"/>
        <v>390.39039039039039</v>
      </c>
      <c r="P375" s="21">
        <f t="shared" si="594"/>
        <v>0</v>
      </c>
      <c r="Q375" s="21">
        <f t="shared" si="594"/>
        <v>21704.504504504504</v>
      </c>
      <c r="R375" s="93"/>
    </row>
    <row r="376" spans="1:20" x14ac:dyDescent="0.2">
      <c r="A376" s="168" t="s">
        <v>230</v>
      </c>
      <c r="B376" s="31">
        <v>1</v>
      </c>
      <c r="C376" s="11" t="s">
        <v>106</v>
      </c>
      <c r="D376" s="11" t="s">
        <v>107</v>
      </c>
      <c r="E376" s="12" t="s">
        <v>189</v>
      </c>
      <c r="F376" s="11">
        <v>1</v>
      </c>
      <c r="G376" s="11">
        <v>1</v>
      </c>
      <c r="H376" s="11">
        <f>H375*10</f>
        <v>800</v>
      </c>
      <c r="I376" s="11">
        <f>VLOOKUP(C376,Resources!$B$3:$G$44,6,FALSE)</f>
        <v>26.5</v>
      </c>
      <c r="J376" s="38">
        <f>(H376/G376)*I376*F376</f>
        <v>21200</v>
      </c>
      <c r="K376" s="12" t="str">
        <f t="shared" ref="K376:K378" si="595">IF(E376="M"," ",L376*F376)</f>
        <v xml:space="preserve"> </v>
      </c>
      <c r="L376" s="11" t="str">
        <f t="shared" ref="L376:L378" si="596">IF(E376="M"," ",H376/G376)</f>
        <v xml:space="preserve"> </v>
      </c>
      <c r="M376" s="11">
        <f t="shared" ref="M376:M378" si="597">IF($E376="L",$J376,0)</f>
        <v>0</v>
      </c>
      <c r="N376" s="11">
        <f t="shared" ref="N376:N378" si="598">IF($E376="M",$J376,0)</f>
        <v>21200</v>
      </c>
      <c r="O376" s="11">
        <f t="shared" ref="O376:O378" si="599">IF($E376="P",$J376,0)</f>
        <v>0</v>
      </c>
      <c r="P376" s="11">
        <f t="shared" ref="P376:P378" si="600">IF($E376="S",$J376,0)</f>
        <v>0</v>
      </c>
      <c r="Q376" s="11">
        <f t="shared" ref="Q376:Q378" si="601">SUM(M376:P376)</f>
        <v>21200</v>
      </c>
      <c r="R376" s="94" t="s">
        <v>233</v>
      </c>
    </row>
    <row r="377" spans="1:20" x14ac:dyDescent="0.2">
      <c r="A377" s="168">
        <v>48.1</v>
      </c>
      <c r="B377" s="31">
        <v>2</v>
      </c>
      <c r="C377" s="11" t="s">
        <v>18</v>
      </c>
      <c r="D377" s="11" t="s">
        <v>19</v>
      </c>
      <c r="E377" s="12" t="s">
        <v>190</v>
      </c>
      <c r="F377" s="11">
        <v>1</v>
      </c>
      <c r="G377" s="45">
        <f>VLOOKUP($A377,'Model Inputs'!$A:$C,3,FALSE)</f>
        <v>0.33300000000000002</v>
      </c>
      <c r="H377" s="11">
        <v>1</v>
      </c>
      <c r="I377" s="11">
        <f>VLOOKUP(C377,Resources!$B$3:$G$44,6,FALSE)</f>
        <v>130</v>
      </c>
      <c r="J377" s="38">
        <f>(H377/G377)*I377*F377</f>
        <v>390.39039039039039</v>
      </c>
      <c r="K377" s="12">
        <f t="shared" si="595"/>
        <v>3.0030030030030028</v>
      </c>
      <c r="L377" s="11">
        <f t="shared" si="596"/>
        <v>3.0030030030030028</v>
      </c>
      <c r="M377" s="11">
        <f t="shared" si="597"/>
        <v>0</v>
      </c>
      <c r="N377" s="11">
        <f t="shared" si="598"/>
        <v>0</v>
      </c>
      <c r="O377" s="11">
        <f t="shared" si="599"/>
        <v>390.39039039039039</v>
      </c>
      <c r="P377" s="11">
        <f t="shared" si="600"/>
        <v>0</v>
      </c>
      <c r="Q377" s="11">
        <f t="shared" si="601"/>
        <v>390.39039039039039</v>
      </c>
      <c r="R377" s="94">
        <v>221</v>
      </c>
    </row>
    <row r="378" spans="1:20" x14ac:dyDescent="0.2">
      <c r="A378" s="168" t="s">
        <v>230</v>
      </c>
      <c r="B378" s="31">
        <v>3</v>
      </c>
      <c r="C378" s="11" t="s">
        <v>5</v>
      </c>
      <c r="D378" s="11" t="s">
        <v>19</v>
      </c>
      <c r="E378" s="12" t="s">
        <v>188</v>
      </c>
      <c r="F378" s="11">
        <f>F377</f>
        <v>1</v>
      </c>
      <c r="G378" s="11">
        <f>G377</f>
        <v>0.33300000000000002</v>
      </c>
      <c r="H378" s="11">
        <v>1</v>
      </c>
      <c r="I378" s="11">
        <f>VLOOKUP(C378,Resources!$B$3:$G$44,6,FALSE)</f>
        <v>38</v>
      </c>
      <c r="J378" s="38">
        <f>(H378/G378)*I378*F378</f>
        <v>114.1141141141141</v>
      </c>
      <c r="K378" s="12">
        <f t="shared" si="595"/>
        <v>3.0030030030030028</v>
      </c>
      <c r="L378" s="11">
        <f t="shared" si="596"/>
        <v>3.0030030030030028</v>
      </c>
      <c r="M378" s="11">
        <f t="shared" si="597"/>
        <v>114.1141141141141</v>
      </c>
      <c r="N378" s="11">
        <f t="shared" si="598"/>
        <v>0</v>
      </c>
      <c r="O378" s="11">
        <f t="shared" si="599"/>
        <v>0</v>
      </c>
      <c r="P378" s="11">
        <f t="shared" si="600"/>
        <v>0</v>
      </c>
      <c r="Q378" s="11">
        <f t="shared" si="601"/>
        <v>114.1141141141141</v>
      </c>
      <c r="R378" s="94">
        <v>221</v>
      </c>
    </row>
    <row r="379" spans="1:20" x14ac:dyDescent="0.2">
      <c r="A379" s="165" t="s">
        <v>230</v>
      </c>
    </row>
    <row r="380" spans="1:20" s="14" customFormat="1" ht="22.5" x14ac:dyDescent="0.2">
      <c r="A380" s="167">
        <v>49</v>
      </c>
      <c r="B380" s="29" t="s">
        <v>241</v>
      </c>
      <c r="C380" s="18" t="s">
        <v>242</v>
      </c>
      <c r="D380" s="19" t="s">
        <v>243</v>
      </c>
      <c r="E380" s="42"/>
      <c r="F380" s="20">
        <v>5.5708580000000003</v>
      </c>
      <c r="G380" s="20"/>
      <c r="H380" s="45">
        <f>VLOOKUP($A380,'Model Inputs'!$A:$C,3,FALSE)</f>
        <v>4019</v>
      </c>
      <c r="I380" s="20"/>
      <c r="J380" s="21">
        <f>SUBTOTAL(9,J382:J386)</f>
        <v>22528.727777777782</v>
      </c>
      <c r="K380" s="21"/>
      <c r="L380" s="21">
        <f>MAX(L382:L386)</f>
        <v>22.327777777777779</v>
      </c>
      <c r="M380" s="21">
        <f>SUBTOTAL(9,M382:M386)</f>
        <v>1696.9111111111113</v>
      </c>
      <c r="N380" s="21">
        <f>SUBTOTAL(9,N382:N386)</f>
        <v>0</v>
      </c>
      <c r="O380" s="21">
        <f>SUBTOTAL(9,O382:O386)</f>
        <v>20831.816666666669</v>
      </c>
      <c r="P380" s="21">
        <f>SUBTOTAL(9,P382:P386)</f>
        <v>0</v>
      </c>
      <c r="Q380" s="21">
        <f>SUBTOTAL(9,Q382:Q386)</f>
        <v>22528.727777777782</v>
      </c>
      <c r="R380" s="93"/>
    </row>
    <row r="381" spans="1:20" x14ac:dyDescent="0.2">
      <c r="A381" s="165" t="s">
        <v>230</v>
      </c>
      <c r="B381" s="30">
        <v>1</v>
      </c>
      <c r="C381" s="13" t="s">
        <v>67</v>
      </c>
    </row>
    <row r="382" spans="1:20" x14ac:dyDescent="0.2">
      <c r="A382" s="168">
        <v>49.1</v>
      </c>
      <c r="B382" s="31">
        <v>2</v>
      </c>
      <c r="C382" s="11" t="s">
        <v>18</v>
      </c>
      <c r="D382" s="11" t="s">
        <v>19</v>
      </c>
      <c r="E382" s="12" t="s">
        <v>190</v>
      </c>
      <c r="F382" s="11">
        <v>1</v>
      </c>
      <c r="G382" s="45">
        <f>VLOOKUP($A382,'Model Inputs'!$A:$C,3,FALSE)</f>
        <v>180</v>
      </c>
      <c r="H382" s="11">
        <f>H380</f>
        <v>4019</v>
      </c>
      <c r="I382" s="11">
        <f>VLOOKUP(C382,Resources!$B$3:$G$44,6,FALSE)</f>
        <v>130</v>
      </c>
      <c r="J382" s="38">
        <f t="shared" ref="J382:J386" si="602">(H382/G382)*I382*F382</f>
        <v>2902.6111111111113</v>
      </c>
      <c r="K382" s="12">
        <f t="shared" ref="K382:K386" si="603">IF(E382="M"," ",L382*F382)</f>
        <v>22.327777777777779</v>
      </c>
      <c r="L382" s="11">
        <f t="shared" ref="L382:L386" si="604">IF(E382="M"," ",H382/G382)</f>
        <v>22.327777777777779</v>
      </c>
      <c r="M382" s="11">
        <f t="shared" ref="M382:M386" si="605">IF($E382="L",$J382,0)</f>
        <v>0</v>
      </c>
      <c r="N382" s="11">
        <f t="shared" ref="N382:N386" si="606">IF($E382="M",$J382,0)</f>
        <v>0</v>
      </c>
      <c r="O382" s="11">
        <f t="shared" ref="O382:O386" si="607">IF($E382="P",$J382,0)</f>
        <v>2902.6111111111113</v>
      </c>
      <c r="P382" s="11">
        <f t="shared" ref="P382:P386" si="608">IF($E382="S",$J382,0)</f>
        <v>0</v>
      </c>
      <c r="Q382" s="11">
        <f t="shared" ref="Q382:Q386" si="609">SUM(M382:P382)</f>
        <v>2902.6111111111113</v>
      </c>
      <c r="R382" s="94">
        <v>51</v>
      </c>
    </row>
    <row r="383" spans="1:20" x14ac:dyDescent="0.2">
      <c r="A383" s="168" t="s">
        <v>230</v>
      </c>
      <c r="B383" s="31">
        <v>3</v>
      </c>
      <c r="C383" s="11" t="s">
        <v>68</v>
      </c>
      <c r="D383" s="11" t="s">
        <v>19</v>
      </c>
      <c r="E383" s="12" t="s">
        <v>190</v>
      </c>
      <c r="F383" s="11">
        <v>3</v>
      </c>
      <c r="G383" s="11">
        <f>G382</f>
        <v>180</v>
      </c>
      <c r="H383" s="11">
        <f>H382</f>
        <v>4019</v>
      </c>
      <c r="I383" s="11">
        <f>VLOOKUP(C383,Resources!$B$3:$G$44,6,FALSE)</f>
        <v>185</v>
      </c>
      <c r="J383" s="38">
        <f t="shared" si="602"/>
        <v>12391.916666666668</v>
      </c>
      <c r="K383" s="12">
        <f t="shared" si="603"/>
        <v>66.983333333333334</v>
      </c>
      <c r="L383" s="11">
        <f t="shared" si="604"/>
        <v>22.327777777777779</v>
      </c>
      <c r="M383" s="11">
        <f t="shared" si="605"/>
        <v>0</v>
      </c>
      <c r="N383" s="11">
        <f t="shared" si="606"/>
        <v>0</v>
      </c>
      <c r="O383" s="11">
        <f t="shared" si="607"/>
        <v>12391.916666666668</v>
      </c>
      <c r="P383" s="11">
        <f t="shared" si="608"/>
        <v>0</v>
      </c>
      <c r="Q383" s="11">
        <f t="shared" si="609"/>
        <v>12391.916666666668</v>
      </c>
      <c r="R383" s="94">
        <v>51</v>
      </c>
    </row>
    <row r="384" spans="1:20" x14ac:dyDescent="0.2">
      <c r="A384" s="168" t="s">
        <v>230</v>
      </c>
      <c r="B384" s="31">
        <v>5</v>
      </c>
      <c r="C384" s="11" t="s">
        <v>53</v>
      </c>
      <c r="D384" s="11" t="s">
        <v>19</v>
      </c>
      <c r="E384" s="12" t="s">
        <v>190</v>
      </c>
      <c r="F384" s="11">
        <v>2</v>
      </c>
      <c r="G384" s="11">
        <f>G382</f>
        <v>180</v>
      </c>
      <c r="H384" s="11">
        <f>H382</f>
        <v>4019</v>
      </c>
      <c r="I384" s="11">
        <f>VLOOKUP(C384,Resources!$B$3:$G$44,6,FALSE)</f>
        <v>95</v>
      </c>
      <c r="J384" s="38">
        <f t="shared" si="602"/>
        <v>4242.2777777777783</v>
      </c>
      <c r="K384" s="12">
        <f t="shared" si="603"/>
        <v>44.655555555555559</v>
      </c>
      <c r="L384" s="11">
        <f t="shared" si="604"/>
        <v>22.327777777777779</v>
      </c>
      <c r="M384" s="11">
        <f t="shared" si="605"/>
        <v>0</v>
      </c>
      <c r="N384" s="11">
        <f t="shared" si="606"/>
        <v>0</v>
      </c>
      <c r="O384" s="11">
        <f t="shared" si="607"/>
        <v>4242.2777777777783</v>
      </c>
      <c r="P384" s="11">
        <f t="shared" si="608"/>
        <v>0</v>
      </c>
      <c r="Q384" s="11">
        <f t="shared" si="609"/>
        <v>4242.2777777777783</v>
      </c>
      <c r="R384" s="94">
        <v>51</v>
      </c>
    </row>
    <row r="385" spans="1:21" x14ac:dyDescent="0.2">
      <c r="A385" s="168" t="s">
        <v>230</v>
      </c>
      <c r="B385" s="31">
        <v>6</v>
      </c>
      <c r="C385" s="11" t="s">
        <v>52</v>
      </c>
      <c r="D385" s="11" t="s">
        <v>19</v>
      </c>
      <c r="E385" s="12" t="s">
        <v>190</v>
      </c>
      <c r="F385" s="11">
        <v>1</v>
      </c>
      <c r="G385" s="11">
        <f>G382</f>
        <v>180</v>
      </c>
      <c r="H385" s="11">
        <f>H382</f>
        <v>4019</v>
      </c>
      <c r="I385" s="11">
        <f>VLOOKUP(C385,Resources!$B$3:$G$44,6,FALSE)</f>
        <v>58</v>
      </c>
      <c r="J385" s="38">
        <f t="shared" si="602"/>
        <v>1295.0111111111112</v>
      </c>
      <c r="K385" s="12">
        <f t="shared" si="603"/>
        <v>22.327777777777779</v>
      </c>
      <c r="L385" s="11">
        <f t="shared" si="604"/>
        <v>22.327777777777779</v>
      </c>
      <c r="M385" s="11">
        <f t="shared" si="605"/>
        <v>0</v>
      </c>
      <c r="N385" s="11">
        <f t="shared" si="606"/>
        <v>0</v>
      </c>
      <c r="O385" s="11">
        <f t="shared" si="607"/>
        <v>1295.0111111111112</v>
      </c>
      <c r="P385" s="11">
        <f t="shared" si="608"/>
        <v>0</v>
      </c>
      <c r="Q385" s="11">
        <f t="shared" si="609"/>
        <v>1295.0111111111112</v>
      </c>
      <c r="R385" s="94">
        <v>51</v>
      </c>
    </row>
    <row r="386" spans="1:21" x14ac:dyDescent="0.2">
      <c r="A386" s="168" t="s">
        <v>230</v>
      </c>
      <c r="B386" s="31">
        <v>7</v>
      </c>
      <c r="C386" s="11" t="s">
        <v>5</v>
      </c>
      <c r="D386" s="11" t="s">
        <v>19</v>
      </c>
      <c r="E386" s="12" t="s">
        <v>188</v>
      </c>
      <c r="F386" s="11">
        <v>2</v>
      </c>
      <c r="G386" s="11">
        <f>G382</f>
        <v>180</v>
      </c>
      <c r="H386" s="11">
        <f>H382</f>
        <v>4019</v>
      </c>
      <c r="I386" s="11">
        <f>VLOOKUP(C386,Resources!$B$3:$G$44,6,FALSE)</f>
        <v>38</v>
      </c>
      <c r="J386" s="38">
        <f t="shared" si="602"/>
        <v>1696.9111111111113</v>
      </c>
      <c r="K386" s="12">
        <f t="shared" si="603"/>
        <v>44.655555555555559</v>
      </c>
      <c r="L386" s="11">
        <f t="shared" si="604"/>
        <v>22.327777777777779</v>
      </c>
      <c r="M386" s="11">
        <f t="shared" si="605"/>
        <v>1696.9111111111113</v>
      </c>
      <c r="N386" s="11">
        <f t="shared" si="606"/>
        <v>0</v>
      </c>
      <c r="O386" s="11">
        <f t="shared" si="607"/>
        <v>0</v>
      </c>
      <c r="P386" s="11">
        <f t="shared" si="608"/>
        <v>0</v>
      </c>
      <c r="Q386" s="11">
        <f t="shared" si="609"/>
        <v>1696.9111111111113</v>
      </c>
      <c r="R386" s="94">
        <v>51</v>
      </c>
    </row>
    <row r="387" spans="1:21" x14ac:dyDescent="0.2">
      <c r="A387" s="165" t="s">
        <v>230</v>
      </c>
    </row>
    <row r="388" spans="1:21" s="14" customFormat="1" ht="22.5" x14ac:dyDescent="0.2">
      <c r="A388" s="167">
        <v>51</v>
      </c>
      <c r="B388" s="29" t="s">
        <v>244</v>
      </c>
      <c r="C388" s="18" t="s">
        <v>245</v>
      </c>
      <c r="D388" s="19" t="s">
        <v>33</v>
      </c>
      <c r="E388" s="42"/>
      <c r="F388" s="20">
        <v>3600</v>
      </c>
      <c r="G388" s="20"/>
      <c r="H388" s="45">
        <f>VLOOKUP($A388,'Model Inputs'!$A:$C,3,FALSE)</f>
        <v>-447</v>
      </c>
      <c r="I388" s="20"/>
      <c r="J388" s="21">
        <f t="shared" ref="J388" si="610">SUBTOTAL(9,J389)</f>
        <v>-4470</v>
      </c>
      <c r="K388" s="21"/>
      <c r="L388" s="21">
        <v>1</v>
      </c>
      <c r="M388" s="21">
        <f>SUBTOTAL(9,M389)</f>
        <v>0</v>
      </c>
      <c r="N388" s="21">
        <f t="shared" ref="N388:Q388" si="611">SUBTOTAL(9,N389)</f>
        <v>0</v>
      </c>
      <c r="O388" s="21">
        <f t="shared" si="611"/>
        <v>-4470</v>
      </c>
      <c r="P388" s="21">
        <f t="shared" si="611"/>
        <v>0</v>
      </c>
      <c r="Q388" s="21">
        <f t="shared" si="611"/>
        <v>-4470</v>
      </c>
      <c r="R388" s="93"/>
    </row>
    <row r="389" spans="1:21" x14ac:dyDescent="0.2">
      <c r="A389" s="168">
        <v>51.1</v>
      </c>
      <c r="B389" s="31">
        <v>2</v>
      </c>
      <c r="C389" s="11" t="s">
        <v>81</v>
      </c>
      <c r="D389" s="11" t="s">
        <v>19</v>
      </c>
      <c r="E389" s="12" t="s">
        <v>190</v>
      </c>
      <c r="F389" s="11">
        <v>1</v>
      </c>
      <c r="G389" s="11">
        <v>1</v>
      </c>
      <c r="H389" s="11">
        <f>H388</f>
        <v>-447</v>
      </c>
      <c r="I389" s="11">
        <f>VLOOKUP(C389,Resources!$B$3:$G$44,6,FALSE)</f>
        <v>10</v>
      </c>
      <c r="J389" s="38">
        <f t="shared" ref="J389" si="612">(H389/G389)*I389*F389</f>
        <v>-4470</v>
      </c>
      <c r="K389" s="12">
        <f t="shared" ref="K389" si="613">IF(E389="M"," ",L389*F389)</f>
        <v>-447</v>
      </c>
      <c r="L389" s="11">
        <f t="shared" ref="L389" si="614">IF(E389="M"," ",H389/G389)</f>
        <v>-447</v>
      </c>
      <c r="M389" s="11">
        <f t="shared" ref="M389" si="615">IF($E389="L",$J389,0)</f>
        <v>0</v>
      </c>
      <c r="N389" s="11">
        <f t="shared" ref="N389" si="616">IF($E389="M",$J389,0)</f>
        <v>0</v>
      </c>
      <c r="O389" s="11">
        <f t="shared" ref="O389" si="617">IF($E389="P",$J389,0)</f>
        <v>-4470</v>
      </c>
      <c r="P389" s="11">
        <f t="shared" ref="P389" si="618">IF($E389="S",$J389,0)</f>
        <v>0</v>
      </c>
      <c r="Q389" s="11">
        <f t="shared" ref="Q389" si="619">SUM(M389:P389)</f>
        <v>-4470</v>
      </c>
      <c r="R389" s="94">
        <v>222</v>
      </c>
    </row>
    <row r="390" spans="1:21" s="1" customFormat="1" x14ac:dyDescent="0.2">
      <c r="A390" s="170" t="s">
        <v>230</v>
      </c>
      <c r="B390" s="13"/>
      <c r="C390" s="13"/>
      <c r="D390" s="86"/>
      <c r="F390" s="13"/>
      <c r="G390" s="13"/>
      <c r="H390" s="13"/>
      <c r="I390" s="13"/>
      <c r="J390" s="13"/>
      <c r="K390" s="87"/>
      <c r="L390" s="86"/>
      <c r="M390" s="13"/>
      <c r="N390" s="13"/>
      <c r="O390" s="13"/>
      <c r="P390" s="13"/>
      <c r="Q390" s="13"/>
      <c r="R390" s="96"/>
      <c r="U390" s="75"/>
    </row>
    <row r="391" spans="1:21" s="14" customFormat="1" x14ac:dyDescent="0.2">
      <c r="A391" s="167">
        <v>52</v>
      </c>
      <c r="B391" s="29" t="s">
        <v>246</v>
      </c>
      <c r="C391" s="18" t="s">
        <v>247</v>
      </c>
      <c r="D391" s="19" t="s">
        <v>33</v>
      </c>
      <c r="E391" s="42"/>
      <c r="F391" s="20">
        <v>8000</v>
      </c>
      <c r="G391" s="20"/>
      <c r="H391" s="45">
        <f>VLOOKUP($A391,'Model Inputs'!$A:$C,3,FALSE)</f>
        <v>1450</v>
      </c>
      <c r="I391" s="20"/>
      <c r="J391" s="21">
        <f>SUBTOTAL(9,J392:J396)</f>
        <v>7908.3783783783792</v>
      </c>
      <c r="K391" s="21"/>
      <c r="L391" s="21">
        <f>MAX(L392:L396)</f>
        <v>7.8378378378378377</v>
      </c>
      <c r="M391" s="21">
        <f>SUBTOTAL(9,M392:M396)</f>
        <v>595.67567567567562</v>
      </c>
      <c r="N391" s="21">
        <f>SUBTOTAL(9,N392:N396)</f>
        <v>0</v>
      </c>
      <c r="O391" s="21">
        <f>SUBTOTAL(9,O392:O396)</f>
        <v>7312.7027027027034</v>
      </c>
      <c r="P391" s="21">
        <f>SUBTOTAL(9,P392:P396)</f>
        <v>0</v>
      </c>
      <c r="Q391" s="21">
        <f>SUBTOTAL(9,Q392:Q396)</f>
        <v>7908.3783783783792</v>
      </c>
      <c r="R391" s="93"/>
    </row>
    <row r="392" spans="1:21" x14ac:dyDescent="0.2">
      <c r="A392" s="168">
        <v>52.1</v>
      </c>
      <c r="B392" s="31">
        <v>2</v>
      </c>
      <c r="C392" s="11" t="s">
        <v>18</v>
      </c>
      <c r="D392" s="11" t="s">
        <v>19</v>
      </c>
      <c r="E392" s="12" t="s">
        <v>190</v>
      </c>
      <c r="F392" s="11">
        <v>1</v>
      </c>
      <c r="G392" s="45">
        <f>VLOOKUP($A392,'Model Inputs'!$A:$C,3,FALSE)</f>
        <v>185</v>
      </c>
      <c r="H392" s="11">
        <f>H391</f>
        <v>1450</v>
      </c>
      <c r="I392" s="11">
        <f>VLOOKUP(C392,Resources!$B$3:$G$44,6,FALSE)</f>
        <v>130</v>
      </c>
      <c r="J392" s="38">
        <f t="shared" ref="J392:J396" si="620">(H392/G392)*I392*F392</f>
        <v>1018.9189189189188</v>
      </c>
      <c r="K392" s="12">
        <f t="shared" ref="K392:K396" si="621">IF(E392="M"," ",L392*F392)</f>
        <v>7.8378378378378377</v>
      </c>
      <c r="L392" s="11">
        <f t="shared" ref="L392:L396" si="622">IF(E392="M"," ",H392/G392)</f>
        <v>7.8378378378378377</v>
      </c>
      <c r="M392" s="11">
        <f t="shared" ref="M392:M396" si="623">IF($E392="L",$J392,0)</f>
        <v>0</v>
      </c>
      <c r="N392" s="11">
        <f t="shared" ref="N392:N396" si="624">IF($E392="M",$J392,0)</f>
        <v>0</v>
      </c>
      <c r="O392" s="11">
        <f t="shared" ref="O392:O396" si="625">IF($E392="P",$J392,0)</f>
        <v>1018.9189189189188</v>
      </c>
      <c r="P392" s="11">
        <f t="shared" ref="P392:P396" si="626">IF($E392="S",$J392,0)</f>
        <v>0</v>
      </c>
      <c r="Q392" s="11">
        <f t="shared" ref="Q392:Q396" si="627">SUM(M392:P392)</f>
        <v>1018.9189189189188</v>
      </c>
      <c r="R392" s="94">
        <v>51</v>
      </c>
    </row>
    <row r="393" spans="1:21" x14ac:dyDescent="0.2">
      <c r="A393" s="168" t="s">
        <v>230</v>
      </c>
      <c r="B393" s="31">
        <v>3</v>
      </c>
      <c r="C393" s="11" t="s">
        <v>68</v>
      </c>
      <c r="D393" s="11" t="s">
        <v>19</v>
      </c>
      <c r="E393" s="12" t="s">
        <v>190</v>
      </c>
      <c r="F393" s="11">
        <v>3</v>
      </c>
      <c r="G393" s="11">
        <f>G392</f>
        <v>185</v>
      </c>
      <c r="H393" s="11">
        <f>H392</f>
        <v>1450</v>
      </c>
      <c r="I393" s="11">
        <f>VLOOKUP(C393,Resources!$B$3:$G$44,6,FALSE)</f>
        <v>185</v>
      </c>
      <c r="J393" s="38">
        <f t="shared" si="620"/>
        <v>4350</v>
      </c>
      <c r="K393" s="12">
        <f t="shared" si="621"/>
        <v>23.513513513513512</v>
      </c>
      <c r="L393" s="11">
        <f t="shared" si="622"/>
        <v>7.8378378378378377</v>
      </c>
      <c r="M393" s="11">
        <f t="shared" si="623"/>
        <v>0</v>
      </c>
      <c r="N393" s="11">
        <f t="shared" si="624"/>
        <v>0</v>
      </c>
      <c r="O393" s="11">
        <f t="shared" si="625"/>
        <v>4350</v>
      </c>
      <c r="P393" s="11">
        <f t="shared" si="626"/>
        <v>0</v>
      </c>
      <c r="Q393" s="11">
        <f t="shared" si="627"/>
        <v>4350</v>
      </c>
      <c r="R393" s="94">
        <v>51</v>
      </c>
    </row>
    <row r="394" spans="1:21" x14ac:dyDescent="0.2">
      <c r="A394" s="168" t="s">
        <v>230</v>
      </c>
      <c r="B394" s="31">
        <v>5</v>
      </c>
      <c r="C394" s="11" t="s">
        <v>53</v>
      </c>
      <c r="D394" s="11" t="s">
        <v>19</v>
      </c>
      <c r="E394" s="12" t="s">
        <v>190</v>
      </c>
      <c r="F394" s="11">
        <v>2</v>
      </c>
      <c r="G394" s="11">
        <f>G392</f>
        <v>185</v>
      </c>
      <c r="H394" s="11">
        <f>H392</f>
        <v>1450</v>
      </c>
      <c r="I394" s="11">
        <f>VLOOKUP(C394,Resources!$B$3:$G$44,6,FALSE)</f>
        <v>95</v>
      </c>
      <c r="J394" s="38">
        <f t="shared" si="620"/>
        <v>1489.1891891891892</v>
      </c>
      <c r="K394" s="12">
        <f t="shared" si="621"/>
        <v>15.675675675675675</v>
      </c>
      <c r="L394" s="11">
        <f t="shared" si="622"/>
        <v>7.8378378378378377</v>
      </c>
      <c r="M394" s="11">
        <f t="shared" si="623"/>
        <v>0</v>
      </c>
      <c r="N394" s="11">
        <f t="shared" si="624"/>
        <v>0</v>
      </c>
      <c r="O394" s="11">
        <f t="shared" si="625"/>
        <v>1489.1891891891892</v>
      </c>
      <c r="P394" s="11">
        <f t="shared" si="626"/>
        <v>0</v>
      </c>
      <c r="Q394" s="11">
        <f t="shared" si="627"/>
        <v>1489.1891891891892</v>
      </c>
      <c r="R394" s="94">
        <v>51</v>
      </c>
    </row>
    <row r="395" spans="1:21" x14ac:dyDescent="0.2">
      <c r="A395" s="168" t="s">
        <v>230</v>
      </c>
      <c r="B395" s="31">
        <v>6</v>
      </c>
      <c r="C395" s="11" t="s">
        <v>52</v>
      </c>
      <c r="D395" s="11" t="s">
        <v>19</v>
      </c>
      <c r="E395" s="12" t="s">
        <v>190</v>
      </c>
      <c r="F395" s="11">
        <v>1</v>
      </c>
      <c r="G395" s="11">
        <f>G392</f>
        <v>185</v>
      </c>
      <c r="H395" s="11">
        <f>H392</f>
        <v>1450</v>
      </c>
      <c r="I395" s="11">
        <f>VLOOKUP(C395,Resources!$B$3:$G$44,6,FALSE)</f>
        <v>58</v>
      </c>
      <c r="J395" s="38">
        <f t="shared" si="620"/>
        <v>454.59459459459458</v>
      </c>
      <c r="K395" s="12">
        <f t="shared" si="621"/>
        <v>7.8378378378378377</v>
      </c>
      <c r="L395" s="11">
        <f t="shared" si="622"/>
        <v>7.8378378378378377</v>
      </c>
      <c r="M395" s="11">
        <f t="shared" si="623"/>
        <v>0</v>
      </c>
      <c r="N395" s="11">
        <f t="shared" si="624"/>
        <v>0</v>
      </c>
      <c r="O395" s="11">
        <f t="shared" si="625"/>
        <v>454.59459459459458</v>
      </c>
      <c r="P395" s="11">
        <f t="shared" si="626"/>
        <v>0</v>
      </c>
      <c r="Q395" s="11">
        <f t="shared" si="627"/>
        <v>454.59459459459458</v>
      </c>
      <c r="R395" s="94">
        <v>51</v>
      </c>
    </row>
    <row r="396" spans="1:21" x14ac:dyDescent="0.2">
      <c r="A396" s="168" t="s">
        <v>230</v>
      </c>
      <c r="B396" s="31">
        <v>7</v>
      </c>
      <c r="C396" s="11" t="s">
        <v>5</v>
      </c>
      <c r="D396" s="11" t="s">
        <v>19</v>
      </c>
      <c r="E396" s="12" t="s">
        <v>188</v>
      </c>
      <c r="F396" s="11">
        <v>2</v>
      </c>
      <c r="G396" s="11">
        <f>G392</f>
        <v>185</v>
      </c>
      <c r="H396" s="11">
        <f>H392</f>
        <v>1450</v>
      </c>
      <c r="I396" s="11">
        <f>VLOOKUP(C396,Resources!$B$3:$G$44,6,FALSE)</f>
        <v>38</v>
      </c>
      <c r="J396" s="38">
        <f t="shared" si="620"/>
        <v>595.67567567567562</v>
      </c>
      <c r="K396" s="12">
        <f t="shared" si="621"/>
        <v>15.675675675675675</v>
      </c>
      <c r="L396" s="11">
        <f t="shared" si="622"/>
        <v>7.8378378378378377</v>
      </c>
      <c r="M396" s="11">
        <f t="shared" si="623"/>
        <v>595.67567567567562</v>
      </c>
      <c r="N396" s="11">
        <f t="shared" si="624"/>
        <v>0</v>
      </c>
      <c r="O396" s="11">
        <f t="shared" si="625"/>
        <v>0</v>
      </c>
      <c r="P396" s="11">
        <f t="shared" si="626"/>
        <v>0</v>
      </c>
      <c r="Q396" s="11">
        <f t="shared" si="627"/>
        <v>595.67567567567562</v>
      </c>
      <c r="R396" s="94">
        <v>51</v>
      </c>
    </row>
    <row r="397" spans="1:21" x14ac:dyDescent="0.2">
      <c r="T397" s="14"/>
    </row>
    <row r="398" spans="1:21" x14ac:dyDescent="0.2">
      <c r="T398" s="14"/>
    </row>
    <row r="399" spans="1:21" x14ac:dyDescent="0.2">
      <c r="T399" s="1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45"/>
  <sheetViews>
    <sheetView zoomScaleNormal="100" workbookViewId="0">
      <selection activeCell="L20" sqref="L20"/>
    </sheetView>
  </sheetViews>
  <sheetFormatPr defaultColWidth="8.85546875" defaultRowHeight="11.25" x14ac:dyDescent="0.2"/>
  <cols>
    <col min="1" max="1" width="8.85546875" style="14"/>
    <col min="2" max="2" width="21.42578125" style="82" bestFit="1" customWidth="1"/>
    <col min="3" max="3" width="31.140625" style="83" customWidth="1"/>
    <col min="4" max="4" width="7.42578125" style="84" customWidth="1"/>
    <col min="5" max="5" width="5.5703125" style="82" bestFit="1" customWidth="1"/>
    <col min="6" max="6" width="6.5703125" style="82" customWidth="1"/>
    <col min="7" max="7" width="9.85546875" style="88" customWidth="1"/>
    <col min="8" max="16384" width="8.85546875" style="14"/>
  </cols>
  <sheetData>
    <row r="1" spans="1:7" ht="12" thickBot="1" x14ac:dyDescent="0.25"/>
    <row r="2" spans="1:7" ht="12" thickBot="1" x14ac:dyDescent="0.25">
      <c r="A2" s="117"/>
      <c r="B2" s="118" t="s">
        <v>1</v>
      </c>
      <c r="C2" s="119" t="s">
        <v>162</v>
      </c>
      <c r="D2" s="120" t="s">
        <v>158</v>
      </c>
      <c r="E2" s="118" t="s">
        <v>2</v>
      </c>
      <c r="F2" s="118" t="s">
        <v>163</v>
      </c>
      <c r="G2" s="121" t="s">
        <v>187</v>
      </c>
    </row>
    <row r="3" spans="1:7" x14ac:dyDescent="0.2">
      <c r="A3" s="271" t="s">
        <v>235</v>
      </c>
      <c r="B3" s="122" t="s">
        <v>5</v>
      </c>
      <c r="C3" s="123" t="s">
        <v>5</v>
      </c>
      <c r="D3" s="124" t="s">
        <v>188</v>
      </c>
      <c r="E3" s="122" t="s">
        <v>19</v>
      </c>
      <c r="F3" s="122" t="s">
        <v>164</v>
      </c>
      <c r="G3" s="125">
        <v>38</v>
      </c>
    </row>
    <row r="4" spans="1:7" x14ac:dyDescent="0.2">
      <c r="A4" s="272"/>
      <c r="B4" s="97" t="s">
        <v>21</v>
      </c>
      <c r="C4" s="98" t="s">
        <v>165</v>
      </c>
      <c r="D4" s="99" t="s">
        <v>188</v>
      </c>
      <c r="E4" s="97" t="s">
        <v>22</v>
      </c>
      <c r="F4" s="97" t="s">
        <v>164</v>
      </c>
      <c r="G4" s="100">
        <v>3250</v>
      </c>
    </row>
    <row r="5" spans="1:7" x14ac:dyDescent="0.2">
      <c r="A5" s="272"/>
      <c r="B5" s="97" t="s">
        <v>28</v>
      </c>
      <c r="C5" s="98" t="s">
        <v>28</v>
      </c>
      <c r="D5" s="99" t="s">
        <v>188</v>
      </c>
      <c r="E5" s="97" t="s">
        <v>22</v>
      </c>
      <c r="F5" s="97" t="s">
        <v>164</v>
      </c>
      <c r="G5" s="100">
        <v>3350</v>
      </c>
    </row>
    <row r="6" spans="1:7" ht="12" thickBot="1" x14ac:dyDescent="0.25">
      <c r="A6" s="273"/>
      <c r="B6" s="126" t="s">
        <v>40</v>
      </c>
      <c r="C6" s="127" t="s">
        <v>166</v>
      </c>
      <c r="D6" s="128" t="s">
        <v>188</v>
      </c>
      <c r="E6" s="126" t="s">
        <v>19</v>
      </c>
      <c r="F6" s="126" t="s">
        <v>164</v>
      </c>
      <c r="G6" s="129">
        <v>185</v>
      </c>
    </row>
    <row r="7" spans="1:7" x14ac:dyDescent="0.2">
      <c r="A7" s="271" t="s">
        <v>238</v>
      </c>
      <c r="B7" s="130" t="s">
        <v>88</v>
      </c>
      <c r="C7" s="131"/>
      <c r="D7" s="132" t="s">
        <v>189</v>
      </c>
      <c r="E7" s="130" t="s">
        <v>85</v>
      </c>
      <c r="F7" s="130" t="s">
        <v>164</v>
      </c>
      <c r="G7" s="133">
        <v>33.5</v>
      </c>
    </row>
    <row r="8" spans="1:7" x14ac:dyDescent="0.2">
      <c r="A8" s="272"/>
      <c r="B8" s="101" t="s">
        <v>193</v>
      </c>
      <c r="C8" s="102"/>
      <c r="D8" s="103" t="s">
        <v>189</v>
      </c>
      <c r="E8" s="101" t="s">
        <v>85</v>
      </c>
      <c r="F8" s="101" t="s">
        <v>164</v>
      </c>
      <c r="G8" s="104">
        <v>27.5</v>
      </c>
    </row>
    <row r="9" spans="1:7" x14ac:dyDescent="0.2">
      <c r="A9" s="272"/>
      <c r="B9" s="101" t="s">
        <v>194</v>
      </c>
      <c r="C9" s="102" t="s">
        <v>167</v>
      </c>
      <c r="D9" s="103" t="s">
        <v>189</v>
      </c>
      <c r="E9" s="101" t="s">
        <v>82</v>
      </c>
      <c r="F9" s="101" t="s">
        <v>164</v>
      </c>
      <c r="G9" s="104">
        <v>1.03</v>
      </c>
    </row>
    <row r="10" spans="1:7" x14ac:dyDescent="0.2">
      <c r="A10" s="272"/>
      <c r="B10" s="101" t="s">
        <v>195</v>
      </c>
      <c r="C10" s="102" t="s">
        <v>168</v>
      </c>
      <c r="D10" s="103" t="s">
        <v>189</v>
      </c>
      <c r="E10" s="101" t="s">
        <v>82</v>
      </c>
      <c r="F10" s="101" t="s">
        <v>164</v>
      </c>
      <c r="G10" s="104">
        <v>2.4900000000000002</v>
      </c>
    </row>
    <row r="11" spans="1:7" x14ac:dyDescent="0.2">
      <c r="A11" s="272"/>
      <c r="B11" s="101" t="s">
        <v>117</v>
      </c>
      <c r="C11" s="102" t="s">
        <v>169</v>
      </c>
      <c r="D11" s="103" t="s">
        <v>189</v>
      </c>
      <c r="E11" s="101" t="s">
        <v>107</v>
      </c>
      <c r="F11" s="101" t="s">
        <v>164</v>
      </c>
      <c r="G11" s="104">
        <v>28.3</v>
      </c>
    </row>
    <row r="12" spans="1:7" x14ac:dyDescent="0.2">
      <c r="A12" s="272"/>
      <c r="B12" s="101" t="s">
        <v>63</v>
      </c>
      <c r="C12" s="102"/>
      <c r="D12" s="103" t="s">
        <v>189</v>
      </c>
      <c r="E12" s="101" t="s">
        <v>31</v>
      </c>
      <c r="F12" s="101" t="s">
        <v>164</v>
      </c>
      <c r="G12" s="104">
        <v>13.67</v>
      </c>
    </row>
    <row r="13" spans="1:7" x14ac:dyDescent="0.2">
      <c r="A13" s="272"/>
      <c r="B13" s="101" t="s">
        <v>81</v>
      </c>
      <c r="C13" s="102"/>
      <c r="D13" s="103" t="s">
        <v>189</v>
      </c>
      <c r="E13" s="101" t="s">
        <v>82</v>
      </c>
      <c r="F13" s="101" t="s">
        <v>164</v>
      </c>
      <c r="G13" s="104">
        <v>10</v>
      </c>
    </row>
    <row r="14" spans="1:7" x14ac:dyDescent="0.2">
      <c r="A14" s="272"/>
      <c r="B14" s="101" t="s">
        <v>120</v>
      </c>
      <c r="C14" s="102"/>
      <c r="D14" s="103" t="s">
        <v>189</v>
      </c>
      <c r="E14" s="101" t="s">
        <v>82</v>
      </c>
      <c r="F14" s="101" t="s">
        <v>164</v>
      </c>
      <c r="G14" s="104">
        <v>7.2</v>
      </c>
    </row>
    <row r="15" spans="1:7" x14ac:dyDescent="0.2">
      <c r="A15" s="272"/>
      <c r="B15" s="101" t="s">
        <v>106</v>
      </c>
      <c r="C15" s="102" t="s">
        <v>170</v>
      </c>
      <c r="D15" s="103" t="s">
        <v>189</v>
      </c>
      <c r="E15" s="101" t="s">
        <v>107</v>
      </c>
      <c r="F15" s="101" t="s">
        <v>164</v>
      </c>
      <c r="G15" s="104">
        <v>26.5</v>
      </c>
    </row>
    <row r="16" spans="1:7" x14ac:dyDescent="0.2">
      <c r="A16" s="272"/>
      <c r="B16" s="101" t="s">
        <v>137</v>
      </c>
      <c r="C16" s="102"/>
      <c r="D16" s="103" t="s">
        <v>189</v>
      </c>
      <c r="E16" s="101" t="s">
        <v>33</v>
      </c>
      <c r="F16" s="101" t="s">
        <v>164</v>
      </c>
      <c r="G16" s="104">
        <v>391.4</v>
      </c>
    </row>
    <row r="17" spans="1:7" x14ac:dyDescent="0.2">
      <c r="A17" s="272"/>
      <c r="B17" s="101" t="s">
        <v>129</v>
      </c>
      <c r="C17" s="102" t="s">
        <v>171</v>
      </c>
      <c r="D17" s="103" t="s">
        <v>189</v>
      </c>
      <c r="E17" s="101" t="s">
        <v>31</v>
      </c>
      <c r="F17" s="101" t="s">
        <v>164</v>
      </c>
      <c r="G17" s="104">
        <v>22.9</v>
      </c>
    </row>
    <row r="18" spans="1:7" x14ac:dyDescent="0.2">
      <c r="A18" s="272"/>
      <c r="B18" s="101" t="s">
        <v>32</v>
      </c>
      <c r="C18" s="102" t="s">
        <v>172</v>
      </c>
      <c r="D18" s="103" t="s">
        <v>189</v>
      </c>
      <c r="E18" s="101" t="s">
        <v>33</v>
      </c>
      <c r="F18" s="101" t="s">
        <v>164</v>
      </c>
      <c r="G18" s="104">
        <v>6</v>
      </c>
    </row>
    <row r="19" spans="1:7" x14ac:dyDescent="0.2">
      <c r="A19" s="272"/>
      <c r="B19" s="101" t="s">
        <v>30</v>
      </c>
      <c r="C19" s="102" t="s">
        <v>30</v>
      </c>
      <c r="D19" s="103" t="s">
        <v>189</v>
      </c>
      <c r="E19" s="101" t="s">
        <v>31</v>
      </c>
      <c r="F19" s="101" t="s">
        <v>164</v>
      </c>
      <c r="G19" s="104">
        <v>2</v>
      </c>
    </row>
    <row r="20" spans="1:7" ht="12" thickBot="1" x14ac:dyDescent="0.25">
      <c r="A20" s="273"/>
      <c r="B20" s="134" t="s">
        <v>150</v>
      </c>
      <c r="C20" s="135"/>
      <c r="D20" s="136" t="s">
        <v>189</v>
      </c>
      <c r="E20" s="134" t="s">
        <v>12</v>
      </c>
      <c r="F20" s="134" t="s">
        <v>164</v>
      </c>
      <c r="G20" s="137">
        <v>1</v>
      </c>
    </row>
    <row r="21" spans="1:7" x14ac:dyDescent="0.2">
      <c r="A21" s="271" t="s">
        <v>236</v>
      </c>
      <c r="B21" s="138" t="s">
        <v>68</v>
      </c>
      <c r="C21" s="139"/>
      <c r="D21" s="140" t="s">
        <v>190</v>
      </c>
      <c r="E21" s="138" t="s">
        <v>19</v>
      </c>
      <c r="F21" s="138" t="s">
        <v>164</v>
      </c>
      <c r="G21" s="141">
        <v>185</v>
      </c>
    </row>
    <row r="22" spans="1:7" x14ac:dyDescent="0.2">
      <c r="A22" s="272"/>
      <c r="B22" s="105" t="s">
        <v>29</v>
      </c>
      <c r="C22" s="106" t="s">
        <v>173</v>
      </c>
      <c r="D22" s="107" t="s">
        <v>190</v>
      </c>
      <c r="E22" s="105" t="s">
        <v>19</v>
      </c>
      <c r="F22" s="105" t="s">
        <v>164</v>
      </c>
      <c r="G22" s="108">
        <v>46.5</v>
      </c>
    </row>
    <row r="23" spans="1:7" ht="22.5" x14ac:dyDescent="0.2">
      <c r="A23" s="272"/>
      <c r="B23" s="105" t="s">
        <v>153</v>
      </c>
      <c r="C23" s="106" t="s">
        <v>174</v>
      </c>
      <c r="D23" s="107" t="s">
        <v>190</v>
      </c>
      <c r="E23" s="105" t="s">
        <v>22</v>
      </c>
      <c r="F23" s="105" t="s">
        <v>164</v>
      </c>
      <c r="G23" s="108">
        <v>1250</v>
      </c>
    </row>
    <row r="24" spans="1:7" x14ac:dyDescent="0.2">
      <c r="A24" s="272"/>
      <c r="B24" s="105" t="s">
        <v>23</v>
      </c>
      <c r="C24" s="106" t="s">
        <v>175</v>
      </c>
      <c r="D24" s="107" t="s">
        <v>190</v>
      </c>
      <c r="E24" s="105" t="s">
        <v>19</v>
      </c>
      <c r="F24" s="105" t="s">
        <v>164</v>
      </c>
      <c r="G24" s="108">
        <v>185</v>
      </c>
    </row>
    <row r="25" spans="1:7" x14ac:dyDescent="0.2">
      <c r="A25" s="272"/>
      <c r="B25" s="105" t="s">
        <v>155</v>
      </c>
      <c r="C25" s="106"/>
      <c r="D25" s="107" t="s">
        <v>190</v>
      </c>
      <c r="E25" s="105" t="s">
        <v>22</v>
      </c>
      <c r="F25" s="105" t="s">
        <v>164</v>
      </c>
      <c r="G25" s="108">
        <v>277</v>
      </c>
    </row>
    <row r="26" spans="1:7" x14ac:dyDescent="0.2">
      <c r="A26" s="272"/>
      <c r="B26" s="105" t="s">
        <v>18</v>
      </c>
      <c r="C26" s="106" t="s">
        <v>176</v>
      </c>
      <c r="D26" s="107" t="s">
        <v>190</v>
      </c>
      <c r="E26" s="105" t="s">
        <v>19</v>
      </c>
      <c r="F26" s="105" t="s">
        <v>164</v>
      </c>
      <c r="G26" s="108">
        <v>130</v>
      </c>
    </row>
    <row r="27" spans="1:7" x14ac:dyDescent="0.2">
      <c r="A27" s="272"/>
      <c r="B27" s="105" t="s">
        <v>13</v>
      </c>
      <c r="C27" s="106"/>
      <c r="D27" s="107" t="s">
        <v>190</v>
      </c>
      <c r="E27" s="105" t="s">
        <v>14</v>
      </c>
      <c r="F27" s="105" t="s">
        <v>164</v>
      </c>
      <c r="G27" s="108">
        <v>1</v>
      </c>
    </row>
    <row r="28" spans="1:7" x14ac:dyDescent="0.2">
      <c r="A28" s="272"/>
      <c r="B28" s="105" t="s">
        <v>50</v>
      </c>
      <c r="C28" s="106" t="s">
        <v>177</v>
      </c>
      <c r="D28" s="107" t="s">
        <v>190</v>
      </c>
      <c r="E28" s="105" t="s">
        <v>19</v>
      </c>
      <c r="F28" s="105" t="s">
        <v>164</v>
      </c>
      <c r="G28" s="108">
        <v>135</v>
      </c>
    </row>
    <row r="29" spans="1:7" x14ac:dyDescent="0.2">
      <c r="A29" s="272"/>
      <c r="B29" s="105" t="s">
        <v>56</v>
      </c>
      <c r="C29" s="106" t="s">
        <v>178</v>
      </c>
      <c r="D29" s="107" t="s">
        <v>190</v>
      </c>
      <c r="E29" s="105" t="s">
        <v>57</v>
      </c>
      <c r="F29" s="105" t="s">
        <v>164</v>
      </c>
      <c r="G29" s="108">
        <v>365</v>
      </c>
    </row>
    <row r="30" spans="1:7" x14ac:dyDescent="0.2">
      <c r="A30" s="272"/>
      <c r="B30" s="105" t="s">
        <v>52</v>
      </c>
      <c r="C30" s="106"/>
      <c r="D30" s="107" t="s">
        <v>190</v>
      </c>
      <c r="E30" s="105" t="s">
        <v>19</v>
      </c>
      <c r="F30" s="105" t="s">
        <v>164</v>
      </c>
      <c r="G30" s="108">
        <v>58</v>
      </c>
    </row>
    <row r="31" spans="1:7" x14ac:dyDescent="0.2">
      <c r="A31" s="272"/>
      <c r="B31" s="105" t="s">
        <v>70</v>
      </c>
      <c r="C31" s="106" t="s">
        <v>179</v>
      </c>
      <c r="D31" s="107" t="s">
        <v>190</v>
      </c>
      <c r="E31" s="105" t="s">
        <v>19</v>
      </c>
      <c r="F31" s="105" t="s">
        <v>164</v>
      </c>
      <c r="G31" s="108">
        <v>55</v>
      </c>
    </row>
    <row r="32" spans="1:7" x14ac:dyDescent="0.2">
      <c r="A32" s="272"/>
      <c r="B32" s="105" t="s">
        <v>196</v>
      </c>
      <c r="C32" s="106"/>
      <c r="D32" s="107" t="s">
        <v>190</v>
      </c>
      <c r="E32" s="105" t="s">
        <v>19</v>
      </c>
      <c r="F32" s="105" t="s">
        <v>164</v>
      </c>
      <c r="G32" s="108">
        <v>15</v>
      </c>
    </row>
    <row r="33" spans="1:7" ht="12" thickBot="1" x14ac:dyDescent="0.25">
      <c r="A33" s="273"/>
      <c r="B33" s="142" t="s">
        <v>53</v>
      </c>
      <c r="C33" s="143" t="s">
        <v>180</v>
      </c>
      <c r="D33" s="144" t="s">
        <v>190</v>
      </c>
      <c r="E33" s="142" t="s">
        <v>19</v>
      </c>
      <c r="F33" s="142" t="s">
        <v>164</v>
      </c>
      <c r="G33" s="145">
        <v>95</v>
      </c>
    </row>
    <row r="34" spans="1:7" x14ac:dyDescent="0.2">
      <c r="A34" s="271" t="s">
        <v>237</v>
      </c>
      <c r="B34" s="146" t="s">
        <v>146</v>
      </c>
      <c r="C34" s="147" t="s">
        <v>181</v>
      </c>
      <c r="D34" s="148" t="s">
        <v>191</v>
      </c>
      <c r="E34" s="146" t="s">
        <v>57</v>
      </c>
      <c r="F34" s="146" t="s">
        <v>164</v>
      </c>
      <c r="G34" s="149">
        <v>125</v>
      </c>
    </row>
    <row r="35" spans="1:7" x14ac:dyDescent="0.2">
      <c r="A35" s="272"/>
      <c r="B35" s="109" t="s">
        <v>61</v>
      </c>
      <c r="C35" s="110" t="s">
        <v>182</v>
      </c>
      <c r="D35" s="111" t="s">
        <v>191</v>
      </c>
      <c r="E35" s="109" t="s">
        <v>57</v>
      </c>
      <c r="F35" s="109" t="s">
        <v>164</v>
      </c>
      <c r="G35" s="112">
        <v>15400</v>
      </c>
    </row>
    <row r="36" spans="1:7" ht="22.5" x14ac:dyDescent="0.2">
      <c r="A36" s="272"/>
      <c r="B36" s="109" t="s">
        <v>62</v>
      </c>
      <c r="C36" s="110" t="s">
        <v>183</v>
      </c>
      <c r="D36" s="111" t="s">
        <v>191</v>
      </c>
      <c r="E36" s="109" t="s">
        <v>57</v>
      </c>
      <c r="F36" s="109" t="s">
        <v>164</v>
      </c>
      <c r="G36" s="112">
        <v>5240</v>
      </c>
    </row>
    <row r="37" spans="1:7" x14ac:dyDescent="0.2">
      <c r="A37" s="272"/>
      <c r="B37" s="109" t="s">
        <v>16</v>
      </c>
      <c r="C37" s="110" t="s">
        <v>184</v>
      </c>
      <c r="D37" s="111" t="s">
        <v>191</v>
      </c>
      <c r="E37" s="109" t="s">
        <v>12</v>
      </c>
      <c r="F37" s="109" t="s">
        <v>164</v>
      </c>
      <c r="G37" s="112">
        <v>1</v>
      </c>
    </row>
    <row r="38" spans="1:7" x14ac:dyDescent="0.2">
      <c r="A38" s="272"/>
      <c r="B38" s="109" t="s">
        <v>42</v>
      </c>
      <c r="C38" s="110"/>
      <c r="D38" s="111" t="s">
        <v>191</v>
      </c>
      <c r="E38" s="109" t="s">
        <v>33</v>
      </c>
      <c r="F38" s="109" t="s">
        <v>164</v>
      </c>
      <c r="G38" s="112">
        <v>45</v>
      </c>
    </row>
    <row r="39" spans="1:7" x14ac:dyDescent="0.2">
      <c r="A39" s="272"/>
      <c r="B39" s="109" t="s">
        <v>20</v>
      </c>
      <c r="C39" s="110"/>
      <c r="D39" s="111" t="s">
        <v>191</v>
      </c>
      <c r="E39" s="109" t="s">
        <v>19</v>
      </c>
      <c r="F39" s="109" t="s">
        <v>164</v>
      </c>
      <c r="G39" s="112">
        <v>120</v>
      </c>
    </row>
    <row r="40" spans="1:7" x14ac:dyDescent="0.2">
      <c r="A40" s="272"/>
      <c r="B40" s="109" t="s">
        <v>197</v>
      </c>
      <c r="C40" s="110"/>
      <c r="D40" s="111" t="s">
        <v>191</v>
      </c>
      <c r="E40" s="109" t="s">
        <v>12</v>
      </c>
      <c r="F40" s="109" t="s">
        <v>164</v>
      </c>
      <c r="G40" s="112">
        <v>26553</v>
      </c>
    </row>
    <row r="41" spans="1:7" x14ac:dyDescent="0.2">
      <c r="A41" s="272"/>
      <c r="B41" s="109" t="s">
        <v>132</v>
      </c>
      <c r="C41" s="110"/>
      <c r="D41" s="111" t="s">
        <v>191</v>
      </c>
      <c r="E41" s="109" t="s">
        <v>33</v>
      </c>
      <c r="F41" s="109" t="s">
        <v>164</v>
      </c>
      <c r="G41" s="112">
        <v>50</v>
      </c>
    </row>
    <row r="42" spans="1:7" x14ac:dyDescent="0.2">
      <c r="A42" s="272"/>
      <c r="B42" s="109" t="s">
        <v>157</v>
      </c>
      <c r="C42" s="110"/>
      <c r="D42" s="111" t="s">
        <v>191</v>
      </c>
      <c r="E42" s="109" t="s">
        <v>12</v>
      </c>
      <c r="F42" s="109" t="s">
        <v>164</v>
      </c>
      <c r="G42" s="112">
        <v>1</v>
      </c>
    </row>
    <row r="43" spans="1:7" x14ac:dyDescent="0.2">
      <c r="A43" s="272"/>
      <c r="B43" s="109" t="s">
        <v>99</v>
      </c>
      <c r="C43" s="110" t="s">
        <v>185</v>
      </c>
      <c r="D43" s="111" t="s">
        <v>191</v>
      </c>
      <c r="E43" s="109" t="s">
        <v>31</v>
      </c>
      <c r="F43" s="109" t="s">
        <v>164</v>
      </c>
      <c r="G43" s="112">
        <v>66</v>
      </c>
    </row>
    <row r="44" spans="1:7" ht="12" thickBot="1" x14ac:dyDescent="0.25">
      <c r="A44" s="273"/>
      <c r="B44" s="113" t="s">
        <v>192</v>
      </c>
      <c r="C44" s="114" t="s">
        <v>186</v>
      </c>
      <c r="D44" s="115" t="s">
        <v>191</v>
      </c>
      <c r="E44" s="113" t="s">
        <v>12</v>
      </c>
      <c r="F44" s="113" t="s">
        <v>164</v>
      </c>
      <c r="G44" s="116">
        <v>1</v>
      </c>
    </row>
    <row r="45" spans="1:7" x14ac:dyDescent="0.2">
      <c r="G45" s="89"/>
    </row>
  </sheetData>
  <mergeCells count="4">
    <mergeCell ref="A3:A6"/>
    <mergeCell ref="A7:A20"/>
    <mergeCell ref="A21:A33"/>
    <mergeCell ref="A34:A4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A1:K176"/>
  <sheetViews>
    <sheetView topLeftCell="A41" workbookViewId="0">
      <selection activeCell="K9" sqref="K9"/>
    </sheetView>
  </sheetViews>
  <sheetFormatPr defaultColWidth="8.85546875" defaultRowHeight="15" x14ac:dyDescent="0.25"/>
  <cols>
    <col min="1" max="1" width="4.85546875" style="76" bestFit="1" customWidth="1"/>
    <col min="2" max="2" width="46.140625" style="75" customWidth="1"/>
    <col min="3" max="3" width="11.42578125" style="79" customWidth="1"/>
    <col min="4" max="4" width="7.85546875" style="78" bestFit="1" customWidth="1"/>
    <col min="5" max="5" width="11.28515625" style="80" customWidth="1"/>
    <col min="6" max="6" width="7.85546875" style="1" bestFit="1" customWidth="1"/>
    <col min="7" max="7" width="13.5703125" style="1" bestFit="1" customWidth="1"/>
    <col min="8" max="8" width="7.85546875" style="1" bestFit="1" customWidth="1"/>
    <col min="9" max="9" width="8.85546875" style="75" bestFit="1" customWidth="1"/>
    <col min="11" max="210" width="8.85546875" style="75" bestFit="1" customWidth="1"/>
    <col min="211" max="16384" width="8.85546875" style="75"/>
  </cols>
  <sheetData>
    <row r="1" spans="1:11" s="150" customFormat="1" x14ac:dyDescent="0.25">
      <c r="A1" s="153" t="s">
        <v>270</v>
      </c>
      <c r="B1" s="154" t="s">
        <v>275</v>
      </c>
      <c r="C1" s="155" t="s">
        <v>274</v>
      </c>
      <c r="D1" s="156" t="s">
        <v>272</v>
      </c>
      <c r="E1" s="157" t="s">
        <v>273</v>
      </c>
      <c r="F1" s="151"/>
      <c r="G1" s="151"/>
      <c r="H1" s="151"/>
      <c r="I1" s="152"/>
      <c r="J1" s="48"/>
    </row>
    <row r="2" spans="1:11" x14ac:dyDescent="0.25">
      <c r="A2" s="158">
        <v>4</v>
      </c>
      <c r="B2" s="159" t="s">
        <v>11</v>
      </c>
      <c r="C2" s="160">
        <v>5</v>
      </c>
      <c r="D2" s="164" t="s">
        <v>276</v>
      </c>
      <c r="E2" s="161" t="s">
        <v>12</v>
      </c>
      <c r="G2" s="262"/>
      <c r="H2" s="262"/>
      <c r="I2" s="264"/>
      <c r="J2" s="263"/>
      <c r="K2" s="262"/>
    </row>
    <row r="3" spans="1:11" ht="34.5" x14ac:dyDescent="0.25">
      <c r="A3" s="158">
        <v>5</v>
      </c>
      <c r="B3" s="159" t="s">
        <v>25</v>
      </c>
      <c r="C3" s="160">
        <v>5</v>
      </c>
      <c r="D3" s="164" t="s">
        <v>276</v>
      </c>
      <c r="E3" s="161" t="s">
        <v>12</v>
      </c>
      <c r="I3" s="77"/>
    </row>
    <row r="4" spans="1:11" x14ac:dyDescent="0.25">
      <c r="A4" s="158">
        <v>6</v>
      </c>
      <c r="B4" s="159" t="s">
        <v>36</v>
      </c>
      <c r="C4" s="160">
        <v>1</v>
      </c>
      <c r="D4" s="164" t="s">
        <v>276</v>
      </c>
      <c r="E4" s="161" t="s">
        <v>12</v>
      </c>
      <c r="I4" s="77"/>
    </row>
    <row r="5" spans="1:11" x14ac:dyDescent="0.25">
      <c r="A5" s="158">
        <v>8</v>
      </c>
      <c r="B5" s="159" t="s">
        <v>44</v>
      </c>
      <c r="C5" s="160">
        <v>20000</v>
      </c>
      <c r="D5" s="164" t="s">
        <v>190</v>
      </c>
      <c r="E5" s="161" t="s">
        <v>45</v>
      </c>
      <c r="I5" s="77"/>
    </row>
    <row r="6" spans="1:11" x14ac:dyDescent="0.25">
      <c r="A6" s="158">
        <v>8.1</v>
      </c>
      <c r="B6" s="162" t="s">
        <v>18</v>
      </c>
      <c r="C6" s="160">
        <v>90</v>
      </c>
      <c r="D6" s="164" t="s">
        <v>190</v>
      </c>
      <c r="E6" s="161" t="s">
        <v>19</v>
      </c>
      <c r="I6" s="77"/>
    </row>
    <row r="7" spans="1:11" x14ac:dyDescent="0.25">
      <c r="A7" s="158">
        <v>8.1999999999999993</v>
      </c>
      <c r="B7" s="163" t="s">
        <v>50</v>
      </c>
      <c r="C7" s="160">
        <v>200</v>
      </c>
      <c r="D7" s="164" t="s">
        <v>190</v>
      </c>
      <c r="E7" s="161" t="s">
        <v>19</v>
      </c>
      <c r="I7" s="77"/>
    </row>
    <row r="8" spans="1:11" x14ac:dyDescent="0.25">
      <c r="A8" s="158">
        <v>8.3000000000000007</v>
      </c>
      <c r="B8" s="163" t="s">
        <v>50</v>
      </c>
      <c r="C8" s="160">
        <v>700</v>
      </c>
      <c r="D8" s="164" t="s">
        <v>190</v>
      </c>
      <c r="E8" s="161" t="s">
        <v>19</v>
      </c>
      <c r="I8" s="77"/>
    </row>
    <row r="9" spans="1:11" x14ac:dyDescent="0.25">
      <c r="A9" s="158">
        <v>8.4</v>
      </c>
      <c r="B9" s="163" t="s">
        <v>56</v>
      </c>
      <c r="C9" s="160">
        <v>200</v>
      </c>
      <c r="D9" s="164" t="s">
        <v>190</v>
      </c>
      <c r="E9" s="161" t="s">
        <v>57</v>
      </c>
      <c r="I9" s="77"/>
    </row>
    <row r="10" spans="1:11" x14ac:dyDescent="0.25">
      <c r="A10" s="158">
        <v>9</v>
      </c>
      <c r="B10" s="159" t="s">
        <v>59</v>
      </c>
      <c r="C10" s="160">
        <v>2</v>
      </c>
      <c r="D10" s="164" t="s">
        <v>276</v>
      </c>
      <c r="E10" s="161" t="s">
        <v>45</v>
      </c>
      <c r="I10" s="77"/>
    </row>
    <row r="11" spans="1:11" x14ac:dyDescent="0.25">
      <c r="A11" s="158">
        <v>10</v>
      </c>
      <c r="B11" s="159" t="s">
        <v>65</v>
      </c>
      <c r="C11" s="160">
        <v>7100</v>
      </c>
      <c r="D11" s="164" t="s">
        <v>276</v>
      </c>
      <c r="E11" s="161" t="s">
        <v>66</v>
      </c>
      <c r="I11" s="77"/>
    </row>
    <row r="12" spans="1:11" x14ac:dyDescent="0.25">
      <c r="A12" s="158">
        <v>10.1</v>
      </c>
      <c r="B12" s="163" t="s">
        <v>18</v>
      </c>
      <c r="C12" s="160">
        <v>166.667</v>
      </c>
      <c r="D12" s="164" t="s">
        <v>190</v>
      </c>
      <c r="E12" s="161" t="s">
        <v>19</v>
      </c>
      <c r="I12" s="77"/>
    </row>
    <row r="13" spans="1:11" x14ac:dyDescent="0.25">
      <c r="A13" s="158">
        <v>10.199999999999999</v>
      </c>
      <c r="B13" s="163" t="s">
        <v>50</v>
      </c>
      <c r="C13" s="160">
        <v>300</v>
      </c>
      <c r="D13" s="164" t="s">
        <v>190</v>
      </c>
      <c r="E13" s="161" t="s">
        <v>19</v>
      </c>
      <c r="I13" s="77"/>
    </row>
    <row r="14" spans="1:11" ht="23.25" x14ac:dyDescent="0.25">
      <c r="A14" s="158">
        <v>11</v>
      </c>
      <c r="B14" s="159" t="s">
        <v>72</v>
      </c>
      <c r="C14" s="160">
        <v>3100</v>
      </c>
      <c r="D14" s="164" t="s">
        <v>276</v>
      </c>
      <c r="E14" s="161" t="s">
        <v>66</v>
      </c>
      <c r="I14" s="77"/>
    </row>
    <row r="15" spans="1:11" x14ac:dyDescent="0.25">
      <c r="A15" s="158">
        <v>11.1</v>
      </c>
      <c r="B15" s="163" t="s">
        <v>18</v>
      </c>
      <c r="C15" s="160">
        <v>90</v>
      </c>
      <c r="D15" s="164" t="s">
        <v>190</v>
      </c>
      <c r="E15" s="161" t="s">
        <v>19</v>
      </c>
      <c r="I15" s="77"/>
    </row>
    <row r="16" spans="1:11" x14ac:dyDescent="0.25">
      <c r="A16" s="158">
        <v>11.2</v>
      </c>
      <c r="B16" s="163" t="s">
        <v>18</v>
      </c>
      <c r="C16" s="160">
        <v>550</v>
      </c>
      <c r="D16" s="164" t="s">
        <v>190</v>
      </c>
      <c r="E16" s="161" t="s">
        <v>19</v>
      </c>
      <c r="I16" s="77"/>
    </row>
    <row r="17" spans="1:9" x14ac:dyDescent="0.25">
      <c r="A17" s="158">
        <v>11.3</v>
      </c>
      <c r="B17" s="163" t="s">
        <v>29</v>
      </c>
      <c r="C17" s="160">
        <v>10</v>
      </c>
      <c r="D17" s="164" t="s">
        <v>190</v>
      </c>
      <c r="E17" s="161" t="s">
        <v>19</v>
      </c>
      <c r="I17" s="77"/>
    </row>
    <row r="18" spans="1:9" x14ac:dyDescent="0.25">
      <c r="A18" s="158">
        <v>11.4</v>
      </c>
      <c r="B18" s="163" t="s">
        <v>5</v>
      </c>
      <c r="C18" s="160">
        <v>120</v>
      </c>
      <c r="D18" s="164" t="s">
        <v>190</v>
      </c>
      <c r="E18" s="161" t="s">
        <v>19</v>
      </c>
      <c r="I18" s="77"/>
    </row>
    <row r="19" spans="1:9" ht="23.25" x14ac:dyDescent="0.25">
      <c r="A19" s="158">
        <v>12</v>
      </c>
      <c r="B19" s="159" t="s">
        <v>80</v>
      </c>
      <c r="C19" s="160">
        <v>3200</v>
      </c>
      <c r="D19" s="164" t="s">
        <v>276</v>
      </c>
      <c r="E19" s="161" t="s">
        <v>66</v>
      </c>
      <c r="I19" s="77"/>
    </row>
    <row r="20" spans="1:9" x14ac:dyDescent="0.25">
      <c r="A20" s="158">
        <v>12.1</v>
      </c>
      <c r="B20" s="163" t="s">
        <v>18</v>
      </c>
      <c r="C20" s="160">
        <v>90</v>
      </c>
      <c r="D20" s="164" t="s">
        <v>190</v>
      </c>
      <c r="E20" s="161" t="s">
        <v>19</v>
      </c>
      <c r="I20" s="77"/>
    </row>
    <row r="21" spans="1:9" x14ac:dyDescent="0.25">
      <c r="A21" s="158">
        <v>12.2</v>
      </c>
      <c r="B21" s="163" t="s">
        <v>229</v>
      </c>
      <c r="C21" s="160">
        <v>550</v>
      </c>
      <c r="D21" s="164" t="s">
        <v>190</v>
      </c>
      <c r="E21" s="161">
        <v>0</v>
      </c>
      <c r="I21" s="77"/>
    </row>
    <row r="22" spans="1:9" x14ac:dyDescent="0.25">
      <c r="A22" s="158">
        <v>12.3</v>
      </c>
      <c r="B22" s="163" t="s">
        <v>608</v>
      </c>
      <c r="C22" s="160">
        <v>120</v>
      </c>
      <c r="D22" s="164" t="s">
        <v>190</v>
      </c>
      <c r="E22" s="161">
        <v>0</v>
      </c>
      <c r="I22" s="77"/>
    </row>
    <row r="23" spans="1:9" x14ac:dyDescent="0.25">
      <c r="A23" s="158">
        <v>12.4</v>
      </c>
      <c r="B23" s="163" t="s">
        <v>29</v>
      </c>
      <c r="C23" s="160">
        <v>10</v>
      </c>
      <c r="D23" s="164" t="s">
        <v>190</v>
      </c>
      <c r="E23" s="161" t="s">
        <v>19</v>
      </c>
      <c r="I23" s="77"/>
    </row>
    <row r="24" spans="1:9" x14ac:dyDescent="0.25">
      <c r="A24" s="158">
        <v>13</v>
      </c>
      <c r="B24" s="159" t="s">
        <v>84</v>
      </c>
      <c r="C24" s="160">
        <v>4300</v>
      </c>
      <c r="D24" s="164" t="s">
        <v>276</v>
      </c>
      <c r="E24" s="161" t="s">
        <v>66</v>
      </c>
      <c r="I24" s="77"/>
    </row>
    <row r="25" spans="1:9" x14ac:dyDescent="0.25">
      <c r="A25" s="158">
        <v>13.1</v>
      </c>
      <c r="B25" s="163" t="s">
        <v>29</v>
      </c>
      <c r="C25" s="160">
        <v>66.666666666666671</v>
      </c>
      <c r="D25" s="164" t="s">
        <v>190</v>
      </c>
      <c r="E25" s="161" t="s">
        <v>19</v>
      </c>
      <c r="I25" s="77"/>
    </row>
    <row r="26" spans="1:9" x14ac:dyDescent="0.25">
      <c r="A26" s="158">
        <v>13.2</v>
      </c>
      <c r="B26" s="163" t="s">
        <v>70</v>
      </c>
      <c r="C26" s="160">
        <v>300</v>
      </c>
      <c r="D26" s="164" t="s">
        <v>190</v>
      </c>
      <c r="E26" s="161" t="s">
        <v>19</v>
      </c>
      <c r="I26" s="77"/>
    </row>
    <row r="27" spans="1:9" ht="23.25" x14ac:dyDescent="0.25">
      <c r="A27" s="158">
        <v>14</v>
      </c>
      <c r="B27" s="159" t="s">
        <v>87</v>
      </c>
      <c r="C27" s="160">
        <v>150</v>
      </c>
      <c r="D27" s="164" t="s">
        <v>276</v>
      </c>
      <c r="E27" s="161" t="s">
        <v>66</v>
      </c>
      <c r="I27" s="77"/>
    </row>
    <row r="28" spans="1:9" x14ac:dyDescent="0.25">
      <c r="A28" s="158">
        <v>14.1</v>
      </c>
      <c r="B28" s="163" t="s">
        <v>29</v>
      </c>
      <c r="C28" s="160">
        <v>66.666666666666671</v>
      </c>
      <c r="D28" s="164" t="s">
        <v>190</v>
      </c>
      <c r="E28" s="161" t="s">
        <v>19</v>
      </c>
      <c r="I28" s="77"/>
    </row>
    <row r="29" spans="1:9" x14ac:dyDescent="0.25">
      <c r="A29" s="158">
        <v>14.2</v>
      </c>
      <c r="B29" s="163" t="s">
        <v>70</v>
      </c>
      <c r="C29" s="160">
        <v>300</v>
      </c>
      <c r="D29" s="164" t="s">
        <v>190</v>
      </c>
      <c r="E29" s="161" t="s">
        <v>19</v>
      </c>
      <c r="I29" s="77"/>
    </row>
    <row r="30" spans="1:9" ht="23.25" x14ac:dyDescent="0.25">
      <c r="A30" s="158">
        <v>16</v>
      </c>
      <c r="B30" s="159" t="s">
        <v>90</v>
      </c>
      <c r="C30" s="160">
        <v>420</v>
      </c>
      <c r="D30" s="164" t="s">
        <v>276</v>
      </c>
      <c r="E30" s="161" t="s">
        <v>31</v>
      </c>
      <c r="I30" s="77"/>
    </row>
    <row r="31" spans="1:9" x14ac:dyDescent="0.25">
      <c r="A31" s="158">
        <v>16.100000000000001</v>
      </c>
      <c r="B31" s="163" t="s">
        <v>204</v>
      </c>
      <c r="C31" s="160">
        <v>1732.5</v>
      </c>
      <c r="D31" s="164" t="s">
        <v>190</v>
      </c>
      <c r="E31" s="161">
        <v>0</v>
      </c>
      <c r="I31" s="77"/>
    </row>
    <row r="32" spans="1:9" x14ac:dyDescent="0.25">
      <c r="A32" s="158">
        <v>16.2</v>
      </c>
      <c r="B32" s="163" t="s">
        <v>18</v>
      </c>
      <c r="C32" s="160">
        <v>90</v>
      </c>
      <c r="D32" s="164" t="s">
        <v>190</v>
      </c>
      <c r="E32" s="161" t="s">
        <v>19</v>
      </c>
      <c r="I32" s="77"/>
    </row>
    <row r="33" spans="1:9" ht="23.25" x14ac:dyDescent="0.25">
      <c r="A33" s="158">
        <v>17</v>
      </c>
      <c r="B33" s="159" t="s">
        <v>92</v>
      </c>
      <c r="C33" s="160">
        <v>260</v>
      </c>
      <c r="D33" s="164" t="s">
        <v>276</v>
      </c>
      <c r="E33" s="161" t="s">
        <v>31</v>
      </c>
      <c r="I33" s="77"/>
    </row>
    <row r="34" spans="1:9" x14ac:dyDescent="0.25">
      <c r="A34" s="158">
        <v>17.100000000000001</v>
      </c>
      <c r="B34" s="163" t="s">
        <v>204</v>
      </c>
      <c r="C34" s="160">
        <v>1072.5</v>
      </c>
      <c r="D34" s="164" t="s">
        <v>190</v>
      </c>
      <c r="E34" s="161">
        <v>0</v>
      </c>
      <c r="I34" s="77"/>
    </row>
    <row r="35" spans="1:9" x14ac:dyDescent="0.25">
      <c r="A35" s="158">
        <v>17.2</v>
      </c>
      <c r="B35" s="163" t="s">
        <v>18</v>
      </c>
      <c r="C35" s="160">
        <v>90</v>
      </c>
      <c r="D35" s="164" t="s">
        <v>190</v>
      </c>
      <c r="E35" s="161" t="s">
        <v>19</v>
      </c>
      <c r="I35" s="77"/>
    </row>
    <row r="36" spans="1:9" x14ac:dyDescent="0.25">
      <c r="A36" s="158">
        <v>19</v>
      </c>
      <c r="B36" s="159" t="s">
        <v>94</v>
      </c>
      <c r="C36" s="160">
        <v>2000</v>
      </c>
      <c r="D36" s="164" t="s">
        <v>276</v>
      </c>
      <c r="E36" s="161" t="s">
        <v>45</v>
      </c>
      <c r="I36" s="77"/>
    </row>
    <row r="37" spans="1:9" x14ac:dyDescent="0.25">
      <c r="A37" s="158">
        <v>19.100000000000001</v>
      </c>
      <c r="B37" s="163" t="s">
        <v>18</v>
      </c>
      <c r="C37" s="160">
        <v>90</v>
      </c>
      <c r="D37" s="164" t="s">
        <v>190</v>
      </c>
      <c r="E37" s="161" t="s">
        <v>19</v>
      </c>
      <c r="I37" s="77"/>
    </row>
    <row r="38" spans="1:9" x14ac:dyDescent="0.25">
      <c r="A38" s="158">
        <v>19.2</v>
      </c>
      <c r="B38" s="163" t="s">
        <v>50</v>
      </c>
      <c r="C38" s="160">
        <v>200</v>
      </c>
      <c r="D38" s="164" t="s">
        <v>190</v>
      </c>
      <c r="E38" s="161" t="s">
        <v>19</v>
      </c>
      <c r="I38" s="77"/>
    </row>
    <row r="39" spans="1:9" ht="23.25" x14ac:dyDescent="0.25">
      <c r="A39" s="158">
        <v>20</v>
      </c>
      <c r="B39" s="159" t="s">
        <v>96</v>
      </c>
      <c r="C39" s="160">
        <v>2000</v>
      </c>
      <c r="D39" s="164" t="s">
        <v>276</v>
      </c>
      <c r="E39" s="161" t="s">
        <v>66</v>
      </c>
      <c r="I39" s="77"/>
    </row>
    <row r="40" spans="1:9" x14ac:dyDescent="0.25">
      <c r="A40" s="158">
        <v>20.100000000000001</v>
      </c>
      <c r="B40" s="163" t="s">
        <v>18</v>
      </c>
      <c r="C40" s="160">
        <v>90</v>
      </c>
      <c r="D40" s="164" t="s">
        <v>190</v>
      </c>
      <c r="E40" s="161" t="s">
        <v>19</v>
      </c>
      <c r="I40" s="77"/>
    </row>
    <row r="41" spans="1:9" x14ac:dyDescent="0.25">
      <c r="A41" s="158">
        <v>20.2</v>
      </c>
      <c r="B41" s="163" t="s">
        <v>206</v>
      </c>
      <c r="C41" s="160">
        <v>250</v>
      </c>
      <c r="D41" s="164" t="s">
        <v>190</v>
      </c>
      <c r="E41" s="161">
        <v>0</v>
      </c>
      <c r="I41" s="77"/>
    </row>
    <row r="42" spans="1:9" x14ac:dyDescent="0.25">
      <c r="A42" s="158">
        <v>20.3</v>
      </c>
      <c r="B42" s="163" t="s">
        <v>609</v>
      </c>
      <c r="C42" s="160">
        <v>120</v>
      </c>
      <c r="D42" s="164" t="s">
        <v>190</v>
      </c>
      <c r="E42" s="161">
        <v>0</v>
      </c>
      <c r="I42" s="77"/>
    </row>
    <row r="43" spans="1:9" x14ac:dyDescent="0.25">
      <c r="A43" s="158">
        <v>20.399999999999999</v>
      </c>
      <c r="B43" s="163" t="s">
        <v>29</v>
      </c>
      <c r="C43" s="160">
        <v>10</v>
      </c>
      <c r="D43" s="164" t="s">
        <v>190</v>
      </c>
      <c r="E43" s="161" t="s">
        <v>19</v>
      </c>
      <c r="I43" s="77"/>
    </row>
    <row r="44" spans="1:9" x14ac:dyDescent="0.25">
      <c r="A44" s="158">
        <v>21</v>
      </c>
      <c r="B44" s="159" t="s">
        <v>98</v>
      </c>
      <c r="C44" s="160">
        <v>300</v>
      </c>
      <c r="D44" s="164" t="s">
        <v>276</v>
      </c>
      <c r="E44" s="161" t="s">
        <v>31</v>
      </c>
      <c r="I44" s="77"/>
    </row>
    <row r="45" spans="1:9" x14ac:dyDescent="0.25">
      <c r="A45" s="158">
        <v>23</v>
      </c>
      <c r="B45" s="159" t="s">
        <v>101</v>
      </c>
      <c r="C45" s="160">
        <v>2800</v>
      </c>
      <c r="D45" s="164" t="s">
        <v>276</v>
      </c>
      <c r="E45" s="161" t="s">
        <v>45</v>
      </c>
      <c r="I45" s="77"/>
    </row>
    <row r="46" spans="1:9" x14ac:dyDescent="0.25">
      <c r="A46" s="158">
        <v>23.1</v>
      </c>
      <c r="B46" s="163" t="s">
        <v>18</v>
      </c>
      <c r="C46" s="160">
        <v>90</v>
      </c>
      <c r="D46" s="164" t="s">
        <v>190</v>
      </c>
      <c r="E46" s="161" t="s">
        <v>19</v>
      </c>
      <c r="I46" s="77"/>
    </row>
    <row r="47" spans="1:9" x14ac:dyDescent="0.25">
      <c r="A47" s="158">
        <v>23.2</v>
      </c>
      <c r="B47" s="163" t="s">
        <v>50</v>
      </c>
      <c r="C47" s="160">
        <v>200</v>
      </c>
      <c r="D47" s="164" t="s">
        <v>190</v>
      </c>
      <c r="E47" s="161" t="s">
        <v>19</v>
      </c>
      <c r="I47" s="77"/>
    </row>
    <row r="48" spans="1:9" x14ac:dyDescent="0.25">
      <c r="A48" s="158">
        <v>24</v>
      </c>
      <c r="B48" s="159" t="s">
        <v>103</v>
      </c>
      <c r="C48" s="160">
        <v>1500</v>
      </c>
      <c r="D48" s="164" t="s">
        <v>276</v>
      </c>
      <c r="E48" s="161" t="s">
        <v>66</v>
      </c>
      <c r="I48" s="77"/>
    </row>
    <row r="49" spans="1:10" x14ac:dyDescent="0.25">
      <c r="A49" s="158">
        <v>24.1</v>
      </c>
      <c r="B49" s="163" t="s">
        <v>18</v>
      </c>
      <c r="C49" s="160">
        <v>90</v>
      </c>
      <c r="D49" s="164" t="s">
        <v>190</v>
      </c>
      <c r="E49" s="161" t="s">
        <v>19</v>
      </c>
      <c r="I49" s="77"/>
    </row>
    <row r="50" spans="1:10" x14ac:dyDescent="0.25">
      <c r="A50" s="158">
        <v>25</v>
      </c>
      <c r="B50" s="159" t="s">
        <v>105</v>
      </c>
      <c r="C50" s="160">
        <v>1</v>
      </c>
      <c r="D50" s="164" t="s">
        <v>276</v>
      </c>
      <c r="E50" s="161" t="s">
        <v>12</v>
      </c>
      <c r="I50" s="77"/>
    </row>
    <row r="51" spans="1:10" x14ac:dyDescent="0.25">
      <c r="A51" s="153">
        <v>26</v>
      </c>
      <c r="B51" s="159" t="s">
        <v>109</v>
      </c>
      <c r="C51" s="160">
        <v>230</v>
      </c>
      <c r="D51" s="164" t="s">
        <v>276</v>
      </c>
      <c r="E51" s="161" t="s">
        <v>31</v>
      </c>
      <c r="I51" s="77"/>
    </row>
    <row r="52" spans="1:10" x14ac:dyDescent="0.25">
      <c r="A52" s="158">
        <v>28</v>
      </c>
      <c r="B52" s="159" t="s">
        <v>111</v>
      </c>
      <c r="C52" s="160">
        <v>20000</v>
      </c>
      <c r="D52" s="164" t="s">
        <v>276</v>
      </c>
      <c r="E52" s="161" t="s">
        <v>45</v>
      </c>
      <c r="I52" s="77"/>
    </row>
    <row r="53" spans="1:10" x14ac:dyDescent="0.25">
      <c r="A53" s="158">
        <v>29</v>
      </c>
      <c r="B53" s="159" t="s">
        <v>114</v>
      </c>
      <c r="C53" s="160">
        <v>20000</v>
      </c>
      <c r="D53" s="164" t="s">
        <v>276</v>
      </c>
      <c r="E53" s="161" t="s">
        <v>45</v>
      </c>
      <c r="I53" s="77"/>
    </row>
    <row r="54" spans="1:10" x14ac:dyDescent="0.25">
      <c r="A54" s="158">
        <v>31</v>
      </c>
      <c r="B54" s="159" t="s">
        <v>116</v>
      </c>
      <c r="C54" s="160">
        <v>2400</v>
      </c>
      <c r="D54" s="164" t="s">
        <v>276</v>
      </c>
      <c r="E54" s="161" t="s">
        <v>45</v>
      </c>
      <c r="I54" s="77"/>
    </row>
    <row r="55" spans="1:10" x14ac:dyDescent="0.25">
      <c r="A55" s="158">
        <v>33</v>
      </c>
      <c r="B55" s="159" t="s">
        <v>119</v>
      </c>
      <c r="C55" s="160">
        <v>15200</v>
      </c>
      <c r="D55" s="164" t="s">
        <v>276</v>
      </c>
      <c r="E55" s="161" t="s">
        <v>45</v>
      </c>
      <c r="I55" s="77"/>
    </row>
    <row r="56" spans="1:10" x14ac:dyDescent="0.25">
      <c r="A56" s="158">
        <v>33.1</v>
      </c>
      <c r="B56" s="163" t="s">
        <v>18</v>
      </c>
      <c r="C56" s="160">
        <v>164.44399999999999</v>
      </c>
      <c r="D56" s="164" t="s">
        <v>190</v>
      </c>
      <c r="E56" s="161" t="s">
        <v>19</v>
      </c>
      <c r="I56" s="77"/>
    </row>
    <row r="57" spans="1:10" x14ac:dyDescent="0.25">
      <c r="A57" s="158">
        <v>34</v>
      </c>
      <c r="B57" s="159" t="s">
        <v>122</v>
      </c>
      <c r="C57" s="160">
        <v>15200</v>
      </c>
      <c r="D57" s="164" t="s">
        <v>276</v>
      </c>
      <c r="E57" s="161" t="s">
        <v>45</v>
      </c>
      <c r="I57" s="77"/>
    </row>
    <row r="58" spans="1:10" x14ac:dyDescent="0.25">
      <c r="A58" s="158">
        <v>35</v>
      </c>
      <c r="B58" s="159" t="s">
        <v>124</v>
      </c>
      <c r="C58" s="160">
        <v>15200</v>
      </c>
      <c r="D58" s="164" t="s">
        <v>276</v>
      </c>
      <c r="E58" s="161" t="s">
        <v>45</v>
      </c>
      <c r="I58" s="77"/>
    </row>
    <row r="59" spans="1:10" x14ac:dyDescent="0.25">
      <c r="A59" s="158">
        <v>36</v>
      </c>
      <c r="B59" s="159" t="s">
        <v>126</v>
      </c>
      <c r="C59" s="160">
        <v>1</v>
      </c>
      <c r="D59" s="164" t="s">
        <v>276</v>
      </c>
      <c r="E59" s="161" t="s">
        <v>45</v>
      </c>
      <c r="I59" s="77"/>
    </row>
    <row r="60" spans="1:10" x14ac:dyDescent="0.25">
      <c r="A60" s="158">
        <v>38</v>
      </c>
      <c r="B60" s="159" t="s">
        <v>128</v>
      </c>
      <c r="C60" s="160">
        <v>550</v>
      </c>
      <c r="D60" s="164" t="s">
        <v>276</v>
      </c>
      <c r="E60" s="161" t="s">
        <v>31</v>
      </c>
      <c r="I60" s="77"/>
    </row>
    <row r="61" spans="1:10" ht="22.5" x14ac:dyDescent="0.2">
      <c r="A61" s="158">
        <v>39</v>
      </c>
      <c r="B61" s="159" t="s">
        <v>135</v>
      </c>
      <c r="C61" s="160">
        <v>80</v>
      </c>
      <c r="D61" s="164" t="s">
        <v>276</v>
      </c>
      <c r="E61" s="161" t="s">
        <v>31</v>
      </c>
      <c r="I61" s="77"/>
      <c r="J61" s="75"/>
    </row>
    <row r="62" spans="1:10" ht="11.25" x14ac:dyDescent="0.2">
      <c r="A62" s="158">
        <v>40</v>
      </c>
      <c r="B62" s="159" t="s">
        <v>139</v>
      </c>
      <c r="C62" s="160">
        <v>110</v>
      </c>
      <c r="D62" s="164" t="s">
        <v>276</v>
      </c>
      <c r="E62" s="161" t="s">
        <v>31</v>
      </c>
      <c r="I62" s="77"/>
      <c r="J62" s="75"/>
    </row>
    <row r="63" spans="1:10" ht="11.25" x14ac:dyDescent="0.2">
      <c r="A63" s="158">
        <v>48</v>
      </c>
      <c r="B63" s="159" t="s">
        <v>240</v>
      </c>
      <c r="C63" s="160">
        <v>80</v>
      </c>
      <c r="D63" s="164" t="s">
        <v>276</v>
      </c>
      <c r="E63" s="161" t="s">
        <v>33</v>
      </c>
      <c r="I63" s="77"/>
      <c r="J63" s="75"/>
    </row>
    <row r="64" spans="1:10" ht="11.25" x14ac:dyDescent="0.2">
      <c r="A64" s="158">
        <v>48.1</v>
      </c>
      <c r="B64" s="159" t="s">
        <v>18</v>
      </c>
      <c r="C64" s="160">
        <v>0.33300000000000002</v>
      </c>
      <c r="D64" s="164" t="s">
        <v>190</v>
      </c>
      <c r="E64" s="161" t="s">
        <v>19</v>
      </c>
      <c r="I64" s="77"/>
      <c r="J64" s="75"/>
    </row>
    <row r="65" spans="1:10" ht="22.5" x14ac:dyDescent="0.2">
      <c r="A65" s="158">
        <v>49</v>
      </c>
      <c r="B65" s="159" t="s">
        <v>242</v>
      </c>
      <c r="C65" s="160">
        <v>4019</v>
      </c>
      <c r="D65" s="164" t="s">
        <v>276</v>
      </c>
      <c r="E65" s="161" t="s">
        <v>243</v>
      </c>
      <c r="I65" s="77"/>
      <c r="J65" s="75"/>
    </row>
    <row r="66" spans="1:10" ht="11.25" x14ac:dyDescent="0.2">
      <c r="A66" s="158">
        <v>49.1</v>
      </c>
      <c r="B66" s="159" t="s">
        <v>18</v>
      </c>
      <c r="C66" s="160">
        <v>180</v>
      </c>
      <c r="D66" s="164" t="s">
        <v>190</v>
      </c>
      <c r="E66" s="161" t="s">
        <v>19</v>
      </c>
      <c r="I66" s="77"/>
      <c r="J66" s="75"/>
    </row>
    <row r="67" spans="1:10" ht="22.5" x14ac:dyDescent="0.2">
      <c r="A67" s="158">
        <v>51</v>
      </c>
      <c r="B67" s="159" t="s">
        <v>245</v>
      </c>
      <c r="C67" s="160">
        <v>-447</v>
      </c>
      <c r="D67" s="164" t="s">
        <v>276</v>
      </c>
      <c r="E67" s="161" t="s">
        <v>33</v>
      </c>
      <c r="I67" s="77"/>
      <c r="J67" s="75"/>
    </row>
    <row r="68" spans="1:10" ht="22.5" x14ac:dyDescent="0.2">
      <c r="A68" s="158">
        <v>52</v>
      </c>
      <c r="B68" s="159" t="s">
        <v>247</v>
      </c>
      <c r="C68" s="160">
        <v>1450</v>
      </c>
      <c r="D68" s="164" t="s">
        <v>276</v>
      </c>
      <c r="E68" s="161" t="s">
        <v>33</v>
      </c>
      <c r="I68" s="77"/>
      <c r="J68" s="75"/>
    </row>
    <row r="69" spans="1:10" ht="11.25" x14ac:dyDescent="0.2">
      <c r="A69" s="158">
        <v>52.1</v>
      </c>
      <c r="B69" s="159" t="s">
        <v>18</v>
      </c>
      <c r="C69" s="160">
        <v>185</v>
      </c>
      <c r="D69" s="164" t="s">
        <v>190</v>
      </c>
      <c r="E69" s="161" t="s">
        <v>19</v>
      </c>
      <c r="I69" s="77"/>
      <c r="J69" s="75"/>
    </row>
    <row r="70" spans="1:10" ht="11.25" x14ac:dyDescent="0.2">
      <c r="E70" s="78"/>
      <c r="J70" s="75"/>
    </row>
    <row r="71" spans="1:10" ht="11.25" x14ac:dyDescent="0.2">
      <c r="E71" s="78"/>
      <c r="F71" s="85"/>
      <c r="J71" s="75"/>
    </row>
    <row r="72" spans="1:10" ht="11.25" x14ac:dyDescent="0.2">
      <c r="E72" s="78"/>
      <c r="J72" s="75"/>
    </row>
    <row r="73" spans="1:10" ht="11.25" x14ac:dyDescent="0.2">
      <c r="E73" s="78"/>
      <c r="J73" s="75"/>
    </row>
    <row r="74" spans="1:10" ht="11.25" x14ac:dyDescent="0.2">
      <c r="E74" s="78"/>
      <c r="J74" s="75"/>
    </row>
    <row r="75" spans="1:10" ht="11.25" x14ac:dyDescent="0.2">
      <c r="E75" s="78"/>
      <c r="J75" s="75"/>
    </row>
    <row r="76" spans="1:10" ht="11.25" x14ac:dyDescent="0.2">
      <c r="E76" s="78"/>
      <c r="J76" s="75"/>
    </row>
    <row r="77" spans="1:10" ht="11.25" x14ac:dyDescent="0.2">
      <c r="E77" s="78"/>
      <c r="J77" s="75"/>
    </row>
    <row r="91" spans="10:10" ht="11.25" x14ac:dyDescent="0.2">
      <c r="J91" s="75"/>
    </row>
    <row r="92" spans="10:10" ht="11.25" x14ac:dyDescent="0.2">
      <c r="J92" s="75"/>
    </row>
    <row r="155" spans="10:10" ht="11.25" x14ac:dyDescent="0.2">
      <c r="J155" s="75"/>
    </row>
    <row r="156" spans="10:10" ht="11.25" x14ac:dyDescent="0.2">
      <c r="J156" s="75"/>
    </row>
    <row r="158" spans="10:10" ht="11.25" x14ac:dyDescent="0.2">
      <c r="J158" s="75"/>
    </row>
    <row r="171" spans="10:10" ht="11.25" x14ac:dyDescent="0.2">
      <c r="J171" s="75"/>
    </row>
    <row r="172" spans="10:10" ht="11.25" x14ac:dyDescent="0.2">
      <c r="J172" s="75"/>
    </row>
    <row r="173" spans="10:10" ht="11.25" x14ac:dyDescent="0.2">
      <c r="J173" s="75"/>
    </row>
    <row r="174" spans="10:10" ht="11.25" x14ac:dyDescent="0.2">
      <c r="J174" s="75"/>
    </row>
    <row r="175" spans="10:10" ht="11.25" x14ac:dyDescent="0.2">
      <c r="J175" s="75"/>
    </row>
    <row r="176" spans="10:10" ht="11.25" x14ac:dyDescent="0.2">
      <c r="J176" s="75"/>
    </row>
  </sheetData>
  <sortState xmlns:xlrd2="http://schemas.microsoft.com/office/spreadsheetml/2017/richdata2" ref="A1:A348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52F79-9A64-4B9B-B398-D8AB9DEB1DAC}">
  <dimension ref="A1:O72"/>
  <sheetViews>
    <sheetView topLeftCell="A16" workbookViewId="0">
      <selection activeCell="O59" sqref="O59"/>
    </sheetView>
  </sheetViews>
  <sheetFormatPr defaultRowHeight="15" x14ac:dyDescent="0.25"/>
  <cols>
    <col min="2" max="11" width="10.140625" bestFit="1" customWidth="1"/>
  </cols>
  <sheetData>
    <row r="1" spans="2:15" s="48" customFormat="1" ht="15.75" thickBot="1" x14ac:dyDescent="0.3">
      <c r="B1" s="274" t="s">
        <v>218</v>
      </c>
      <c r="C1" s="274"/>
      <c r="D1" s="274"/>
      <c r="E1" s="274"/>
      <c r="F1" s="274"/>
      <c r="G1" s="274"/>
      <c r="H1" s="274"/>
      <c r="I1" s="274"/>
      <c r="J1" s="274"/>
      <c r="K1" s="274"/>
    </row>
    <row r="2" spans="2:15" s="48" customFormat="1" x14ac:dyDescent="0.25">
      <c r="B2" s="275">
        <v>40544</v>
      </c>
      <c r="C2" s="276"/>
      <c r="D2" s="277">
        <v>40909</v>
      </c>
      <c r="E2" s="277"/>
      <c r="F2" s="276">
        <v>41275</v>
      </c>
      <c r="G2" s="276"/>
      <c r="H2" s="277">
        <v>41640</v>
      </c>
      <c r="I2" s="277"/>
      <c r="J2" s="276">
        <v>42005</v>
      </c>
      <c r="K2" s="278"/>
    </row>
    <row r="3" spans="2:15" s="54" customFormat="1" x14ac:dyDescent="0.25">
      <c r="B3" s="50">
        <v>40551</v>
      </c>
      <c r="C3" s="51">
        <v>40552</v>
      </c>
      <c r="D3" s="52">
        <v>40922</v>
      </c>
      <c r="E3" s="52">
        <v>40923</v>
      </c>
      <c r="F3" s="51">
        <v>41293</v>
      </c>
      <c r="G3" s="51">
        <v>41294</v>
      </c>
      <c r="H3" s="52">
        <v>41657</v>
      </c>
      <c r="I3" s="52">
        <v>41658</v>
      </c>
      <c r="J3" s="51">
        <v>42021</v>
      </c>
      <c r="K3" s="53">
        <v>42022</v>
      </c>
    </row>
    <row r="4" spans="2:15" x14ac:dyDescent="0.25">
      <c r="B4" s="55">
        <v>40544</v>
      </c>
      <c r="C4" s="56">
        <v>40545</v>
      </c>
      <c r="D4" s="57"/>
      <c r="E4" s="57">
        <v>40909</v>
      </c>
      <c r="F4" s="56">
        <v>41279</v>
      </c>
      <c r="G4" s="56">
        <v>41280</v>
      </c>
      <c r="H4" s="57">
        <v>41643</v>
      </c>
      <c r="I4" s="57">
        <v>41644</v>
      </c>
      <c r="J4" s="56">
        <v>42007</v>
      </c>
      <c r="K4" s="58">
        <v>42008</v>
      </c>
      <c r="N4" s="47"/>
      <c r="O4" s="47"/>
    </row>
    <row r="5" spans="2:15" x14ac:dyDescent="0.25">
      <c r="B5" s="55">
        <v>40551</v>
      </c>
      <c r="C5" s="56">
        <v>40552</v>
      </c>
      <c r="D5" s="57">
        <v>40915</v>
      </c>
      <c r="E5" s="57">
        <v>40916</v>
      </c>
      <c r="F5" s="56">
        <v>41286</v>
      </c>
      <c r="G5" s="56">
        <v>41287</v>
      </c>
      <c r="H5" s="57">
        <v>41650</v>
      </c>
      <c r="I5" s="57">
        <v>41651</v>
      </c>
      <c r="J5" s="56">
        <v>42014</v>
      </c>
      <c r="K5" s="58">
        <v>42015</v>
      </c>
    </row>
    <row r="6" spans="2:15" x14ac:dyDescent="0.25">
      <c r="B6" s="55">
        <v>40558</v>
      </c>
      <c r="C6" s="56">
        <v>40559</v>
      </c>
      <c r="D6" s="57">
        <v>40922</v>
      </c>
      <c r="E6" s="57">
        <v>40923</v>
      </c>
      <c r="F6" s="56">
        <v>41293</v>
      </c>
      <c r="G6" s="56">
        <v>41294</v>
      </c>
      <c r="H6" s="57">
        <v>41657</v>
      </c>
      <c r="I6" s="57">
        <v>41658</v>
      </c>
      <c r="J6" s="56">
        <v>42021</v>
      </c>
      <c r="K6" s="58">
        <v>42022</v>
      </c>
    </row>
    <row r="7" spans="2:15" x14ac:dyDescent="0.25">
      <c r="B7" s="55">
        <v>40565</v>
      </c>
      <c r="C7" s="56">
        <v>40566</v>
      </c>
      <c r="D7" s="57">
        <v>40929</v>
      </c>
      <c r="E7" s="57">
        <v>40930</v>
      </c>
      <c r="F7" s="56">
        <v>41300</v>
      </c>
      <c r="G7" s="56">
        <v>41301</v>
      </c>
      <c r="H7" s="57">
        <v>41664</v>
      </c>
      <c r="I7" s="57">
        <v>41665</v>
      </c>
      <c r="J7" s="56">
        <v>42028</v>
      </c>
      <c r="K7" s="58">
        <v>42029</v>
      </c>
    </row>
    <row r="8" spans="2:15" x14ac:dyDescent="0.25">
      <c r="B8" s="55">
        <v>40572</v>
      </c>
      <c r="C8" s="56">
        <v>40573</v>
      </c>
      <c r="D8" s="57">
        <v>40936</v>
      </c>
      <c r="E8" s="57">
        <v>40937</v>
      </c>
      <c r="F8" s="56">
        <v>41307</v>
      </c>
      <c r="G8" s="56">
        <v>41308</v>
      </c>
      <c r="H8" s="57">
        <v>41671</v>
      </c>
      <c r="I8" s="57">
        <v>41672</v>
      </c>
      <c r="J8" s="56">
        <v>42035</v>
      </c>
      <c r="K8" s="58">
        <v>42036</v>
      </c>
      <c r="M8" s="47"/>
    </row>
    <row r="9" spans="2:15" x14ac:dyDescent="0.25">
      <c r="B9" s="55">
        <v>40579</v>
      </c>
      <c r="C9" s="56">
        <v>40580</v>
      </c>
      <c r="D9" s="57">
        <v>40943</v>
      </c>
      <c r="E9" s="57">
        <v>40944</v>
      </c>
      <c r="F9" s="56">
        <v>41314</v>
      </c>
      <c r="G9" s="56">
        <v>41315</v>
      </c>
      <c r="H9" s="57">
        <v>41678</v>
      </c>
      <c r="I9" s="57">
        <v>41679</v>
      </c>
      <c r="J9" s="56">
        <v>42042</v>
      </c>
      <c r="K9" s="58">
        <v>42043</v>
      </c>
    </row>
    <row r="10" spans="2:15" x14ac:dyDescent="0.25">
      <c r="B10" s="55">
        <v>40586</v>
      </c>
      <c r="C10" s="56">
        <v>40587</v>
      </c>
      <c r="D10" s="57">
        <v>40950</v>
      </c>
      <c r="E10" s="57">
        <v>40951</v>
      </c>
      <c r="F10" s="56">
        <v>41321</v>
      </c>
      <c r="G10" s="56">
        <v>41322</v>
      </c>
      <c r="H10" s="57">
        <v>41685</v>
      </c>
      <c r="I10" s="57">
        <v>41686</v>
      </c>
      <c r="J10" s="56">
        <v>42049</v>
      </c>
      <c r="K10" s="58">
        <v>42050</v>
      </c>
    </row>
    <row r="11" spans="2:15" x14ac:dyDescent="0.25">
      <c r="B11" s="55">
        <v>40593</v>
      </c>
      <c r="C11" s="56">
        <v>40594</v>
      </c>
      <c r="D11" s="57">
        <v>40957</v>
      </c>
      <c r="E11" s="57">
        <v>40958</v>
      </c>
      <c r="F11" s="56">
        <v>41328</v>
      </c>
      <c r="G11" s="56">
        <v>41329</v>
      </c>
      <c r="H11" s="57">
        <v>41692</v>
      </c>
      <c r="I11" s="57">
        <v>41693</v>
      </c>
      <c r="J11" s="56">
        <v>42056</v>
      </c>
      <c r="K11" s="58">
        <v>42057</v>
      </c>
    </row>
    <row r="12" spans="2:15" x14ac:dyDescent="0.25">
      <c r="B12" s="55">
        <v>40600</v>
      </c>
      <c r="C12" s="56">
        <v>40601</v>
      </c>
      <c r="D12" s="57">
        <v>40964</v>
      </c>
      <c r="E12" s="57">
        <v>40965</v>
      </c>
      <c r="F12" s="56">
        <v>41335</v>
      </c>
      <c r="G12" s="56">
        <v>41336</v>
      </c>
      <c r="H12" s="57">
        <v>41699</v>
      </c>
      <c r="I12" s="57">
        <v>41700</v>
      </c>
      <c r="J12" s="56">
        <v>42063</v>
      </c>
      <c r="K12" s="58">
        <v>42064</v>
      </c>
    </row>
    <row r="13" spans="2:15" x14ac:dyDescent="0.25">
      <c r="B13" s="55">
        <v>40607</v>
      </c>
      <c r="C13" s="56">
        <v>40608</v>
      </c>
      <c r="D13" s="57">
        <v>40971</v>
      </c>
      <c r="E13" s="57">
        <v>40972</v>
      </c>
      <c r="F13" s="56">
        <v>41342</v>
      </c>
      <c r="G13" s="56">
        <v>41343</v>
      </c>
      <c r="H13" s="57">
        <v>41706</v>
      </c>
      <c r="I13" s="57">
        <v>41707</v>
      </c>
      <c r="J13" s="56">
        <v>42070</v>
      </c>
      <c r="K13" s="58">
        <v>42071</v>
      </c>
    </row>
    <row r="14" spans="2:15" x14ac:dyDescent="0.25">
      <c r="B14" s="55">
        <v>40614</v>
      </c>
      <c r="C14" s="56">
        <v>40615</v>
      </c>
      <c r="D14" s="57">
        <v>40978</v>
      </c>
      <c r="E14" s="57">
        <v>40979</v>
      </c>
      <c r="F14" s="56">
        <v>41349</v>
      </c>
      <c r="G14" s="56">
        <v>41350</v>
      </c>
      <c r="H14" s="57">
        <v>41713</v>
      </c>
      <c r="I14" s="57">
        <v>41714</v>
      </c>
      <c r="J14" s="56">
        <v>42077</v>
      </c>
      <c r="K14" s="58">
        <v>42078</v>
      </c>
    </row>
    <row r="15" spans="2:15" x14ac:dyDescent="0.25">
      <c r="B15" s="55">
        <v>40621</v>
      </c>
      <c r="C15" s="56">
        <v>40622</v>
      </c>
      <c r="D15" s="57">
        <v>40985</v>
      </c>
      <c r="E15" s="57">
        <v>40986</v>
      </c>
      <c r="F15" s="56">
        <v>41356</v>
      </c>
      <c r="G15" s="56">
        <v>41357</v>
      </c>
      <c r="H15" s="57">
        <v>41720</v>
      </c>
      <c r="I15" s="57">
        <v>41721</v>
      </c>
      <c r="J15" s="56">
        <v>42084</v>
      </c>
      <c r="K15" s="58">
        <v>42085</v>
      </c>
    </row>
    <row r="16" spans="2:15" x14ac:dyDescent="0.25">
      <c r="B16" s="55">
        <v>40628</v>
      </c>
      <c r="C16" s="56">
        <v>40629</v>
      </c>
      <c r="D16" s="57">
        <v>40992</v>
      </c>
      <c r="E16" s="57">
        <v>40993</v>
      </c>
      <c r="F16" s="56">
        <v>41363</v>
      </c>
      <c r="G16" s="56">
        <v>41364</v>
      </c>
      <c r="H16" s="57">
        <v>41727</v>
      </c>
      <c r="I16" s="57">
        <v>41728</v>
      </c>
      <c r="J16" s="56">
        <v>42091</v>
      </c>
      <c r="K16" s="58">
        <v>42092</v>
      </c>
    </row>
    <row r="17" spans="2:11" x14ac:dyDescent="0.25">
      <c r="B17" s="55">
        <v>40635</v>
      </c>
      <c r="C17" s="56">
        <v>40636</v>
      </c>
      <c r="D17" s="57">
        <v>40999</v>
      </c>
      <c r="E17" s="57">
        <v>41000</v>
      </c>
      <c r="F17" s="56">
        <v>41370</v>
      </c>
      <c r="G17" s="56">
        <v>41371</v>
      </c>
      <c r="H17" s="57">
        <v>41734</v>
      </c>
      <c r="I17" s="57">
        <v>41735</v>
      </c>
      <c r="J17" s="56">
        <v>42098</v>
      </c>
      <c r="K17" s="58">
        <v>42099</v>
      </c>
    </row>
    <row r="18" spans="2:11" x14ac:dyDescent="0.25">
      <c r="B18" s="55">
        <v>40642</v>
      </c>
      <c r="C18" s="56">
        <v>40643</v>
      </c>
      <c r="D18" s="57">
        <v>41006</v>
      </c>
      <c r="E18" s="57">
        <v>41007</v>
      </c>
      <c r="F18" s="56">
        <v>41377</v>
      </c>
      <c r="G18" s="56">
        <v>41378</v>
      </c>
      <c r="H18" s="57">
        <v>41741</v>
      </c>
      <c r="I18" s="57">
        <v>41742</v>
      </c>
      <c r="J18" s="56">
        <v>42105</v>
      </c>
      <c r="K18" s="58">
        <v>42106</v>
      </c>
    </row>
    <row r="19" spans="2:11" x14ac:dyDescent="0.25">
      <c r="B19" s="55">
        <v>40649</v>
      </c>
      <c r="C19" s="56">
        <v>40650</v>
      </c>
      <c r="D19" s="57">
        <v>41013</v>
      </c>
      <c r="E19" s="57">
        <v>41014</v>
      </c>
      <c r="F19" s="56">
        <v>41384</v>
      </c>
      <c r="G19" s="56">
        <v>41385</v>
      </c>
      <c r="H19" s="57">
        <v>41748</v>
      </c>
      <c r="I19" s="57">
        <v>41749</v>
      </c>
      <c r="J19" s="56">
        <v>42112</v>
      </c>
      <c r="K19" s="58">
        <v>42113</v>
      </c>
    </row>
    <row r="20" spans="2:11" x14ac:dyDescent="0.25">
      <c r="B20" s="55">
        <v>40656</v>
      </c>
      <c r="C20" s="56">
        <v>40657</v>
      </c>
      <c r="D20" s="57">
        <v>41020</v>
      </c>
      <c r="E20" s="57">
        <v>41021</v>
      </c>
      <c r="F20" s="56">
        <v>41391</v>
      </c>
      <c r="G20" s="56">
        <v>41392</v>
      </c>
      <c r="H20" s="57">
        <v>41755</v>
      </c>
      <c r="I20" s="57">
        <v>41756</v>
      </c>
      <c r="J20" s="56">
        <v>42119</v>
      </c>
      <c r="K20" s="58">
        <v>42120</v>
      </c>
    </row>
    <row r="21" spans="2:11" x14ac:dyDescent="0.25">
      <c r="B21" s="55">
        <v>40663</v>
      </c>
      <c r="C21" s="56">
        <v>40664</v>
      </c>
      <c r="D21" s="57">
        <v>41027</v>
      </c>
      <c r="E21" s="57">
        <v>41028</v>
      </c>
      <c r="F21" s="56">
        <v>41398</v>
      </c>
      <c r="G21" s="56">
        <v>41399</v>
      </c>
      <c r="H21" s="57">
        <v>41762</v>
      </c>
      <c r="I21" s="57">
        <v>41763</v>
      </c>
      <c r="J21" s="56">
        <v>42126</v>
      </c>
      <c r="K21" s="58">
        <v>42127</v>
      </c>
    </row>
    <row r="22" spans="2:11" x14ac:dyDescent="0.25">
      <c r="B22" s="55">
        <v>40670</v>
      </c>
      <c r="C22" s="56">
        <v>40671</v>
      </c>
      <c r="D22" s="57">
        <v>41034</v>
      </c>
      <c r="E22" s="57">
        <v>41035</v>
      </c>
      <c r="F22" s="56">
        <v>41405</v>
      </c>
      <c r="G22" s="56">
        <v>41406</v>
      </c>
      <c r="H22" s="57">
        <v>41769</v>
      </c>
      <c r="I22" s="57">
        <v>41770</v>
      </c>
      <c r="J22" s="56">
        <v>42133</v>
      </c>
      <c r="K22" s="58">
        <v>42134</v>
      </c>
    </row>
    <row r="23" spans="2:11" x14ac:dyDescent="0.25">
      <c r="B23" s="55">
        <v>40677</v>
      </c>
      <c r="C23" s="56">
        <v>40678</v>
      </c>
      <c r="D23" s="57">
        <v>41041</v>
      </c>
      <c r="E23" s="57">
        <v>41042</v>
      </c>
      <c r="F23" s="56">
        <v>41412</v>
      </c>
      <c r="G23" s="56">
        <v>41413</v>
      </c>
      <c r="H23" s="57">
        <v>41776</v>
      </c>
      <c r="I23" s="57">
        <v>41777</v>
      </c>
      <c r="J23" s="56">
        <v>42140</v>
      </c>
      <c r="K23" s="58">
        <v>42141</v>
      </c>
    </row>
    <row r="24" spans="2:11" x14ac:dyDescent="0.25">
      <c r="B24" s="55">
        <v>40684</v>
      </c>
      <c r="C24" s="56">
        <v>40685</v>
      </c>
      <c r="D24" s="57">
        <v>41048</v>
      </c>
      <c r="E24" s="57">
        <v>41049</v>
      </c>
      <c r="F24" s="56">
        <v>41419</v>
      </c>
      <c r="G24" s="56">
        <v>41420</v>
      </c>
      <c r="H24" s="57">
        <v>41783</v>
      </c>
      <c r="I24" s="57">
        <v>41784</v>
      </c>
      <c r="J24" s="56">
        <v>42147</v>
      </c>
      <c r="K24" s="58">
        <v>42148</v>
      </c>
    </row>
    <row r="25" spans="2:11" x14ac:dyDescent="0.25">
      <c r="B25" s="55">
        <v>40691</v>
      </c>
      <c r="C25" s="56">
        <v>40692</v>
      </c>
      <c r="D25" s="57">
        <v>41055</v>
      </c>
      <c r="E25" s="57">
        <v>41056</v>
      </c>
      <c r="F25" s="56">
        <v>41426</v>
      </c>
      <c r="G25" s="56">
        <v>41427</v>
      </c>
      <c r="H25" s="57">
        <v>41790</v>
      </c>
      <c r="I25" s="57">
        <v>41791</v>
      </c>
      <c r="J25" s="56">
        <v>42154</v>
      </c>
      <c r="K25" s="58">
        <v>42155</v>
      </c>
    </row>
    <row r="26" spans="2:11" x14ac:dyDescent="0.25">
      <c r="B26" s="55">
        <v>40698</v>
      </c>
      <c r="C26" s="56">
        <v>40699</v>
      </c>
      <c r="D26" s="57">
        <v>41062</v>
      </c>
      <c r="E26" s="57">
        <v>41063</v>
      </c>
      <c r="F26" s="56">
        <v>41433</v>
      </c>
      <c r="G26" s="56">
        <v>41434</v>
      </c>
      <c r="H26" s="57">
        <v>41797</v>
      </c>
      <c r="I26" s="57">
        <v>41798</v>
      </c>
      <c r="J26" s="56">
        <v>42161</v>
      </c>
      <c r="K26" s="58">
        <v>42162</v>
      </c>
    </row>
    <row r="27" spans="2:11" x14ac:dyDescent="0.25">
      <c r="B27" s="55">
        <v>40705</v>
      </c>
      <c r="C27" s="56">
        <v>40706</v>
      </c>
      <c r="D27" s="57">
        <v>41069</v>
      </c>
      <c r="E27" s="57">
        <v>41070</v>
      </c>
      <c r="F27" s="56">
        <v>41440</v>
      </c>
      <c r="G27" s="56">
        <v>41441</v>
      </c>
      <c r="H27" s="57">
        <v>41804</v>
      </c>
      <c r="I27" s="57">
        <v>41805</v>
      </c>
      <c r="J27" s="56">
        <v>42168</v>
      </c>
      <c r="K27" s="58">
        <v>42169</v>
      </c>
    </row>
    <row r="28" spans="2:11" x14ac:dyDescent="0.25">
      <c r="B28" s="55">
        <v>40712</v>
      </c>
      <c r="C28" s="56">
        <v>40713</v>
      </c>
      <c r="D28" s="57">
        <v>41076</v>
      </c>
      <c r="E28" s="57">
        <v>41077</v>
      </c>
      <c r="F28" s="56">
        <v>41447</v>
      </c>
      <c r="G28" s="56">
        <v>41448</v>
      </c>
      <c r="H28" s="57">
        <v>41811</v>
      </c>
      <c r="I28" s="57">
        <v>41812</v>
      </c>
      <c r="J28" s="56">
        <v>42175</v>
      </c>
      <c r="K28" s="58">
        <v>42176</v>
      </c>
    </row>
    <row r="29" spans="2:11" x14ac:dyDescent="0.25">
      <c r="B29" s="55">
        <v>40719</v>
      </c>
      <c r="C29" s="56">
        <v>40720</v>
      </c>
      <c r="D29" s="57">
        <v>41083</v>
      </c>
      <c r="E29" s="57">
        <v>41084</v>
      </c>
      <c r="F29" s="56">
        <v>41454</v>
      </c>
      <c r="G29" s="56">
        <v>41455</v>
      </c>
      <c r="H29" s="57">
        <v>41818</v>
      </c>
      <c r="I29" s="57">
        <v>41819</v>
      </c>
      <c r="J29" s="56">
        <v>42182</v>
      </c>
      <c r="K29" s="58">
        <v>42183</v>
      </c>
    </row>
    <row r="30" spans="2:11" x14ac:dyDescent="0.25">
      <c r="B30" s="55">
        <v>40726</v>
      </c>
      <c r="C30" s="56">
        <v>40727</v>
      </c>
      <c r="D30" s="57">
        <v>41090</v>
      </c>
      <c r="E30" s="57">
        <v>41091</v>
      </c>
      <c r="F30" s="56">
        <v>41461</v>
      </c>
      <c r="G30" s="56">
        <v>41462</v>
      </c>
      <c r="H30" s="57">
        <v>41825</v>
      </c>
      <c r="I30" s="57">
        <v>41826</v>
      </c>
      <c r="J30" s="56">
        <v>42189</v>
      </c>
      <c r="K30" s="58">
        <v>42190</v>
      </c>
    </row>
    <row r="31" spans="2:11" x14ac:dyDescent="0.25">
      <c r="B31" s="55">
        <v>40733</v>
      </c>
      <c r="C31" s="56">
        <v>40734</v>
      </c>
      <c r="D31" s="57">
        <v>41097</v>
      </c>
      <c r="E31" s="57">
        <v>41098</v>
      </c>
      <c r="F31" s="56">
        <v>41468</v>
      </c>
      <c r="G31" s="56">
        <v>41469</v>
      </c>
      <c r="H31" s="57">
        <v>41832</v>
      </c>
      <c r="I31" s="57">
        <v>41833</v>
      </c>
      <c r="J31" s="56">
        <v>42196</v>
      </c>
      <c r="K31" s="58">
        <v>42197</v>
      </c>
    </row>
    <row r="32" spans="2:11" x14ac:dyDescent="0.25">
      <c r="B32" s="55">
        <v>40740</v>
      </c>
      <c r="C32" s="56">
        <v>40741</v>
      </c>
      <c r="D32" s="57">
        <v>41104</v>
      </c>
      <c r="E32" s="57">
        <v>41105</v>
      </c>
      <c r="F32" s="56">
        <v>41475</v>
      </c>
      <c r="G32" s="56">
        <v>41476</v>
      </c>
      <c r="H32" s="57">
        <v>41839</v>
      </c>
      <c r="I32" s="57">
        <v>41840</v>
      </c>
      <c r="J32" s="56">
        <v>42203</v>
      </c>
      <c r="K32" s="58">
        <v>42204</v>
      </c>
    </row>
    <row r="33" spans="2:11" x14ac:dyDescent="0.25">
      <c r="B33" s="55">
        <v>40747</v>
      </c>
      <c r="C33" s="56">
        <v>40748</v>
      </c>
      <c r="D33" s="57">
        <v>41111</v>
      </c>
      <c r="E33" s="57">
        <v>41112</v>
      </c>
      <c r="F33" s="56">
        <v>41482</v>
      </c>
      <c r="G33" s="56">
        <v>41483</v>
      </c>
      <c r="H33" s="57">
        <v>41846</v>
      </c>
      <c r="I33" s="57">
        <v>41847</v>
      </c>
      <c r="J33" s="56">
        <v>42210</v>
      </c>
      <c r="K33" s="58">
        <v>42211</v>
      </c>
    </row>
    <row r="34" spans="2:11" x14ac:dyDescent="0.25">
      <c r="B34" s="55">
        <v>40754</v>
      </c>
      <c r="C34" s="56">
        <v>40755</v>
      </c>
      <c r="D34" s="57">
        <v>41118</v>
      </c>
      <c r="E34" s="57">
        <v>41119</v>
      </c>
      <c r="F34" s="56">
        <v>41489</v>
      </c>
      <c r="G34" s="56">
        <v>41490</v>
      </c>
      <c r="H34" s="57">
        <v>41853</v>
      </c>
      <c r="I34" s="57">
        <v>41854</v>
      </c>
      <c r="J34" s="56">
        <v>42217</v>
      </c>
      <c r="K34" s="58">
        <v>42218</v>
      </c>
    </row>
    <row r="35" spans="2:11" x14ac:dyDescent="0.25">
      <c r="B35" s="55">
        <v>40761</v>
      </c>
      <c r="C35" s="56">
        <v>40762</v>
      </c>
      <c r="D35" s="57">
        <v>41125</v>
      </c>
      <c r="E35" s="57">
        <v>41126</v>
      </c>
      <c r="F35" s="56">
        <v>41496</v>
      </c>
      <c r="G35" s="56">
        <v>41497</v>
      </c>
      <c r="H35" s="57">
        <v>41860</v>
      </c>
      <c r="I35" s="57">
        <v>41861</v>
      </c>
      <c r="J35" s="56">
        <v>42224</v>
      </c>
      <c r="K35" s="58">
        <v>42225</v>
      </c>
    </row>
    <row r="36" spans="2:11" x14ac:dyDescent="0.25">
      <c r="B36" s="55">
        <v>40768</v>
      </c>
      <c r="C36" s="56">
        <v>40769</v>
      </c>
      <c r="D36" s="57">
        <v>41132</v>
      </c>
      <c r="E36" s="57">
        <v>41133</v>
      </c>
      <c r="F36" s="56">
        <v>41503</v>
      </c>
      <c r="G36" s="56">
        <v>41504</v>
      </c>
      <c r="H36" s="57">
        <v>41867</v>
      </c>
      <c r="I36" s="57">
        <v>41868</v>
      </c>
      <c r="J36" s="56">
        <v>42231</v>
      </c>
      <c r="K36" s="58">
        <v>42232</v>
      </c>
    </row>
    <row r="37" spans="2:11" x14ac:dyDescent="0.25">
      <c r="B37" s="55">
        <v>40775</v>
      </c>
      <c r="C37" s="56">
        <v>40776</v>
      </c>
      <c r="D37" s="57">
        <v>41139</v>
      </c>
      <c r="E37" s="57">
        <v>41140</v>
      </c>
      <c r="F37" s="56">
        <v>41510</v>
      </c>
      <c r="G37" s="56">
        <v>41511</v>
      </c>
      <c r="H37" s="57">
        <v>41874</v>
      </c>
      <c r="I37" s="57">
        <v>41875</v>
      </c>
      <c r="J37" s="56">
        <v>42238</v>
      </c>
      <c r="K37" s="58">
        <v>42239</v>
      </c>
    </row>
    <row r="38" spans="2:11" x14ac:dyDescent="0.25">
      <c r="B38" s="55">
        <v>40782</v>
      </c>
      <c r="C38" s="56">
        <v>40783</v>
      </c>
      <c r="D38" s="57">
        <v>41146</v>
      </c>
      <c r="E38" s="57">
        <v>41147</v>
      </c>
      <c r="F38" s="56">
        <v>41517</v>
      </c>
      <c r="G38" s="56">
        <v>41518</v>
      </c>
      <c r="H38" s="57">
        <v>41881</v>
      </c>
      <c r="I38" s="57">
        <v>41882</v>
      </c>
      <c r="J38" s="56">
        <v>42245</v>
      </c>
      <c r="K38" s="58">
        <v>42246</v>
      </c>
    </row>
    <row r="39" spans="2:11" x14ac:dyDescent="0.25">
      <c r="B39" s="55">
        <v>40789</v>
      </c>
      <c r="C39" s="56">
        <v>40790</v>
      </c>
      <c r="D39" s="57">
        <v>41153</v>
      </c>
      <c r="E39" s="57">
        <v>41154</v>
      </c>
      <c r="F39" s="56">
        <v>41524</v>
      </c>
      <c r="G39" s="56">
        <v>41525</v>
      </c>
      <c r="H39" s="57">
        <v>41888</v>
      </c>
      <c r="I39" s="57">
        <v>41889</v>
      </c>
      <c r="J39" s="56">
        <v>42252</v>
      </c>
      <c r="K39" s="58">
        <v>42253</v>
      </c>
    </row>
    <row r="40" spans="2:11" x14ac:dyDescent="0.25">
      <c r="B40" s="55">
        <v>40796</v>
      </c>
      <c r="C40" s="56">
        <v>40797</v>
      </c>
      <c r="D40" s="57">
        <v>41160</v>
      </c>
      <c r="E40" s="57">
        <v>41161</v>
      </c>
      <c r="F40" s="56">
        <v>41531</v>
      </c>
      <c r="G40" s="56">
        <v>41532</v>
      </c>
      <c r="H40" s="57">
        <v>41895</v>
      </c>
      <c r="I40" s="57">
        <v>41896</v>
      </c>
      <c r="J40" s="56">
        <v>42259</v>
      </c>
      <c r="K40" s="58">
        <v>42260</v>
      </c>
    </row>
    <row r="41" spans="2:11" x14ac:dyDescent="0.25">
      <c r="B41" s="55">
        <v>40803</v>
      </c>
      <c r="C41" s="56">
        <v>40804</v>
      </c>
      <c r="D41" s="57">
        <v>41167</v>
      </c>
      <c r="E41" s="57">
        <v>41168</v>
      </c>
      <c r="F41" s="56">
        <v>41538</v>
      </c>
      <c r="G41" s="56">
        <v>41539</v>
      </c>
      <c r="H41" s="57">
        <v>41902</v>
      </c>
      <c r="I41" s="57">
        <v>41903</v>
      </c>
      <c r="J41" s="56">
        <v>42266</v>
      </c>
      <c r="K41" s="58">
        <v>42267</v>
      </c>
    </row>
    <row r="42" spans="2:11" x14ac:dyDescent="0.25">
      <c r="B42" s="55">
        <v>40810</v>
      </c>
      <c r="C42" s="56">
        <v>40811</v>
      </c>
      <c r="D42" s="57">
        <v>41174</v>
      </c>
      <c r="E42" s="57">
        <v>41175</v>
      </c>
      <c r="F42" s="56">
        <v>41545</v>
      </c>
      <c r="G42" s="56">
        <v>41546</v>
      </c>
      <c r="H42" s="57">
        <v>41909</v>
      </c>
      <c r="I42" s="57">
        <v>41910</v>
      </c>
      <c r="J42" s="56">
        <v>42273</v>
      </c>
      <c r="K42" s="58">
        <v>42274</v>
      </c>
    </row>
    <row r="43" spans="2:11" x14ac:dyDescent="0.25">
      <c r="B43" s="55">
        <v>40817</v>
      </c>
      <c r="C43" s="56">
        <v>40818</v>
      </c>
      <c r="D43" s="57">
        <v>41181</v>
      </c>
      <c r="E43" s="57">
        <v>41182</v>
      </c>
      <c r="F43" s="56">
        <v>41552</v>
      </c>
      <c r="G43" s="56">
        <v>41553</v>
      </c>
      <c r="H43" s="57">
        <v>41916</v>
      </c>
      <c r="I43" s="57">
        <v>41917</v>
      </c>
      <c r="J43" s="56">
        <v>42280</v>
      </c>
      <c r="K43" s="58">
        <v>42281</v>
      </c>
    </row>
    <row r="44" spans="2:11" x14ac:dyDescent="0.25">
      <c r="B44" s="55">
        <v>40824</v>
      </c>
      <c r="C44" s="56">
        <v>40825</v>
      </c>
      <c r="D44" s="57">
        <v>41188</v>
      </c>
      <c r="E44" s="57">
        <v>41189</v>
      </c>
      <c r="F44" s="56">
        <v>41559</v>
      </c>
      <c r="G44" s="56">
        <v>41560</v>
      </c>
      <c r="H44" s="57">
        <v>41923</v>
      </c>
      <c r="I44" s="57">
        <v>41924</v>
      </c>
      <c r="J44" s="56">
        <v>42287</v>
      </c>
      <c r="K44" s="58">
        <v>42288</v>
      </c>
    </row>
    <row r="45" spans="2:11" x14ac:dyDescent="0.25">
      <c r="B45" s="55">
        <v>40831</v>
      </c>
      <c r="C45" s="56">
        <v>40832</v>
      </c>
      <c r="D45" s="57">
        <v>41195</v>
      </c>
      <c r="E45" s="57">
        <v>41196</v>
      </c>
      <c r="F45" s="56">
        <v>41566</v>
      </c>
      <c r="G45" s="56">
        <v>41567</v>
      </c>
      <c r="H45" s="57">
        <v>41930</v>
      </c>
      <c r="I45" s="57">
        <v>41931</v>
      </c>
      <c r="J45" s="56">
        <v>42294</v>
      </c>
      <c r="K45" s="58">
        <v>42295</v>
      </c>
    </row>
    <row r="46" spans="2:11" x14ac:dyDescent="0.25">
      <c r="B46" s="55">
        <v>40838</v>
      </c>
      <c r="C46" s="56">
        <v>40839</v>
      </c>
      <c r="D46" s="57">
        <v>41202</v>
      </c>
      <c r="E46" s="57">
        <v>41203</v>
      </c>
      <c r="F46" s="56">
        <v>41573</v>
      </c>
      <c r="G46" s="56">
        <v>41574</v>
      </c>
      <c r="H46" s="57">
        <v>41937</v>
      </c>
      <c r="I46" s="57">
        <v>41938</v>
      </c>
      <c r="J46" s="56">
        <v>42301</v>
      </c>
      <c r="K46" s="58">
        <v>42302</v>
      </c>
    </row>
    <row r="47" spans="2:11" x14ac:dyDescent="0.25">
      <c r="B47" s="55">
        <v>40845</v>
      </c>
      <c r="C47" s="56">
        <v>40846</v>
      </c>
      <c r="D47" s="57">
        <v>41209</v>
      </c>
      <c r="E47" s="57">
        <v>41210</v>
      </c>
      <c r="F47" s="56">
        <v>41580</v>
      </c>
      <c r="G47" s="56">
        <v>41581</v>
      </c>
      <c r="H47" s="57">
        <v>41944</v>
      </c>
      <c r="I47" s="57">
        <v>41945</v>
      </c>
      <c r="J47" s="56">
        <v>42308</v>
      </c>
      <c r="K47" s="58">
        <v>42309</v>
      </c>
    </row>
    <row r="48" spans="2:11" x14ac:dyDescent="0.25">
      <c r="B48" s="55">
        <v>40852</v>
      </c>
      <c r="C48" s="56">
        <v>40853</v>
      </c>
      <c r="D48" s="57">
        <v>41216</v>
      </c>
      <c r="E48" s="57">
        <v>41217</v>
      </c>
      <c r="F48" s="56">
        <v>41587</v>
      </c>
      <c r="G48" s="56">
        <v>41588</v>
      </c>
      <c r="H48" s="57">
        <v>41951</v>
      </c>
      <c r="I48" s="57">
        <v>41952</v>
      </c>
      <c r="J48" s="56">
        <v>42315</v>
      </c>
      <c r="K48" s="58">
        <v>42316</v>
      </c>
    </row>
    <row r="49" spans="1:11" x14ac:dyDescent="0.25">
      <c r="B49" s="55">
        <v>40859</v>
      </c>
      <c r="C49" s="56">
        <v>40860</v>
      </c>
      <c r="D49" s="57">
        <v>41223</v>
      </c>
      <c r="E49" s="57">
        <v>41224</v>
      </c>
      <c r="F49" s="56">
        <v>41594</v>
      </c>
      <c r="G49" s="56">
        <v>41595</v>
      </c>
      <c r="H49" s="57">
        <v>41958</v>
      </c>
      <c r="I49" s="57">
        <v>41959</v>
      </c>
      <c r="J49" s="56">
        <v>42322</v>
      </c>
      <c r="K49" s="58">
        <v>42323</v>
      </c>
    </row>
    <row r="50" spans="1:11" x14ac:dyDescent="0.25">
      <c r="B50" s="55">
        <v>40866</v>
      </c>
      <c r="C50" s="56">
        <v>40867</v>
      </c>
      <c r="D50" s="57">
        <v>41230</v>
      </c>
      <c r="E50" s="57">
        <v>41231</v>
      </c>
      <c r="F50" s="56">
        <v>41601</v>
      </c>
      <c r="G50" s="56">
        <v>41602</v>
      </c>
      <c r="H50" s="57">
        <v>41965</v>
      </c>
      <c r="I50" s="57">
        <v>41966</v>
      </c>
      <c r="J50" s="56">
        <v>42329</v>
      </c>
      <c r="K50" s="58">
        <v>42330</v>
      </c>
    </row>
    <row r="51" spans="1:11" x14ac:dyDescent="0.25">
      <c r="B51" s="55">
        <v>40873</v>
      </c>
      <c r="C51" s="56">
        <v>40874</v>
      </c>
      <c r="D51" s="57">
        <v>41237</v>
      </c>
      <c r="E51" s="57">
        <v>41238</v>
      </c>
      <c r="F51" s="56">
        <v>41608</v>
      </c>
      <c r="G51" s="56">
        <v>41609</v>
      </c>
      <c r="H51" s="57">
        <v>41972</v>
      </c>
      <c r="I51" s="57">
        <v>41973</v>
      </c>
      <c r="J51" s="56">
        <v>42336</v>
      </c>
      <c r="K51" s="58">
        <v>42337</v>
      </c>
    </row>
    <row r="52" spans="1:11" x14ac:dyDescent="0.25">
      <c r="B52" s="55">
        <v>40880</v>
      </c>
      <c r="C52" s="56">
        <v>40881</v>
      </c>
      <c r="D52" s="57">
        <v>41244</v>
      </c>
      <c r="E52" s="57">
        <v>41245</v>
      </c>
      <c r="F52" s="56">
        <v>41615</v>
      </c>
      <c r="G52" s="56">
        <v>41616</v>
      </c>
      <c r="H52" s="57">
        <v>41979</v>
      </c>
      <c r="I52" s="57">
        <v>41980</v>
      </c>
      <c r="J52" s="56">
        <v>42343</v>
      </c>
      <c r="K52" s="58">
        <v>42344</v>
      </c>
    </row>
    <row r="53" spans="1:11" x14ac:dyDescent="0.25">
      <c r="B53" s="55">
        <v>40887</v>
      </c>
      <c r="C53" s="56">
        <v>40888</v>
      </c>
      <c r="D53" s="57">
        <v>41251</v>
      </c>
      <c r="E53" s="57">
        <v>41252</v>
      </c>
      <c r="F53" s="56">
        <v>41622</v>
      </c>
      <c r="G53" s="56">
        <v>41623</v>
      </c>
      <c r="H53" s="57">
        <v>41986</v>
      </c>
      <c r="I53" s="57">
        <v>41987</v>
      </c>
      <c r="J53" s="56">
        <v>42350</v>
      </c>
      <c r="K53" s="58">
        <v>42351</v>
      </c>
    </row>
    <row r="54" spans="1:11" x14ac:dyDescent="0.25">
      <c r="B54" s="55">
        <v>40894</v>
      </c>
      <c r="C54" s="56">
        <v>40895</v>
      </c>
      <c r="D54" s="57">
        <v>41258</v>
      </c>
      <c r="E54" s="57">
        <v>41259</v>
      </c>
      <c r="F54" s="56">
        <v>41629</v>
      </c>
      <c r="G54" s="56">
        <v>41630</v>
      </c>
      <c r="H54" s="57">
        <v>41993</v>
      </c>
      <c r="I54" s="57">
        <v>41994</v>
      </c>
      <c r="J54" s="56">
        <v>42357</v>
      </c>
      <c r="K54" s="58">
        <v>42358</v>
      </c>
    </row>
    <row r="55" spans="1:11" x14ac:dyDescent="0.25">
      <c r="B55" s="55">
        <v>40901</v>
      </c>
      <c r="C55" s="56">
        <v>40902</v>
      </c>
      <c r="D55" s="57">
        <v>41265</v>
      </c>
      <c r="E55" s="57">
        <v>41266</v>
      </c>
      <c r="F55" s="56">
        <v>41636</v>
      </c>
      <c r="G55" s="56">
        <v>41637</v>
      </c>
      <c r="H55" s="57">
        <v>42000</v>
      </c>
      <c r="I55" s="57">
        <v>42001</v>
      </c>
      <c r="J55" s="56">
        <v>42364</v>
      </c>
      <c r="K55" s="58">
        <v>42365</v>
      </c>
    </row>
    <row r="56" spans="1:11" ht="15.75" thickBot="1" x14ac:dyDescent="0.3">
      <c r="B56" s="59">
        <v>40908</v>
      </c>
      <c r="C56" s="60"/>
      <c r="D56" s="61">
        <v>41272</v>
      </c>
      <c r="E56" s="61">
        <v>41273</v>
      </c>
      <c r="F56" s="60"/>
      <c r="G56" s="60"/>
      <c r="H56" s="61"/>
      <c r="I56" s="61"/>
      <c r="J56" s="60"/>
      <c r="K56" s="62"/>
    </row>
    <row r="57" spans="1:11" ht="15.75" thickTop="1" x14ac:dyDescent="0.25">
      <c r="A57" s="63" t="s">
        <v>219</v>
      </c>
      <c r="B57" s="64">
        <v>40902</v>
      </c>
      <c r="C57" s="65">
        <v>40900</v>
      </c>
      <c r="D57" s="66">
        <v>41268</v>
      </c>
      <c r="E57" s="66">
        <v>40910</v>
      </c>
      <c r="F57" s="65">
        <v>41633</v>
      </c>
      <c r="G57" s="65">
        <v>41276</v>
      </c>
      <c r="H57" s="66">
        <v>41998</v>
      </c>
      <c r="I57" s="66">
        <v>41641</v>
      </c>
      <c r="J57" s="65">
        <v>42363</v>
      </c>
      <c r="K57" s="67">
        <v>42006</v>
      </c>
    </row>
    <row r="58" spans="1:11" x14ac:dyDescent="0.25">
      <c r="A58" s="63" t="s">
        <v>220</v>
      </c>
      <c r="B58" s="55">
        <v>40904</v>
      </c>
      <c r="C58" s="56">
        <v>40901</v>
      </c>
      <c r="D58" s="57">
        <v>41269</v>
      </c>
      <c r="E58" s="57">
        <v>40911</v>
      </c>
      <c r="F58" s="56">
        <v>41634</v>
      </c>
      <c r="G58" s="56">
        <v>41277</v>
      </c>
      <c r="H58" s="57">
        <v>41999</v>
      </c>
      <c r="I58" s="57">
        <v>41642</v>
      </c>
      <c r="J58" s="56">
        <v>42364</v>
      </c>
      <c r="K58" s="58">
        <v>42009</v>
      </c>
    </row>
    <row r="59" spans="1:11" x14ac:dyDescent="0.25">
      <c r="A59" s="63" t="s">
        <v>221</v>
      </c>
      <c r="B59" s="55">
        <v>40544</v>
      </c>
      <c r="C59" s="56">
        <v>40905</v>
      </c>
      <c r="D59" s="57">
        <v>40909</v>
      </c>
      <c r="E59" s="57">
        <v>40912</v>
      </c>
      <c r="F59" s="56">
        <v>41275</v>
      </c>
      <c r="G59" s="56">
        <v>41278</v>
      </c>
      <c r="H59" s="57">
        <v>41640</v>
      </c>
      <c r="I59" s="57">
        <v>41995</v>
      </c>
      <c r="J59" s="56">
        <v>42005</v>
      </c>
      <c r="K59" s="58">
        <v>42010</v>
      </c>
    </row>
    <row r="60" spans="1:11" x14ac:dyDescent="0.25">
      <c r="A60" s="63" t="s">
        <v>222</v>
      </c>
      <c r="B60" s="55">
        <v>40569</v>
      </c>
      <c r="C60" s="56">
        <v>40906</v>
      </c>
      <c r="D60" s="57">
        <v>41300</v>
      </c>
      <c r="E60" s="57">
        <v>40913</v>
      </c>
      <c r="F60" s="56">
        <v>41302</v>
      </c>
      <c r="G60" s="56">
        <v>41631</v>
      </c>
      <c r="H60" s="57">
        <v>41666</v>
      </c>
      <c r="I60" s="57">
        <v>41996</v>
      </c>
      <c r="J60" s="56">
        <v>42030</v>
      </c>
      <c r="K60" s="58">
        <v>42011</v>
      </c>
    </row>
    <row r="61" spans="1:11" x14ac:dyDescent="0.25">
      <c r="A61" s="63" t="s">
        <v>223</v>
      </c>
      <c r="B61" s="55">
        <v>40655</v>
      </c>
      <c r="C61" s="56">
        <v>40907</v>
      </c>
      <c r="D61" s="57">
        <v>41005</v>
      </c>
      <c r="E61" s="57">
        <v>40914</v>
      </c>
      <c r="F61" s="56">
        <v>41362</v>
      </c>
      <c r="G61" s="56">
        <v>41632</v>
      </c>
      <c r="H61" s="57">
        <v>41747</v>
      </c>
      <c r="I61" s="57">
        <v>41997</v>
      </c>
      <c r="J61" s="56">
        <v>42097</v>
      </c>
      <c r="K61" s="58">
        <v>42012</v>
      </c>
    </row>
    <row r="62" spans="1:11" x14ac:dyDescent="0.25">
      <c r="A62" s="63" t="s">
        <v>224</v>
      </c>
      <c r="B62" s="55">
        <v>40658</v>
      </c>
      <c r="C62" s="56"/>
      <c r="D62" s="57">
        <v>41008</v>
      </c>
      <c r="E62" s="57">
        <v>41267</v>
      </c>
      <c r="F62" s="56">
        <v>41365</v>
      </c>
      <c r="G62" s="56">
        <v>41635</v>
      </c>
      <c r="H62" s="57">
        <v>41750</v>
      </c>
      <c r="I62" s="57">
        <v>42002</v>
      </c>
      <c r="J62" s="56">
        <v>42100</v>
      </c>
      <c r="K62" s="58">
        <v>42013</v>
      </c>
    </row>
    <row r="63" spans="1:11" x14ac:dyDescent="0.25">
      <c r="A63" s="63" t="s">
        <v>225</v>
      </c>
      <c r="B63" s="55">
        <v>40659</v>
      </c>
      <c r="C63" s="56"/>
      <c r="D63" s="57">
        <v>41024</v>
      </c>
      <c r="E63" s="57">
        <v>41270</v>
      </c>
      <c r="F63" s="56">
        <v>41389</v>
      </c>
      <c r="G63" s="56">
        <v>41638</v>
      </c>
      <c r="H63" s="57">
        <v>41754</v>
      </c>
      <c r="I63" s="57">
        <v>42003</v>
      </c>
      <c r="J63" s="56">
        <v>42121</v>
      </c>
      <c r="K63" s="58">
        <v>42362</v>
      </c>
    </row>
    <row r="64" spans="1:11" x14ac:dyDescent="0.25">
      <c r="A64" s="63" t="s">
        <v>226</v>
      </c>
      <c r="B64" s="55">
        <v>40665</v>
      </c>
      <c r="C64" s="56"/>
      <c r="D64" s="57">
        <v>41036</v>
      </c>
      <c r="E64" s="57">
        <v>41271</v>
      </c>
      <c r="F64" s="56">
        <v>41435</v>
      </c>
      <c r="G64" s="56">
        <v>41639</v>
      </c>
      <c r="H64" s="57">
        <v>41918</v>
      </c>
      <c r="I64" s="57">
        <v>42004</v>
      </c>
      <c r="J64" s="56">
        <v>42282</v>
      </c>
      <c r="K64" s="58">
        <v>42365</v>
      </c>
    </row>
    <row r="65" spans="1:11" x14ac:dyDescent="0.25">
      <c r="A65" s="63" t="s">
        <v>227</v>
      </c>
      <c r="B65" s="55">
        <v>40707</v>
      </c>
      <c r="C65" s="56"/>
      <c r="D65" s="57">
        <v>41071</v>
      </c>
      <c r="E65" s="57">
        <v>41274</v>
      </c>
      <c r="F65" s="56">
        <v>41554</v>
      </c>
      <c r="G65" s="56"/>
      <c r="H65" s="57">
        <v>41799</v>
      </c>
      <c r="I65" s="57"/>
      <c r="J65" s="56">
        <v>42163</v>
      </c>
      <c r="K65" s="58">
        <v>42366</v>
      </c>
    </row>
    <row r="66" spans="1:11" x14ac:dyDescent="0.25">
      <c r="B66" s="55"/>
      <c r="C66" s="56"/>
      <c r="D66" s="57"/>
      <c r="E66" s="57"/>
      <c r="F66" s="56"/>
      <c r="G66" s="56"/>
      <c r="H66" s="49"/>
      <c r="I66" s="49"/>
      <c r="J66" s="56"/>
      <c r="K66" s="58">
        <v>42367</v>
      </c>
    </row>
    <row r="67" spans="1:11" x14ac:dyDescent="0.25">
      <c r="B67" s="55"/>
      <c r="C67" s="56"/>
      <c r="D67" s="57"/>
      <c r="E67" s="57"/>
      <c r="F67" s="56"/>
      <c r="G67" s="56"/>
      <c r="H67" s="49"/>
      <c r="I67" s="49"/>
      <c r="J67" s="56"/>
      <c r="K67" s="58">
        <v>42368</v>
      </c>
    </row>
    <row r="68" spans="1:11" x14ac:dyDescent="0.25">
      <c r="B68" s="55"/>
      <c r="C68" s="56"/>
      <c r="D68" s="57"/>
      <c r="E68" s="57"/>
      <c r="F68" s="56"/>
      <c r="G68" s="56"/>
      <c r="H68" s="49"/>
      <c r="I68" s="49"/>
      <c r="J68" s="56"/>
      <c r="K68" s="58">
        <v>42369</v>
      </c>
    </row>
    <row r="69" spans="1:11" ht="15.75" thickBot="1" x14ac:dyDescent="0.3">
      <c r="B69" s="68"/>
      <c r="C69" s="69" t="s">
        <v>228</v>
      </c>
      <c r="D69" s="70"/>
      <c r="E69" s="69" t="s">
        <v>228</v>
      </c>
      <c r="F69" s="71"/>
      <c r="G69" s="69" t="s">
        <v>228</v>
      </c>
      <c r="H69" s="72"/>
      <c r="I69" s="69" t="s">
        <v>228</v>
      </c>
      <c r="J69" s="71"/>
      <c r="K69" s="73" t="s">
        <v>228</v>
      </c>
    </row>
    <row r="70" spans="1:11" ht="15.75" thickBot="1" x14ac:dyDescent="0.3">
      <c r="B70" s="74"/>
      <c r="C70" s="74"/>
      <c r="D70" s="74"/>
      <c r="E70" s="74"/>
      <c r="F70" s="46"/>
      <c r="G70" s="46"/>
      <c r="H70" s="46"/>
      <c r="I70" s="46"/>
      <c r="J70" s="46"/>
      <c r="K70" s="46"/>
    </row>
    <row r="71" spans="1:11" ht="19.5" thickBot="1" x14ac:dyDescent="0.35">
      <c r="A71" s="171" t="s">
        <v>277</v>
      </c>
      <c r="B71" s="74"/>
      <c r="C71" s="172">
        <v>9</v>
      </c>
      <c r="D71" s="74"/>
      <c r="E71" s="74"/>
      <c r="F71" s="46"/>
      <c r="G71" s="46"/>
      <c r="H71" s="46"/>
      <c r="I71" s="46"/>
      <c r="J71" s="46"/>
      <c r="K71" s="46"/>
    </row>
    <row r="72" spans="1:11" x14ac:dyDescent="0.25">
      <c r="A72" s="260" t="s">
        <v>607</v>
      </c>
      <c r="B72" s="261"/>
      <c r="C72" s="261">
        <v>40640</v>
      </c>
      <c r="D72" s="74"/>
      <c r="E72" s="74"/>
      <c r="F72" s="46"/>
      <c r="G72" s="46"/>
      <c r="H72" s="46"/>
      <c r="I72" s="46"/>
      <c r="J72" s="46"/>
      <c r="K72" s="46"/>
    </row>
  </sheetData>
  <mergeCells count="6">
    <mergeCell ref="B1:K1"/>
    <mergeCell ref="B2:C2"/>
    <mergeCell ref="D2:E2"/>
    <mergeCell ref="F2:G2"/>
    <mergeCell ref="H2:I2"/>
    <mergeCell ref="J2:K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5"/>
  <sheetViews>
    <sheetView topLeftCell="A36" workbookViewId="0">
      <selection activeCell="K21" sqref="K21"/>
    </sheetView>
  </sheetViews>
  <sheetFormatPr defaultRowHeight="15" x14ac:dyDescent="0.25"/>
  <cols>
    <col min="1" max="1" width="9.140625" style="222"/>
    <col min="2" max="2" width="57.28515625" style="223" customWidth="1"/>
    <col min="3" max="3" width="9.140625" style="218"/>
    <col min="4" max="4" width="26.42578125" style="219" customWidth="1"/>
    <col min="5" max="5" width="23" style="219" customWidth="1"/>
    <col min="6" max="6" width="15.85546875" style="212" customWidth="1"/>
    <col min="7" max="9" width="13" customWidth="1"/>
  </cols>
  <sheetData>
    <row r="1" spans="1:9" s="174" customFormat="1" x14ac:dyDescent="0.25">
      <c r="A1" s="214" t="s">
        <v>270</v>
      </c>
      <c r="B1" s="214" t="s">
        <v>278</v>
      </c>
      <c r="C1" s="214" t="s">
        <v>140</v>
      </c>
      <c r="D1" s="214" t="s">
        <v>279</v>
      </c>
      <c r="E1" s="214" t="s">
        <v>280</v>
      </c>
      <c r="F1" s="210" t="s">
        <v>281</v>
      </c>
      <c r="G1" s="173" t="s">
        <v>282</v>
      </c>
      <c r="H1" s="173" t="s">
        <v>283</v>
      </c>
      <c r="I1" s="173" t="s">
        <v>284</v>
      </c>
    </row>
    <row r="2" spans="1:9" x14ac:dyDescent="0.25">
      <c r="A2" s="220">
        <v>1</v>
      </c>
      <c r="B2" s="221" t="s">
        <v>217</v>
      </c>
      <c r="C2" s="215">
        <f>IFERROR(VLOOKUP(A2,Estimate!A:L,12,FALSE),0)</f>
        <v>0</v>
      </c>
      <c r="D2" s="216"/>
      <c r="E2" s="217">
        <v>5</v>
      </c>
      <c r="F2" s="211">
        <f>IFERROR(VLOOKUP(A2,Estimate!A:Q,17,FALSE),0)</f>
        <v>0</v>
      </c>
      <c r="G2" s="209" t="str">
        <f>IFERROR(VLOOKUP($A2,#REF!,13,FALSE)," ")</f>
        <v xml:space="preserve"> </v>
      </c>
      <c r="H2" s="209" t="str">
        <f>IFERROR(VLOOKUP($A2,#REF!,15,FALSE)," ")</f>
        <v xml:space="preserve"> </v>
      </c>
      <c r="I2" s="209" t="str">
        <f>IFERROR(VLOOKUP($A2,#REF!,17,FALSE)," ")</f>
        <v xml:space="preserve"> </v>
      </c>
    </row>
    <row r="3" spans="1:9" x14ac:dyDescent="0.25">
      <c r="A3" s="220">
        <v>2</v>
      </c>
      <c r="B3" s="221" t="s">
        <v>249</v>
      </c>
      <c r="C3" s="215">
        <f>IFERROR(VLOOKUP(A3,Estimate!A:L,12,FALSE),0)</f>
        <v>0</v>
      </c>
      <c r="D3" s="217" t="s">
        <v>250</v>
      </c>
      <c r="E3" s="216"/>
      <c r="F3" s="211">
        <f>IFERROR(VLOOKUP(A3,Estimate!A:Q,17,FALSE),0)</f>
        <v>0</v>
      </c>
      <c r="G3" s="209" t="str">
        <f>IFERROR(VLOOKUP($A3,#REF!,13,FALSE)," ")</f>
        <v xml:space="preserve"> </v>
      </c>
      <c r="H3" s="209" t="str">
        <f>IFERROR(VLOOKUP($A3,#REF!,15,FALSE)," ")</f>
        <v xml:space="preserve"> </v>
      </c>
      <c r="I3" s="209" t="str">
        <f>IFERROR(VLOOKUP($A3,#REF!,17,FALSE)," ")</f>
        <v xml:space="preserve"> </v>
      </c>
    </row>
    <row r="4" spans="1:9" x14ac:dyDescent="0.25">
      <c r="A4" s="220">
        <v>3</v>
      </c>
      <c r="B4" s="221" t="s">
        <v>198</v>
      </c>
      <c r="C4" s="215">
        <f>IFERROR(VLOOKUP(A4,Estimate!A:L,12,FALSE),0)</f>
        <v>0</v>
      </c>
      <c r="D4" s="216"/>
      <c r="E4" s="216"/>
      <c r="F4" s="211">
        <f>IFERROR(VLOOKUP(A4,Estimate!A:Q,17,FALSE),0)</f>
        <v>0</v>
      </c>
      <c r="G4" s="209" t="str">
        <f>IFERROR(VLOOKUP($A4,#REF!,13,FALSE)," ")</f>
        <v xml:space="preserve"> </v>
      </c>
      <c r="H4" s="209" t="str">
        <f>IFERROR(VLOOKUP($A4,#REF!,15,FALSE)," ")</f>
        <v xml:space="preserve"> </v>
      </c>
      <c r="I4" s="209" t="str">
        <f>IFERROR(VLOOKUP($A4,#REF!,17,FALSE)," ")</f>
        <v xml:space="preserve"> </v>
      </c>
    </row>
    <row r="5" spans="1:9" x14ac:dyDescent="0.25">
      <c r="A5" s="220">
        <v>4</v>
      </c>
      <c r="B5" s="221" t="s">
        <v>11</v>
      </c>
      <c r="C5" s="215">
        <f>IFERROR(VLOOKUP(A5,Estimate!A:L,12,FALSE),0)</f>
        <v>5</v>
      </c>
      <c r="D5" s="217">
        <v>5</v>
      </c>
      <c r="E5" s="217" t="s">
        <v>251</v>
      </c>
      <c r="F5" s="211">
        <f>IFERROR(VLOOKUP(A5,Estimate!A:Q,17,FALSE),0)</f>
        <v>48943.75</v>
      </c>
      <c r="G5" s="209">
        <f>IFERROR(VLOOKUP($A5,'Budget &amp; Revenue'!$A:$Q,13,FALSE)," ")</f>
        <v>0.7</v>
      </c>
      <c r="H5" s="209">
        <f>IFERROR(VLOOKUP($A5,'Budget &amp; Revenue'!$A:$Q,15,FALSE)," ")</f>
        <v>0.8</v>
      </c>
      <c r="I5" s="209">
        <f>IFERROR(VLOOKUP($A5,'Budget &amp; Revenue'!$A:$Q,17,FALSE)," ")</f>
        <v>1</v>
      </c>
    </row>
    <row r="6" spans="1:9" ht="45" x14ac:dyDescent="0.25">
      <c r="A6" s="220">
        <v>5</v>
      </c>
      <c r="B6" s="221" t="s">
        <v>25</v>
      </c>
      <c r="C6" s="215">
        <f>IFERROR(VLOOKUP(A6,Estimate!A:L,12,FALSE),0)</f>
        <v>5</v>
      </c>
      <c r="D6" s="217">
        <v>1</v>
      </c>
      <c r="E6" s="217">
        <v>4</v>
      </c>
      <c r="F6" s="211">
        <f>IFERROR(VLOOKUP(A6,Estimate!A:Q,17,FALSE),0)</f>
        <v>20838.999799999998</v>
      </c>
      <c r="G6" s="209">
        <f>IFERROR(VLOOKUP($A6,'Budget &amp; Revenue'!$A:$Q,13,FALSE)," ")</f>
        <v>0.5</v>
      </c>
      <c r="H6" s="209">
        <f>IFERROR(VLOOKUP($A6,'Budget &amp; Revenue'!$A:$Q,15,FALSE)," ")</f>
        <v>0.6</v>
      </c>
      <c r="I6" s="209">
        <f>IFERROR(VLOOKUP($A6,'Budget &amp; Revenue'!$A:$Q,17,FALSE)," ")</f>
        <v>1</v>
      </c>
    </row>
    <row r="7" spans="1:9" x14ac:dyDescent="0.25">
      <c r="A7" s="220">
        <v>6</v>
      </c>
      <c r="B7" s="221" t="s">
        <v>36</v>
      </c>
      <c r="C7" s="215">
        <f>IFERROR(VLOOKUP(A7,Estimate!A:L,12,FALSE),0)</f>
        <v>1</v>
      </c>
      <c r="D7" s="217">
        <v>4</v>
      </c>
      <c r="E7" s="217">
        <v>2</v>
      </c>
      <c r="F7" s="211">
        <f>IFERROR(VLOOKUP(A7,Estimate!A:Q,17,FALSE),0)</f>
        <v>6500</v>
      </c>
      <c r="G7" s="209">
        <f>IFERROR(VLOOKUP($A7,'Budget &amp; Revenue'!$A:$Q,13,FALSE)," ")</f>
        <v>0.25</v>
      </c>
      <c r="H7" s="209">
        <f>IFERROR(VLOOKUP($A7,'Budget &amp; Revenue'!$A:$Q,15,FALSE)," ")</f>
        <v>0.5</v>
      </c>
      <c r="I7" s="209">
        <f>IFERROR(VLOOKUP($A7,'Budget &amp; Revenue'!$A:$Q,17,FALSE)," ")</f>
        <v>1</v>
      </c>
    </row>
    <row r="8" spans="1:9" x14ac:dyDescent="0.25">
      <c r="A8" s="220">
        <v>7</v>
      </c>
      <c r="B8" s="221" t="s">
        <v>201</v>
      </c>
      <c r="C8" s="215">
        <f>IFERROR(VLOOKUP(A8,Estimate!A:L,12,FALSE),0)</f>
        <v>0</v>
      </c>
      <c r="D8" s="216"/>
      <c r="E8" s="216"/>
      <c r="F8" s="211">
        <f>IFERROR(VLOOKUP(A8,Estimate!A:Q,17,FALSE),0)</f>
        <v>0</v>
      </c>
      <c r="G8" s="209" t="str">
        <f>IFERROR(VLOOKUP($A8,'Budget &amp; Revenue'!$A:$Q,13,FALSE)," ")</f>
        <v xml:space="preserve"> </v>
      </c>
      <c r="H8" s="209" t="str">
        <f>IFERROR(VLOOKUP($A8,'Budget &amp; Revenue'!$A:$Q,15,FALSE)," ")</f>
        <v xml:space="preserve"> </v>
      </c>
      <c r="I8" s="209" t="str">
        <f>IFERROR(VLOOKUP($A8,'Budget &amp; Revenue'!$A:$Q,17,FALSE)," ")</f>
        <v xml:space="preserve"> </v>
      </c>
    </row>
    <row r="9" spans="1:9" x14ac:dyDescent="0.25">
      <c r="A9" s="220">
        <v>8</v>
      </c>
      <c r="B9" s="221" t="s">
        <v>44</v>
      </c>
      <c r="C9" s="215">
        <f>IFERROR(VLOOKUP(A9,Estimate!A:L,12,FALSE),0)</f>
        <v>12</v>
      </c>
      <c r="D9" s="217">
        <v>4</v>
      </c>
      <c r="E9" s="217">
        <v>9</v>
      </c>
      <c r="F9" s="211">
        <f>IFERROR(VLOOKUP(A9,Estimate!A:Q,17,FALSE),0)</f>
        <v>69435.555555555562</v>
      </c>
      <c r="G9" s="209">
        <f>IFERROR(VLOOKUP($A9,'Budget &amp; Revenue'!$A:$Q,13,FALSE)," ")</f>
        <v>1</v>
      </c>
      <c r="H9" s="209">
        <f>IFERROR(VLOOKUP($A9,'Budget &amp; Revenue'!$A:$Q,15,FALSE)," ")</f>
        <v>1</v>
      </c>
      <c r="I9" s="209">
        <f>IFERROR(VLOOKUP($A9,'Budget &amp; Revenue'!$A:$Q,17,FALSE)," ")</f>
        <v>1</v>
      </c>
    </row>
    <row r="10" spans="1:9" x14ac:dyDescent="0.25">
      <c r="A10" s="220">
        <v>9</v>
      </c>
      <c r="B10" s="221" t="s">
        <v>59</v>
      </c>
      <c r="C10" s="215">
        <f>IFERROR(VLOOKUP(A10,Estimate!A:L,12,FALSE),0)</f>
        <v>2</v>
      </c>
      <c r="D10" s="217">
        <v>8</v>
      </c>
      <c r="E10" s="217">
        <v>10</v>
      </c>
      <c r="F10" s="211">
        <f>IFERROR(VLOOKUP(A10,Estimate!A:Q,17,FALSE),0)</f>
        <v>31754.12</v>
      </c>
      <c r="G10" s="209">
        <f>IFERROR(VLOOKUP($A10,'Budget &amp; Revenue'!$A:$Q,13,FALSE)," ")</f>
        <v>0</v>
      </c>
      <c r="H10" s="209">
        <f>IFERROR(VLOOKUP($A10,'Budget &amp; Revenue'!$A:$Q,15,FALSE)," ")</f>
        <v>1</v>
      </c>
      <c r="I10" s="209">
        <f>IFERROR(VLOOKUP($A10,'Budget &amp; Revenue'!$A:$Q,17,FALSE)," ")</f>
        <v>1</v>
      </c>
    </row>
    <row r="11" spans="1:9" ht="30" x14ac:dyDescent="0.25">
      <c r="A11" s="220">
        <v>10</v>
      </c>
      <c r="B11" s="221" t="s">
        <v>65</v>
      </c>
      <c r="C11" s="215">
        <f>IFERROR(VLOOKUP(A11,Estimate!A:L,12,FALSE),0)</f>
        <v>7</v>
      </c>
      <c r="D11" s="217">
        <v>9</v>
      </c>
      <c r="E11" s="217" t="s">
        <v>252</v>
      </c>
      <c r="F11" s="211">
        <f>IFERROR(VLOOKUP(A11,Estimate!A:Q,17,FALSE),0)</f>
        <v>72223.464938070116</v>
      </c>
      <c r="G11" s="209">
        <f>IFERROR(VLOOKUP($A11,'Budget &amp; Revenue'!$A:$Q,13,FALSE)," ")</f>
        <v>0</v>
      </c>
      <c r="H11" s="209">
        <f>IFERROR(VLOOKUP($A11,'Budget &amp; Revenue'!$A:$Q,15,FALSE)," ")</f>
        <v>0.4</v>
      </c>
      <c r="I11" s="209">
        <f>IFERROR(VLOOKUP($A11,'Budget &amp; Revenue'!$A:$Q,17,FALSE)," ")</f>
        <v>1</v>
      </c>
    </row>
    <row r="12" spans="1:9" ht="30" x14ac:dyDescent="0.25">
      <c r="A12" s="220">
        <v>11</v>
      </c>
      <c r="B12" s="221" t="s">
        <v>72</v>
      </c>
      <c r="C12" s="215">
        <f>IFERROR(VLOOKUP(A12,Estimate!A:L,12,FALSE),0)</f>
        <v>4</v>
      </c>
      <c r="D12" s="217" t="s">
        <v>253</v>
      </c>
      <c r="E12" s="217" t="s">
        <v>254</v>
      </c>
      <c r="F12" s="211">
        <f>IFERROR(VLOOKUP(A12,Estimate!A:Q,17,FALSE),0)</f>
        <v>43112.111111111109</v>
      </c>
      <c r="G12" s="209">
        <f>IFERROR(VLOOKUP($A12,'Budget &amp; Revenue'!$A:$Q,13,FALSE)," ")</f>
        <v>0</v>
      </c>
      <c r="H12" s="209">
        <f>IFERROR(VLOOKUP($A12,'Budget &amp; Revenue'!$A:$Q,15,FALSE)," ")</f>
        <v>0.4</v>
      </c>
      <c r="I12" s="209">
        <f>IFERROR(VLOOKUP($A12,'Budget &amp; Revenue'!$A:$Q,17,FALSE)," ")</f>
        <v>1</v>
      </c>
    </row>
    <row r="13" spans="1:9" ht="30" x14ac:dyDescent="0.25">
      <c r="A13" s="220">
        <v>12</v>
      </c>
      <c r="B13" s="221" t="s">
        <v>80</v>
      </c>
      <c r="C13" s="215">
        <f>IFERROR(VLOOKUP(A13,Estimate!A:L,12,FALSE),0)</f>
        <v>4</v>
      </c>
      <c r="D13" s="217">
        <v>11</v>
      </c>
      <c r="E13" s="217" t="s">
        <v>255</v>
      </c>
      <c r="F13" s="211">
        <f>IFERROR(VLOOKUP(A13,Estimate!A:Q,17,FALSE),0)</f>
        <v>49669.888888888891</v>
      </c>
      <c r="G13" s="209">
        <f>IFERROR(VLOOKUP($A13,'Budget &amp; Revenue'!$A:$Q,13,FALSE)," ")</f>
        <v>0</v>
      </c>
      <c r="H13" s="209">
        <f>IFERROR(VLOOKUP($A13,'Budget &amp; Revenue'!$A:$Q,15,FALSE)," ")</f>
        <v>0.4</v>
      </c>
      <c r="I13" s="209">
        <f>IFERROR(VLOOKUP($A13,'Budget &amp; Revenue'!$A:$Q,17,FALSE)," ")</f>
        <v>1</v>
      </c>
    </row>
    <row r="14" spans="1:9" x14ac:dyDescent="0.25">
      <c r="A14" s="220">
        <v>13</v>
      </c>
      <c r="B14" s="221" t="s">
        <v>84</v>
      </c>
      <c r="C14" s="215">
        <f>IFERROR(VLOOKUP(A14,Estimate!A:L,12,FALSE),0)</f>
        <v>10</v>
      </c>
      <c r="D14" s="217" t="s">
        <v>256</v>
      </c>
      <c r="E14" s="217">
        <v>14</v>
      </c>
      <c r="F14" s="211">
        <f>IFERROR(VLOOKUP(A14,Estimate!A:Q,17,FALSE),0)</f>
        <v>189376.12083333332</v>
      </c>
      <c r="G14" s="209">
        <f>IFERROR(VLOOKUP($A14,'Budget &amp; Revenue'!$A:$Q,13,FALSE)," ")</f>
        <v>0</v>
      </c>
      <c r="H14" s="209">
        <f>IFERROR(VLOOKUP($A14,'Budget &amp; Revenue'!$A:$Q,15,FALSE)," ")</f>
        <v>0</v>
      </c>
      <c r="I14" s="209">
        <f>IFERROR(VLOOKUP($A14,'Budget &amp; Revenue'!$A:$Q,17,FALSE)," ")</f>
        <v>1</v>
      </c>
    </row>
    <row r="15" spans="1:9" ht="30" x14ac:dyDescent="0.25">
      <c r="A15" s="220">
        <v>14</v>
      </c>
      <c r="B15" s="221" t="s">
        <v>87</v>
      </c>
      <c r="C15" s="215">
        <f>IFERROR(VLOOKUP(A15,Estimate!A:L,12,FALSE),0)</f>
        <v>1</v>
      </c>
      <c r="D15" s="217" t="s">
        <v>257</v>
      </c>
      <c r="E15" s="217">
        <v>35</v>
      </c>
      <c r="F15" s="211">
        <f>IFERROR(VLOOKUP(A15,Estimate!A:Q,17,FALSE),0)</f>
        <v>7821.1437499999993</v>
      </c>
      <c r="G15" s="209">
        <f>IFERROR(VLOOKUP($A15,'Budget &amp; Revenue'!$A:$Q,13,FALSE)," ")</f>
        <v>0</v>
      </c>
      <c r="H15" s="209">
        <f>IFERROR(VLOOKUP($A15,'Budget &amp; Revenue'!$A:$Q,15,FALSE)," ")</f>
        <v>0</v>
      </c>
      <c r="I15" s="209">
        <f>IFERROR(VLOOKUP($A15,'Budget &amp; Revenue'!$A:$Q,17,FALSE)," ")</f>
        <v>1</v>
      </c>
    </row>
    <row r="16" spans="1:9" x14ac:dyDescent="0.25">
      <c r="A16" s="220">
        <v>15</v>
      </c>
      <c r="B16" s="221" t="s">
        <v>203</v>
      </c>
      <c r="C16" s="215">
        <f>IFERROR(VLOOKUP(A16,Estimate!A:L,12,FALSE),0)</f>
        <v>0</v>
      </c>
      <c r="D16" s="216"/>
      <c r="E16" s="216"/>
      <c r="F16" s="211">
        <f>IFERROR(VLOOKUP(A16,Estimate!A:Q,17,FALSE),0)</f>
        <v>0</v>
      </c>
      <c r="G16" s="209" t="str">
        <f>IFERROR(VLOOKUP($A16,'Budget &amp; Revenue'!$A:$Q,13,FALSE)," ")</f>
        <v xml:space="preserve"> </v>
      </c>
      <c r="H16" s="209" t="str">
        <f>IFERROR(VLOOKUP($A16,'Budget &amp; Revenue'!$A:$Q,15,FALSE)," ")</f>
        <v xml:space="preserve"> </v>
      </c>
      <c r="I16" s="209" t="str">
        <f>IFERROR(VLOOKUP($A16,'Budget &amp; Revenue'!$A:$Q,17,FALSE)," ")</f>
        <v xml:space="preserve"> </v>
      </c>
    </row>
    <row r="17" spans="1:9" ht="30" x14ac:dyDescent="0.25">
      <c r="A17" s="220">
        <v>16</v>
      </c>
      <c r="B17" s="221" t="s">
        <v>90</v>
      </c>
      <c r="C17" s="215">
        <f>IFERROR(VLOOKUP(A17,Estimate!A:L,12,FALSE),0)</f>
        <v>3</v>
      </c>
      <c r="D17" s="217" t="s">
        <v>258</v>
      </c>
      <c r="E17" s="217" t="s">
        <v>259</v>
      </c>
      <c r="F17" s="211">
        <f>IFERROR(VLOOKUP(A17,Estimate!A:Q,17,FALSE),0)</f>
        <v>20541</v>
      </c>
      <c r="G17" s="209">
        <f>IFERROR(VLOOKUP($A17,'Budget &amp; Revenue'!$A:$Q,13,FALSE)," ")</f>
        <v>0</v>
      </c>
      <c r="H17" s="209">
        <f>IFERROR(VLOOKUP($A17,'Budget &amp; Revenue'!$A:$Q,15,FALSE)," ")</f>
        <v>0</v>
      </c>
      <c r="I17" s="209">
        <f>IFERROR(VLOOKUP($A17,'Budget &amp; Revenue'!$A:$Q,17,FALSE)," ")</f>
        <v>1</v>
      </c>
    </row>
    <row r="18" spans="1:9" ht="30" x14ac:dyDescent="0.25">
      <c r="A18" s="220">
        <v>17</v>
      </c>
      <c r="B18" s="221" t="s">
        <v>92</v>
      </c>
      <c r="C18" s="215">
        <f>IFERROR(VLOOKUP(A18,Estimate!A:L,12,FALSE),0)</f>
        <v>2</v>
      </c>
      <c r="D18" s="217" t="s">
        <v>260</v>
      </c>
      <c r="E18" s="217">
        <v>29</v>
      </c>
      <c r="F18" s="211">
        <f>IFERROR(VLOOKUP(A18,Estimate!A:Q,17,FALSE),0)</f>
        <v>13559.666666666666</v>
      </c>
      <c r="G18" s="209">
        <f>IFERROR(VLOOKUP($A18,'Budget &amp; Revenue'!$A:$Q,13,FALSE)," ")</f>
        <v>0</v>
      </c>
      <c r="H18" s="209">
        <f>IFERROR(VLOOKUP($A18,'Budget &amp; Revenue'!$A:$Q,15,FALSE)," ")</f>
        <v>0</v>
      </c>
      <c r="I18" s="209">
        <f>IFERROR(VLOOKUP($A18,'Budget &amp; Revenue'!$A:$Q,17,FALSE)," ")</f>
        <v>1</v>
      </c>
    </row>
    <row r="19" spans="1:9" x14ac:dyDescent="0.25">
      <c r="A19" s="220">
        <v>18</v>
      </c>
      <c r="B19" s="221" t="s">
        <v>205</v>
      </c>
      <c r="C19" s="215">
        <f>IFERROR(VLOOKUP(A19,Estimate!A:L,12,FALSE),0)</f>
        <v>0</v>
      </c>
      <c r="D19" s="216"/>
      <c r="E19" s="216"/>
      <c r="F19" s="211">
        <f>IFERROR(VLOOKUP(A19,Estimate!A:Q,17,FALSE),0)</f>
        <v>0</v>
      </c>
      <c r="G19" s="209" t="str">
        <f>IFERROR(VLOOKUP($A19,'Budget &amp; Revenue'!$A:$Q,13,FALSE)," ")</f>
        <v xml:space="preserve"> </v>
      </c>
      <c r="H19" s="209" t="str">
        <f>IFERROR(VLOOKUP($A19,'Budget &amp; Revenue'!$A:$Q,15,FALSE)," ")</f>
        <v xml:space="preserve"> </v>
      </c>
      <c r="I19" s="209" t="str">
        <f>IFERROR(VLOOKUP($A19,'Budget &amp; Revenue'!$A:$Q,17,FALSE)," ")</f>
        <v xml:space="preserve"> </v>
      </c>
    </row>
    <row r="20" spans="1:9" x14ac:dyDescent="0.25">
      <c r="A20" s="220">
        <v>19</v>
      </c>
      <c r="B20" s="221" t="s">
        <v>94</v>
      </c>
      <c r="C20" s="215">
        <f>IFERROR(VLOOKUP(A20,Estimate!A:L,12,FALSE),0)</f>
        <v>2</v>
      </c>
      <c r="D20" s="217">
        <v>4</v>
      </c>
      <c r="E20" s="217">
        <v>20</v>
      </c>
      <c r="F20" s="211">
        <f>IFERROR(VLOOKUP(A20,Estimate!A:Q,17,FALSE),0)</f>
        <v>6690</v>
      </c>
      <c r="G20" s="209">
        <f>IFERROR(VLOOKUP($A20,'Budget &amp; Revenue'!$A:$Q,13,FALSE)," ")</f>
        <v>1</v>
      </c>
      <c r="H20" s="209">
        <f>IFERROR(VLOOKUP($A20,'Budget &amp; Revenue'!$A:$Q,15,FALSE)," ")</f>
        <v>1</v>
      </c>
      <c r="I20" s="209">
        <f>IFERROR(VLOOKUP($A20,'Budget &amp; Revenue'!$A:$Q,17,FALSE)," ")</f>
        <v>1</v>
      </c>
    </row>
    <row r="21" spans="1:9" ht="30" x14ac:dyDescent="0.25">
      <c r="A21" s="220">
        <v>20</v>
      </c>
      <c r="B21" s="221" t="s">
        <v>96</v>
      </c>
      <c r="C21" s="215">
        <f>IFERROR(VLOOKUP(A21,Estimate!A:L,12,FALSE),0)</f>
        <v>3</v>
      </c>
      <c r="D21" s="217">
        <v>19</v>
      </c>
      <c r="E21" s="217" t="s">
        <v>261</v>
      </c>
      <c r="F21" s="211">
        <f>IFERROR(VLOOKUP(A21,Estimate!A:Q,17,FALSE),0)</f>
        <v>27266.555555555555</v>
      </c>
      <c r="G21" s="209">
        <f>IFERROR(VLOOKUP($A21,'Budget &amp; Revenue'!$A:$Q,13,FALSE)," ")</f>
        <v>0.7</v>
      </c>
      <c r="H21" s="209">
        <f>IFERROR(VLOOKUP($A21,'Budget &amp; Revenue'!$A:$Q,15,FALSE)," ")</f>
        <v>1</v>
      </c>
      <c r="I21" s="209">
        <f>IFERROR(VLOOKUP($A21,'Budget &amp; Revenue'!$A:$Q,17,FALSE)," ")</f>
        <v>1</v>
      </c>
    </row>
    <row r="22" spans="1:9" x14ac:dyDescent="0.25">
      <c r="A22" s="220">
        <v>21</v>
      </c>
      <c r="B22" s="221" t="s">
        <v>98</v>
      </c>
      <c r="C22" s="215">
        <f>IFERROR(VLOOKUP(A22,Estimate!A:L,12,FALSE),0)</f>
        <v>5</v>
      </c>
      <c r="D22" s="217">
        <v>20</v>
      </c>
      <c r="E22" s="217">
        <v>2</v>
      </c>
      <c r="F22" s="211">
        <f>IFERROR(VLOOKUP(A22,Estimate!A:Q,17,FALSE),0)</f>
        <v>2970</v>
      </c>
      <c r="G22" s="209">
        <f>IFERROR(VLOOKUP($A22,'Budget &amp; Revenue'!$A:$Q,13,FALSE)," ")</f>
        <v>0</v>
      </c>
      <c r="H22" s="209">
        <f>IFERROR(VLOOKUP($A22,'Budget &amp; Revenue'!$A:$Q,15,FALSE)," ")</f>
        <v>0</v>
      </c>
      <c r="I22" s="209">
        <f>IFERROR(VLOOKUP($A22,'Budget &amp; Revenue'!$A:$Q,17,FALSE)," ")</f>
        <v>1</v>
      </c>
    </row>
    <row r="23" spans="1:9" x14ac:dyDescent="0.25">
      <c r="A23" s="220">
        <v>22</v>
      </c>
      <c r="B23" s="221" t="s">
        <v>208</v>
      </c>
      <c r="C23" s="215">
        <f>IFERROR(VLOOKUP(A23,Estimate!A:L,12,FALSE),0)</f>
        <v>0</v>
      </c>
      <c r="D23" s="216"/>
      <c r="E23" s="216"/>
      <c r="F23" s="211">
        <f>IFERROR(VLOOKUP(A23,Estimate!A:Q,17,FALSE),0)</f>
        <v>0</v>
      </c>
      <c r="G23" s="209" t="str">
        <f>IFERROR(VLOOKUP($A23,'Budget &amp; Revenue'!$A:$Q,13,FALSE)," ")</f>
        <v xml:space="preserve"> </v>
      </c>
      <c r="H23" s="209" t="str">
        <f>IFERROR(VLOOKUP($A23,'Budget &amp; Revenue'!$A:$Q,15,FALSE)," ")</f>
        <v xml:space="preserve"> </v>
      </c>
      <c r="I23" s="209" t="str">
        <f>IFERROR(VLOOKUP($A23,'Budget &amp; Revenue'!$A:$Q,17,FALSE)," ")</f>
        <v xml:space="preserve"> </v>
      </c>
    </row>
    <row r="24" spans="1:9" x14ac:dyDescent="0.25">
      <c r="A24" s="220">
        <v>23</v>
      </c>
      <c r="B24" s="221" t="s">
        <v>101</v>
      </c>
      <c r="C24" s="215">
        <f>IFERROR(VLOOKUP(A24,Estimate!A:L,12,FALSE),0)</f>
        <v>2</v>
      </c>
      <c r="D24" s="217" t="s">
        <v>262</v>
      </c>
      <c r="E24" s="217">
        <v>24</v>
      </c>
      <c r="F24" s="211">
        <f>IFERROR(VLOOKUP(A24,Estimate!A:Q,17,FALSE),0)</f>
        <v>9366</v>
      </c>
      <c r="G24" s="209">
        <f>IFERROR(VLOOKUP($A24,'Budget &amp; Revenue'!$A:$Q,13,FALSE)," ")</f>
        <v>0.5</v>
      </c>
      <c r="H24" s="209">
        <f>IFERROR(VLOOKUP($A24,'Budget &amp; Revenue'!$A:$Q,15,FALSE)," ")</f>
        <v>1</v>
      </c>
      <c r="I24" s="209">
        <f>IFERROR(VLOOKUP($A24,'Budget &amp; Revenue'!$A:$Q,17,FALSE)," ")</f>
        <v>1</v>
      </c>
    </row>
    <row r="25" spans="1:9" x14ac:dyDescent="0.25">
      <c r="A25" s="220">
        <v>24</v>
      </c>
      <c r="B25" s="221" t="s">
        <v>103</v>
      </c>
      <c r="C25" s="215">
        <f>IFERROR(VLOOKUP(A25,Estimate!A:L,12,FALSE),0)</f>
        <v>2</v>
      </c>
      <c r="D25" s="217">
        <v>23</v>
      </c>
      <c r="E25" s="217">
        <v>25</v>
      </c>
      <c r="F25" s="211">
        <f>IFERROR(VLOOKUP(A25,Estimate!A:Q,17,FALSE),0)</f>
        <v>18081.666666666668</v>
      </c>
      <c r="G25" s="209">
        <f>IFERROR(VLOOKUP($A25,'Budget &amp; Revenue'!$A:$Q,13,FALSE)," ")</f>
        <v>0</v>
      </c>
      <c r="H25" s="209">
        <f>IFERROR(VLOOKUP($A25,'Budget &amp; Revenue'!$A:$Q,15,FALSE)," ")</f>
        <v>1</v>
      </c>
      <c r="I25" s="209">
        <f>IFERROR(VLOOKUP($A25,'Budget &amp; Revenue'!$A:$Q,17,FALSE)," ")</f>
        <v>1</v>
      </c>
    </row>
    <row r="26" spans="1:9" x14ac:dyDescent="0.25">
      <c r="A26" s="220">
        <v>25</v>
      </c>
      <c r="B26" s="221" t="s">
        <v>105</v>
      </c>
      <c r="C26" s="215">
        <f>IFERROR(VLOOKUP(A26,Estimate!A:L,12,FALSE),0)</f>
        <v>1</v>
      </c>
      <c r="D26" s="217">
        <v>24</v>
      </c>
      <c r="E26" s="217">
        <v>41</v>
      </c>
      <c r="F26" s="211">
        <f>IFERROR(VLOOKUP(A26,Estimate!A:Q,17,FALSE),0)</f>
        <v>1670.5</v>
      </c>
      <c r="G26" s="209">
        <f>IFERROR(VLOOKUP($A26,'Budget &amp; Revenue'!$A:$Q,13,FALSE)," ")</f>
        <v>0</v>
      </c>
      <c r="H26" s="209">
        <f>IFERROR(VLOOKUP($A26,'Budget &amp; Revenue'!$A:$Q,15,FALSE)," ")</f>
        <v>0</v>
      </c>
      <c r="I26" s="209">
        <f>IFERROR(VLOOKUP($A26,'Budget &amp; Revenue'!$A:$Q,17,FALSE)," ")</f>
        <v>1</v>
      </c>
    </row>
    <row r="27" spans="1:9" x14ac:dyDescent="0.25">
      <c r="A27" s="220">
        <v>26</v>
      </c>
      <c r="B27" s="221" t="s">
        <v>109</v>
      </c>
      <c r="C27" s="215">
        <f>IFERROR(VLOOKUP(A27,Estimate!A:L,12,FALSE),0)</f>
        <v>1</v>
      </c>
      <c r="D27" s="217">
        <v>44</v>
      </c>
      <c r="E27" s="216"/>
      <c r="F27" s="211">
        <f>IFERROR(VLOOKUP(A27,Estimate!A:Q,17,FALSE),0)</f>
        <v>1449</v>
      </c>
      <c r="G27" s="209">
        <f>IFERROR(VLOOKUP($A27,'Budget &amp; Revenue'!$A:$Q,13,FALSE)," ")</f>
        <v>0</v>
      </c>
      <c r="H27" s="209">
        <f>IFERROR(VLOOKUP($A27,'Budget &amp; Revenue'!$A:$Q,15,FALSE)," ")</f>
        <v>0</v>
      </c>
      <c r="I27" s="209">
        <f>IFERROR(VLOOKUP($A27,'Budget &amp; Revenue'!$A:$Q,17,FALSE)," ")</f>
        <v>1</v>
      </c>
    </row>
    <row r="28" spans="1:9" x14ac:dyDescent="0.25">
      <c r="A28" s="220">
        <v>27</v>
      </c>
      <c r="B28" s="221" t="s">
        <v>210</v>
      </c>
      <c r="C28" s="215">
        <f>IFERROR(VLOOKUP(A28,Estimate!A:L,12,FALSE),0)</f>
        <v>0</v>
      </c>
      <c r="D28" s="216"/>
      <c r="E28" s="216"/>
      <c r="F28" s="211">
        <f>IFERROR(VLOOKUP(A28,Estimate!A:Q,17,FALSE),0)</f>
        <v>0</v>
      </c>
      <c r="G28" s="209" t="str">
        <f>IFERROR(VLOOKUP($A28,'Budget &amp; Revenue'!$A:$Q,13,FALSE)," ")</f>
        <v xml:space="preserve"> </v>
      </c>
      <c r="H28" s="209" t="str">
        <f>IFERROR(VLOOKUP($A28,'Budget &amp; Revenue'!$A:$Q,15,FALSE)," ")</f>
        <v xml:space="preserve"> </v>
      </c>
      <c r="I28" s="209" t="str">
        <f>IFERROR(VLOOKUP($A28,'Budget &amp; Revenue'!$A:$Q,17,FALSE)," ")</f>
        <v xml:space="preserve"> </v>
      </c>
    </row>
    <row r="29" spans="1:9" ht="30" x14ac:dyDescent="0.25">
      <c r="A29" s="220">
        <v>28</v>
      </c>
      <c r="B29" s="221" t="s">
        <v>111</v>
      </c>
      <c r="C29" s="215">
        <f>IFERROR(VLOOKUP(A29,Estimate!A:L,12,FALSE),0)</f>
        <v>8</v>
      </c>
      <c r="D29" s="217">
        <v>12</v>
      </c>
      <c r="E29" s="217" t="s">
        <v>263</v>
      </c>
      <c r="F29" s="211">
        <f>IFERROR(VLOOKUP(A29,Estimate!A:Q,17,FALSE),0)</f>
        <v>27766.666666666672</v>
      </c>
      <c r="G29" s="209">
        <f>IFERROR(VLOOKUP($A29,'Budget &amp; Revenue'!$A:$Q,13,FALSE)," ")</f>
        <v>0</v>
      </c>
      <c r="H29" s="209">
        <f>IFERROR(VLOOKUP($A29,'Budget &amp; Revenue'!$A:$Q,15,FALSE)," ")</f>
        <v>0</v>
      </c>
      <c r="I29" s="209">
        <f>IFERROR(VLOOKUP($A29,'Budget &amp; Revenue'!$A:$Q,17,FALSE)," ")</f>
        <v>1</v>
      </c>
    </row>
    <row r="30" spans="1:9" x14ac:dyDescent="0.25">
      <c r="A30" s="220">
        <v>29</v>
      </c>
      <c r="B30" s="221" t="s">
        <v>114</v>
      </c>
      <c r="C30" s="215">
        <f>IFERROR(VLOOKUP(A30,Estimate!A:L,12,FALSE),0)</f>
        <v>8</v>
      </c>
      <c r="D30" s="217" t="s">
        <v>264</v>
      </c>
      <c r="E30" s="217">
        <v>2</v>
      </c>
      <c r="F30" s="211">
        <f>IFERROR(VLOOKUP(A30,Estimate!A:Q,17,FALSE),0)</f>
        <v>24066.666666666668</v>
      </c>
      <c r="G30" s="209">
        <f>IFERROR(VLOOKUP($A30,'Budget &amp; Revenue'!$A:$Q,13,FALSE)," ")</f>
        <v>0</v>
      </c>
      <c r="H30" s="209">
        <f>IFERROR(VLOOKUP($A30,'Budget &amp; Revenue'!$A:$Q,15,FALSE)," ")</f>
        <v>0</v>
      </c>
      <c r="I30" s="209">
        <f>IFERROR(VLOOKUP($A30,'Budget &amp; Revenue'!$A:$Q,17,FALSE)," ")</f>
        <v>1</v>
      </c>
    </row>
    <row r="31" spans="1:9" x14ac:dyDescent="0.25">
      <c r="A31" s="220">
        <v>30</v>
      </c>
      <c r="B31" s="221" t="s">
        <v>211</v>
      </c>
      <c r="C31" s="215">
        <f>IFERROR(VLOOKUP(A31,Estimate!A:L,12,FALSE),0)</f>
        <v>0</v>
      </c>
      <c r="D31" s="216"/>
      <c r="E31" s="216"/>
      <c r="F31" s="211">
        <f>IFERROR(VLOOKUP(A31,Estimate!A:Q,17,FALSE),0)</f>
        <v>0</v>
      </c>
      <c r="G31" s="209" t="str">
        <f>IFERROR(VLOOKUP($A31,'Budget &amp; Revenue'!$A:$Q,13,FALSE)," ")</f>
        <v xml:space="preserve"> </v>
      </c>
      <c r="H31" s="209" t="str">
        <f>IFERROR(VLOOKUP($A31,'Budget &amp; Revenue'!$A:$Q,15,FALSE)," ")</f>
        <v xml:space="preserve"> </v>
      </c>
      <c r="I31" s="209" t="str">
        <f>IFERROR(VLOOKUP($A31,'Budget &amp; Revenue'!$A:$Q,17,FALSE)," ")</f>
        <v xml:space="preserve"> </v>
      </c>
    </row>
    <row r="32" spans="1:9" x14ac:dyDescent="0.25">
      <c r="A32" s="220">
        <v>31</v>
      </c>
      <c r="B32" s="221" t="s">
        <v>116</v>
      </c>
      <c r="C32" s="215">
        <f>IFERROR(VLOOKUP(A32,Estimate!A:L,12,FALSE),0)</f>
        <v>2</v>
      </c>
      <c r="D32" s="217">
        <v>28</v>
      </c>
      <c r="E32" s="217">
        <v>2</v>
      </c>
      <c r="F32" s="211">
        <f>IFERROR(VLOOKUP(A32,Estimate!A:Q,17,FALSE),0)</f>
        <v>36204.928399357996</v>
      </c>
      <c r="G32" s="209">
        <f>IFERROR(VLOOKUP($A32,'Budget &amp; Revenue'!$A:$Q,13,FALSE)," ")</f>
        <v>0</v>
      </c>
      <c r="H32" s="209">
        <f>IFERROR(VLOOKUP($A32,'Budget &amp; Revenue'!$A:$Q,15,FALSE)," ")</f>
        <v>0</v>
      </c>
      <c r="I32" s="209">
        <f>IFERROR(VLOOKUP($A32,'Budget &amp; Revenue'!$A:$Q,17,FALSE)," ")</f>
        <v>1</v>
      </c>
    </row>
    <row r="33" spans="1:9" x14ac:dyDescent="0.25">
      <c r="A33" s="220">
        <v>32</v>
      </c>
      <c r="B33" s="221" t="s">
        <v>212</v>
      </c>
      <c r="C33" s="215">
        <f>IFERROR(VLOOKUP(A33,Estimate!A:L,12,FALSE),0)</f>
        <v>0</v>
      </c>
      <c r="D33" s="216"/>
      <c r="E33" s="216"/>
      <c r="F33" s="211">
        <f>IFERROR(VLOOKUP(A33,Estimate!A:Q,17,FALSE),0)</f>
        <v>0</v>
      </c>
      <c r="G33" s="209" t="str">
        <f>IFERROR(VLOOKUP($A33,'Budget &amp; Revenue'!$A:$Q,13,FALSE)," ")</f>
        <v xml:space="preserve"> </v>
      </c>
      <c r="H33" s="209" t="str">
        <f>IFERROR(VLOOKUP($A33,'Budget &amp; Revenue'!$A:$Q,15,FALSE)," ")</f>
        <v xml:space="preserve"> </v>
      </c>
      <c r="I33" s="209" t="str">
        <f>IFERROR(VLOOKUP($A33,'Budget &amp; Revenue'!$A:$Q,17,FALSE)," ")</f>
        <v xml:space="preserve"> </v>
      </c>
    </row>
    <row r="34" spans="1:9" x14ac:dyDescent="0.25">
      <c r="A34" s="220">
        <v>33</v>
      </c>
      <c r="B34" s="221" t="s">
        <v>119</v>
      </c>
      <c r="C34" s="215">
        <f>IFERROR(VLOOKUP(A34,Estimate!A:L,12,FALSE),0)</f>
        <v>11</v>
      </c>
      <c r="D34" s="217">
        <v>12</v>
      </c>
      <c r="E34" s="217" t="s">
        <v>265</v>
      </c>
      <c r="F34" s="211">
        <f>IFERROR(VLOOKUP(A34,Estimate!A:Q,17,FALSE),0)</f>
        <v>140573.15680961299</v>
      </c>
      <c r="G34" s="209">
        <f>IFERROR(VLOOKUP($A34,'Budget &amp; Revenue'!$A:$Q,13,FALSE)," ")</f>
        <v>0</v>
      </c>
      <c r="H34" s="209">
        <f>IFERROR(VLOOKUP($A34,'Budget &amp; Revenue'!$A:$Q,15,FALSE)," ")</f>
        <v>0</v>
      </c>
      <c r="I34" s="209">
        <f>IFERROR(VLOOKUP($A34,'Budget &amp; Revenue'!$A:$Q,17,FALSE)," ")</f>
        <v>1</v>
      </c>
    </row>
    <row r="35" spans="1:9" x14ac:dyDescent="0.25">
      <c r="A35" s="220">
        <v>34</v>
      </c>
      <c r="B35" s="221" t="s">
        <v>122</v>
      </c>
      <c r="C35" s="215">
        <f>IFERROR(VLOOKUP(A35,Estimate!A:L,12,FALSE),0)</f>
        <v>11</v>
      </c>
      <c r="D35" s="217">
        <v>33</v>
      </c>
      <c r="E35" s="217">
        <v>35</v>
      </c>
      <c r="F35" s="211">
        <f>IFERROR(VLOOKUP(A35,Estimate!A:Q,17,FALSE),0)</f>
        <v>50804.592065383964</v>
      </c>
      <c r="G35" s="209">
        <f>IFERROR(VLOOKUP($A35,'Budget &amp; Revenue'!$A:$Q,13,FALSE)," ")</f>
        <v>0</v>
      </c>
      <c r="H35" s="209">
        <f>IFERROR(VLOOKUP($A35,'Budget &amp; Revenue'!$A:$Q,15,FALSE)," ")</f>
        <v>0</v>
      </c>
      <c r="I35" s="209">
        <f>IFERROR(VLOOKUP($A35,'Budget &amp; Revenue'!$A:$Q,17,FALSE)," ")</f>
        <v>1</v>
      </c>
    </row>
    <row r="36" spans="1:9" x14ac:dyDescent="0.25">
      <c r="A36" s="220">
        <v>35</v>
      </c>
      <c r="B36" s="221" t="s">
        <v>124</v>
      </c>
      <c r="C36" s="215">
        <f>IFERROR(VLOOKUP(A36,Estimate!A:L,12,FALSE),0)</f>
        <v>11</v>
      </c>
      <c r="D36" s="217" t="s">
        <v>266</v>
      </c>
      <c r="E36" s="217">
        <v>2</v>
      </c>
      <c r="F36" s="211">
        <f>IFERROR(VLOOKUP(A36,Estimate!A:Q,17,FALSE),0)</f>
        <v>27502.992065383962</v>
      </c>
      <c r="G36" s="209">
        <f>IFERROR(VLOOKUP($A36,'Budget &amp; Revenue'!$A:$Q,13,FALSE)," ")</f>
        <v>0</v>
      </c>
      <c r="H36" s="209">
        <f>IFERROR(VLOOKUP($A36,'Budget &amp; Revenue'!$A:$Q,15,FALSE)," ")</f>
        <v>0</v>
      </c>
      <c r="I36" s="209">
        <f>IFERROR(VLOOKUP($A36,'Budget &amp; Revenue'!$A:$Q,17,FALSE)," ")</f>
        <v>1</v>
      </c>
    </row>
    <row r="37" spans="1:9" x14ac:dyDescent="0.25">
      <c r="A37" s="220">
        <v>36</v>
      </c>
      <c r="B37" s="221" t="s">
        <v>126</v>
      </c>
      <c r="C37" s="215">
        <f>IFERROR(VLOOKUP(A37,Estimate!A:L,12,FALSE),0)</f>
        <v>1</v>
      </c>
      <c r="D37" s="217">
        <v>20</v>
      </c>
      <c r="E37" s="217">
        <v>2</v>
      </c>
      <c r="F37" s="211">
        <f>IFERROR(VLOOKUP(A37,Estimate!A:Q,17,FALSE),0)</f>
        <v>26553</v>
      </c>
      <c r="G37" s="209">
        <f>IFERROR(VLOOKUP($A37,'Budget &amp; Revenue'!$A:$Q,13,FALSE)," ")</f>
        <v>0</v>
      </c>
      <c r="H37" s="209">
        <f>IFERROR(VLOOKUP($A37,'Budget &amp; Revenue'!$A:$Q,15,FALSE)," ")</f>
        <v>1</v>
      </c>
      <c r="I37" s="209">
        <f>IFERROR(VLOOKUP($A37,'Budget &amp; Revenue'!$A:$Q,17,FALSE)," ")</f>
        <v>1</v>
      </c>
    </row>
    <row r="38" spans="1:9" x14ac:dyDescent="0.25">
      <c r="A38" s="220">
        <v>37</v>
      </c>
      <c r="B38" s="221" t="s">
        <v>213</v>
      </c>
      <c r="C38" s="215">
        <f>IFERROR(VLOOKUP(A38,Estimate!A:L,12,FALSE),0)</f>
        <v>0</v>
      </c>
      <c r="D38" s="216"/>
      <c r="E38" s="216"/>
      <c r="F38" s="211">
        <f>IFERROR(VLOOKUP(A38,Estimate!A:Q,17,FALSE),0)</f>
        <v>0</v>
      </c>
      <c r="G38" s="209" t="str">
        <f>IFERROR(VLOOKUP($A38,'Budget &amp; Revenue'!$A:$Q,13,FALSE)," ")</f>
        <v xml:space="preserve"> </v>
      </c>
      <c r="H38" s="209" t="str">
        <f>IFERROR(VLOOKUP($A38,'Budget &amp; Revenue'!$A:$Q,15,FALSE)," ")</f>
        <v xml:space="preserve"> </v>
      </c>
      <c r="I38" s="209" t="str">
        <f>IFERROR(VLOOKUP($A38,'Budget &amp; Revenue'!$A:$Q,17,FALSE)," ")</f>
        <v xml:space="preserve"> </v>
      </c>
    </row>
    <row r="39" spans="1:9" x14ac:dyDescent="0.25">
      <c r="A39" s="220">
        <v>38</v>
      </c>
      <c r="B39" s="221" t="s">
        <v>128</v>
      </c>
      <c r="C39" s="215">
        <f>IFERROR(VLOOKUP(A39,Estimate!A:L,12,FALSE),0)</f>
        <v>5</v>
      </c>
      <c r="D39" s="217">
        <v>33</v>
      </c>
      <c r="E39" s="217" t="s">
        <v>267</v>
      </c>
      <c r="F39" s="211">
        <f>IFERROR(VLOOKUP(A39,Estimate!A:Q,17,FALSE),0)</f>
        <v>21419</v>
      </c>
      <c r="G39" s="209">
        <f>IFERROR(VLOOKUP($A39,'Budget &amp; Revenue'!$A:$Q,13,FALSE)," ")</f>
        <v>0</v>
      </c>
      <c r="H39" s="209">
        <f>IFERROR(VLOOKUP($A39,'Budget &amp; Revenue'!$A:$Q,15,FALSE)," ")</f>
        <v>0.5</v>
      </c>
      <c r="I39" s="209">
        <f>IFERROR(VLOOKUP($A39,'Budget &amp; Revenue'!$A:$Q,17,FALSE)," ")</f>
        <v>1</v>
      </c>
    </row>
    <row r="40" spans="1:9" ht="30" x14ac:dyDescent="0.25">
      <c r="A40" s="220">
        <v>39</v>
      </c>
      <c r="B40" s="221" t="s">
        <v>135</v>
      </c>
      <c r="C40" s="215">
        <f>IFERROR(VLOOKUP(A40,Estimate!A:L,12,FALSE),0)</f>
        <v>2</v>
      </c>
      <c r="D40" s="217">
        <v>38</v>
      </c>
      <c r="E40" s="217">
        <v>40</v>
      </c>
      <c r="F40" s="211">
        <f>IFERROR(VLOOKUP(A40,Estimate!A:Q,17,FALSE),0)</f>
        <v>6097</v>
      </c>
      <c r="G40" s="209">
        <f>IFERROR(VLOOKUP($A40,'Budget &amp; Revenue'!$A:$Q,13,FALSE)," ")</f>
        <v>0</v>
      </c>
      <c r="H40" s="209">
        <f>IFERROR(VLOOKUP($A40,'Budget &amp; Revenue'!$A:$Q,15,FALSE)," ")</f>
        <v>0.5</v>
      </c>
      <c r="I40" s="209">
        <f>IFERROR(VLOOKUP($A40,'Budget &amp; Revenue'!$A:$Q,17,FALSE)," ")</f>
        <v>1</v>
      </c>
    </row>
    <row r="41" spans="1:9" x14ac:dyDescent="0.25">
      <c r="A41" s="220">
        <v>40</v>
      </c>
      <c r="B41" s="221" t="s">
        <v>139</v>
      </c>
      <c r="C41" s="215">
        <f>IFERROR(VLOOKUP(A41,Estimate!A:L,12,FALSE),0)</f>
        <v>2</v>
      </c>
      <c r="D41" s="217">
        <v>39</v>
      </c>
      <c r="E41" s="217">
        <v>14</v>
      </c>
      <c r="F41" s="211">
        <f>IFERROR(VLOOKUP(A41,Estimate!A:Q,17,FALSE),0)</f>
        <v>4255</v>
      </c>
      <c r="G41" s="209">
        <f>IFERROR(VLOOKUP($A41,'Budget &amp; Revenue'!$A:$Q,13,FALSE)," ")</f>
        <v>0</v>
      </c>
      <c r="H41" s="209">
        <f>IFERROR(VLOOKUP($A41,'Budget &amp; Revenue'!$A:$Q,15,FALSE)," ")</f>
        <v>0.5</v>
      </c>
      <c r="I41" s="209">
        <f>IFERROR(VLOOKUP($A41,'Budget &amp; Revenue'!$A:$Q,17,FALSE)," ")</f>
        <v>1</v>
      </c>
    </row>
    <row r="42" spans="1:9" x14ac:dyDescent="0.25">
      <c r="A42" s="220">
        <v>48</v>
      </c>
      <c r="B42" s="221" t="s">
        <v>240</v>
      </c>
      <c r="C42" s="215">
        <f>IFERROR(VLOOKUP(A42,Estimate!A:L,12,FALSE),0)</f>
        <v>3.0030030030030028</v>
      </c>
      <c r="D42" s="217">
        <v>25</v>
      </c>
      <c r="E42" s="217">
        <v>2</v>
      </c>
      <c r="F42" s="211">
        <f>IFERROR(VLOOKUP(A42,Estimate!A:Q,17,FALSE),0)</f>
        <v>21704.504504504504</v>
      </c>
      <c r="G42" s="209">
        <f>IFERROR(VLOOKUP($A42,'Budget &amp; Revenue'!$A:$Q,13,FALSE)," ")</f>
        <v>0</v>
      </c>
      <c r="H42" s="209">
        <f>IFERROR(VLOOKUP($A42,'Budget &amp; Revenue'!$A:$Q,15,FALSE)," ")</f>
        <v>0</v>
      </c>
      <c r="I42" s="209">
        <f>IFERROR(VLOOKUP($A42,'Budget &amp; Revenue'!$A:$Q,17,FALSE)," ")</f>
        <v>1</v>
      </c>
    </row>
    <row r="43" spans="1:9" ht="30" x14ac:dyDescent="0.25">
      <c r="A43" s="220">
        <v>49</v>
      </c>
      <c r="B43" s="221" t="s">
        <v>242</v>
      </c>
      <c r="C43" s="215">
        <f>IFERROR(VLOOKUP(A43,Estimate!A:L,12,FALSE),0)</f>
        <v>22.327777777777779</v>
      </c>
      <c r="D43" s="217">
        <v>10</v>
      </c>
      <c r="E43" s="217">
        <v>11</v>
      </c>
      <c r="F43" s="211">
        <f>IFERROR(VLOOKUP(A43,Estimate!A:Q,17,FALSE),0)</f>
        <v>22528.727777777782</v>
      </c>
      <c r="G43" s="209">
        <f>IFERROR(VLOOKUP($A43,'Budget &amp; Revenue'!$A:$Q,13,FALSE)," ")</f>
        <v>0</v>
      </c>
      <c r="H43" s="209">
        <f>IFERROR(VLOOKUP($A43,'Budget &amp; Revenue'!$A:$Q,15,FALSE)," ")</f>
        <v>0</v>
      </c>
      <c r="I43" s="209">
        <f>IFERROR(VLOOKUP($A43,'Budget &amp; Revenue'!$A:$Q,17,FALSE)," ")</f>
        <v>1</v>
      </c>
    </row>
    <row r="44" spans="1:9" ht="30" x14ac:dyDescent="0.25">
      <c r="A44" s="220">
        <v>51</v>
      </c>
      <c r="B44" s="221" t="s">
        <v>245</v>
      </c>
      <c r="C44" s="215">
        <f>IFERROR(VLOOKUP(A44,Estimate!A:L,12,FALSE),0)</f>
        <v>1</v>
      </c>
      <c r="D44" s="217">
        <v>12</v>
      </c>
      <c r="E44" s="217">
        <v>13</v>
      </c>
      <c r="F44" s="211">
        <f>IFERROR(VLOOKUP(A44,Estimate!A:Q,17,FALSE),0)</f>
        <v>-4470</v>
      </c>
      <c r="G44" s="209">
        <f>IFERROR(VLOOKUP($A44,'Budget &amp; Revenue'!$A:$Q,13,FALSE)," ")</f>
        <v>0</v>
      </c>
      <c r="H44" s="209">
        <f>IFERROR(VLOOKUP($A44,'Budget &amp; Revenue'!$A:$Q,15,FALSE)," ")</f>
        <v>0</v>
      </c>
      <c r="I44" s="209">
        <f>IFERROR(VLOOKUP($A44,'Budget &amp; Revenue'!$A:$Q,17,FALSE)," ")</f>
        <v>1</v>
      </c>
    </row>
    <row r="45" spans="1:9" ht="30" x14ac:dyDescent="0.25">
      <c r="A45" s="220">
        <v>52</v>
      </c>
      <c r="B45" s="221" t="s">
        <v>247</v>
      </c>
      <c r="C45" s="215">
        <f>IFERROR(VLOOKUP(A45,Estimate!A:L,12,FALSE),0)</f>
        <v>7.8378378378378377</v>
      </c>
      <c r="D45" s="217">
        <v>16</v>
      </c>
      <c r="E45" s="217" t="s">
        <v>268</v>
      </c>
      <c r="F45" s="211">
        <f>IFERROR(VLOOKUP(A45,Estimate!A:Q,17,FALSE),0)</f>
        <v>7908.3783783783792</v>
      </c>
      <c r="G45" s="209">
        <f>IFERROR(VLOOKUP($A45,'Budget &amp; Revenue'!$A:$Q,13,FALSE)," ")</f>
        <v>0</v>
      </c>
      <c r="H45" s="209">
        <f>IFERROR(VLOOKUP($A45,'Budget &amp; Revenue'!$A:$Q,15,FALSE)," ")</f>
        <v>0</v>
      </c>
      <c r="I45" s="209">
        <f>IFERROR(VLOOKUP($A45,'Budget &amp; Revenue'!$A:$Q,17,FALSE)," ")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C9F0B-5571-491C-B258-817D88CC1B57}">
  <dimension ref="A1:V75"/>
  <sheetViews>
    <sheetView topLeftCell="A36" workbookViewId="0">
      <selection sqref="A1:Q1048576"/>
    </sheetView>
  </sheetViews>
  <sheetFormatPr defaultRowHeight="15" x14ac:dyDescent="0.25"/>
  <cols>
    <col min="1" max="1" width="4" bestFit="1" customWidth="1"/>
    <col min="2" max="2" width="7.28515625" bestFit="1" customWidth="1"/>
    <col min="3" max="3" width="36.28515625" bestFit="1" customWidth="1"/>
    <col min="4" max="4" width="4.5703125" bestFit="1" customWidth="1"/>
    <col min="5" max="5" width="11.5703125" bestFit="1" customWidth="1"/>
    <col min="6" max="6" width="11.85546875" bestFit="1" customWidth="1"/>
    <col min="7" max="7" width="12.85546875" bestFit="1" customWidth="1"/>
    <col min="8" max="8" width="9.85546875" bestFit="1" customWidth="1"/>
    <col min="9" max="9" width="10.85546875" bestFit="1" customWidth="1"/>
    <col min="10" max="10" width="11.140625" bestFit="1" customWidth="1"/>
    <col min="12" max="12" width="9.42578125" bestFit="1" customWidth="1"/>
    <col min="13" max="13" width="8.140625" bestFit="1" customWidth="1"/>
    <col min="14" max="14" width="9.42578125" bestFit="1" customWidth="1"/>
    <col min="15" max="15" width="8.140625" bestFit="1" customWidth="1"/>
    <col min="16" max="16" width="9.42578125" bestFit="1" customWidth="1"/>
    <col min="17" max="17" width="8.140625" bestFit="1" customWidth="1"/>
    <col min="18" max="20" width="13.85546875" bestFit="1" customWidth="1"/>
  </cols>
  <sheetData>
    <row r="1" spans="1:22" s="14" customFormat="1" ht="11.25" x14ac:dyDescent="0.2">
      <c r="A1" s="179" t="s">
        <v>270</v>
      </c>
      <c r="B1" s="180" t="s">
        <v>285</v>
      </c>
      <c r="C1" s="154" t="s">
        <v>162</v>
      </c>
      <c r="D1" s="180" t="s">
        <v>2</v>
      </c>
      <c r="E1" s="181" t="s">
        <v>312</v>
      </c>
      <c r="F1" s="182" t="s">
        <v>286</v>
      </c>
      <c r="G1" s="182" t="s">
        <v>287</v>
      </c>
      <c r="H1" s="181" t="s">
        <v>288</v>
      </c>
      <c r="I1" s="181" t="s">
        <v>289</v>
      </c>
      <c r="J1" s="181" t="s">
        <v>290</v>
      </c>
      <c r="K1" s="181"/>
      <c r="L1" s="183" t="s">
        <v>316</v>
      </c>
      <c r="M1" s="179" t="s">
        <v>317</v>
      </c>
      <c r="N1" s="183" t="s">
        <v>318</v>
      </c>
      <c r="O1" s="179" t="s">
        <v>319</v>
      </c>
      <c r="P1" s="183" t="s">
        <v>320</v>
      </c>
      <c r="Q1" s="179" t="s">
        <v>321</v>
      </c>
      <c r="R1" s="184" t="s">
        <v>313</v>
      </c>
      <c r="S1" s="184" t="s">
        <v>314</v>
      </c>
      <c r="T1" s="184" t="s">
        <v>315</v>
      </c>
    </row>
    <row r="2" spans="1:22" s="14" customFormat="1" ht="11.25" x14ac:dyDescent="0.2">
      <c r="A2" s="185" t="s">
        <v>230</v>
      </c>
      <c r="B2" s="185" t="s">
        <v>230</v>
      </c>
      <c r="C2" s="186" t="s">
        <v>291</v>
      </c>
      <c r="D2" s="185" t="s">
        <v>230</v>
      </c>
      <c r="E2" s="187"/>
      <c r="F2" s="188" t="s">
        <v>230</v>
      </c>
      <c r="G2" s="188" t="s">
        <v>230</v>
      </c>
      <c r="H2" s="187" t="s">
        <v>230</v>
      </c>
      <c r="I2" s="187" t="s">
        <v>230</v>
      </c>
      <c r="J2" s="187" t="s">
        <v>230</v>
      </c>
      <c r="K2" s="187"/>
      <c r="L2" s="189" t="s">
        <v>230</v>
      </c>
      <c r="M2" s="189"/>
      <c r="N2" s="189" t="s">
        <v>230</v>
      </c>
      <c r="O2" s="189"/>
      <c r="P2" s="189" t="s">
        <v>230</v>
      </c>
      <c r="Q2" s="189" t="s">
        <v>230</v>
      </c>
      <c r="R2" s="190"/>
      <c r="S2" s="190"/>
      <c r="T2" s="190" t="s">
        <v>230</v>
      </c>
    </row>
    <row r="3" spans="1:22" s="14" customFormat="1" ht="11.25" x14ac:dyDescent="0.2">
      <c r="A3" s="191"/>
      <c r="B3" s="192" t="s">
        <v>230</v>
      </c>
      <c r="C3" s="159" t="s">
        <v>230</v>
      </c>
      <c r="D3" s="192" t="s">
        <v>230</v>
      </c>
      <c r="E3" s="193"/>
      <c r="F3" s="194" t="s">
        <v>230</v>
      </c>
      <c r="G3" s="194" t="s">
        <v>230</v>
      </c>
      <c r="H3" s="193" t="s">
        <v>230</v>
      </c>
      <c r="I3" s="193" t="s">
        <v>230</v>
      </c>
      <c r="J3" s="193" t="s">
        <v>230</v>
      </c>
      <c r="K3" s="193"/>
      <c r="L3" s="195" t="s">
        <v>230</v>
      </c>
      <c r="M3" s="195"/>
      <c r="N3" s="195" t="s">
        <v>230</v>
      </c>
      <c r="O3" s="195"/>
      <c r="P3" s="195" t="s">
        <v>230</v>
      </c>
      <c r="Q3" s="192"/>
      <c r="R3" s="196"/>
      <c r="S3" s="196"/>
      <c r="T3" s="196"/>
    </row>
    <row r="4" spans="1:22" s="14" customFormat="1" ht="11.25" x14ac:dyDescent="0.2">
      <c r="A4" s="191">
        <v>3</v>
      </c>
      <c r="B4" s="192">
        <v>1</v>
      </c>
      <c r="C4" s="159" t="s">
        <v>292</v>
      </c>
      <c r="D4" s="192" t="s">
        <v>293</v>
      </c>
      <c r="E4" s="193">
        <v>0</v>
      </c>
      <c r="F4" s="194" t="s">
        <v>230</v>
      </c>
      <c r="G4" s="194" t="s">
        <v>230</v>
      </c>
      <c r="H4" s="193" t="s">
        <v>230</v>
      </c>
      <c r="I4" s="193" t="s">
        <v>230</v>
      </c>
      <c r="J4" s="193" t="s">
        <v>230</v>
      </c>
      <c r="K4" s="193"/>
      <c r="L4" s="195" t="s">
        <v>230</v>
      </c>
      <c r="M4" s="195"/>
      <c r="N4" s="195" t="s">
        <v>230</v>
      </c>
      <c r="O4" s="195"/>
      <c r="P4" s="195" t="s">
        <v>230</v>
      </c>
      <c r="Q4" s="192"/>
      <c r="R4" s="196"/>
      <c r="S4" s="196"/>
      <c r="T4" s="196"/>
    </row>
    <row r="5" spans="1:22" s="14" customFormat="1" ht="11.25" x14ac:dyDescent="0.2">
      <c r="A5" s="191">
        <v>4</v>
      </c>
      <c r="B5" s="192">
        <v>1.01</v>
      </c>
      <c r="C5" s="159" t="s">
        <v>11</v>
      </c>
      <c r="D5" s="192" t="s">
        <v>12</v>
      </c>
      <c r="E5" s="193">
        <v>48943.75</v>
      </c>
      <c r="F5" s="194">
        <v>1</v>
      </c>
      <c r="G5" s="194">
        <v>1</v>
      </c>
      <c r="H5" s="193">
        <v>58842</v>
      </c>
      <c r="I5" s="193">
        <v>58842</v>
      </c>
      <c r="J5" s="193">
        <v>58842</v>
      </c>
      <c r="K5" s="193"/>
      <c r="L5" s="195">
        <v>0.7</v>
      </c>
      <c r="M5" s="197">
        <v>0.7</v>
      </c>
      <c r="N5" s="195">
        <v>0.8</v>
      </c>
      <c r="O5" s="197">
        <v>0.8</v>
      </c>
      <c r="P5" s="195">
        <v>1</v>
      </c>
      <c r="Q5" s="197">
        <v>1</v>
      </c>
      <c r="R5" s="196">
        <v>41189.399999999994</v>
      </c>
      <c r="S5" s="196">
        <v>47073.600000000006</v>
      </c>
      <c r="T5" s="196">
        <v>58842</v>
      </c>
      <c r="V5" s="208"/>
    </row>
    <row r="6" spans="1:22" s="14" customFormat="1" ht="45" x14ac:dyDescent="0.2">
      <c r="A6" s="191">
        <v>5</v>
      </c>
      <c r="B6" s="192">
        <v>1.02</v>
      </c>
      <c r="C6" s="159" t="s">
        <v>25</v>
      </c>
      <c r="D6" s="192" t="s">
        <v>12</v>
      </c>
      <c r="E6" s="193">
        <v>20838.999800000001</v>
      </c>
      <c r="F6" s="194">
        <v>1</v>
      </c>
      <c r="G6" s="194">
        <v>1</v>
      </c>
      <c r="H6" s="193">
        <v>25053</v>
      </c>
      <c r="I6" s="193">
        <v>25053</v>
      </c>
      <c r="J6" s="193">
        <v>25053</v>
      </c>
      <c r="K6" s="193"/>
      <c r="L6" s="195">
        <v>0.5</v>
      </c>
      <c r="M6" s="197">
        <v>0.5</v>
      </c>
      <c r="N6" s="195">
        <v>0.6</v>
      </c>
      <c r="O6" s="197">
        <v>0.6</v>
      </c>
      <c r="P6" s="195">
        <v>1</v>
      </c>
      <c r="Q6" s="197">
        <v>1</v>
      </c>
      <c r="R6" s="196">
        <v>12526.5</v>
      </c>
      <c r="S6" s="196">
        <v>15031.8</v>
      </c>
      <c r="T6" s="196">
        <v>25053</v>
      </c>
      <c r="V6" s="208"/>
    </row>
    <row r="7" spans="1:22" s="14" customFormat="1" ht="22.5" x14ac:dyDescent="0.2">
      <c r="A7" s="191">
        <v>6</v>
      </c>
      <c r="B7" s="192">
        <v>1.03</v>
      </c>
      <c r="C7" s="159" t="s">
        <v>36</v>
      </c>
      <c r="D7" s="192" t="s">
        <v>12</v>
      </c>
      <c r="E7" s="193">
        <v>6500</v>
      </c>
      <c r="F7" s="194">
        <v>1</v>
      </c>
      <c r="G7" s="194">
        <v>1</v>
      </c>
      <c r="H7" s="193">
        <v>7815</v>
      </c>
      <c r="I7" s="193">
        <v>7815</v>
      </c>
      <c r="J7" s="193">
        <v>7815</v>
      </c>
      <c r="K7" s="193"/>
      <c r="L7" s="195">
        <v>0.25</v>
      </c>
      <c r="M7" s="197">
        <v>0.25</v>
      </c>
      <c r="N7" s="195">
        <v>0.5</v>
      </c>
      <c r="O7" s="197">
        <v>0.5</v>
      </c>
      <c r="P7" s="195">
        <v>1</v>
      </c>
      <c r="Q7" s="197">
        <v>1</v>
      </c>
      <c r="R7" s="196">
        <v>1953.75</v>
      </c>
      <c r="S7" s="196">
        <v>3907.5</v>
      </c>
      <c r="T7" s="196">
        <v>7815</v>
      </c>
      <c r="V7" s="208"/>
    </row>
    <row r="8" spans="1:22" s="14" customFormat="1" ht="22.5" x14ac:dyDescent="0.2">
      <c r="A8" s="191"/>
      <c r="B8" s="192">
        <v>1.04</v>
      </c>
      <c r="C8" s="159" t="s">
        <v>38</v>
      </c>
      <c r="D8" s="192" t="s">
        <v>12</v>
      </c>
      <c r="E8" s="193" t="s">
        <v>230</v>
      </c>
      <c r="F8" s="194">
        <v>1</v>
      </c>
      <c r="G8" s="194">
        <v>1</v>
      </c>
      <c r="H8" s="193">
        <v>24321</v>
      </c>
      <c r="I8" s="193">
        <v>24321</v>
      </c>
      <c r="J8" s="193">
        <v>24321</v>
      </c>
      <c r="K8" s="193"/>
      <c r="L8" s="195"/>
      <c r="M8" s="197">
        <v>0</v>
      </c>
      <c r="N8" s="195">
        <v>0.25</v>
      </c>
      <c r="O8" s="197">
        <v>0.25</v>
      </c>
      <c r="P8" s="195">
        <v>1</v>
      </c>
      <c r="Q8" s="197">
        <v>1</v>
      </c>
      <c r="R8" s="196">
        <v>0</v>
      </c>
      <c r="S8" s="196">
        <v>6080.25</v>
      </c>
      <c r="T8" s="196">
        <v>24321</v>
      </c>
      <c r="V8" s="208"/>
    </row>
    <row r="9" spans="1:22" s="14" customFormat="1" ht="11.25" x14ac:dyDescent="0.2">
      <c r="A9" s="191"/>
      <c r="B9" s="198" t="s">
        <v>294</v>
      </c>
      <c r="C9" s="199" t="s">
        <v>295</v>
      </c>
      <c r="D9" s="198" t="s">
        <v>293</v>
      </c>
      <c r="E9" s="193" t="s">
        <v>230</v>
      </c>
      <c r="F9" s="200" t="s">
        <v>230</v>
      </c>
      <c r="G9" s="200" t="s">
        <v>230</v>
      </c>
      <c r="H9" s="201" t="s">
        <v>230</v>
      </c>
      <c r="I9" s="201">
        <v>116031</v>
      </c>
      <c r="J9" s="201" t="s">
        <v>230</v>
      </c>
      <c r="K9" s="201"/>
      <c r="L9" s="202" t="s">
        <v>230</v>
      </c>
      <c r="M9" s="197" t="s">
        <v>230</v>
      </c>
      <c r="N9" s="202" t="s">
        <v>230</v>
      </c>
      <c r="O9" s="197" t="s">
        <v>230</v>
      </c>
      <c r="P9" s="202" t="s">
        <v>230</v>
      </c>
      <c r="Q9" s="197" t="s">
        <v>230</v>
      </c>
      <c r="R9" s="196"/>
      <c r="S9" s="196"/>
      <c r="T9" s="196"/>
      <c r="V9" s="208"/>
    </row>
    <row r="10" spans="1:22" s="14" customFormat="1" ht="11.25" x14ac:dyDescent="0.2">
      <c r="A10" s="191"/>
      <c r="B10" s="192" t="s">
        <v>294</v>
      </c>
      <c r="C10" s="159" t="s">
        <v>230</v>
      </c>
      <c r="D10" s="192" t="s">
        <v>293</v>
      </c>
      <c r="E10" s="193" t="s">
        <v>230</v>
      </c>
      <c r="F10" s="194" t="s">
        <v>230</v>
      </c>
      <c r="G10" s="194" t="s">
        <v>230</v>
      </c>
      <c r="H10" s="193" t="s">
        <v>230</v>
      </c>
      <c r="I10" s="193" t="s">
        <v>230</v>
      </c>
      <c r="J10" s="193" t="s">
        <v>230</v>
      </c>
      <c r="K10" s="193"/>
      <c r="L10" s="195" t="s">
        <v>230</v>
      </c>
      <c r="M10" s="197" t="s">
        <v>230</v>
      </c>
      <c r="N10" s="195" t="s">
        <v>230</v>
      </c>
      <c r="O10" s="197" t="s">
        <v>230</v>
      </c>
      <c r="P10" s="195" t="s">
        <v>230</v>
      </c>
      <c r="Q10" s="197" t="s">
        <v>230</v>
      </c>
      <c r="R10" s="196"/>
      <c r="S10" s="196"/>
      <c r="T10" s="196"/>
      <c r="V10" s="208"/>
    </row>
    <row r="11" spans="1:22" s="14" customFormat="1" ht="11.25" x14ac:dyDescent="0.2">
      <c r="A11" s="191">
        <v>7</v>
      </c>
      <c r="B11" s="192">
        <v>2</v>
      </c>
      <c r="C11" s="159" t="s">
        <v>201</v>
      </c>
      <c r="D11" s="192" t="s">
        <v>293</v>
      </c>
      <c r="E11" s="193">
        <v>0</v>
      </c>
      <c r="F11" s="194" t="s">
        <v>230</v>
      </c>
      <c r="G11" s="194" t="s">
        <v>230</v>
      </c>
      <c r="H11" s="193" t="s">
        <v>230</v>
      </c>
      <c r="I11" s="193" t="s">
        <v>230</v>
      </c>
      <c r="J11" s="193" t="s">
        <v>230</v>
      </c>
      <c r="K11" s="193"/>
      <c r="L11" s="195" t="s">
        <v>230</v>
      </c>
      <c r="M11" s="197" t="s">
        <v>230</v>
      </c>
      <c r="N11" s="195" t="s">
        <v>230</v>
      </c>
      <c r="O11" s="197" t="s">
        <v>230</v>
      </c>
      <c r="P11" s="195" t="s">
        <v>230</v>
      </c>
      <c r="Q11" s="197" t="s">
        <v>230</v>
      </c>
      <c r="R11" s="196"/>
      <c r="S11" s="196"/>
      <c r="T11" s="196"/>
      <c r="V11" s="208"/>
    </row>
    <row r="12" spans="1:22" s="14" customFormat="1" ht="11.25" x14ac:dyDescent="0.2">
      <c r="A12" s="191">
        <v>8</v>
      </c>
      <c r="B12" s="192">
        <v>2.0099999999999998</v>
      </c>
      <c r="C12" s="159" t="s">
        <v>44</v>
      </c>
      <c r="D12" s="192" t="s">
        <v>45</v>
      </c>
      <c r="E12" s="193">
        <v>69435.555555555562</v>
      </c>
      <c r="F12" s="194">
        <v>20000</v>
      </c>
      <c r="G12" s="194">
        <v>20000</v>
      </c>
      <c r="H12" s="193">
        <v>4.17</v>
      </c>
      <c r="I12" s="193">
        <v>83400</v>
      </c>
      <c r="J12" s="193">
        <v>83400</v>
      </c>
      <c r="K12" s="193"/>
      <c r="L12" s="195">
        <v>20000</v>
      </c>
      <c r="M12" s="197">
        <v>1</v>
      </c>
      <c r="N12" s="195">
        <v>20000</v>
      </c>
      <c r="O12" s="197">
        <v>1</v>
      </c>
      <c r="P12" s="195">
        <v>20000</v>
      </c>
      <c r="Q12" s="197">
        <v>1</v>
      </c>
      <c r="R12" s="196">
        <v>83400</v>
      </c>
      <c r="S12" s="196">
        <v>83400</v>
      </c>
      <c r="T12" s="196">
        <v>83400</v>
      </c>
      <c r="V12" s="208"/>
    </row>
    <row r="13" spans="1:22" s="14" customFormat="1" ht="22.5" x14ac:dyDescent="0.2">
      <c r="A13" s="191">
        <v>9</v>
      </c>
      <c r="B13" s="192">
        <v>2.02</v>
      </c>
      <c r="C13" s="159" t="s">
        <v>59</v>
      </c>
      <c r="D13" s="192" t="s">
        <v>45</v>
      </c>
      <c r="E13" s="193">
        <v>31754.12</v>
      </c>
      <c r="F13" s="194">
        <v>20000</v>
      </c>
      <c r="G13" s="194">
        <v>20000</v>
      </c>
      <c r="H13" s="193">
        <v>1.91</v>
      </c>
      <c r="I13" s="193">
        <v>38200</v>
      </c>
      <c r="J13" s="193">
        <v>38200</v>
      </c>
      <c r="K13" s="193"/>
      <c r="L13" s="195"/>
      <c r="M13" s="197">
        <v>0</v>
      </c>
      <c r="N13" s="195">
        <v>20000</v>
      </c>
      <c r="O13" s="197">
        <v>1</v>
      </c>
      <c r="P13" s="195">
        <v>20000</v>
      </c>
      <c r="Q13" s="197">
        <v>1</v>
      </c>
      <c r="R13" s="196">
        <v>0</v>
      </c>
      <c r="S13" s="196">
        <v>38200</v>
      </c>
      <c r="T13" s="196">
        <v>38200</v>
      </c>
      <c r="V13" s="208"/>
    </row>
    <row r="14" spans="1:22" s="14" customFormat="1" ht="22.5" x14ac:dyDescent="0.2">
      <c r="A14" s="191">
        <v>10</v>
      </c>
      <c r="B14" s="192">
        <v>2.0299999999999998</v>
      </c>
      <c r="C14" s="159" t="s">
        <v>65</v>
      </c>
      <c r="D14" s="192" t="s">
        <v>66</v>
      </c>
      <c r="E14" s="193">
        <v>72223.464938070116</v>
      </c>
      <c r="F14" s="194">
        <v>7100</v>
      </c>
      <c r="G14" s="194">
        <v>7100</v>
      </c>
      <c r="H14" s="193">
        <v>12.23</v>
      </c>
      <c r="I14" s="193">
        <v>86833</v>
      </c>
      <c r="J14" s="193">
        <v>86833</v>
      </c>
      <c r="K14" s="193"/>
      <c r="L14" s="195"/>
      <c r="M14" s="197">
        <v>0</v>
      </c>
      <c r="N14" s="195">
        <v>2840</v>
      </c>
      <c r="O14" s="197">
        <v>0.4</v>
      </c>
      <c r="P14" s="195">
        <v>7100</v>
      </c>
      <c r="Q14" s="197">
        <v>1</v>
      </c>
      <c r="R14" s="196">
        <v>0</v>
      </c>
      <c r="S14" s="196">
        <v>34733.200000000004</v>
      </c>
      <c r="T14" s="196">
        <v>86833</v>
      </c>
      <c r="V14" s="208"/>
    </row>
    <row r="15" spans="1:22" s="14" customFormat="1" ht="22.5" x14ac:dyDescent="0.2">
      <c r="A15" s="191">
        <v>11</v>
      </c>
      <c r="B15" s="192">
        <v>2.04</v>
      </c>
      <c r="C15" s="159" t="s">
        <v>72</v>
      </c>
      <c r="D15" s="192" t="s">
        <v>66</v>
      </c>
      <c r="E15" s="193">
        <v>43112.111111111109</v>
      </c>
      <c r="F15" s="194">
        <v>3100</v>
      </c>
      <c r="G15" s="194">
        <v>3100</v>
      </c>
      <c r="H15" s="193">
        <v>16.72</v>
      </c>
      <c r="I15" s="193">
        <v>51832</v>
      </c>
      <c r="J15" s="193">
        <v>51832</v>
      </c>
      <c r="K15" s="193"/>
      <c r="L15" s="195"/>
      <c r="M15" s="197">
        <v>0</v>
      </c>
      <c r="N15" s="195">
        <v>1240</v>
      </c>
      <c r="O15" s="197">
        <v>0.4</v>
      </c>
      <c r="P15" s="195">
        <v>3100</v>
      </c>
      <c r="Q15" s="197">
        <v>1</v>
      </c>
      <c r="R15" s="196">
        <v>0</v>
      </c>
      <c r="S15" s="196">
        <v>20732.8</v>
      </c>
      <c r="T15" s="196">
        <v>51832</v>
      </c>
      <c r="V15" s="208"/>
    </row>
    <row r="16" spans="1:22" s="14" customFormat="1" ht="22.5" x14ac:dyDescent="0.2">
      <c r="A16" s="191">
        <v>12</v>
      </c>
      <c r="B16" s="192">
        <v>2.0499999999999998</v>
      </c>
      <c r="C16" s="159" t="s">
        <v>80</v>
      </c>
      <c r="D16" s="192" t="s">
        <v>66</v>
      </c>
      <c r="E16" s="193">
        <v>49669.888888888891</v>
      </c>
      <c r="F16" s="194">
        <v>3200</v>
      </c>
      <c r="G16" s="194">
        <v>3200</v>
      </c>
      <c r="H16" s="193">
        <v>18.66</v>
      </c>
      <c r="I16" s="193">
        <v>59712</v>
      </c>
      <c r="J16" s="193">
        <v>59712</v>
      </c>
      <c r="K16" s="193"/>
      <c r="L16" s="195"/>
      <c r="M16" s="197">
        <v>0</v>
      </c>
      <c r="N16" s="195">
        <v>1280</v>
      </c>
      <c r="O16" s="197">
        <v>0.4</v>
      </c>
      <c r="P16" s="195">
        <v>3200</v>
      </c>
      <c r="Q16" s="197">
        <v>1</v>
      </c>
      <c r="R16" s="196">
        <v>0</v>
      </c>
      <c r="S16" s="196">
        <v>23884.799999999999</v>
      </c>
      <c r="T16" s="196">
        <v>59712</v>
      </c>
      <c r="V16" s="208"/>
    </row>
    <row r="17" spans="1:22" s="14" customFormat="1" ht="22.5" x14ac:dyDescent="0.2">
      <c r="A17" s="191">
        <v>13</v>
      </c>
      <c r="B17" s="192">
        <v>2.06</v>
      </c>
      <c r="C17" s="159" t="s">
        <v>84</v>
      </c>
      <c r="D17" s="192" t="s">
        <v>66</v>
      </c>
      <c r="E17" s="193">
        <v>189376.12083333332</v>
      </c>
      <c r="F17" s="194">
        <v>4300</v>
      </c>
      <c r="G17" s="194">
        <v>4300</v>
      </c>
      <c r="H17" s="193">
        <v>52.94</v>
      </c>
      <c r="I17" s="193">
        <v>227642</v>
      </c>
      <c r="J17" s="193">
        <v>227642</v>
      </c>
      <c r="K17" s="193"/>
      <c r="L17" s="195"/>
      <c r="M17" s="197">
        <v>0</v>
      </c>
      <c r="N17" s="195"/>
      <c r="O17" s="197">
        <v>0</v>
      </c>
      <c r="P17" s="195">
        <v>4300</v>
      </c>
      <c r="Q17" s="197">
        <v>1</v>
      </c>
      <c r="R17" s="196">
        <v>0</v>
      </c>
      <c r="S17" s="196">
        <v>0</v>
      </c>
      <c r="T17" s="196">
        <v>227642</v>
      </c>
      <c r="V17" s="208"/>
    </row>
    <row r="18" spans="1:22" s="14" customFormat="1" ht="22.5" x14ac:dyDescent="0.2">
      <c r="A18" s="191">
        <v>14</v>
      </c>
      <c r="B18" s="192">
        <v>2.0699999999999998</v>
      </c>
      <c r="C18" s="159" t="s">
        <v>87</v>
      </c>
      <c r="D18" s="192" t="s">
        <v>66</v>
      </c>
      <c r="E18" s="193">
        <v>7821.1437499999993</v>
      </c>
      <c r="F18" s="194">
        <v>150</v>
      </c>
      <c r="G18" s="194">
        <v>150</v>
      </c>
      <c r="H18" s="193">
        <v>62.68</v>
      </c>
      <c r="I18" s="193">
        <v>9402</v>
      </c>
      <c r="J18" s="193">
        <v>9402</v>
      </c>
      <c r="K18" s="193"/>
      <c r="L18" s="195"/>
      <c r="M18" s="197">
        <v>0</v>
      </c>
      <c r="N18" s="195"/>
      <c r="O18" s="197">
        <v>0</v>
      </c>
      <c r="P18" s="195">
        <v>150</v>
      </c>
      <c r="Q18" s="197">
        <v>1</v>
      </c>
      <c r="R18" s="196">
        <v>0</v>
      </c>
      <c r="S18" s="196">
        <v>0</v>
      </c>
      <c r="T18" s="196">
        <v>9402</v>
      </c>
      <c r="V18" s="208"/>
    </row>
    <row r="19" spans="1:22" s="14" customFormat="1" ht="11.25" x14ac:dyDescent="0.2">
      <c r="A19" s="191"/>
      <c r="B19" s="198" t="s">
        <v>294</v>
      </c>
      <c r="C19" s="199" t="s">
        <v>296</v>
      </c>
      <c r="D19" s="198" t="s">
        <v>293</v>
      </c>
      <c r="E19" s="193" t="s">
        <v>230</v>
      </c>
      <c r="F19" s="200" t="s">
        <v>230</v>
      </c>
      <c r="G19" s="200" t="s">
        <v>230</v>
      </c>
      <c r="H19" s="201" t="s">
        <v>230</v>
      </c>
      <c r="I19" s="201">
        <v>557021</v>
      </c>
      <c r="J19" s="201" t="s">
        <v>230</v>
      </c>
      <c r="K19" s="201"/>
      <c r="L19" s="202" t="s">
        <v>230</v>
      </c>
      <c r="M19" s="197" t="s">
        <v>230</v>
      </c>
      <c r="N19" s="202" t="s">
        <v>230</v>
      </c>
      <c r="O19" s="197" t="s">
        <v>230</v>
      </c>
      <c r="P19" s="202" t="s">
        <v>230</v>
      </c>
      <c r="Q19" s="197" t="s">
        <v>230</v>
      </c>
      <c r="R19" s="196"/>
      <c r="S19" s="196"/>
      <c r="T19" s="196"/>
      <c r="V19" s="208"/>
    </row>
    <row r="20" spans="1:22" s="14" customFormat="1" ht="11.25" x14ac:dyDescent="0.2">
      <c r="A20" s="191"/>
      <c r="B20" s="192" t="s">
        <v>294</v>
      </c>
      <c r="C20" s="159" t="s">
        <v>230</v>
      </c>
      <c r="D20" s="192" t="s">
        <v>293</v>
      </c>
      <c r="E20" s="193" t="s">
        <v>230</v>
      </c>
      <c r="F20" s="194" t="s">
        <v>230</v>
      </c>
      <c r="G20" s="194" t="s">
        <v>230</v>
      </c>
      <c r="H20" s="193" t="s">
        <v>230</v>
      </c>
      <c r="I20" s="193" t="s">
        <v>230</v>
      </c>
      <c r="J20" s="193" t="s">
        <v>230</v>
      </c>
      <c r="K20" s="193"/>
      <c r="L20" s="195" t="s">
        <v>230</v>
      </c>
      <c r="M20" s="197" t="s">
        <v>230</v>
      </c>
      <c r="N20" s="195" t="s">
        <v>230</v>
      </c>
      <c r="O20" s="197" t="s">
        <v>230</v>
      </c>
      <c r="P20" s="195" t="s">
        <v>230</v>
      </c>
      <c r="Q20" s="197" t="s">
        <v>230</v>
      </c>
      <c r="R20" s="196"/>
      <c r="S20" s="196"/>
      <c r="T20" s="196"/>
      <c r="V20" s="208"/>
    </row>
    <row r="21" spans="1:22" s="14" customFormat="1" ht="11.25" x14ac:dyDescent="0.2">
      <c r="A21" s="191">
        <v>15</v>
      </c>
      <c r="B21" s="192">
        <v>3</v>
      </c>
      <c r="C21" s="159" t="s">
        <v>203</v>
      </c>
      <c r="D21" s="192" t="s">
        <v>293</v>
      </c>
      <c r="E21" s="193">
        <v>0</v>
      </c>
      <c r="F21" s="194" t="s">
        <v>230</v>
      </c>
      <c r="G21" s="194" t="s">
        <v>230</v>
      </c>
      <c r="H21" s="193" t="s">
        <v>230</v>
      </c>
      <c r="I21" s="193" t="s">
        <v>230</v>
      </c>
      <c r="J21" s="193" t="s">
        <v>230</v>
      </c>
      <c r="K21" s="193"/>
      <c r="L21" s="195" t="s">
        <v>230</v>
      </c>
      <c r="M21" s="197" t="s">
        <v>230</v>
      </c>
      <c r="N21" s="195" t="s">
        <v>230</v>
      </c>
      <c r="O21" s="197" t="s">
        <v>230</v>
      </c>
      <c r="P21" s="195" t="s">
        <v>230</v>
      </c>
      <c r="Q21" s="197" t="s">
        <v>230</v>
      </c>
      <c r="R21" s="196"/>
      <c r="S21" s="196"/>
      <c r="T21" s="196"/>
      <c r="V21" s="208"/>
    </row>
    <row r="22" spans="1:22" s="14" customFormat="1" ht="22.5" x14ac:dyDescent="0.2">
      <c r="A22" s="191">
        <v>16</v>
      </c>
      <c r="B22" s="192">
        <v>3.01</v>
      </c>
      <c r="C22" s="159" t="s">
        <v>90</v>
      </c>
      <c r="D22" s="192" t="s">
        <v>31</v>
      </c>
      <c r="E22" s="193">
        <v>20541</v>
      </c>
      <c r="F22" s="194">
        <v>420</v>
      </c>
      <c r="G22" s="194">
        <v>420</v>
      </c>
      <c r="H22" s="193">
        <v>58.8</v>
      </c>
      <c r="I22" s="193">
        <v>24696</v>
      </c>
      <c r="J22" s="193">
        <v>24696</v>
      </c>
      <c r="K22" s="193"/>
      <c r="L22" s="195"/>
      <c r="M22" s="197">
        <v>0</v>
      </c>
      <c r="N22" s="195"/>
      <c r="O22" s="197">
        <v>0</v>
      </c>
      <c r="P22" s="195">
        <v>420</v>
      </c>
      <c r="Q22" s="197">
        <v>1</v>
      </c>
      <c r="R22" s="196">
        <v>0</v>
      </c>
      <c r="S22" s="196">
        <v>0</v>
      </c>
      <c r="T22" s="196">
        <v>24696</v>
      </c>
      <c r="V22" s="208"/>
    </row>
    <row r="23" spans="1:22" s="14" customFormat="1" ht="22.5" x14ac:dyDescent="0.2">
      <c r="A23" s="191">
        <v>17</v>
      </c>
      <c r="B23" s="192">
        <v>3.02</v>
      </c>
      <c r="C23" s="159" t="s">
        <v>92</v>
      </c>
      <c r="D23" s="192" t="s">
        <v>31</v>
      </c>
      <c r="E23" s="193">
        <v>13559.666666666666</v>
      </c>
      <c r="F23" s="194">
        <v>260</v>
      </c>
      <c r="G23" s="194">
        <v>260</v>
      </c>
      <c r="H23" s="193">
        <v>62.7</v>
      </c>
      <c r="I23" s="193">
        <v>16302</v>
      </c>
      <c r="J23" s="193">
        <v>16302</v>
      </c>
      <c r="K23" s="193"/>
      <c r="L23" s="195"/>
      <c r="M23" s="197">
        <v>0</v>
      </c>
      <c r="N23" s="195"/>
      <c r="O23" s="197">
        <v>0</v>
      </c>
      <c r="P23" s="195">
        <v>260</v>
      </c>
      <c r="Q23" s="197">
        <v>1</v>
      </c>
      <c r="R23" s="196">
        <v>0</v>
      </c>
      <c r="S23" s="196">
        <v>0</v>
      </c>
      <c r="T23" s="196">
        <v>16302</v>
      </c>
      <c r="V23" s="208"/>
    </row>
    <row r="24" spans="1:22" s="14" customFormat="1" ht="11.25" x14ac:dyDescent="0.2">
      <c r="A24" s="191"/>
      <c r="B24" s="192" t="s">
        <v>294</v>
      </c>
      <c r="C24" s="159" t="s">
        <v>230</v>
      </c>
      <c r="D24" s="192" t="s">
        <v>293</v>
      </c>
      <c r="E24" s="193" t="s">
        <v>230</v>
      </c>
      <c r="F24" s="194" t="s">
        <v>230</v>
      </c>
      <c r="G24" s="194" t="s">
        <v>230</v>
      </c>
      <c r="H24" s="193" t="s">
        <v>230</v>
      </c>
      <c r="I24" s="193" t="s">
        <v>230</v>
      </c>
      <c r="J24" s="193" t="s">
        <v>230</v>
      </c>
      <c r="K24" s="193"/>
      <c r="L24" s="195" t="s">
        <v>230</v>
      </c>
      <c r="M24" s="197" t="s">
        <v>230</v>
      </c>
      <c r="N24" s="195" t="s">
        <v>230</v>
      </c>
      <c r="O24" s="197" t="s">
        <v>230</v>
      </c>
      <c r="P24" s="195" t="s">
        <v>230</v>
      </c>
      <c r="Q24" s="197" t="s">
        <v>230</v>
      </c>
      <c r="R24" s="196"/>
      <c r="S24" s="196"/>
      <c r="T24" s="196"/>
      <c r="V24" s="208"/>
    </row>
    <row r="25" spans="1:22" s="14" customFormat="1" ht="22.5" x14ac:dyDescent="0.2">
      <c r="A25" s="191"/>
      <c r="B25" s="198" t="s">
        <v>294</v>
      </c>
      <c r="C25" s="199" t="s">
        <v>297</v>
      </c>
      <c r="D25" s="198" t="s">
        <v>293</v>
      </c>
      <c r="E25" s="193" t="s">
        <v>230</v>
      </c>
      <c r="F25" s="200" t="s">
        <v>230</v>
      </c>
      <c r="G25" s="200" t="s">
        <v>230</v>
      </c>
      <c r="H25" s="201" t="s">
        <v>230</v>
      </c>
      <c r="I25" s="201">
        <v>40998</v>
      </c>
      <c r="J25" s="201" t="s">
        <v>230</v>
      </c>
      <c r="K25" s="201"/>
      <c r="L25" s="202" t="s">
        <v>230</v>
      </c>
      <c r="M25" s="197" t="s">
        <v>230</v>
      </c>
      <c r="N25" s="202" t="s">
        <v>230</v>
      </c>
      <c r="O25" s="197" t="s">
        <v>230</v>
      </c>
      <c r="P25" s="202" t="s">
        <v>230</v>
      </c>
      <c r="Q25" s="197" t="s">
        <v>230</v>
      </c>
      <c r="R25" s="196"/>
      <c r="S25" s="196"/>
      <c r="T25" s="196"/>
      <c r="V25" s="208"/>
    </row>
    <row r="26" spans="1:22" s="14" customFormat="1" ht="11.25" x14ac:dyDescent="0.2">
      <c r="A26" s="191"/>
      <c r="B26" s="192" t="s">
        <v>294</v>
      </c>
      <c r="C26" s="159" t="s">
        <v>230</v>
      </c>
      <c r="D26" s="192" t="s">
        <v>293</v>
      </c>
      <c r="E26" s="193" t="s">
        <v>230</v>
      </c>
      <c r="F26" s="194" t="s">
        <v>230</v>
      </c>
      <c r="G26" s="194" t="s">
        <v>230</v>
      </c>
      <c r="H26" s="193" t="s">
        <v>230</v>
      </c>
      <c r="I26" s="193" t="s">
        <v>230</v>
      </c>
      <c r="J26" s="193" t="s">
        <v>230</v>
      </c>
      <c r="K26" s="193"/>
      <c r="L26" s="195" t="s">
        <v>230</v>
      </c>
      <c r="M26" s="197" t="s">
        <v>230</v>
      </c>
      <c r="N26" s="195" t="s">
        <v>230</v>
      </c>
      <c r="O26" s="197" t="s">
        <v>230</v>
      </c>
      <c r="P26" s="195" t="s">
        <v>230</v>
      </c>
      <c r="Q26" s="197" t="s">
        <v>230</v>
      </c>
      <c r="R26" s="196"/>
      <c r="S26" s="196"/>
      <c r="T26" s="196"/>
      <c r="V26" s="208"/>
    </row>
    <row r="27" spans="1:22" s="14" customFormat="1" ht="11.25" x14ac:dyDescent="0.2">
      <c r="A27" s="191">
        <v>18</v>
      </c>
      <c r="B27" s="192">
        <v>4</v>
      </c>
      <c r="C27" s="159" t="s">
        <v>205</v>
      </c>
      <c r="D27" s="192" t="s">
        <v>293</v>
      </c>
      <c r="E27" s="193">
        <v>0</v>
      </c>
      <c r="F27" s="194" t="s">
        <v>230</v>
      </c>
      <c r="G27" s="194" t="s">
        <v>230</v>
      </c>
      <c r="H27" s="193" t="s">
        <v>230</v>
      </c>
      <c r="I27" s="193" t="s">
        <v>230</v>
      </c>
      <c r="J27" s="193" t="s">
        <v>230</v>
      </c>
      <c r="K27" s="193"/>
      <c r="L27" s="195" t="s">
        <v>230</v>
      </c>
      <c r="M27" s="197" t="s">
        <v>230</v>
      </c>
      <c r="N27" s="195" t="s">
        <v>230</v>
      </c>
      <c r="O27" s="197" t="s">
        <v>230</v>
      </c>
      <c r="P27" s="195" t="s">
        <v>230</v>
      </c>
      <c r="Q27" s="197" t="s">
        <v>230</v>
      </c>
      <c r="R27" s="196"/>
      <c r="S27" s="196"/>
      <c r="T27" s="196"/>
      <c r="V27" s="208"/>
    </row>
    <row r="28" spans="1:22" s="14" customFormat="1" ht="11.25" x14ac:dyDescent="0.2">
      <c r="A28" s="191">
        <v>19</v>
      </c>
      <c r="B28" s="192">
        <v>4.01</v>
      </c>
      <c r="C28" s="159" t="s">
        <v>94</v>
      </c>
      <c r="D28" s="192" t="s">
        <v>45</v>
      </c>
      <c r="E28" s="193">
        <v>6690</v>
      </c>
      <c r="F28" s="194">
        <v>2000</v>
      </c>
      <c r="G28" s="194">
        <v>2000</v>
      </c>
      <c r="H28" s="193">
        <v>4.0199999999999996</v>
      </c>
      <c r="I28" s="193">
        <v>8040</v>
      </c>
      <c r="J28" s="193">
        <v>8040</v>
      </c>
      <c r="K28" s="193"/>
      <c r="L28" s="195">
        <v>2000</v>
      </c>
      <c r="M28" s="197">
        <v>1</v>
      </c>
      <c r="N28" s="195">
        <v>2000</v>
      </c>
      <c r="O28" s="197">
        <v>1</v>
      </c>
      <c r="P28" s="195">
        <v>2000</v>
      </c>
      <c r="Q28" s="197">
        <v>1</v>
      </c>
      <c r="R28" s="196">
        <v>8039.9999999999991</v>
      </c>
      <c r="S28" s="196">
        <v>8039.9999999999991</v>
      </c>
      <c r="T28" s="196">
        <v>8039.9999999999991</v>
      </c>
      <c r="V28" s="208"/>
    </row>
    <row r="29" spans="1:22" s="14" customFormat="1" ht="22.5" x14ac:dyDescent="0.2">
      <c r="A29" s="191">
        <v>20</v>
      </c>
      <c r="B29" s="192">
        <v>4.0199999999999996</v>
      </c>
      <c r="C29" s="159" t="s">
        <v>96</v>
      </c>
      <c r="D29" s="192" t="s">
        <v>66</v>
      </c>
      <c r="E29" s="193">
        <v>27266.555555555555</v>
      </c>
      <c r="F29" s="194">
        <v>2000</v>
      </c>
      <c r="G29" s="194">
        <v>2000</v>
      </c>
      <c r="H29" s="193">
        <v>16.39</v>
      </c>
      <c r="I29" s="193">
        <v>32780</v>
      </c>
      <c r="J29" s="193">
        <v>32780</v>
      </c>
      <c r="K29" s="193"/>
      <c r="L29" s="195">
        <v>1400</v>
      </c>
      <c r="M29" s="197">
        <v>0.7</v>
      </c>
      <c r="N29" s="195">
        <v>2000</v>
      </c>
      <c r="O29" s="197">
        <v>1</v>
      </c>
      <c r="P29" s="195">
        <v>2000</v>
      </c>
      <c r="Q29" s="197">
        <v>1</v>
      </c>
      <c r="R29" s="196">
        <v>22946</v>
      </c>
      <c r="S29" s="196">
        <v>32780</v>
      </c>
      <c r="T29" s="196">
        <v>32780</v>
      </c>
      <c r="V29" s="208"/>
    </row>
    <row r="30" spans="1:22" s="14" customFormat="1" ht="22.5" x14ac:dyDescent="0.2">
      <c r="A30" s="191">
        <v>21</v>
      </c>
      <c r="B30" s="192">
        <v>4.03</v>
      </c>
      <c r="C30" s="159" t="s">
        <v>98</v>
      </c>
      <c r="D30" s="192" t="s">
        <v>31</v>
      </c>
      <c r="E30" s="193">
        <v>2970</v>
      </c>
      <c r="F30" s="194">
        <v>300</v>
      </c>
      <c r="G30" s="194">
        <v>300</v>
      </c>
      <c r="H30" s="193">
        <v>79.349999999999994</v>
      </c>
      <c r="I30" s="193">
        <v>23805</v>
      </c>
      <c r="J30" s="193">
        <v>23805</v>
      </c>
      <c r="K30" s="193"/>
      <c r="L30" s="195"/>
      <c r="M30" s="197">
        <v>0</v>
      </c>
      <c r="N30" s="195"/>
      <c r="O30" s="197">
        <v>0</v>
      </c>
      <c r="P30" s="195">
        <v>300</v>
      </c>
      <c r="Q30" s="197">
        <v>1</v>
      </c>
      <c r="R30" s="196">
        <v>0</v>
      </c>
      <c r="S30" s="196">
        <v>0</v>
      </c>
      <c r="T30" s="196">
        <v>23805</v>
      </c>
      <c r="V30" s="208"/>
    </row>
    <row r="31" spans="1:22" s="14" customFormat="1" ht="22.5" x14ac:dyDescent="0.2">
      <c r="A31" s="191"/>
      <c r="B31" s="198" t="s">
        <v>294</v>
      </c>
      <c r="C31" s="199" t="s">
        <v>298</v>
      </c>
      <c r="D31" s="198" t="s">
        <v>293</v>
      </c>
      <c r="E31" s="193" t="s">
        <v>230</v>
      </c>
      <c r="F31" s="200" t="s">
        <v>230</v>
      </c>
      <c r="G31" s="200" t="s">
        <v>230</v>
      </c>
      <c r="H31" s="201" t="s">
        <v>230</v>
      </c>
      <c r="I31" s="201">
        <v>64625</v>
      </c>
      <c r="J31" s="201" t="s">
        <v>230</v>
      </c>
      <c r="K31" s="201"/>
      <c r="L31" s="202" t="s">
        <v>230</v>
      </c>
      <c r="M31" s="197" t="s">
        <v>230</v>
      </c>
      <c r="N31" s="202" t="s">
        <v>230</v>
      </c>
      <c r="O31" s="197" t="s">
        <v>230</v>
      </c>
      <c r="P31" s="202" t="s">
        <v>230</v>
      </c>
      <c r="Q31" s="197" t="s">
        <v>230</v>
      </c>
      <c r="R31" s="196"/>
      <c r="S31" s="196"/>
      <c r="T31" s="196"/>
      <c r="V31" s="208"/>
    </row>
    <row r="32" spans="1:22" s="14" customFormat="1" ht="11.25" x14ac:dyDescent="0.2">
      <c r="A32" s="191"/>
      <c r="B32" s="192" t="s">
        <v>294</v>
      </c>
      <c r="C32" s="159" t="s">
        <v>230</v>
      </c>
      <c r="D32" s="192" t="s">
        <v>293</v>
      </c>
      <c r="E32" s="193" t="s">
        <v>230</v>
      </c>
      <c r="F32" s="194" t="s">
        <v>230</v>
      </c>
      <c r="G32" s="194" t="s">
        <v>230</v>
      </c>
      <c r="H32" s="193" t="s">
        <v>230</v>
      </c>
      <c r="I32" s="193" t="s">
        <v>230</v>
      </c>
      <c r="J32" s="193" t="s">
        <v>230</v>
      </c>
      <c r="K32" s="193"/>
      <c r="L32" s="195" t="s">
        <v>230</v>
      </c>
      <c r="M32" s="197" t="s">
        <v>230</v>
      </c>
      <c r="N32" s="195" t="s">
        <v>230</v>
      </c>
      <c r="O32" s="197" t="s">
        <v>230</v>
      </c>
      <c r="P32" s="195" t="s">
        <v>230</v>
      </c>
      <c r="Q32" s="197" t="s">
        <v>230</v>
      </c>
      <c r="R32" s="196"/>
      <c r="S32" s="196"/>
      <c r="T32" s="196"/>
      <c r="V32" s="208"/>
    </row>
    <row r="33" spans="1:22" s="14" customFormat="1" ht="11.25" x14ac:dyDescent="0.2">
      <c r="A33" s="191">
        <v>22</v>
      </c>
      <c r="B33" s="192">
        <v>5</v>
      </c>
      <c r="C33" s="159" t="s">
        <v>208</v>
      </c>
      <c r="D33" s="192" t="s">
        <v>293</v>
      </c>
      <c r="E33" s="193">
        <v>0</v>
      </c>
      <c r="F33" s="194" t="s">
        <v>230</v>
      </c>
      <c r="G33" s="194" t="s">
        <v>230</v>
      </c>
      <c r="H33" s="193" t="s">
        <v>230</v>
      </c>
      <c r="I33" s="193" t="s">
        <v>230</v>
      </c>
      <c r="J33" s="193" t="s">
        <v>230</v>
      </c>
      <c r="K33" s="193"/>
      <c r="L33" s="195" t="s">
        <v>230</v>
      </c>
      <c r="M33" s="197" t="s">
        <v>230</v>
      </c>
      <c r="N33" s="195" t="s">
        <v>230</v>
      </c>
      <c r="O33" s="197" t="s">
        <v>230</v>
      </c>
      <c r="P33" s="195" t="s">
        <v>230</v>
      </c>
      <c r="Q33" s="197" t="s">
        <v>230</v>
      </c>
      <c r="R33" s="196"/>
      <c r="S33" s="196"/>
      <c r="T33" s="196"/>
      <c r="V33" s="208"/>
    </row>
    <row r="34" spans="1:22" s="14" customFormat="1" ht="22.5" x14ac:dyDescent="0.2">
      <c r="A34" s="191">
        <v>23</v>
      </c>
      <c r="B34" s="192">
        <v>5.01</v>
      </c>
      <c r="C34" s="159" t="s">
        <v>101</v>
      </c>
      <c r="D34" s="192" t="s">
        <v>45</v>
      </c>
      <c r="E34" s="193">
        <v>9366</v>
      </c>
      <c r="F34" s="194">
        <v>2800</v>
      </c>
      <c r="G34" s="194">
        <v>2800</v>
      </c>
      <c r="H34" s="193">
        <v>4.0199999999999996</v>
      </c>
      <c r="I34" s="193">
        <v>11256</v>
      </c>
      <c r="J34" s="193">
        <v>11256</v>
      </c>
      <c r="K34" s="193"/>
      <c r="L34" s="195">
        <v>1400</v>
      </c>
      <c r="M34" s="197">
        <v>0.5</v>
      </c>
      <c r="N34" s="195">
        <v>2800</v>
      </c>
      <c r="O34" s="197">
        <v>1</v>
      </c>
      <c r="P34" s="195">
        <v>2800</v>
      </c>
      <c r="Q34" s="197">
        <v>1</v>
      </c>
      <c r="R34" s="196">
        <v>5627.9999999999991</v>
      </c>
      <c r="S34" s="196">
        <v>11255.999999999998</v>
      </c>
      <c r="T34" s="196">
        <v>11255.999999999998</v>
      </c>
      <c r="V34" s="208"/>
    </row>
    <row r="35" spans="1:22" s="14" customFormat="1" ht="11.25" x14ac:dyDescent="0.2">
      <c r="A35" s="191">
        <v>24</v>
      </c>
      <c r="B35" s="192">
        <v>5.0199999999999996</v>
      </c>
      <c r="C35" s="159" t="s">
        <v>103</v>
      </c>
      <c r="D35" s="192" t="s">
        <v>66</v>
      </c>
      <c r="E35" s="193">
        <v>18081.666666666668</v>
      </c>
      <c r="F35" s="194">
        <v>1500</v>
      </c>
      <c r="G35" s="194">
        <v>1500</v>
      </c>
      <c r="H35" s="193">
        <v>14.49</v>
      </c>
      <c r="I35" s="193">
        <v>21735</v>
      </c>
      <c r="J35" s="193">
        <v>21735</v>
      </c>
      <c r="K35" s="193"/>
      <c r="L35" s="195"/>
      <c r="M35" s="197">
        <v>0</v>
      </c>
      <c r="N35" s="195">
        <v>1500</v>
      </c>
      <c r="O35" s="197">
        <v>1</v>
      </c>
      <c r="P35" s="195">
        <v>1500</v>
      </c>
      <c r="Q35" s="197">
        <v>1</v>
      </c>
      <c r="R35" s="196">
        <v>0</v>
      </c>
      <c r="S35" s="196">
        <v>21735</v>
      </c>
      <c r="T35" s="196">
        <v>21735</v>
      </c>
      <c r="V35" s="208"/>
    </row>
    <row r="36" spans="1:22" s="14" customFormat="1" ht="11.25" x14ac:dyDescent="0.2">
      <c r="A36" s="191">
        <v>25</v>
      </c>
      <c r="B36" s="192">
        <v>5.03</v>
      </c>
      <c r="C36" s="159" t="s">
        <v>105</v>
      </c>
      <c r="D36" s="192" t="s">
        <v>12</v>
      </c>
      <c r="E36" s="193">
        <v>1670.5</v>
      </c>
      <c r="F36" s="194">
        <v>1</v>
      </c>
      <c r="G36" s="194">
        <v>1</v>
      </c>
      <c r="H36" s="193">
        <v>2008</v>
      </c>
      <c r="I36" s="193">
        <v>2008</v>
      </c>
      <c r="J36" s="193">
        <v>2008</v>
      </c>
      <c r="K36" s="193"/>
      <c r="L36" s="195"/>
      <c r="M36" s="197">
        <v>0</v>
      </c>
      <c r="N36" s="195"/>
      <c r="O36" s="197">
        <v>0</v>
      </c>
      <c r="P36" s="195">
        <v>1</v>
      </c>
      <c r="Q36" s="197">
        <v>1</v>
      </c>
      <c r="R36" s="196">
        <v>0</v>
      </c>
      <c r="S36" s="196">
        <v>0</v>
      </c>
      <c r="T36" s="196">
        <v>2008</v>
      </c>
      <c r="V36" s="208"/>
    </row>
    <row r="37" spans="1:22" s="14" customFormat="1" ht="22.5" x14ac:dyDescent="0.2">
      <c r="A37" s="191"/>
      <c r="B37" s="198" t="s">
        <v>294</v>
      </c>
      <c r="C37" s="199" t="s">
        <v>299</v>
      </c>
      <c r="D37" s="198" t="s">
        <v>293</v>
      </c>
      <c r="E37" s="193" t="s">
        <v>230</v>
      </c>
      <c r="F37" s="200" t="s">
        <v>230</v>
      </c>
      <c r="G37" s="200" t="s">
        <v>230</v>
      </c>
      <c r="H37" s="201" t="s">
        <v>230</v>
      </c>
      <c r="I37" s="201">
        <v>34999</v>
      </c>
      <c r="J37" s="201" t="s">
        <v>230</v>
      </c>
      <c r="K37" s="201"/>
      <c r="L37" s="202" t="s">
        <v>230</v>
      </c>
      <c r="M37" s="197" t="s">
        <v>230</v>
      </c>
      <c r="N37" s="202" t="s">
        <v>230</v>
      </c>
      <c r="O37" s="197" t="s">
        <v>230</v>
      </c>
      <c r="P37" s="202" t="s">
        <v>230</v>
      </c>
      <c r="Q37" s="197" t="s">
        <v>230</v>
      </c>
      <c r="R37" s="196"/>
      <c r="S37" s="196"/>
      <c r="T37" s="196"/>
      <c r="V37" s="208"/>
    </row>
    <row r="38" spans="1:22" s="14" customFormat="1" ht="11.25" x14ac:dyDescent="0.2">
      <c r="A38" s="191"/>
      <c r="B38" s="192" t="s">
        <v>294</v>
      </c>
      <c r="C38" s="159" t="s">
        <v>230</v>
      </c>
      <c r="D38" s="192" t="s">
        <v>293</v>
      </c>
      <c r="E38" s="193" t="s">
        <v>230</v>
      </c>
      <c r="F38" s="194" t="s">
        <v>230</v>
      </c>
      <c r="G38" s="194" t="s">
        <v>230</v>
      </c>
      <c r="H38" s="193" t="s">
        <v>230</v>
      </c>
      <c r="I38" s="193" t="s">
        <v>230</v>
      </c>
      <c r="J38" s="193" t="s">
        <v>230</v>
      </c>
      <c r="K38" s="193"/>
      <c r="L38" s="195" t="s">
        <v>230</v>
      </c>
      <c r="M38" s="197" t="s">
        <v>230</v>
      </c>
      <c r="N38" s="195" t="s">
        <v>230</v>
      </c>
      <c r="O38" s="197" t="s">
        <v>230</v>
      </c>
      <c r="P38" s="195" t="s">
        <v>230</v>
      </c>
      <c r="Q38" s="197" t="s">
        <v>230</v>
      </c>
      <c r="R38" s="196"/>
      <c r="S38" s="196"/>
      <c r="T38" s="196"/>
      <c r="V38" s="208"/>
    </row>
    <row r="39" spans="1:22" s="14" customFormat="1" ht="11.25" x14ac:dyDescent="0.2">
      <c r="A39" s="191"/>
      <c r="B39" s="192">
        <v>6</v>
      </c>
      <c r="C39" s="159" t="s">
        <v>209</v>
      </c>
      <c r="D39" s="192" t="s">
        <v>293</v>
      </c>
      <c r="E39" s="193" t="s">
        <v>230</v>
      </c>
      <c r="F39" s="194" t="s">
        <v>230</v>
      </c>
      <c r="G39" s="194" t="s">
        <v>230</v>
      </c>
      <c r="H39" s="193" t="s">
        <v>230</v>
      </c>
      <c r="I39" s="193" t="s">
        <v>230</v>
      </c>
      <c r="J39" s="193" t="s">
        <v>230</v>
      </c>
      <c r="K39" s="193"/>
      <c r="L39" s="195" t="s">
        <v>230</v>
      </c>
      <c r="M39" s="197" t="s">
        <v>230</v>
      </c>
      <c r="N39" s="195" t="s">
        <v>230</v>
      </c>
      <c r="O39" s="197" t="s">
        <v>230</v>
      </c>
      <c r="P39" s="195" t="s">
        <v>230</v>
      </c>
      <c r="Q39" s="197" t="s">
        <v>230</v>
      </c>
      <c r="R39" s="196"/>
      <c r="S39" s="196"/>
      <c r="T39" s="196"/>
      <c r="V39" s="208"/>
    </row>
    <row r="40" spans="1:22" s="14" customFormat="1" ht="11.25" x14ac:dyDescent="0.2">
      <c r="A40" s="191">
        <v>26</v>
      </c>
      <c r="B40" s="192">
        <v>6.01</v>
      </c>
      <c r="C40" s="159" t="s">
        <v>109</v>
      </c>
      <c r="D40" s="192" t="s">
        <v>31</v>
      </c>
      <c r="E40" s="193">
        <v>1449</v>
      </c>
      <c r="F40" s="194">
        <v>230</v>
      </c>
      <c r="G40" s="194">
        <v>230</v>
      </c>
      <c r="H40" s="193">
        <v>7.57</v>
      </c>
      <c r="I40" s="193">
        <v>1741.1</v>
      </c>
      <c r="J40" s="193">
        <v>1741.1</v>
      </c>
      <c r="K40" s="193"/>
      <c r="L40" s="195"/>
      <c r="M40" s="197">
        <v>0</v>
      </c>
      <c r="N40" s="195"/>
      <c r="O40" s="197">
        <v>0</v>
      </c>
      <c r="P40" s="195">
        <v>230</v>
      </c>
      <c r="Q40" s="197">
        <v>1</v>
      </c>
      <c r="R40" s="196">
        <v>0</v>
      </c>
      <c r="S40" s="196">
        <v>0</v>
      </c>
      <c r="T40" s="196">
        <v>1741.1000000000001</v>
      </c>
      <c r="V40" s="208"/>
    </row>
    <row r="41" spans="1:22" s="14" customFormat="1" ht="22.5" x14ac:dyDescent="0.2">
      <c r="A41" s="191"/>
      <c r="B41" s="198" t="s">
        <v>294</v>
      </c>
      <c r="C41" s="199" t="s">
        <v>300</v>
      </c>
      <c r="D41" s="198" t="s">
        <v>293</v>
      </c>
      <c r="E41" s="193" t="s">
        <v>230</v>
      </c>
      <c r="F41" s="200" t="s">
        <v>230</v>
      </c>
      <c r="G41" s="200" t="s">
        <v>230</v>
      </c>
      <c r="H41" s="201" t="s">
        <v>230</v>
      </c>
      <c r="I41" s="201">
        <v>1741.1</v>
      </c>
      <c r="J41" s="201" t="s">
        <v>230</v>
      </c>
      <c r="K41" s="201"/>
      <c r="L41" s="202" t="s">
        <v>230</v>
      </c>
      <c r="M41" s="197" t="s">
        <v>230</v>
      </c>
      <c r="N41" s="202" t="s">
        <v>230</v>
      </c>
      <c r="O41" s="197" t="s">
        <v>230</v>
      </c>
      <c r="P41" s="202" t="s">
        <v>230</v>
      </c>
      <c r="Q41" s="197" t="s">
        <v>230</v>
      </c>
      <c r="R41" s="196"/>
      <c r="S41" s="196"/>
      <c r="T41" s="196"/>
      <c r="V41" s="208"/>
    </row>
    <row r="42" spans="1:22" s="14" customFormat="1" ht="11.25" x14ac:dyDescent="0.2">
      <c r="A42" s="191"/>
      <c r="B42" s="192" t="s">
        <v>294</v>
      </c>
      <c r="C42" s="159" t="s">
        <v>230</v>
      </c>
      <c r="D42" s="192" t="s">
        <v>293</v>
      </c>
      <c r="E42" s="193" t="s">
        <v>230</v>
      </c>
      <c r="F42" s="194" t="s">
        <v>230</v>
      </c>
      <c r="G42" s="194" t="s">
        <v>230</v>
      </c>
      <c r="H42" s="193" t="s">
        <v>230</v>
      </c>
      <c r="I42" s="193" t="s">
        <v>230</v>
      </c>
      <c r="J42" s="193" t="s">
        <v>230</v>
      </c>
      <c r="K42" s="193"/>
      <c r="L42" s="195" t="s">
        <v>230</v>
      </c>
      <c r="M42" s="197" t="s">
        <v>230</v>
      </c>
      <c r="N42" s="195" t="s">
        <v>230</v>
      </c>
      <c r="O42" s="197" t="s">
        <v>230</v>
      </c>
      <c r="P42" s="195" t="s">
        <v>230</v>
      </c>
      <c r="Q42" s="197" t="s">
        <v>230</v>
      </c>
      <c r="R42" s="196"/>
      <c r="S42" s="196"/>
      <c r="T42" s="196"/>
      <c r="V42" s="208"/>
    </row>
    <row r="43" spans="1:22" s="14" customFormat="1" ht="11.25" x14ac:dyDescent="0.2">
      <c r="A43" s="191">
        <v>27</v>
      </c>
      <c r="B43" s="192">
        <v>7</v>
      </c>
      <c r="C43" s="159" t="s">
        <v>301</v>
      </c>
      <c r="D43" s="192" t="s">
        <v>293</v>
      </c>
      <c r="E43" s="193">
        <v>0</v>
      </c>
      <c r="F43" s="194" t="s">
        <v>230</v>
      </c>
      <c r="G43" s="194" t="s">
        <v>230</v>
      </c>
      <c r="H43" s="193" t="s">
        <v>230</v>
      </c>
      <c r="I43" s="193" t="s">
        <v>230</v>
      </c>
      <c r="J43" s="193" t="s">
        <v>230</v>
      </c>
      <c r="K43" s="193"/>
      <c r="L43" s="195" t="s">
        <v>230</v>
      </c>
      <c r="M43" s="197" t="s">
        <v>230</v>
      </c>
      <c r="N43" s="195" t="s">
        <v>230</v>
      </c>
      <c r="O43" s="197" t="s">
        <v>230</v>
      </c>
      <c r="P43" s="195" t="s">
        <v>230</v>
      </c>
      <c r="Q43" s="197" t="s">
        <v>230</v>
      </c>
      <c r="R43" s="196"/>
      <c r="S43" s="196"/>
      <c r="T43" s="196"/>
      <c r="V43" s="208"/>
    </row>
    <row r="44" spans="1:22" s="14" customFormat="1" ht="22.5" x14ac:dyDescent="0.2">
      <c r="A44" s="191">
        <v>28</v>
      </c>
      <c r="B44" s="192">
        <v>7.01</v>
      </c>
      <c r="C44" s="159" t="s">
        <v>111</v>
      </c>
      <c r="D44" s="192" t="s">
        <v>45</v>
      </c>
      <c r="E44" s="193">
        <v>27766.666666666672</v>
      </c>
      <c r="F44" s="194">
        <v>20000</v>
      </c>
      <c r="G44" s="194">
        <v>20000</v>
      </c>
      <c r="H44" s="193">
        <v>1.67</v>
      </c>
      <c r="I44" s="193">
        <v>33400</v>
      </c>
      <c r="J44" s="193">
        <v>33400</v>
      </c>
      <c r="K44" s="193"/>
      <c r="L44" s="195"/>
      <c r="M44" s="197">
        <v>0</v>
      </c>
      <c r="N44" s="195"/>
      <c r="O44" s="197">
        <v>0</v>
      </c>
      <c r="P44" s="195">
        <v>20000</v>
      </c>
      <c r="Q44" s="197">
        <v>1</v>
      </c>
      <c r="R44" s="196">
        <v>0</v>
      </c>
      <c r="S44" s="196">
        <v>0</v>
      </c>
      <c r="T44" s="196">
        <v>33400</v>
      </c>
      <c r="V44" s="208"/>
    </row>
    <row r="45" spans="1:22" s="14" customFormat="1" ht="11.25" x14ac:dyDescent="0.2">
      <c r="A45" s="191">
        <v>29</v>
      </c>
      <c r="B45" s="192">
        <v>7.02</v>
      </c>
      <c r="C45" s="159" t="s">
        <v>114</v>
      </c>
      <c r="D45" s="192" t="s">
        <v>45</v>
      </c>
      <c r="E45" s="193">
        <v>24066.666666666668</v>
      </c>
      <c r="F45" s="194">
        <v>20000</v>
      </c>
      <c r="G45" s="194">
        <v>20000</v>
      </c>
      <c r="H45" s="193">
        <v>1.45</v>
      </c>
      <c r="I45" s="193">
        <v>29000</v>
      </c>
      <c r="J45" s="193">
        <v>29000</v>
      </c>
      <c r="K45" s="193"/>
      <c r="L45" s="195"/>
      <c r="M45" s="197">
        <v>0</v>
      </c>
      <c r="N45" s="195"/>
      <c r="O45" s="197">
        <v>0</v>
      </c>
      <c r="P45" s="195">
        <v>20000</v>
      </c>
      <c r="Q45" s="197">
        <v>1</v>
      </c>
      <c r="R45" s="196">
        <v>0</v>
      </c>
      <c r="S45" s="196">
        <v>0</v>
      </c>
      <c r="T45" s="196">
        <v>29000</v>
      </c>
      <c r="V45" s="208"/>
    </row>
    <row r="46" spans="1:22" s="14" customFormat="1" ht="22.5" x14ac:dyDescent="0.2">
      <c r="A46" s="191"/>
      <c r="B46" s="198" t="s">
        <v>294</v>
      </c>
      <c r="C46" s="199" t="s">
        <v>302</v>
      </c>
      <c r="D46" s="198" t="s">
        <v>293</v>
      </c>
      <c r="E46" s="193" t="s">
        <v>230</v>
      </c>
      <c r="F46" s="200" t="s">
        <v>230</v>
      </c>
      <c r="G46" s="200" t="s">
        <v>230</v>
      </c>
      <c r="H46" s="201" t="s">
        <v>230</v>
      </c>
      <c r="I46" s="201">
        <v>62400</v>
      </c>
      <c r="J46" s="201" t="s">
        <v>230</v>
      </c>
      <c r="K46" s="201"/>
      <c r="L46" s="202" t="s">
        <v>230</v>
      </c>
      <c r="M46" s="197" t="s">
        <v>230</v>
      </c>
      <c r="N46" s="202" t="s">
        <v>230</v>
      </c>
      <c r="O46" s="197" t="s">
        <v>230</v>
      </c>
      <c r="P46" s="202" t="s">
        <v>230</v>
      </c>
      <c r="Q46" s="197" t="s">
        <v>230</v>
      </c>
      <c r="R46" s="196"/>
      <c r="S46" s="196"/>
      <c r="T46" s="196"/>
      <c r="V46" s="208"/>
    </row>
    <row r="47" spans="1:22" s="14" customFormat="1" ht="11.25" x14ac:dyDescent="0.2">
      <c r="A47" s="191"/>
      <c r="B47" s="192" t="s">
        <v>294</v>
      </c>
      <c r="C47" s="159" t="s">
        <v>230</v>
      </c>
      <c r="D47" s="192" t="s">
        <v>293</v>
      </c>
      <c r="E47" s="193" t="s">
        <v>230</v>
      </c>
      <c r="F47" s="194" t="s">
        <v>230</v>
      </c>
      <c r="G47" s="194" t="s">
        <v>230</v>
      </c>
      <c r="H47" s="193" t="s">
        <v>230</v>
      </c>
      <c r="I47" s="193" t="s">
        <v>230</v>
      </c>
      <c r="J47" s="193" t="s">
        <v>230</v>
      </c>
      <c r="K47" s="193"/>
      <c r="L47" s="195" t="s">
        <v>230</v>
      </c>
      <c r="M47" s="197" t="s">
        <v>230</v>
      </c>
      <c r="N47" s="195" t="s">
        <v>230</v>
      </c>
      <c r="O47" s="197" t="s">
        <v>230</v>
      </c>
      <c r="P47" s="195" t="s">
        <v>230</v>
      </c>
      <c r="Q47" s="197" t="s">
        <v>230</v>
      </c>
      <c r="R47" s="196"/>
      <c r="S47" s="196"/>
      <c r="T47" s="196"/>
      <c r="V47" s="208"/>
    </row>
    <row r="48" spans="1:22" s="14" customFormat="1" ht="11.25" x14ac:dyDescent="0.2">
      <c r="A48" s="191">
        <v>30</v>
      </c>
      <c r="B48" s="192">
        <v>8</v>
      </c>
      <c r="C48" s="159" t="s">
        <v>211</v>
      </c>
      <c r="D48" s="192" t="s">
        <v>293</v>
      </c>
      <c r="E48" s="193">
        <v>0</v>
      </c>
      <c r="F48" s="194" t="s">
        <v>230</v>
      </c>
      <c r="G48" s="194" t="s">
        <v>230</v>
      </c>
      <c r="H48" s="193" t="s">
        <v>230</v>
      </c>
      <c r="I48" s="193" t="s">
        <v>230</v>
      </c>
      <c r="J48" s="193" t="s">
        <v>230</v>
      </c>
      <c r="K48" s="193"/>
      <c r="L48" s="195" t="s">
        <v>230</v>
      </c>
      <c r="M48" s="197" t="s">
        <v>230</v>
      </c>
      <c r="N48" s="195" t="s">
        <v>230</v>
      </c>
      <c r="O48" s="197" t="s">
        <v>230</v>
      </c>
      <c r="P48" s="195" t="s">
        <v>230</v>
      </c>
      <c r="Q48" s="197" t="s">
        <v>230</v>
      </c>
      <c r="R48" s="196"/>
      <c r="S48" s="196"/>
      <c r="T48" s="196"/>
      <c r="V48" s="208"/>
    </row>
    <row r="49" spans="1:22" s="14" customFormat="1" ht="11.25" x14ac:dyDescent="0.2">
      <c r="A49" s="191">
        <v>31</v>
      </c>
      <c r="B49" s="192">
        <v>8.01</v>
      </c>
      <c r="C49" s="159" t="s">
        <v>116</v>
      </c>
      <c r="D49" s="192" t="s">
        <v>45</v>
      </c>
      <c r="E49" s="193">
        <v>36204.928399357996</v>
      </c>
      <c r="F49" s="194">
        <v>2400</v>
      </c>
      <c r="G49" s="194">
        <v>2400</v>
      </c>
      <c r="H49" s="193">
        <v>18.13</v>
      </c>
      <c r="I49" s="193">
        <v>43512</v>
      </c>
      <c r="J49" s="193">
        <v>43512</v>
      </c>
      <c r="K49" s="193"/>
      <c r="L49" s="195"/>
      <c r="M49" s="197">
        <v>0</v>
      </c>
      <c r="N49" s="195"/>
      <c r="O49" s="197">
        <v>0</v>
      </c>
      <c r="P49" s="195">
        <v>2400</v>
      </c>
      <c r="Q49" s="197">
        <v>1</v>
      </c>
      <c r="R49" s="196">
        <v>0</v>
      </c>
      <c r="S49" s="196">
        <v>0</v>
      </c>
      <c r="T49" s="196">
        <v>43512</v>
      </c>
      <c r="V49" s="208"/>
    </row>
    <row r="50" spans="1:22" s="14" customFormat="1" ht="11.25" x14ac:dyDescent="0.2">
      <c r="A50" s="191"/>
      <c r="B50" s="198" t="s">
        <v>294</v>
      </c>
      <c r="C50" s="199" t="s">
        <v>303</v>
      </c>
      <c r="D50" s="198" t="s">
        <v>293</v>
      </c>
      <c r="E50" s="193" t="s">
        <v>230</v>
      </c>
      <c r="F50" s="200" t="s">
        <v>230</v>
      </c>
      <c r="G50" s="200" t="s">
        <v>230</v>
      </c>
      <c r="H50" s="201" t="s">
        <v>230</v>
      </c>
      <c r="I50" s="201">
        <v>43512</v>
      </c>
      <c r="J50" s="201" t="s">
        <v>230</v>
      </c>
      <c r="K50" s="201"/>
      <c r="L50" s="202" t="s">
        <v>230</v>
      </c>
      <c r="M50" s="197" t="s">
        <v>230</v>
      </c>
      <c r="N50" s="202" t="s">
        <v>230</v>
      </c>
      <c r="O50" s="197" t="s">
        <v>230</v>
      </c>
      <c r="P50" s="202" t="s">
        <v>230</v>
      </c>
      <c r="Q50" s="197" t="s">
        <v>230</v>
      </c>
      <c r="R50" s="196"/>
      <c r="S50" s="196"/>
      <c r="T50" s="196"/>
      <c r="V50" s="208"/>
    </row>
    <row r="51" spans="1:22" s="14" customFormat="1" ht="11.25" x14ac:dyDescent="0.2">
      <c r="A51" s="191"/>
      <c r="B51" s="192" t="s">
        <v>294</v>
      </c>
      <c r="C51" s="159" t="s">
        <v>230</v>
      </c>
      <c r="D51" s="192" t="s">
        <v>293</v>
      </c>
      <c r="E51" s="193" t="s">
        <v>230</v>
      </c>
      <c r="F51" s="194" t="s">
        <v>230</v>
      </c>
      <c r="G51" s="194" t="s">
        <v>230</v>
      </c>
      <c r="H51" s="193" t="s">
        <v>230</v>
      </c>
      <c r="I51" s="193" t="s">
        <v>230</v>
      </c>
      <c r="J51" s="193" t="s">
        <v>230</v>
      </c>
      <c r="K51" s="193"/>
      <c r="L51" s="195" t="s">
        <v>230</v>
      </c>
      <c r="M51" s="197" t="s">
        <v>230</v>
      </c>
      <c r="N51" s="195" t="s">
        <v>230</v>
      </c>
      <c r="O51" s="197" t="s">
        <v>230</v>
      </c>
      <c r="P51" s="195" t="s">
        <v>230</v>
      </c>
      <c r="Q51" s="197" t="s">
        <v>230</v>
      </c>
      <c r="R51" s="196"/>
      <c r="S51" s="196"/>
      <c r="T51" s="196"/>
      <c r="V51" s="208"/>
    </row>
    <row r="52" spans="1:22" s="14" customFormat="1" ht="11.25" x14ac:dyDescent="0.2">
      <c r="A52" s="191">
        <v>32</v>
      </c>
      <c r="B52" s="192">
        <v>9</v>
      </c>
      <c r="C52" s="159" t="s">
        <v>304</v>
      </c>
      <c r="D52" s="192" t="s">
        <v>293</v>
      </c>
      <c r="E52" s="193">
        <v>0</v>
      </c>
      <c r="F52" s="194" t="s">
        <v>230</v>
      </c>
      <c r="G52" s="194" t="s">
        <v>230</v>
      </c>
      <c r="H52" s="193" t="s">
        <v>230</v>
      </c>
      <c r="I52" s="193" t="s">
        <v>230</v>
      </c>
      <c r="J52" s="193" t="s">
        <v>230</v>
      </c>
      <c r="K52" s="193"/>
      <c r="L52" s="195" t="s">
        <v>230</v>
      </c>
      <c r="M52" s="197" t="s">
        <v>230</v>
      </c>
      <c r="N52" s="195" t="s">
        <v>230</v>
      </c>
      <c r="O52" s="197" t="s">
        <v>230</v>
      </c>
      <c r="P52" s="195" t="s">
        <v>230</v>
      </c>
      <c r="Q52" s="197" t="s">
        <v>230</v>
      </c>
      <c r="R52" s="196"/>
      <c r="S52" s="196"/>
      <c r="T52" s="196"/>
      <c r="V52" s="208"/>
    </row>
    <row r="53" spans="1:22" s="14" customFormat="1" ht="22.5" x14ac:dyDescent="0.2">
      <c r="A53" s="191">
        <v>33</v>
      </c>
      <c r="B53" s="192">
        <v>9.01</v>
      </c>
      <c r="C53" s="159" t="s">
        <v>119</v>
      </c>
      <c r="D53" s="192" t="s">
        <v>45</v>
      </c>
      <c r="E53" s="193">
        <v>140573.15680961299</v>
      </c>
      <c r="F53" s="194">
        <v>15200</v>
      </c>
      <c r="G53" s="194">
        <v>15200</v>
      </c>
      <c r="H53" s="193">
        <v>11.12</v>
      </c>
      <c r="I53" s="193">
        <v>169024</v>
      </c>
      <c r="J53" s="193">
        <v>169024</v>
      </c>
      <c r="K53" s="193"/>
      <c r="L53" s="195"/>
      <c r="M53" s="197">
        <v>0</v>
      </c>
      <c r="N53" s="195"/>
      <c r="O53" s="197">
        <v>0</v>
      </c>
      <c r="P53" s="195">
        <v>15200</v>
      </c>
      <c r="Q53" s="197">
        <v>1</v>
      </c>
      <c r="R53" s="196">
        <v>0</v>
      </c>
      <c r="S53" s="196">
        <v>0</v>
      </c>
      <c r="T53" s="196">
        <v>169024</v>
      </c>
      <c r="V53" s="208"/>
    </row>
    <row r="54" spans="1:22" s="14" customFormat="1" ht="11.25" x14ac:dyDescent="0.2">
      <c r="A54" s="191">
        <v>34</v>
      </c>
      <c r="B54" s="192">
        <v>9.02</v>
      </c>
      <c r="C54" s="159" t="s">
        <v>122</v>
      </c>
      <c r="D54" s="192" t="s">
        <v>45</v>
      </c>
      <c r="E54" s="193">
        <v>50804.592065383964</v>
      </c>
      <c r="F54" s="194">
        <v>15200</v>
      </c>
      <c r="G54" s="194">
        <v>15200</v>
      </c>
      <c r="H54" s="193">
        <v>4.0199999999999996</v>
      </c>
      <c r="I54" s="193">
        <v>61104</v>
      </c>
      <c r="J54" s="193">
        <v>61104</v>
      </c>
      <c r="K54" s="193"/>
      <c r="L54" s="195"/>
      <c r="M54" s="197">
        <v>0</v>
      </c>
      <c r="N54" s="195"/>
      <c r="O54" s="197">
        <v>0</v>
      </c>
      <c r="P54" s="195">
        <v>15200</v>
      </c>
      <c r="Q54" s="197">
        <v>1</v>
      </c>
      <c r="R54" s="196">
        <v>0</v>
      </c>
      <c r="S54" s="196">
        <v>0</v>
      </c>
      <c r="T54" s="196">
        <v>61103.999999999993</v>
      </c>
      <c r="V54" s="208"/>
    </row>
    <row r="55" spans="1:22" s="14" customFormat="1" ht="11.25" x14ac:dyDescent="0.2">
      <c r="A55" s="191">
        <v>35</v>
      </c>
      <c r="B55" s="192">
        <v>9.0299999999999994</v>
      </c>
      <c r="C55" s="159" t="s">
        <v>124</v>
      </c>
      <c r="D55" s="192" t="s">
        <v>45</v>
      </c>
      <c r="E55" s="193">
        <v>27502.992065383962</v>
      </c>
      <c r="F55" s="194">
        <v>15200</v>
      </c>
      <c r="G55" s="194">
        <v>15200</v>
      </c>
      <c r="H55" s="193">
        <v>2.1800000000000002</v>
      </c>
      <c r="I55" s="193">
        <v>33136</v>
      </c>
      <c r="J55" s="193">
        <v>33136</v>
      </c>
      <c r="K55" s="193"/>
      <c r="L55" s="195"/>
      <c r="M55" s="197">
        <v>0</v>
      </c>
      <c r="N55" s="195"/>
      <c r="O55" s="197">
        <v>0</v>
      </c>
      <c r="P55" s="195">
        <v>15200</v>
      </c>
      <c r="Q55" s="197">
        <v>1</v>
      </c>
      <c r="R55" s="196">
        <v>0</v>
      </c>
      <c r="S55" s="196">
        <v>0</v>
      </c>
      <c r="T55" s="196">
        <v>33136</v>
      </c>
      <c r="V55" s="208"/>
    </row>
    <row r="56" spans="1:22" s="14" customFormat="1" ht="22.5" x14ac:dyDescent="0.2">
      <c r="A56" s="191">
        <v>36</v>
      </c>
      <c r="B56" s="192">
        <v>9.0399999999999991</v>
      </c>
      <c r="C56" s="159" t="s">
        <v>126</v>
      </c>
      <c r="D56" s="192" t="s">
        <v>45</v>
      </c>
      <c r="E56" s="193">
        <v>26553</v>
      </c>
      <c r="F56" s="194">
        <v>3400</v>
      </c>
      <c r="G56" s="194">
        <v>3400</v>
      </c>
      <c r="H56" s="193">
        <v>9.39</v>
      </c>
      <c r="I56" s="193">
        <v>31926</v>
      </c>
      <c r="J56" s="193">
        <v>31926</v>
      </c>
      <c r="K56" s="193"/>
      <c r="L56" s="195"/>
      <c r="M56" s="197">
        <v>0</v>
      </c>
      <c r="N56" s="195">
        <v>3400</v>
      </c>
      <c r="O56" s="197">
        <v>1</v>
      </c>
      <c r="P56" s="195">
        <v>3400</v>
      </c>
      <c r="Q56" s="197">
        <v>1</v>
      </c>
      <c r="R56" s="196">
        <v>0</v>
      </c>
      <c r="S56" s="196">
        <v>31926.000000000004</v>
      </c>
      <c r="T56" s="196">
        <v>31926.000000000004</v>
      </c>
      <c r="V56" s="208"/>
    </row>
    <row r="57" spans="1:22" s="14" customFormat="1" ht="22.5" x14ac:dyDescent="0.2">
      <c r="A57" s="191"/>
      <c r="B57" s="198" t="s">
        <v>294</v>
      </c>
      <c r="C57" s="199" t="s">
        <v>305</v>
      </c>
      <c r="D57" s="198" t="s">
        <v>293</v>
      </c>
      <c r="E57" s="193" t="s">
        <v>230</v>
      </c>
      <c r="F57" s="200" t="s">
        <v>230</v>
      </c>
      <c r="G57" s="200" t="s">
        <v>230</v>
      </c>
      <c r="H57" s="201" t="s">
        <v>230</v>
      </c>
      <c r="I57" s="201">
        <v>295190</v>
      </c>
      <c r="J57" s="201" t="s">
        <v>230</v>
      </c>
      <c r="K57" s="201"/>
      <c r="L57" s="202" t="s">
        <v>230</v>
      </c>
      <c r="M57" s="197" t="s">
        <v>230</v>
      </c>
      <c r="N57" s="202" t="s">
        <v>230</v>
      </c>
      <c r="O57" s="197" t="s">
        <v>230</v>
      </c>
      <c r="P57" s="202" t="s">
        <v>230</v>
      </c>
      <c r="Q57" s="197" t="s">
        <v>230</v>
      </c>
      <c r="R57" s="196"/>
      <c r="S57" s="196"/>
      <c r="T57" s="196"/>
      <c r="V57" s="208"/>
    </row>
    <row r="58" spans="1:22" s="14" customFormat="1" ht="11.25" x14ac:dyDescent="0.2">
      <c r="A58" s="191"/>
      <c r="B58" s="192" t="s">
        <v>294</v>
      </c>
      <c r="C58" s="159" t="s">
        <v>230</v>
      </c>
      <c r="D58" s="192" t="s">
        <v>293</v>
      </c>
      <c r="E58" s="193" t="s">
        <v>230</v>
      </c>
      <c r="F58" s="194" t="s">
        <v>230</v>
      </c>
      <c r="G58" s="194" t="s">
        <v>230</v>
      </c>
      <c r="H58" s="193" t="s">
        <v>230</v>
      </c>
      <c r="I58" s="193" t="s">
        <v>230</v>
      </c>
      <c r="J58" s="193" t="s">
        <v>230</v>
      </c>
      <c r="K58" s="193"/>
      <c r="L58" s="195" t="s">
        <v>230</v>
      </c>
      <c r="M58" s="197" t="s">
        <v>230</v>
      </c>
      <c r="N58" s="195" t="s">
        <v>230</v>
      </c>
      <c r="O58" s="197" t="s">
        <v>230</v>
      </c>
      <c r="P58" s="195" t="s">
        <v>230</v>
      </c>
      <c r="Q58" s="197" t="s">
        <v>230</v>
      </c>
      <c r="R58" s="196"/>
      <c r="S58" s="196"/>
      <c r="T58" s="196"/>
      <c r="V58" s="208"/>
    </row>
    <row r="59" spans="1:22" s="14" customFormat="1" ht="11.25" x14ac:dyDescent="0.2">
      <c r="A59" s="191">
        <v>37</v>
      </c>
      <c r="B59" s="192">
        <v>10</v>
      </c>
      <c r="C59" s="159" t="s">
        <v>213</v>
      </c>
      <c r="D59" s="192" t="s">
        <v>293</v>
      </c>
      <c r="E59" s="193">
        <v>0</v>
      </c>
      <c r="F59" s="194" t="s">
        <v>230</v>
      </c>
      <c r="G59" s="194" t="s">
        <v>230</v>
      </c>
      <c r="H59" s="193" t="s">
        <v>230</v>
      </c>
      <c r="I59" s="193" t="s">
        <v>230</v>
      </c>
      <c r="J59" s="193" t="s">
        <v>230</v>
      </c>
      <c r="K59" s="193"/>
      <c r="L59" s="195" t="s">
        <v>230</v>
      </c>
      <c r="M59" s="197" t="s">
        <v>230</v>
      </c>
      <c r="N59" s="195" t="s">
        <v>230</v>
      </c>
      <c r="O59" s="197" t="s">
        <v>230</v>
      </c>
      <c r="P59" s="195" t="s">
        <v>230</v>
      </c>
      <c r="Q59" s="197" t="s">
        <v>230</v>
      </c>
      <c r="R59" s="196"/>
      <c r="S59" s="196"/>
      <c r="T59" s="196"/>
      <c r="V59" s="208"/>
    </row>
    <row r="60" spans="1:22" s="14" customFormat="1" ht="22.5" x14ac:dyDescent="0.2">
      <c r="A60" s="191">
        <v>38</v>
      </c>
      <c r="B60" s="192">
        <v>10.01</v>
      </c>
      <c r="C60" s="159" t="s">
        <v>128</v>
      </c>
      <c r="D60" s="192" t="s">
        <v>31</v>
      </c>
      <c r="E60" s="193">
        <v>21419</v>
      </c>
      <c r="F60" s="194">
        <v>550</v>
      </c>
      <c r="G60" s="194">
        <v>550</v>
      </c>
      <c r="H60" s="193">
        <v>46.82</v>
      </c>
      <c r="I60" s="193">
        <v>25751</v>
      </c>
      <c r="J60" s="193">
        <v>25751</v>
      </c>
      <c r="K60" s="193"/>
      <c r="L60" s="195"/>
      <c r="M60" s="197">
        <v>0</v>
      </c>
      <c r="N60" s="195">
        <v>275</v>
      </c>
      <c r="O60" s="197">
        <v>0.5</v>
      </c>
      <c r="P60" s="195">
        <v>550</v>
      </c>
      <c r="Q60" s="197">
        <v>1</v>
      </c>
      <c r="R60" s="196">
        <v>0</v>
      </c>
      <c r="S60" s="196">
        <v>12875.5</v>
      </c>
      <c r="T60" s="196">
        <v>25751</v>
      </c>
      <c r="V60" s="208"/>
    </row>
    <row r="61" spans="1:22" s="14" customFormat="1" ht="33.75" x14ac:dyDescent="0.2">
      <c r="A61" s="191">
        <v>39</v>
      </c>
      <c r="B61" s="192">
        <v>10.02</v>
      </c>
      <c r="C61" s="159" t="s">
        <v>135</v>
      </c>
      <c r="D61" s="192" t="s">
        <v>31</v>
      </c>
      <c r="E61" s="193">
        <v>6097</v>
      </c>
      <c r="F61" s="194">
        <v>80</v>
      </c>
      <c r="G61" s="194">
        <v>80</v>
      </c>
      <c r="H61" s="193">
        <v>91.62</v>
      </c>
      <c r="I61" s="193">
        <v>7329.6</v>
      </c>
      <c r="J61" s="193">
        <v>7329.6</v>
      </c>
      <c r="K61" s="193"/>
      <c r="L61" s="195"/>
      <c r="M61" s="197">
        <v>0</v>
      </c>
      <c r="N61" s="195">
        <v>40</v>
      </c>
      <c r="O61" s="197">
        <v>0.5</v>
      </c>
      <c r="P61" s="195">
        <v>80</v>
      </c>
      <c r="Q61" s="197">
        <v>1</v>
      </c>
      <c r="R61" s="196">
        <v>0</v>
      </c>
      <c r="S61" s="196">
        <v>3664.8</v>
      </c>
      <c r="T61" s="196">
        <v>7329.6</v>
      </c>
      <c r="V61" s="208"/>
    </row>
    <row r="62" spans="1:22" s="14" customFormat="1" ht="22.5" x14ac:dyDescent="0.2">
      <c r="A62" s="191">
        <v>40</v>
      </c>
      <c r="B62" s="192">
        <v>10.029999999999999</v>
      </c>
      <c r="C62" s="159" t="s">
        <v>139</v>
      </c>
      <c r="D62" s="192" t="s">
        <v>31</v>
      </c>
      <c r="E62" s="193">
        <v>4255</v>
      </c>
      <c r="F62" s="194">
        <v>110</v>
      </c>
      <c r="G62" s="194">
        <v>110</v>
      </c>
      <c r="H62" s="193">
        <v>46.5</v>
      </c>
      <c r="I62" s="193">
        <v>5115</v>
      </c>
      <c r="J62" s="193">
        <v>5115</v>
      </c>
      <c r="K62" s="193"/>
      <c r="L62" s="195"/>
      <c r="M62" s="197">
        <v>0</v>
      </c>
      <c r="N62" s="195">
        <v>55</v>
      </c>
      <c r="O62" s="197">
        <v>0.5</v>
      </c>
      <c r="P62" s="195">
        <v>110</v>
      </c>
      <c r="Q62" s="197">
        <v>1</v>
      </c>
      <c r="R62" s="196">
        <v>0</v>
      </c>
      <c r="S62" s="196">
        <v>2557.5</v>
      </c>
      <c r="T62" s="196">
        <v>5115</v>
      </c>
      <c r="V62" s="208"/>
    </row>
    <row r="63" spans="1:22" s="14" customFormat="1" ht="11.25" x14ac:dyDescent="0.2">
      <c r="A63" s="191"/>
      <c r="B63" s="198" t="s">
        <v>294</v>
      </c>
      <c r="C63" s="199" t="s">
        <v>306</v>
      </c>
      <c r="D63" s="198" t="s">
        <v>293</v>
      </c>
      <c r="E63" s="193" t="s">
        <v>230</v>
      </c>
      <c r="F63" s="200" t="s">
        <v>230</v>
      </c>
      <c r="G63" s="200" t="s">
        <v>230</v>
      </c>
      <c r="H63" s="201" t="s">
        <v>230</v>
      </c>
      <c r="I63" s="201">
        <v>38195.599999999999</v>
      </c>
      <c r="J63" s="201" t="s">
        <v>230</v>
      </c>
      <c r="K63" s="201"/>
      <c r="L63" s="202" t="s">
        <v>230</v>
      </c>
      <c r="M63" s="197" t="s">
        <v>230</v>
      </c>
      <c r="N63" s="202" t="s">
        <v>230</v>
      </c>
      <c r="O63" s="197" t="s">
        <v>230</v>
      </c>
      <c r="P63" s="202" t="s">
        <v>230</v>
      </c>
      <c r="Q63" s="197" t="s">
        <v>230</v>
      </c>
      <c r="R63" s="196"/>
      <c r="S63" s="196"/>
      <c r="T63" s="196"/>
      <c r="V63" s="208"/>
    </row>
    <row r="64" spans="1:22" s="14" customFormat="1" ht="11.25" x14ac:dyDescent="0.2">
      <c r="A64" s="191"/>
      <c r="B64" s="192" t="s">
        <v>230</v>
      </c>
      <c r="C64" s="159" t="s">
        <v>230</v>
      </c>
      <c r="D64" s="192" t="s">
        <v>230</v>
      </c>
      <c r="E64" s="193" t="s">
        <v>230</v>
      </c>
      <c r="F64" s="194" t="s">
        <v>230</v>
      </c>
      <c r="G64" s="194" t="s">
        <v>230</v>
      </c>
      <c r="H64" s="193" t="s">
        <v>230</v>
      </c>
      <c r="I64" s="193" t="s">
        <v>230</v>
      </c>
      <c r="J64" s="193" t="s">
        <v>230</v>
      </c>
      <c r="K64" s="193"/>
      <c r="L64" s="195" t="s">
        <v>230</v>
      </c>
      <c r="M64" s="197" t="s">
        <v>230</v>
      </c>
      <c r="N64" s="195" t="s">
        <v>230</v>
      </c>
      <c r="O64" s="197" t="s">
        <v>230</v>
      </c>
      <c r="P64" s="195" t="s">
        <v>230</v>
      </c>
      <c r="Q64" s="197" t="s">
        <v>230</v>
      </c>
      <c r="R64" s="196"/>
      <c r="S64" s="196"/>
      <c r="T64" s="196"/>
      <c r="V64" s="208"/>
    </row>
    <row r="65" spans="1:22" s="14" customFormat="1" ht="11.25" x14ac:dyDescent="0.2">
      <c r="A65" s="185" t="s">
        <v>230</v>
      </c>
      <c r="B65" s="185" t="s">
        <v>230</v>
      </c>
      <c r="C65" s="186" t="s">
        <v>307</v>
      </c>
      <c r="D65" s="185" t="s">
        <v>230</v>
      </c>
      <c r="E65" s="185" t="s">
        <v>230</v>
      </c>
      <c r="F65" s="188" t="s">
        <v>230</v>
      </c>
      <c r="G65" s="188" t="s">
        <v>230</v>
      </c>
      <c r="H65" s="187" t="s">
        <v>230</v>
      </c>
      <c r="I65" s="187" t="s">
        <v>230</v>
      </c>
      <c r="J65" s="187" t="s">
        <v>230</v>
      </c>
      <c r="K65" s="187"/>
      <c r="L65" s="203" t="s">
        <v>230</v>
      </c>
      <c r="M65" s="189" t="s">
        <v>230</v>
      </c>
      <c r="N65" s="189" t="s">
        <v>230</v>
      </c>
      <c r="O65" s="189" t="s">
        <v>230</v>
      </c>
      <c r="P65" s="189" t="s">
        <v>230</v>
      </c>
      <c r="Q65" s="189" t="s">
        <v>230</v>
      </c>
      <c r="R65" s="190" t="s">
        <v>230</v>
      </c>
      <c r="S65" s="190" t="s">
        <v>230</v>
      </c>
      <c r="T65" s="190" t="s">
        <v>230</v>
      </c>
      <c r="V65" s="208"/>
    </row>
    <row r="66" spans="1:22" s="14" customFormat="1" ht="11.25" x14ac:dyDescent="0.2">
      <c r="A66" s="191"/>
      <c r="B66" s="192" t="s">
        <v>230</v>
      </c>
      <c r="C66" s="159" t="s">
        <v>230</v>
      </c>
      <c r="D66" s="192" t="s">
        <v>230</v>
      </c>
      <c r="E66" s="193" t="s">
        <v>230</v>
      </c>
      <c r="F66" s="194" t="s">
        <v>230</v>
      </c>
      <c r="G66" s="194" t="s">
        <v>230</v>
      </c>
      <c r="H66" s="193" t="s">
        <v>230</v>
      </c>
      <c r="I66" s="193" t="s">
        <v>230</v>
      </c>
      <c r="J66" s="193" t="s">
        <v>230</v>
      </c>
      <c r="K66" s="193"/>
      <c r="L66" s="195" t="s">
        <v>230</v>
      </c>
      <c r="M66" s="197" t="s">
        <v>230</v>
      </c>
      <c r="N66" s="195" t="s">
        <v>230</v>
      </c>
      <c r="O66" s="197" t="s">
        <v>230</v>
      </c>
      <c r="P66" s="195" t="s">
        <v>230</v>
      </c>
      <c r="Q66" s="197" t="s">
        <v>230</v>
      </c>
      <c r="R66" s="196"/>
      <c r="S66" s="196"/>
      <c r="T66" s="196"/>
      <c r="V66" s="208"/>
    </row>
    <row r="67" spans="1:22" s="14" customFormat="1" ht="11.25" x14ac:dyDescent="0.2">
      <c r="A67" s="191">
        <v>48</v>
      </c>
      <c r="B67" s="192" t="s">
        <v>239</v>
      </c>
      <c r="C67" s="159" t="s">
        <v>240</v>
      </c>
      <c r="D67" s="192" t="s">
        <v>33</v>
      </c>
      <c r="E67" s="193">
        <v>21704.504504504504</v>
      </c>
      <c r="F67" s="194">
        <v>1</v>
      </c>
      <c r="G67" s="194">
        <v>1</v>
      </c>
      <c r="H67" s="193">
        <v>1004</v>
      </c>
      <c r="I67" s="193">
        <v>1004</v>
      </c>
      <c r="J67" s="193">
        <v>1004</v>
      </c>
      <c r="K67" s="193"/>
      <c r="L67" s="195"/>
      <c r="M67" s="197">
        <v>0</v>
      </c>
      <c r="N67" s="195"/>
      <c r="O67" s="197">
        <v>0</v>
      </c>
      <c r="P67" s="195">
        <v>1</v>
      </c>
      <c r="Q67" s="197">
        <v>1</v>
      </c>
      <c r="R67" s="196">
        <v>0</v>
      </c>
      <c r="S67" s="196">
        <v>0</v>
      </c>
      <c r="T67" s="196">
        <v>1004</v>
      </c>
      <c r="V67" s="208"/>
    </row>
    <row r="68" spans="1:22" s="14" customFormat="1" ht="22.5" x14ac:dyDescent="0.2">
      <c r="A68" s="191">
        <v>49</v>
      </c>
      <c r="B68" s="192" t="s">
        <v>241</v>
      </c>
      <c r="C68" s="159" t="s">
        <v>242</v>
      </c>
      <c r="D68" s="192" t="s">
        <v>243</v>
      </c>
      <c r="E68" s="193">
        <v>22528.727777777782</v>
      </c>
      <c r="F68" s="194">
        <v>4019</v>
      </c>
      <c r="G68" s="194">
        <v>4019</v>
      </c>
      <c r="H68" s="193">
        <v>12.23</v>
      </c>
      <c r="I68" s="193">
        <v>49152.37</v>
      </c>
      <c r="J68" s="193">
        <v>49152.37</v>
      </c>
      <c r="K68" s="193"/>
      <c r="L68" s="195"/>
      <c r="M68" s="197">
        <v>0</v>
      </c>
      <c r="N68" s="195"/>
      <c r="O68" s="197">
        <v>0</v>
      </c>
      <c r="P68" s="195">
        <v>4019</v>
      </c>
      <c r="Q68" s="197">
        <v>1</v>
      </c>
      <c r="R68" s="196">
        <v>0</v>
      </c>
      <c r="S68" s="196">
        <v>0</v>
      </c>
      <c r="T68" s="196">
        <v>49152.37</v>
      </c>
      <c r="V68" s="208"/>
    </row>
    <row r="69" spans="1:22" s="14" customFormat="1" ht="22.5" x14ac:dyDescent="0.2">
      <c r="A69" s="191"/>
      <c r="B69" s="192" t="s">
        <v>308</v>
      </c>
      <c r="C69" s="159" t="s">
        <v>309</v>
      </c>
      <c r="D69" s="192" t="s">
        <v>33</v>
      </c>
      <c r="E69" s="193" t="s">
        <v>230</v>
      </c>
      <c r="F69" s="194">
        <v>1</v>
      </c>
      <c r="G69" s="194">
        <v>1</v>
      </c>
      <c r="H69" s="193"/>
      <c r="I69" s="193"/>
      <c r="J69" s="193"/>
      <c r="K69" s="193"/>
      <c r="L69" s="195"/>
      <c r="M69" s="197">
        <v>0</v>
      </c>
      <c r="N69" s="195"/>
      <c r="O69" s="197">
        <v>0</v>
      </c>
      <c r="P69" s="195">
        <v>1</v>
      </c>
      <c r="Q69" s="197">
        <v>1</v>
      </c>
      <c r="R69" s="196">
        <v>0</v>
      </c>
      <c r="S69" s="196">
        <v>0</v>
      </c>
      <c r="T69" s="196">
        <v>0</v>
      </c>
      <c r="V69" s="208"/>
    </row>
    <row r="70" spans="1:22" s="14" customFormat="1" ht="22.5" x14ac:dyDescent="0.2">
      <c r="A70" s="191">
        <v>51</v>
      </c>
      <c r="B70" s="192" t="s">
        <v>244</v>
      </c>
      <c r="C70" s="159" t="s">
        <v>245</v>
      </c>
      <c r="D70" s="192" t="s">
        <v>33</v>
      </c>
      <c r="E70" s="193">
        <v>-4470</v>
      </c>
      <c r="F70" s="194">
        <v>1</v>
      </c>
      <c r="G70" s="194">
        <v>1</v>
      </c>
      <c r="H70" s="193">
        <v>-4473.2</v>
      </c>
      <c r="I70" s="193">
        <v>-4473.2</v>
      </c>
      <c r="J70" s="193">
        <v>-4473.2</v>
      </c>
      <c r="K70" s="193"/>
      <c r="L70" s="195"/>
      <c r="M70" s="197">
        <v>0</v>
      </c>
      <c r="N70" s="195"/>
      <c r="O70" s="197">
        <v>0</v>
      </c>
      <c r="P70" s="195">
        <v>1</v>
      </c>
      <c r="Q70" s="197">
        <v>1</v>
      </c>
      <c r="R70" s="196">
        <v>0</v>
      </c>
      <c r="S70" s="196">
        <v>0</v>
      </c>
      <c r="T70" s="196">
        <v>-4473.2</v>
      </c>
      <c r="V70" s="208"/>
    </row>
    <row r="71" spans="1:22" s="14" customFormat="1" ht="22.5" x14ac:dyDescent="0.2">
      <c r="A71" s="191">
        <v>52</v>
      </c>
      <c r="B71" s="192" t="s">
        <v>246</v>
      </c>
      <c r="C71" s="159" t="s">
        <v>247</v>
      </c>
      <c r="D71" s="192" t="s">
        <v>33</v>
      </c>
      <c r="E71" s="193">
        <v>7908.3783783783792</v>
      </c>
      <c r="F71" s="194">
        <v>1</v>
      </c>
      <c r="G71" s="194">
        <v>1</v>
      </c>
      <c r="H71" s="193">
        <v>10206.9</v>
      </c>
      <c r="I71" s="193">
        <v>10206.9</v>
      </c>
      <c r="J71" s="193">
        <v>10206.9</v>
      </c>
      <c r="K71" s="193"/>
      <c r="L71" s="195"/>
      <c r="M71" s="197">
        <v>0</v>
      </c>
      <c r="N71" s="195"/>
      <c r="O71" s="197">
        <v>0</v>
      </c>
      <c r="P71" s="195">
        <v>1</v>
      </c>
      <c r="Q71" s="197">
        <v>1</v>
      </c>
      <c r="R71" s="196">
        <v>0</v>
      </c>
      <c r="S71" s="196">
        <v>0</v>
      </c>
      <c r="T71" s="196">
        <v>10206.9</v>
      </c>
      <c r="V71" s="208"/>
    </row>
    <row r="72" spans="1:22" s="14" customFormat="1" ht="11.25" x14ac:dyDescent="0.2">
      <c r="A72" s="191"/>
      <c r="B72" s="192" t="s">
        <v>230</v>
      </c>
      <c r="C72" s="159" t="s">
        <v>230</v>
      </c>
      <c r="D72" s="192" t="s">
        <v>230</v>
      </c>
      <c r="E72" s="193"/>
      <c r="F72" s="194" t="s">
        <v>230</v>
      </c>
      <c r="G72" s="194" t="s">
        <v>230</v>
      </c>
      <c r="H72" s="193" t="s">
        <v>230</v>
      </c>
      <c r="I72" s="193" t="s">
        <v>230</v>
      </c>
      <c r="J72" s="193" t="s">
        <v>230</v>
      </c>
      <c r="K72" s="193"/>
      <c r="L72" s="195" t="s">
        <v>230</v>
      </c>
      <c r="M72" s="195"/>
      <c r="N72" s="195" t="s">
        <v>230</v>
      </c>
      <c r="O72" s="195"/>
      <c r="P72" s="195" t="s">
        <v>230</v>
      </c>
      <c r="Q72" s="195"/>
      <c r="R72" s="196"/>
      <c r="S72" s="196"/>
      <c r="T72" s="196"/>
    </row>
    <row r="73" spans="1:22" s="14" customFormat="1" ht="11.25" x14ac:dyDescent="0.2">
      <c r="A73" s="191"/>
      <c r="B73" s="180" t="s">
        <v>230</v>
      </c>
      <c r="C73" s="154" t="s">
        <v>310</v>
      </c>
      <c r="D73" s="180" t="s">
        <v>230</v>
      </c>
      <c r="E73" s="204"/>
      <c r="F73" s="205" t="s">
        <v>230</v>
      </c>
      <c r="G73" s="205" t="s">
        <v>230</v>
      </c>
      <c r="H73" s="204" t="s">
        <v>230</v>
      </c>
      <c r="I73" s="204">
        <v>1310602.77</v>
      </c>
      <c r="J73" s="204" t="s">
        <v>230</v>
      </c>
      <c r="K73" s="204"/>
      <c r="L73" s="206" t="s">
        <v>230</v>
      </c>
      <c r="M73" s="206"/>
      <c r="N73" s="206" t="s">
        <v>230</v>
      </c>
      <c r="O73" s="206"/>
      <c r="P73" s="206"/>
      <c r="Q73" s="195"/>
      <c r="R73" s="207"/>
      <c r="S73" s="207"/>
      <c r="T73" s="207"/>
    </row>
    <row r="74" spans="1:22" s="14" customFormat="1" ht="22.5" x14ac:dyDescent="0.2">
      <c r="A74" s="191"/>
      <c r="B74" s="180" t="s">
        <v>230</v>
      </c>
      <c r="C74" s="154" t="s">
        <v>311</v>
      </c>
      <c r="D74" s="180" t="s">
        <v>230</v>
      </c>
      <c r="E74" s="204">
        <v>1054184.1570995806</v>
      </c>
      <c r="F74" s="205" t="s">
        <v>230</v>
      </c>
      <c r="G74" s="205" t="s">
        <v>230</v>
      </c>
      <c r="H74" s="204" t="s">
        <v>230</v>
      </c>
      <c r="I74" s="204">
        <v>1441663.047</v>
      </c>
      <c r="J74" s="204" t="s">
        <v>230</v>
      </c>
      <c r="K74" s="204"/>
      <c r="L74" s="206" t="s">
        <v>230</v>
      </c>
      <c r="M74" s="206"/>
      <c r="N74" s="206" t="s">
        <v>230</v>
      </c>
      <c r="O74" s="206"/>
      <c r="P74" s="206" t="s">
        <v>230</v>
      </c>
      <c r="Q74" s="206" t="s">
        <v>230</v>
      </c>
      <c r="R74" s="207">
        <v>175683.65</v>
      </c>
      <c r="S74" s="207">
        <v>397878.75</v>
      </c>
      <c r="T74" s="207">
        <v>1310602.7700000003</v>
      </c>
    </row>
    <row r="75" spans="1:22" s="14" customFormat="1" ht="11.25" x14ac:dyDescent="0.2">
      <c r="A75" s="176"/>
      <c r="C75" s="75"/>
      <c r="E75" s="177"/>
      <c r="F75" s="175"/>
      <c r="G75" s="175"/>
      <c r="H75" s="177"/>
      <c r="I75" s="177"/>
      <c r="J75" s="177"/>
      <c r="K75" s="177"/>
      <c r="R75" s="178"/>
      <c r="S75" s="178"/>
      <c r="T75" s="17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4EBEF-BB97-4BD6-8EB7-95C87FD349B6}">
  <dimension ref="A1:AN30"/>
  <sheetViews>
    <sheetView workbookViewId="0">
      <selection activeCell="C5" sqref="C5"/>
    </sheetView>
  </sheetViews>
  <sheetFormatPr defaultRowHeight="15" x14ac:dyDescent="0.25"/>
  <cols>
    <col min="1" max="1" width="17.140625" style="246" bestFit="1" customWidth="1"/>
    <col min="2" max="2" width="40.5703125" style="223" customWidth="1"/>
    <col min="3" max="3" width="12.140625" bestFit="1" customWidth="1"/>
    <col min="4" max="4" width="10.5703125" bestFit="1" customWidth="1"/>
    <col min="5" max="7" width="11.42578125" customWidth="1"/>
    <col min="8" max="8" width="12.85546875" bestFit="1" customWidth="1"/>
    <col min="9" max="23" width="11.42578125" customWidth="1"/>
    <col min="24" max="24" width="12.85546875" bestFit="1" customWidth="1"/>
    <col min="25" max="27" width="11.42578125" customWidth="1"/>
    <col min="28" max="28" width="12.85546875" bestFit="1" customWidth="1"/>
    <col min="29" max="30" width="11.42578125" customWidth="1"/>
    <col min="31" max="32" width="9.140625" style="90"/>
    <col min="33" max="34" width="9.140625" style="46"/>
  </cols>
  <sheetData>
    <row r="1" spans="1:37" s="46" customFormat="1" ht="15.75" thickTop="1" x14ac:dyDescent="0.25">
      <c r="A1" s="266" t="s">
        <v>269</v>
      </c>
      <c r="B1" s="267" t="s">
        <v>162</v>
      </c>
      <c r="C1" s="268" t="s">
        <v>3</v>
      </c>
      <c r="D1" s="266" t="s">
        <v>273</v>
      </c>
      <c r="E1" s="266" t="s">
        <v>612</v>
      </c>
      <c r="F1" s="268" t="s">
        <v>540</v>
      </c>
      <c r="G1" s="268" t="s">
        <v>610</v>
      </c>
      <c r="H1" s="269" t="s">
        <v>611</v>
      </c>
      <c r="I1" s="270" t="s">
        <v>541</v>
      </c>
      <c r="J1" s="239" t="s">
        <v>544</v>
      </c>
      <c r="K1" s="238" t="s">
        <v>545</v>
      </c>
      <c r="L1" s="238" t="s">
        <v>542</v>
      </c>
      <c r="M1" s="238" t="s">
        <v>543</v>
      </c>
      <c r="N1" s="238" t="s">
        <v>546</v>
      </c>
      <c r="O1" s="239" t="s">
        <v>544</v>
      </c>
      <c r="P1" s="238" t="s">
        <v>545</v>
      </c>
      <c r="Q1" s="238" t="s">
        <v>542</v>
      </c>
      <c r="R1" s="238" t="s">
        <v>543</v>
      </c>
      <c r="S1" s="238" t="s">
        <v>546</v>
      </c>
      <c r="T1" s="239" t="s">
        <v>544</v>
      </c>
      <c r="U1" s="238" t="s">
        <v>545</v>
      </c>
      <c r="V1" s="238" t="s">
        <v>542</v>
      </c>
      <c r="W1" s="238" t="s">
        <v>543</v>
      </c>
      <c r="X1" s="238" t="s">
        <v>546</v>
      </c>
      <c r="Y1" s="239" t="s">
        <v>544</v>
      </c>
      <c r="Z1" s="238" t="s">
        <v>545</v>
      </c>
      <c r="AA1" s="238" t="s">
        <v>542</v>
      </c>
      <c r="AB1" s="238" t="s">
        <v>543</v>
      </c>
      <c r="AC1" s="240" t="s">
        <v>546</v>
      </c>
      <c r="AD1" s="225"/>
      <c r="AE1" s="90"/>
      <c r="AF1" s="90"/>
    </row>
    <row r="2" spans="1:37" x14ac:dyDescent="0.25">
      <c r="A2" s="246">
        <v>11</v>
      </c>
      <c r="B2" s="245" t="s">
        <v>547</v>
      </c>
      <c r="C2" s="228">
        <v>110</v>
      </c>
      <c r="D2" s="46" t="s">
        <v>548</v>
      </c>
      <c r="E2" s="241">
        <v>20350</v>
      </c>
      <c r="F2" s="242">
        <v>185</v>
      </c>
      <c r="G2" s="241">
        <v>103</v>
      </c>
      <c r="H2" s="241">
        <v>19038.5</v>
      </c>
      <c r="I2" s="242">
        <v>184.83980582524271</v>
      </c>
      <c r="J2" s="247">
        <v>20</v>
      </c>
      <c r="K2" s="248">
        <v>3700</v>
      </c>
      <c r="L2" s="248">
        <v>16</v>
      </c>
      <c r="M2" s="248">
        <v>2954.4</v>
      </c>
      <c r="N2" s="249">
        <v>3161.165048543689</v>
      </c>
      <c r="O2" s="247">
        <v>40</v>
      </c>
      <c r="P2" s="248">
        <v>7400</v>
      </c>
      <c r="Q2" s="248">
        <v>59.5</v>
      </c>
      <c r="R2" s="248">
        <v>11016.8</v>
      </c>
      <c r="S2" s="249">
        <v>11755.582524271844</v>
      </c>
      <c r="T2" s="247">
        <v>70</v>
      </c>
      <c r="U2" s="248">
        <v>12950</v>
      </c>
      <c r="V2" s="248">
        <v>91</v>
      </c>
      <c r="W2" s="248">
        <v>16842.3</v>
      </c>
      <c r="X2" s="249">
        <v>17979.126213592233</v>
      </c>
      <c r="Y2" s="247">
        <v>110</v>
      </c>
      <c r="Z2" s="248">
        <v>20350</v>
      </c>
      <c r="AA2" s="248">
        <v>103</v>
      </c>
      <c r="AB2" s="248">
        <v>19038.5</v>
      </c>
      <c r="AC2" s="249">
        <v>20350</v>
      </c>
      <c r="AD2" s="48"/>
    </row>
    <row r="3" spans="1:37" x14ac:dyDescent="0.25">
      <c r="A3" s="246">
        <v>13</v>
      </c>
      <c r="B3" s="245" t="s">
        <v>549</v>
      </c>
      <c r="C3" s="228">
        <v>1</v>
      </c>
      <c r="D3" s="46" t="s">
        <v>399</v>
      </c>
      <c r="E3" s="241">
        <v>5460</v>
      </c>
      <c r="F3" s="242">
        <v>5460</v>
      </c>
      <c r="G3" s="241">
        <v>1</v>
      </c>
      <c r="H3" s="241">
        <v>11878.85</v>
      </c>
      <c r="I3" s="242">
        <v>11878.85</v>
      </c>
      <c r="J3" s="250">
        <v>0</v>
      </c>
      <c r="K3" s="251">
        <v>0</v>
      </c>
      <c r="L3" s="251">
        <v>0</v>
      </c>
      <c r="M3" s="251">
        <v>0</v>
      </c>
      <c r="N3" s="252">
        <v>0</v>
      </c>
      <c r="O3" s="250">
        <v>0.5</v>
      </c>
      <c r="P3" s="251">
        <v>2730</v>
      </c>
      <c r="Q3" s="251">
        <v>0.65</v>
      </c>
      <c r="R3" s="251">
        <v>7389.85</v>
      </c>
      <c r="S3" s="252">
        <v>3549</v>
      </c>
      <c r="T3" s="250">
        <v>1</v>
      </c>
      <c r="U3" s="251">
        <v>5460</v>
      </c>
      <c r="V3" s="251">
        <v>0.65</v>
      </c>
      <c r="W3" s="251">
        <v>7389.85</v>
      </c>
      <c r="X3" s="252">
        <v>3549</v>
      </c>
      <c r="Y3" s="250">
        <v>1</v>
      </c>
      <c r="Z3" s="251">
        <v>5460</v>
      </c>
      <c r="AA3" s="251">
        <v>1</v>
      </c>
      <c r="AB3" s="251">
        <v>11878.85</v>
      </c>
      <c r="AC3" s="252">
        <v>5460</v>
      </c>
      <c r="AD3" s="241"/>
      <c r="AK3" s="256"/>
    </row>
    <row r="4" spans="1:37" ht="17.25" x14ac:dyDescent="0.25">
      <c r="A4" s="246">
        <v>31</v>
      </c>
      <c r="B4" s="245" t="s">
        <v>550</v>
      </c>
      <c r="C4" s="228">
        <v>2500</v>
      </c>
      <c r="D4" s="46" t="s">
        <v>551</v>
      </c>
      <c r="E4" s="241">
        <v>20012.000000000004</v>
      </c>
      <c r="F4" s="242">
        <v>8.0048000000000012</v>
      </c>
      <c r="G4" s="241">
        <v>2500</v>
      </c>
      <c r="H4" s="241">
        <v>8287.17</v>
      </c>
      <c r="I4" s="242">
        <v>3.3148680000000001</v>
      </c>
      <c r="J4" s="250">
        <v>2500</v>
      </c>
      <c r="K4" s="251">
        <v>20012.000000000004</v>
      </c>
      <c r="L4" s="251">
        <v>2500</v>
      </c>
      <c r="M4" s="251">
        <v>8287.17</v>
      </c>
      <c r="N4" s="252">
        <v>20012.000000000004</v>
      </c>
      <c r="O4" s="250">
        <v>2500</v>
      </c>
      <c r="P4" s="251">
        <v>20012.000000000004</v>
      </c>
      <c r="Q4" s="251">
        <v>2500</v>
      </c>
      <c r="R4" s="251">
        <v>8287.17</v>
      </c>
      <c r="S4" s="252">
        <v>20012.000000000004</v>
      </c>
      <c r="T4" s="250">
        <v>2500</v>
      </c>
      <c r="U4" s="251">
        <v>20012.000000000004</v>
      </c>
      <c r="V4" s="251">
        <v>2500</v>
      </c>
      <c r="W4" s="251">
        <v>8287.17</v>
      </c>
      <c r="X4" s="252">
        <v>20012.000000000004</v>
      </c>
      <c r="Y4" s="250">
        <v>2500</v>
      </c>
      <c r="Z4" s="251">
        <v>20012.000000000004</v>
      </c>
      <c r="AA4" s="251">
        <v>2500</v>
      </c>
      <c r="AB4" s="251">
        <v>8287.17</v>
      </c>
      <c r="AC4" s="252">
        <v>20012.000000000004</v>
      </c>
      <c r="AD4" s="241"/>
      <c r="AK4" s="256"/>
    </row>
    <row r="5" spans="1:37" ht="17.25" x14ac:dyDescent="0.25">
      <c r="A5" s="246">
        <v>51</v>
      </c>
      <c r="B5" s="245" t="s">
        <v>552</v>
      </c>
      <c r="C5" s="228">
        <v>22919</v>
      </c>
      <c r="D5" s="46" t="s">
        <v>551</v>
      </c>
      <c r="E5" s="241">
        <v>244936.5155386707</v>
      </c>
      <c r="F5" s="242">
        <v>10.687050723795572</v>
      </c>
      <c r="G5" s="241">
        <v>22919</v>
      </c>
      <c r="H5" s="241">
        <v>292965.58500000002</v>
      </c>
      <c r="I5" s="242">
        <v>12.782651293686461</v>
      </c>
      <c r="J5" s="250">
        <v>0</v>
      </c>
      <c r="K5" s="251">
        <v>0</v>
      </c>
      <c r="L5" s="251">
        <v>1400</v>
      </c>
      <c r="M5" s="251">
        <v>34066.539999999994</v>
      </c>
      <c r="N5" s="252">
        <v>14961.871013313801</v>
      </c>
      <c r="O5" s="250">
        <v>16000</v>
      </c>
      <c r="P5" s="251">
        <v>170992.81158072915</v>
      </c>
      <c r="Q5" s="251">
        <v>12500</v>
      </c>
      <c r="R5" s="251">
        <v>169440.32500000007</v>
      </c>
      <c r="S5" s="252">
        <v>133588.13404744465</v>
      </c>
      <c r="T5" s="250">
        <v>22919</v>
      </c>
      <c r="U5" s="251">
        <v>244936.5155386707</v>
      </c>
      <c r="V5" s="251">
        <v>22919</v>
      </c>
      <c r="W5" s="251">
        <v>292965.58500000002</v>
      </c>
      <c r="X5" s="252">
        <v>244936.5155386707</v>
      </c>
      <c r="Y5" s="250">
        <v>22919</v>
      </c>
      <c r="Z5" s="251">
        <v>244936.5155386707</v>
      </c>
      <c r="AA5" s="251">
        <v>22919</v>
      </c>
      <c r="AB5" s="251">
        <v>292965.58500000002</v>
      </c>
      <c r="AC5" s="252">
        <v>244936.5155386707</v>
      </c>
      <c r="AD5" s="241"/>
      <c r="AK5" s="256"/>
    </row>
    <row r="6" spans="1:37" ht="30" x14ac:dyDescent="0.25">
      <c r="A6" s="246">
        <v>59</v>
      </c>
      <c r="B6" s="223" t="s">
        <v>553</v>
      </c>
      <c r="C6" s="228">
        <v>86600</v>
      </c>
      <c r="D6" s="46" t="s">
        <v>554</v>
      </c>
      <c r="E6" s="241">
        <v>138448.83333333331</v>
      </c>
      <c r="F6" s="242">
        <v>1.598716320246343</v>
      </c>
      <c r="G6" s="241">
        <v>86600</v>
      </c>
      <c r="H6" s="241">
        <v>105179.34000000001</v>
      </c>
      <c r="I6" s="242">
        <v>1.2145420323325637</v>
      </c>
      <c r="J6" s="250">
        <v>10000</v>
      </c>
      <c r="K6" s="251">
        <v>15987.163202463431</v>
      </c>
      <c r="L6" s="251">
        <v>5000</v>
      </c>
      <c r="M6" s="251">
        <v>6900</v>
      </c>
      <c r="N6" s="252">
        <v>7993.5816012317155</v>
      </c>
      <c r="O6" s="250">
        <v>45000</v>
      </c>
      <c r="P6" s="251">
        <v>71942.234411085432</v>
      </c>
      <c r="Q6" s="251">
        <v>49500</v>
      </c>
      <c r="R6" s="251">
        <v>62115</v>
      </c>
      <c r="S6" s="252">
        <v>79136.457852193984</v>
      </c>
      <c r="T6" s="250">
        <v>86600</v>
      </c>
      <c r="U6" s="251">
        <v>138448.83333333331</v>
      </c>
      <c r="V6" s="251">
        <v>82500</v>
      </c>
      <c r="W6" s="251">
        <v>99312.8</v>
      </c>
      <c r="X6" s="252">
        <v>131894.0964203233</v>
      </c>
      <c r="Y6" s="250">
        <v>86600</v>
      </c>
      <c r="Z6" s="251">
        <v>138448.83333333331</v>
      </c>
      <c r="AA6" s="251">
        <v>86600</v>
      </c>
      <c r="AB6" s="251">
        <v>105179.34000000001</v>
      </c>
      <c r="AC6" s="252">
        <v>138448.83333333331</v>
      </c>
      <c r="AD6" s="241"/>
      <c r="AK6" s="256"/>
    </row>
    <row r="7" spans="1:37" x14ac:dyDescent="0.25">
      <c r="A7" s="246">
        <v>62</v>
      </c>
      <c r="B7" s="245" t="s">
        <v>555</v>
      </c>
      <c r="C7" s="228">
        <v>1056</v>
      </c>
      <c r="D7" s="46" t="s">
        <v>107</v>
      </c>
      <c r="E7" s="241">
        <v>6320.1283993580037</v>
      </c>
      <c r="F7" s="242">
        <v>5.9849700751496249</v>
      </c>
      <c r="G7" s="241">
        <v>641</v>
      </c>
      <c r="H7" s="241">
        <v>3632.5</v>
      </c>
      <c r="I7" s="242">
        <v>5.6669266770670825</v>
      </c>
      <c r="J7" s="250">
        <v>0</v>
      </c>
      <c r="K7" s="251">
        <v>0</v>
      </c>
      <c r="L7" s="251">
        <v>0</v>
      </c>
      <c r="M7" s="251">
        <v>0</v>
      </c>
      <c r="N7" s="252">
        <v>0</v>
      </c>
      <c r="O7" s="250">
        <v>0</v>
      </c>
      <c r="P7" s="251">
        <v>0</v>
      </c>
      <c r="Q7" s="251">
        <v>0</v>
      </c>
      <c r="R7" s="251">
        <v>0</v>
      </c>
      <c r="S7" s="252">
        <v>0</v>
      </c>
      <c r="T7" s="250">
        <v>1056</v>
      </c>
      <c r="U7" s="251">
        <v>6320.1283993580037</v>
      </c>
      <c r="V7" s="251">
        <v>641</v>
      </c>
      <c r="W7" s="251">
        <v>3632.5</v>
      </c>
      <c r="X7" s="252">
        <v>6320.1283993580037</v>
      </c>
      <c r="Y7" s="250">
        <v>1056</v>
      </c>
      <c r="Z7" s="251">
        <v>6320.1283993580037</v>
      </c>
      <c r="AA7" s="251">
        <v>641</v>
      </c>
      <c r="AB7" s="251">
        <v>3632.5</v>
      </c>
      <c r="AC7" s="252">
        <v>6320.1283993580037</v>
      </c>
      <c r="AD7" s="241"/>
      <c r="AK7" s="256"/>
    </row>
    <row r="8" spans="1:37" x14ac:dyDescent="0.25">
      <c r="A8" s="246">
        <v>91</v>
      </c>
      <c r="B8" s="223" t="s">
        <v>556</v>
      </c>
      <c r="C8" s="228">
        <v>740</v>
      </c>
      <c r="D8" s="46" t="s">
        <v>557</v>
      </c>
      <c r="E8" s="241">
        <v>14825</v>
      </c>
      <c r="F8" s="242">
        <v>20.033783783783782</v>
      </c>
      <c r="G8" s="241">
        <v>740</v>
      </c>
      <c r="H8" s="241">
        <v>11473.04</v>
      </c>
      <c r="I8" s="242">
        <v>15.50410810810811</v>
      </c>
      <c r="J8" s="250">
        <v>0</v>
      </c>
      <c r="K8" s="251">
        <v>0</v>
      </c>
      <c r="L8" s="251">
        <v>0</v>
      </c>
      <c r="M8" s="251">
        <v>0</v>
      </c>
      <c r="N8" s="252">
        <v>0</v>
      </c>
      <c r="O8" s="250">
        <v>0</v>
      </c>
      <c r="P8" s="251">
        <v>0</v>
      </c>
      <c r="Q8" s="251">
        <v>0</v>
      </c>
      <c r="R8" s="251">
        <v>0</v>
      </c>
      <c r="S8" s="252">
        <v>0</v>
      </c>
      <c r="T8" s="250">
        <v>740</v>
      </c>
      <c r="U8" s="251">
        <v>14824.999999999998</v>
      </c>
      <c r="V8" s="251">
        <v>245</v>
      </c>
      <c r="W8" s="251">
        <v>3235.4000000000005</v>
      </c>
      <c r="X8" s="252">
        <v>4908.2770270270275</v>
      </c>
      <c r="Y8" s="250">
        <v>740</v>
      </c>
      <c r="Z8" s="251">
        <v>14824.999999999998</v>
      </c>
      <c r="AA8" s="251">
        <v>740</v>
      </c>
      <c r="AB8" s="251">
        <v>11473.04</v>
      </c>
      <c r="AC8" s="252">
        <v>14825</v>
      </c>
      <c r="AD8" s="241"/>
      <c r="AK8" s="256"/>
    </row>
    <row r="9" spans="1:37" x14ac:dyDescent="0.25">
      <c r="A9" s="246">
        <v>131</v>
      </c>
      <c r="B9" s="245" t="s">
        <v>558</v>
      </c>
      <c r="C9" s="228">
        <v>300</v>
      </c>
      <c r="D9" s="46" t="s">
        <v>557</v>
      </c>
      <c r="E9" s="241">
        <v>2970</v>
      </c>
      <c r="F9" s="242">
        <v>9.9</v>
      </c>
      <c r="G9" s="241">
        <v>300</v>
      </c>
      <c r="H9" s="241">
        <v>18430</v>
      </c>
      <c r="I9" s="242">
        <v>61.43333333333333</v>
      </c>
      <c r="J9" s="250">
        <v>0</v>
      </c>
      <c r="K9" s="251">
        <v>0</v>
      </c>
      <c r="L9" s="251">
        <v>0</v>
      </c>
      <c r="M9" s="251">
        <v>0</v>
      </c>
      <c r="N9" s="252">
        <v>0</v>
      </c>
      <c r="O9" s="250">
        <v>0</v>
      </c>
      <c r="P9" s="251">
        <v>0</v>
      </c>
      <c r="Q9" s="251">
        <v>0</v>
      </c>
      <c r="R9" s="251">
        <v>0</v>
      </c>
      <c r="S9" s="252">
        <v>0</v>
      </c>
      <c r="T9" s="250">
        <v>300</v>
      </c>
      <c r="U9" s="251">
        <v>2970</v>
      </c>
      <c r="V9" s="251">
        <v>300</v>
      </c>
      <c r="W9" s="251">
        <v>18430</v>
      </c>
      <c r="X9" s="252">
        <v>2970</v>
      </c>
      <c r="Y9" s="250">
        <v>300</v>
      </c>
      <c r="Z9" s="251">
        <v>2970</v>
      </c>
      <c r="AA9" s="251">
        <v>300</v>
      </c>
      <c r="AB9" s="251">
        <v>18430</v>
      </c>
      <c r="AC9" s="252">
        <v>2970</v>
      </c>
      <c r="AD9" s="241"/>
      <c r="AK9" s="256"/>
    </row>
    <row r="10" spans="1:37" ht="30" x14ac:dyDescent="0.25">
      <c r="A10" s="246">
        <v>151</v>
      </c>
      <c r="B10" s="245" t="s">
        <v>559</v>
      </c>
      <c r="C10" s="228">
        <v>1</v>
      </c>
      <c r="D10" s="46" t="s">
        <v>399</v>
      </c>
      <c r="E10" s="241">
        <v>14238.9998</v>
      </c>
      <c r="F10" s="242">
        <v>14238.9998</v>
      </c>
      <c r="G10" s="241">
        <v>0</v>
      </c>
      <c r="H10" s="241">
        <v>0</v>
      </c>
      <c r="I10" s="242">
        <v>0</v>
      </c>
      <c r="J10" s="250">
        <v>1</v>
      </c>
      <c r="K10" s="251">
        <v>14238.9998</v>
      </c>
      <c r="L10" s="251">
        <v>0</v>
      </c>
      <c r="M10" s="251"/>
      <c r="N10" s="252">
        <v>0</v>
      </c>
      <c r="O10" s="250">
        <v>1</v>
      </c>
      <c r="P10" s="251">
        <v>14238.9998</v>
      </c>
      <c r="Q10" s="251">
        <v>0</v>
      </c>
      <c r="R10" s="251"/>
      <c r="S10" s="252">
        <v>14238.9998</v>
      </c>
      <c r="T10" s="250">
        <v>1</v>
      </c>
      <c r="U10" s="251">
        <v>14238.9998</v>
      </c>
      <c r="V10" s="251">
        <v>0</v>
      </c>
      <c r="W10" s="251"/>
      <c r="X10" s="252">
        <v>14238.9998</v>
      </c>
      <c r="Y10" s="250">
        <v>1</v>
      </c>
      <c r="Z10" s="251">
        <v>14238.9998</v>
      </c>
      <c r="AA10" s="251">
        <v>0</v>
      </c>
      <c r="AB10" s="251"/>
      <c r="AC10" s="252">
        <v>14238.9998</v>
      </c>
      <c r="AD10" s="241"/>
      <c r="AK10" s="256"/>
    </row>
    <row r="11" spans="1:37" ht="17.25" x14ac:dyDescent="0.25">
      <c r="A11" s="246">
        <v>161</v>
      </c>
      <c r="B11" s="223" t="s">
        <v>560</v>
      </c>
      <c r="C11" s="228">
        <v>15960</v>
      </c>
      <c r="D11" s="46" t="s">
        <v>554</v>
      </c>
      <c r="E11" s="241">
        <v>50804.592065383964</v>
      </c>
      <c r="F11" s="242">
        <v>3.1832451168786946</v>
      </c>
      <c r="G11" s="241">
        <v>15960</v>
      </c>
      <c r="H11" s="241">
        <v>48447.014999999992</v>
      </c>
      <c r="I11" s="242">
        <v>3.0355272556390971</v>
      </c>
      <c r="J11" s="250">
        <v>0</v>
      </c>
      <c r="K11" s="251">
        <v>0</v>
      </c>
      <c r="L11" s="251">
        <v>0</v>
      </c>
      <c r="M11" s="251">
        <v>0</v>
      </c>
      <c r="N11" s="252">
        <v>0</v>
      </c>
      <c r="O11" s="250">
        <v>7500</v>
      </c>
      <c r="P11" s="251">
        <v>23874.338376590211</v>
      </c>
      <c r="Q11" s="251">
        <v>0</v>
      </c>
      <c r="R11" s="251">
        <v>0</v>
      </c>
      <c r="S11" s="252">
        <v>0</v>
      </c>
      <c r="T11" s="250">
        <v>15960</v>
      </c>
      <c r="U11" s="251">
        <v>50804.592065383964</v>
      </c>
      <c r="V11" s="251">
        <v>12550</v>
      </c>
      <c r="W11" s="251">
        <v>38097</v>
      </c>
      <c r="X11" s="252">
        <v>39949.726216827614</v>
      </c>
      <c r="Y11" s="250">
        <v>15960</v>
      </c>
      <c r="Z11" s="251">
        <v>50804.592065383964</v>
      </c>
      <c r="AA11" s="251">
        <v>15960</v>
      </c>
      <c r="AB11" s="251">
        <v>48447.014999999992</v>
      </c>
      <c r="AC11" s="252">
        <v>50804.592065383964</v>
      </c>
      <c r="AD11" s="241"/>
      <c r="AK11" s="256"/>
    </row>
    <row r="12" spans="1:37" ht="17.25" x14ac:dyDescent="0.25">
      <c r="A12" s="246">
        <v>162</v>
      </c>
      <c r="B12" s="223" t="s">
        <v>561</v>
      </c>
      <c r="C12" s="228">
        <v>15960</v>
      </c>
      <c r="D12" s="46" t="s">
        <v>554</v>
      </c>
      <c r="E12" s="241">
        <v>27502.992065383962</v>
      </c>
      <c r="F12" s="242">
        <v>1.7232451168786944</v>
      </c>
      <c r="G12" s="241">
        <v>15960</v>
      </c>
      <c r="H12" s="241">
        <v>16222.5</v>
      </c>
      <c r="I12" s="242">
        <v>1.0164473684210527</v>
      </c>
      <c r="J12" s="250">
        <v>0</v>
      </c>
      <c r="K12" s="251">
        <v>0</v>
      </c>
      <c r="L12" s="251">
        <v>0</v>
      </c>
      <c r="M12" s="251">
        <v>0</v>
      </c>
      <c r="N12" s="252">
        <v>0</v>
      </c>
      <c r="O12" s="250">
        <v>0</v>
      </c>
      <c r="P12" s="251">
        <v>0</v>
      </c>
      <c r="Q12" s="251">
        <v>0</v>
      </c>
      <c r="R12" s="251">
        <v>0</v>
      </c>
      <c r="S12" s="252">
        <v>0</v>
      </c>
      <c r="T12" s="250">
        <v>15960</v>
      </c>
      <c r="U12" s="251">
        <v>27502.992065383962</v>
      </c>
      <c r="V12" s="251">
        <v>15960</v>
      </c>
      <c r="W12" s="251">
        <v>16222.5</v>
      </c>
      <c r="X12" s="252">
        <v>27502.992065383962</v>
      </c>
      <c r="Y12" s="250">
        <v>15960</v>
      </c>
      <c r="Z12" s="251">
        <v>27502.992065383962</v>
      </c>
      <c r="AA12" s="251">
        <v>15960</v>
      </c>
      <c r="AB12" s="251">
        <v>16222.5</v>
      </c>
      <c r="AC12" s="252">
        <v>27502.992065383962</v>
      </c>
      <c r="AD12" s="241"/>
      <c r="AK12" s="256"/>
    </row>
    <row r="13" spans="1:37" ht="30" x14ac:dyDescent="0.25">
      <c r="A13" s="246">
        <v>191</v>
      </c>
      <c r="B13" s="223" t="s">
        <v>562</v>
      </c>
      <c r="C13" s="228"/>
      <c r="D13" s="46" t="s">
        <v>293</v>
      </c>
      <c r="E13" s="241"/>
      <c r="F13" s="242">
        <v>0</v>
      </c>
      <c r="G13" s="241">
        <v>1</v>
      </c>
      <c r="H13" s="241">
        <v>7230</v>
      </c>
      <c r="I13" s="242">
        <v>7230</v>
      </c>
      <c r="J13" s="250">
        <v>0</v>
      </c>
      <c r="K13" s="251">
        <v>0</v>
      </c>
      <c r="L13" s="251">
        <v>0</v>
      </c>
      <c r="M13" s="251">
        <v>0</v>
      </c>
      <c r="N13" s="252">
        <v>0</v>
      </c>
      <c r="O13" s="250">
        <v>0</v>
      </c>
      <c r="P13" s="251">
        <v>0</v>
      </c>
      <c r="Q13" s="251">
        <v>0</v>
      </c>
      <c r="R13" s="251">
        <v>0</v>
      </c>
      <c r="S13" s="252">
        <v>0</v>
      </c>
      <c r="T13" s="250">
        <v>0</v>
      </c>
      <c r="U13" s="251">
        <v>0</v>
      </c>
      <c r="V13" s="251">
        <v>0</v>
      </c>
      <c r="W13" s="251">
        <v>7230</v>
      </c>
      <c r="X13" s="252">
        <v>0</v>
      </c>
      <c r="Y13" s="250">
        <v>0</v>
      </c>
      <c r="Z13" s="251">
        <v>0</v>
      </c>
      <c r="AA13" s="251">
        <v>1</v>
      </c>
      <c r="AB13" s="251">
        <v>7230</v>
      </c>
      <c r="AC13" s="252">
        <v>0</v>
      </c>
      <c r="AD13" s="241"/>
      <c r="AK13" s="256"/>
    </row>
    <row r="14" spans="1:37" x14ac:dyDescent="0.25">
      <c r="A14" s="246">
        <v>221</v>
      </c>
      <c r="B14" s="223" t="s">
        <v>563</v>
      </c>
      <c r="C14" s="228">
        <v>1</v>
      </c>
      <c r="D14" s="46" t="s">
        <v>399</v>
      </c>
      <c r="E14" s="241">
        <v>1512.5045045045044</v>
      </c>
      <c r="F14" s="242">
        <v>1512.5045045045044</v>
      </c>
      <c r="G14" s="241">
        <v>1</v>
      </c>
      <c r="H14" s="241">
        <v>1180.1500000000001</v>
      </c>
      <c r="I14" s="242">
        <v>1180.1500000000001</v>
      </c>
      <c r="J14" s="250">
        <v>0</v>
      </c>
      <c r="K14" s="251">
        <v>0</v>
      </c>
      <c r="L14" s="251">
        <v>0</v>
      </c>
      <c r="M14" s="251">
        <v>0</v>
      </c>
      <c r="N14" s="252">
        <v>0</v>
      </c>
      <c r="O14" s="250">
        <v>0</v>
      </c>
      <c r="P14" s="251">
        <v>0</v>
      </c>
      <c r="Q14" s="251">
        <v>0</v>
      </c>
      <c r="R14" s="251">
        <v>0</v>
      </c>
      <c r="S14" s="252">
        <v>0</v>
      </c>
      <c r="T14" s="250">
        <v>1</v>
      </c>
      <c r="U14" s="251">
        <v>1512.5045045045044</v>
      </c>
      <c r="V14" s="251">
        <v>1</v>
      </c>
      <c r="W14" s="251">
        <v>1180.1500000000001</v>
      </c>
      <c r="X14" s="252">
        <v>1512.5045045045044</v>
      </c>
      <c r="Y14" s="250">
        <v>1</v>
      </c>
      <c r="Z14" s="251">
        <v>1512.5045045045044</v>
      </c>
      <c r="AA14" s="251">
        <v>1</v>
      </c>
      <c r="AB14" s="251">
        <v>1180.1500000000001</v>
      </c>
      <c r="AC14" s="252">
        <v>1512.5045045045044</v>
      </c>
      <c r="AD14" s="241"/>
      <c r="AK14" s="256"/>
    </row>
    <row r="15" spans="1:37" ht="17.25" x14ac:dyDescent="0.25">
      <c r="A15" s="246">
        <v>222</v>
      </c>
      <c r="B15" s="223" t="s">
        <v>564</v>
      </c>
      <c r="C15" s="228">
        <v>3400</v>
      </c>
      <c r="D15" s="46" t="s">
        <v>554</v>
      </c>
      <c r="E15" s="241">
        <v>40831</v>
      </c>
      <c r="F15" s="242">
        <v>12.009117647058824</v>
      </c>
      <c r="G15" s="241">
        <v>3400</v>
      </c>
      <c r="H15" s="241">
        <v>36108.199999999997</v>
      </c>
      <c r="I15" s="242">
        <v>10.62005882352941</v>
      </c>
      <c r="J15" s="250">
        <v>0</v>
      </c>
      <c r="K15" s="251">
        <v>0</v>
      </c>
      <c r="L15" s="251">
        <v>0</v>
      </c>
      <c r="M15" s="251">
        <v>0</v>
      </c>
      <c r="N15" s="252">
        <v>0</v>
      </c>
      <c r="O15" s="250">
        <v>0</v>
      </c>
      <c r="P15" s="251">
        <v>0</v>
      </c>
      <c r="Q15" s="251">
        <v>2880</v>
      </c>
      <c r="R15" s="251">
        <v>30608.2</v>
      </c>
      <c r="S15" s="252">
        <v>34586.25882352941</v>
      </c>
      <c r="T15" s="250">
        <v>3400</v>
      </c>
      <c r="U15" s="251">
        <v>40831</v>
      </c>
      <c r="V15" s="251">
        <v>3400</v>
      </c>
      <c r="W15" s="251">
        <v>36108.199999999997</v>
      </c>
      <c r="X15" s="252">
        <v>40831</v>
      </c>
      <c r="Y15" s="250">
        <v>3400</v>
      </c>
      <c r="Z15" s="251">
        <v>40831</v>
      </c>
      <c r="AA15" s="251">
        <v>3400</v>
      </c>
      <c r="AB15" s="251">
        <v>36108.199999999997</v>
      </c>
      <c r="AC15" s="252">
        <v>40831</v>
      </c>
      <c r="AD15" s="241"/>
      <c r="AK15" s="256"/>
    </row>
    <row r="16" spans="1:37" ht="17.25" x14ac:dyDescent="0.25">
      <c r="A16" s="246">
        <v>223</v>
      </c>
      <c r="B16" s="223" t="s">
        <v>565</v>
      </c>
      <c r="C16" s="228">
        <v>16118</v>
      </c>
      <c r="D16" s="46" t="s">
        <v>554</v>
      </c>
      <c r="E16" s="241">
        <v>140573.15680961299</v>
      </c>
      <c r="F16" s="242">
        <v>8.7215012290366669</v>
      </c>
      <c r="G16" s="241">
        <v>16118</v>
      </c>
      <c r="H16" s="241">
        <v>141962.25</v>
      </c>
      <c r="I16" s="242">
        <v>8.8076839558257856</v>
      </c>
      <c r="J16" s="250">
        <v>0</v>
      </c>
      <c r="K16" s="251">
        <v>0</v>
      </c>
      <c r="L16" s="251">
        <v>0</v>
      </c>
      <c r="M16" s="251">
        <v>0</v>
      </c>
      <c r="N16" s="252">
        <v>0</v>
      </c>
      <c r="O16" s="250">
        <v>0</v>
      </c>
      <c r="P16" s="251">
        <v>0</v>
      </c>
      <c r="Q16" s="251">
        <v>0</v>
      </c>
      <c r="R16" s="251">
        <v>0</v>
      </c>
      <c r="S16" s="252">
        <v>0</v>
      </c>
      <c r="T16" s="250">
        <v>16118</v>
      </c>
      <c r="U16" s="251">
        <v>140573.15680961299</v>
      </c>
      <c r="V16" s="251">
        <v>3100</v>
      </c>
      <c r="W16" s="251">
        <v>28403.759999999995</v>
      </c>
      <c r="X16" s="252">
        <v>27036.653810013664</v>
      </c>
      <c r="Y16" s="250">
        <v>16118</v>
      </c>
      <c r="Z16" s="251">
        <v>140573.15680961299</v>
      </c>
      <c r="AA16" s="251">
        <v>16118</v>
      </c>
      <c r="AB16" s="251">
        <v>141962.25</v>
      </c>
      <c r="AC16" s="252">
        <v>140573.15680961299</v>
      </c>
      <c r="AD16" s="241"/>
      <c r="AK16" s="256"/>
    </row>
    <row r="17" spans="1:40" x14ac:dyDescent="0.25">
      <c r="A17" s="246">
        <v>224</v>
      </c>
      <c r="B17" s="223" t="s">
        <v>566</v>
      </c>
      <c r="C17" s="228">
        <v>6008</v>
      </c>
      <c r="D17" s="46" t="s">
        <v>107</v>
      </c>
      <c r="E17" s="241">
        <v>30776.014583333334</v>
      </c>
      <c r="F17" s="242">
        <v>5.1225057562139371</v>
      </c>
      <c r="G17" s="241">
        <v>6656</v>
      </c>
      <c r="H17" s="241">
        <v>11791.5</v>
      </c>
      <c r="I17" s="242">
        <v>1.7715594951923077</v>
      </c>
      <c r="J17" s="250">
        <v>0</v>
      </c>
      <c r="K17" s="251">
        <v>0</v>
      </c>
      <c r="L17" s="251">
        <v>0</v>
      </c>
      <c r="M17" s="251">
        <v>0</v>
      </c>
      <c r="N17" s="252">
        <v>0</v>
      </c>
      <c r="O17" s="250">
        <v>2000</v>
      </c>
      <c r="P17" s="251">
        <v>10245.011512427875</v>
      </c>
      <c r="Q17" s="251">
        <v>0</v>
      </c>
      <c r="R17" s="251">
        <v>0</v>
      </c>
      <c r="S17" s="252">
        <v>0</v>
      </c>
      <c r="T17" s="250">
        <v>6008</v>
      </c>
      <c r="U17" s="251">
        <v>30776.014583333334</v>
      </c>
      <c r="V17" s="251">
        <v>4000</v>
      </c>
      <c r="W17" s="251">
        <v>6132</v>
      </c>
      <c r="X17" s="252">
        <v>18495.201071714742</v>
      </c>
      <c r="Y17" s="250">
        <v>6008</v>
      </c>
      <c r="Z17" s="251">
        <v>30776.014583333334</v>
      </c>
      <c r="AA17" s="251">
        <v>6656</v>
      </c>
      <c r="AB17" s="251">
        <v>11791.5</v>
      </c>
      <c r="AC17" s="252">
        <v>30776.014583333334</v>
      </c>
      <c r="AD17" s="241"/>
      <c r="AK17" s="256"/>
    </row>
    <row r="18" spans="1:40" ht="17.25" x14ac:dyDescent="0.25">
      <c r="A18" s="246">
        <v>510</v>
      </c>
      <c r="B18" s="223" t="s">
        <v>567</v>
      </c>
      <c r="C18" s="228">
        <v>20000</v>
      </c>
      <c r="D18" s="46" t="s">
        <v>554</v>
      </c>
      <c r="E18" s="241">
        <v>28424.12</v>
      </c>
      <c r="F18" s="242">
        <v>1.421206</v>
      </c>
      <c r="G18" s="241">
        <v>20000</v>
      </c>
      <c r="H18" s="241">
        <v>25880</v>
      </c>
      <c r="I18" s="242">
        <v>1.294</v>
      </c>
      <c r="J18" s="250">
        <v>0</v>
      </c>
      <c r="K18" s="251">
        <v>0</v>
      </c>
      <c r="L18" s="251">
        <v>0</v>
      </c>
      <c r="M18" s="251">
        <v>0</v>
      </c>
      <c r="N18" s="252">
        <v>0</v>
      </c>
      <c r="O18" s="250">
        <v>20000</v>
      </c>
      <c r="P18" s="251">
        <v>28424.12</v>
      </c>
      <c r="Q18" s="251">
        <v>20000</v>
      </c>
      <c r="R18" s="251">
        <v>25880</v>
      </c>
      <c r="S18" s="252">
        <v>28424.12</v>
      </c>
      <c r="T18" s="250">
        <v>20000</v>
      </c>
      <c r="U18" s="251">
        <v>28424.12</v>
      </c>
      <c r="V18" s="251">
        <v>20000</v>
      </c>
      <c r="W18" s="251">
        <v>25880</v>
      </c>
      <c r="X18" s="252">
        <v>28424.12</v>
      </c>
      <c r="Y18" s="250">
        <v>20000</v>
      </c>
      <c r="Z18" s="251">
        <v>28424.12</v>
      </c>
      <c r="AA18" s="251">
        <v>20000</v>
      </c>
      <c r="AB18" s="251">
        <v>25880</v>
      </c>
      <c r="AC18" s="252">
        <v>28424.12</v>
      </c>
      <c r="AD18" s="241"/>
      <c r="AK18" s="256"/>
    </row>
    <row r="19" spans="1:40" x14ac:dyDescent="0.25">
      <c r="A19" s="246">
        <v>901</v>
      </c>
      <c r="B19" s="245" t="s">
        <v>568</v>
      </c>
      <c r="C19" s="228">
        <v>7.2</v>
      </c>
      <c r="D19" s="46" t="s">
        <v>569</v>
      </c>
      <c r="E19" s="241">
        <v>22750</v>
      </c>
      <c r="F19" s="242">
        <v>3159.7222222222222</v>
      </c>
      <c r="G19" s="241">
        <v>0.5</v>
      </c>
      <c r="H19" s="241">
        <v>1359.33</v>
      </c>
      <c r="I19" s="242">
        <v>2718.66</v>
      </c>
      <c r="J19" s="250">
        <v>2</v>
      </c>
      <c r="K19" s="251">
        <v>6319.4444444444443</v>
      </c>
      <c r="L19" s="251">
        <v>0.4</v>
      </c>
      <c r="M19" s="251">
        <v>954.33</v>
      </c>
      <c r="N19" s="252">
        <v>18200</v>
      </c>
      <c r="O19" s="250">
        <v>4</v>
      </c>
      <c r="P19" s="251">
        <v>12638.888888888889</v>
      </c>
      <c r="Q19" s="251">
        <v>0.4</v>
      </c>
      <c r="R19" s="251">
        <v>954.33</v>
      </c>
      <c r="S19" s="252">
        <v>18200</v>
      </c>
      <c r="T19" s="250">
        <v>7.2</v>
      </c>
      <c r="U19" s="251">
        <v>22750</v>
      </c>
      <c r="V19" s="251">
        <v>1</v>
      </c>
      <c r="W19" s="251">
        <v>1359.33</v>
      </c>
      <c r="X19" s="252">
        <v>45500</v>
      </c>
      <c r="Y19" s="250">
        <v>7.2</v>
      </c>
      <c r="Z19" s="251">
        <v>22750</v>
      </c>
      <c r="AA19" s="251">
        <v>0.5</v>
      </c>
      <c r="AB19" s="251">
        <v>1359.33</v>
      </c>
      <c r="AC19" s="252">
        <v>22750</v>
      </c>
      <c r="AD19" s="241"/>
      <c r="AK19" s="256"/>
    </row>
    <row r="20" spans="1:40" x14ac:dyDescent="0.25">
      <c r="A20" s="246">
        <v>902</v>
      </c>
      <c r="B20" s="245" t="s">
        <v>144</v>
      </c>
      <c r="C20" s="228">
        <v>12</v>
      </c>
      <c r="D20" s="46" t="s">
        <v>569</v>
      </c>
      <c r="E20" s="241">
        <v>40200</v>
      </c>
      <c r="F20" s="242">
        <v>3350</v>
      </c>
      <c r="G20" s="241">
        <v>16</v>
      </c>
      <c r="H20" s="241">
        <v>42014.909999999996</v>
      </c>
      <c r="I20" s="242">
        <v>2625.9318749999998</v>
      </c>
      <c r="J20" s="250">
        <v>3</v>
      </c>
      <c r="K20" s="251">
        <v>10050</v>
      </c>
      <c r="L20" s="251">
        <v>3.3</v>
      </c>
      <c r="M20" s="251">
        <v>8554.7599999999984</v>
      </c>
      <c r="N20" s="252">
        <v>8291.25</v>
      </c>
      <c r="O20" s="250">
        <v>6</v>
      </c>
      <c r="P20" s="251">
        <v>20100</v>
      </c>
      <c r="Q20" s="251">
        <v>8.8000000000000007</v>
      </c>
      <c r="R20" s="251">
        <v>22594.224999999995</v>
      </c>
      <c r="S20" s="252">
        <v>22110</v>
      </c>
      <c r="T20" s="250">
        <v>12</v>
      </c>
      <c r="U20" s="251">
        <v>40200</v>
      </c>
      <c r="V20" s="251">
        <v>14.5</v>
      </c>
      <c r="W20" s="251">
        <v>37978.994999999995</v>
      </c>
      <c r="X20" s="252">
        <v>36431.25</v>
      </c>
      <c r="Y20" s="250">
        <v>12</v>
      </c>
      <c r="Z20" s="251">
        <v>40200</v>
      </c>
      <c r="AA20" s="251">
        <v>16</v>
      </c>
      <c r="AB20" s="251">
        <v>42014.909999999996</v>
      </c>
      <c r="AC20" s="252">
        <v>40200</v>
      </c>
      <c r="AD20" s="241"/>
      <c r="AK20" s="256"/>
    </row>
    <row r="21" spans="1:40" x14ac:dyDescent="0.25">
      <c r="A21" s="246">
        <v>903</v>
      </c>
      <c r="B21" s="245" t="s">
        <v>570</v>
      </c>
      <c r="C21" s="228">
        <v>12</v>
      </c>
      <c r="D21" s="46" t="s">
        <v>569</v>
      </c>
      <c r="E21" s="241">
        <v>15000</v>
      </c>
      <c r="F21" s="242">
        <v>1250</v>
      </c>
      <c r="G21" s="241">
        <v>16</v>
      </c>
      <c r="H21" s="241">
        <v>12881.8</v>
      </c>
      <c r="I21" s="242">
        <v>805.11249999999995</v>
      </c>
      <c r="J21" s="250">
        <v>3</v>
      </c>
      <c r="K21" s="251">
        <v>3750</v>
      </c>
      <c r="L21" s="251">
        <v>3.6</v>
      </c>
      <c r="M21" s="251">
        <v>2875.04</v>
      </c>
      <c r="N21" s="252">
        <v>3375</v>
      </c>
      <c r="O21" s="250">
        <v>6</v>
      </c>
      <c r="P21" s="251">
        <v>7500</v>
      </c>
      <c r="Q21" s="251">
        <v>9.9</v>
      </c>
      <c r="R21" s="251">
        <v>8006.04</v>
      </c>
      <c r="S21" s="252">
        <v>9281.25</v>
      </c>
      <c r="T21" s="250">
        <v>12</v>
      </c>
      <c r="U21" s="251">
        <v>15000</v>
      </c>
      <c r="V21" s="251">
        <v>13.8</v>
      </c>
      <c r="W21" s="251">
        <v>11155.56</v>
      </c>
      <c r="X21" s="252">
        <v>12937.5</v>
      </c>
      <c r="Y21" s="250">
        <v>12</v>
      </c>
      <c r="Z21" s="251">
        <v>15000</v>
      </c>
      <c r="AA21" s="251">
        <v>16</v>
      </c>
      <c r="AB21" s="251">
        <v>12881.8</v>
      </c>
      <c r="AC21" s="252">
        <v>15000</v>
      </c>
      <c r="AD21" s="241"/>
      <c r="AK21" s="256"/>
    </row>
    <row r="22" spans="1:40" x14ac:dyDescent="0.25">
      <c r="A22" s="246">
        <v>904</v>
      </c>
      <c r="B22" s="245" t="s">
        <v>571</v>
      </c>
      <c r="C22" s="228">
        <v>1</v>
      </c>
      <c r="D22" s="46" t="s">
        <v>399</v>
      </c>
      <c r="E22" s="241">
        <v>24843.75</v>
      </c>
      <c r="F22" s="242">
        <v>24843.75</v>
      </c>
      <c r="G22" s="241">
        <v>1</v>
      </c>
      <c r="H22" s="241">
        <v>6981.2</v>
      </c>
      <c r="I22" s="242">
        <v>6981.2</v>
      </c>
      <c r="J22" s="250">
        <v>0.75</v>
      </c>
      <c r="K22" s="251">
        <v>18632.8125</v>
      </c>
      <c r="L22" s="251">
        <v>0.9</v>
      </c>
      <c r="M22" s="251">
        <v>4736.04</v>
      </c>
      <c r="N22" s="252">
        <v>22359.375</v>
      </c>
      <c r="O22" s="250">
        <v>1</v>
      </c>
      <c r="P22" s="251">
        <v>24843.75</v>
      </c>
      <c r="Q22" s="251">
        <v>0.9</v>
      </c>
      <c r="R22" s="251">
        <v>4736.04</v>
      </c>
      <c r="S22" s="252">
        <v>22359.375</v>
      </c>
      <c r="T22" s="250">
        <v>1</v>
      </c>
      <c r="U22" s="251">
        <v>24843.75</v>
      </c>
      <c r="V22" s="251">
        <v>0.98</v>
      </c>
      <c r="W22" s="251">
        <v>5129.7299999999996</v>
      </c>
      <c r="X22" s="252">
        <v>24346.875</v>
      </c>
      <c r="Y22" s="250">
        <v>1</v>
      </c>
      <c r="Z22" s="251">
        <v>24843.75</v>
      </c>
      <c r="AA22" s="251">
        <v>1</v>
      </c>
      <c r="AB22" s="251">
        <v>6981.2</v>
      </c>
      <c r="AC22" s="252">
        <v>24843.75</v>
      </c>
      <c r="AD22" s="241"/>
      <c r="AK22" s="256"/>
    </row>
    <row r="23" spans="1:40" x14ac:dyDescent="0.25">
      <c r="A23" s="246">
        <v>905</v>
      </c>
      <c r="B23" s="223" t="s">
        <v>150</v>
      </c>
      <c r="C23" s="228">
        <v>1</v>
      </c>
      <c r="D23" s="46" t="s">
        <v>399</v>
      </c>
      <c r="E23" s="241">
        <v>5824</v>
      </c>
      <c r="F23" s="242">
        <v>5824</v>
      </c>
      <c r="G23" s="241">
        <v>1</v>
      </c>
      <c r="H23" s="241">
        <v>614.90000000000009</v>
      </c>
      <c r="I23" s="242">
        <v>614.90000000000009</v>
      </c>
      <c r="J23" s="250">
        <v>0.25</v>
      </c>
      <c r="K23" s="251">
        <v>1456</v>
      </c>
      <c r="L23" s="251">
        <v>0.01</v>
      </c>
      <c r="M23" s="251">
        <v>68.400000000000006</v>
      </c>
      <c r="N23" s="252">
        <v>58.24</v>
      </c>
      <c r="O23" s="250">
        <v>0.75</v>
      </c>
      <c r="P23" s="251">
        <v>4368</v>
      </c>
      <c r="Q23" s="251">
        <v>0.06</v>
      </c>
      <c r="R23" s="251">
        <v>349.82000000000005</v>
      </c>
      <c r="S23" s="252">
        <v>349.44</v>
      </c>
      <c r="T23" s="250">
        <v>1</v>
      </c>
      <c r="U23" s="251">
        <v>5824</v>
      </c>
      <c r="V23" s="251">
        <v>1</v>
      </c>
      <c r="W23" s="251">
        <v>614.90000000000009</v>
      </c>
      <c r="X23" s="252">
        <v>5824</v>
      </c>
      <c r="Y23" s="250">
        <v>1</v>
      </c>
      <c r="Z23" s="251">
        <v>5824</v>
      </c>
      <c r="AA23" s="251">
        <v>1</v>
      </c>
      <c r="AB23" s="251">
        <v>614.90000000000009</v>
      </c>
      <c r="AC23" s="252">
        <v>5824</v>
      </c>
      <c r="AD23" s="241"/>
      <c r="AK23" s="256"/>
    </row>
    <row r="24" spans="1:40" x14ac:dyDescent="0.25">
      <c r="A24" s="246">
        <v>907</v>
      </c>
      <c r="B24" s="245" t="s">
        <v>572</v>
      </c>
      <c r="C24" s="228">
        <v>1</v>
      </c>
      <c r="D24" s="46" t="s">
        <v>399</v>
      </c>
      <c r="E24" s="241">
        <v>18995</v>
      </c>
      <c r="F24" s="242">
        <v>18995</v>
      </c>
      <c r="G24" s="241">
        <v>1</v>
      </c>
      <c r="H24" s="241">
        <v>27660.31</v>
      </c>
      <c r="I24" s="242">
        <v>27660.31</v>
      </c>
      <c r="J24" s="250">
        <v>0.25</v>
      </c>
      <c r="K24" s="251">
        <v>4748.75</v>
      </c>
      <c r="L24" s="251">
        <v>0.25</v>
      </c>
      <c r="M24" s="251">
        <v>8330.6550000000007</v>
      </c>
      <c r="N24" s="252">
        <v>4748.75</v>
      </c>
      <c r="O24" s="250">
        <v>1</v>
      </c>
      <c r="P24" s="251">
        <v>18995</v>
      </c>
      <c r="Q24" s="251">
        <v>0.9</v>
      </c>
      <c r="R24" s="251">
        <v>23383.374999999996</v>
      </c>
      <c r="S24" s="252">
        <v>17095.5</v>
      </c>
      <c r="T24" s="250">
        <v>1</v>
      </c>
      <c r="U24" s="251">
        <v>18995</v>
      </c>
      <c r="V24" s="251">
        <v>0.95</v>
      </c>
      <c r="W24" s="251">
        <v>25178.49</v>
      </c>
      <c r="X24" s="252">
        <v>18045.25</v>
      </c>
      <c r="Y24" s="250">
        <v>1</v>
      </c>
      <c r="Z24" s="251">
        <v>18995</v>
      </c>
      <c r="AA24" s="251">
        <v>1</v>
      </c>
      <c r="AB24" s="251">
        <v>27660.31</v>
      </c>
      <c r="AC24" s="252">
        <v>18995</v>
      </c>
      <c r="AD24" s="241"/>
      <c r="AK24" s="256"/>
    </row>
    <row r="25" spans="1:40" x14ac:dyDescent="0.25">
      <c r="A25" s="246">
        <v>910</v>
      </c>
      <c r="B25" s="223" t="s">
        <v>573</v>
      </c>
      <c r="C25" s="228">
        <v>1</v>
      </c>
      <c r="D25" s="46" t="s">
        <v>399</v>
      </c>
      <c r="E25" s="241">
        <v>0</v>
      </c>
      <c r="F25" s="242">
        <v>0</v>
      </c>
      <c r="G25" s="241">
        <v>1</v>
      </c>
      <c r="H25" s="241">
        <v>2117.6</v>
      </c>
      <c r="I25" s="242">
        <v>2117.6</v>
      </c>
      <c r="J25" s="250">
        <v>0</v>
      </c>
      <c r="K25" s="251">
        <v>0</v>
      </c>
      <c r="L25" s="251">
        <v>0</v>
      </c>
      <c r="M25" s="251">
        <v>0</v>
      </c>
      <c r="N25" s="252">
        <v>0</v>
      </c>
      <c r="O25" s="250">
        <v>0</v>
      </c>
      <c r="P25" s="251">
        <v>0</v>
      </c>
      <c r="Q25" s="251">
        <v>0</v>
      </c>
      <c r="R25" s="251">
        <v>0</v>
      </c>
      <c r="S25" s="252">
        <v>0</v>
      </c>
      <c r="T25" s="250">
        <v>0</v>
      </c>
      <c r="U25" s="251">
        <v>0</v>
      </c>
      <c r="V25" s="251">
        <v>0</v>
      </c>
      <c r="W25" s="251">
        <v>0</v>
      </c>
      <c r="X25" s="252">
        <v>0</v>
      </c>
      <c r="Y25" s="250">
        <v>0</v>
      </c>
      <c r="Z25" s="251">
        <v>0</v>
      </c>
      <c r="AA25" s="251">
        <v>1</v>
      </c>
      <c r="AB25" s="251">
        <v>2117.6</v>
      </c>
      <c r="AC25" s="252">
        <v>0</v>
      </c>
      <c r="AD25" s="241"/>
      <c r="AK25" s="256"/>
      <c r="AN25" s="46"/>
    </row>
    <row r="26" spans="1:40" x14ac:dyDescent="0.25">
      <c r="A26" s="246">
        <v>911</v>
      </c>
      <c r="B26" s="223" t="s">
        <v>146</v>
      </c>
      <c r="C26" s="228">
        <v>84</v>
      </c>
      <c r="D26" s="46" t="s">
        <v>578</v>
      </c>
      <c r="E26" s="241">
        <v>10500</v>
      </c>
      <c r="F26" s="242">
        <v>125</v>
      </c>
      <c r="G26" s="241">
        <v>84</v>
      </c>
      <c r="H26" s="241">
        <v>4579.8099999999995</v>
      </c>
      <c r="I26" s="242">
        <v>54.52154761904761</v>
      </c>
      <c r="J26" s="250">
        <v>24</v>
      </c>
      <c r="K26" s="251">
        <v>3000</v>
      </c>
      <c r="L26" s="251">
        <v>24</v>
      </c>
      <c r="M26" s="251">
        <v>1040</v>
      </c>
      <c r="N26" s="252">
        <v>3000</v>
      </c>
      <c r="O26" s="250">
        <v>48</v>
      </c>
      <c r="P26" s="251">
        <v>6000</v>
      </c>
      <c r="Q26" s="251">
        <v>48</v>
      </c>
      <c r="R26" s="251">
        <v>3191.24</v>
      </c>
      <c r="S26" s="252">
        <v>6000</v>
      </c>
      <c r="T26" s="250">
        <v>72</v>
      </c>
      <c r="U26" s="251">
        <v>9000</v>
      </c>
      <c r="V26" s="251">
        <v>72</v>
      </c>
      <c r="W26" s="251">
        <v>4231.24</v>
      </c>
      <c r="X26" s="252">
        <v>9000</v>
      </c>
      <c r="Y26" s="250">
        <v>84</v>
      </c>
      <c r="Z26" s="251">
        <v>10500</v>
      </c>
      <c r="AA26" s="251">
        <v>84</v>
      </c>
      <c r="AB26" s="251">
        <v>4579.8099999999995</v>
      </c>
      <c r="AC26" s="252">
        <v>10500</v>
      </c>
      <c r="AD26" s="241"/>
      <c r="AK26" s="256"/>
    </row>
    <row r="27" spans="1:40" x14ac:dyDescent="0.25">
      <c r="A27" s="246" t="s">
        <v>231</v>
      </c>
      <c r="B27" s="223" t="s">
        <v>574</v>
      </c>
      <c r="C27" s="228">
        <v>1056</v>
      </c>
      <c r="D27" s="46" t="s">
        <v>107</v>
      </c>
      <c r="E27" s="241">
        <v>29884.799999999999</v>
      </c>
      <c r="F27" s="242">
        <v>28.3</v>
      </c>
      <c r="G27" s="241">
        <v>641</v>
      </c>
      <c r="H27" s="241">
        <v>14753.119999999999</v>
      </c>
      <c r="I27" s="242">
        <v>23.015787831513258</v>
      </c>
      <c r="J27" s="250">
        <v>0</v>
      </c>
      <c r="K27" s="251">
        <v>0</v>
      </c>
      <c r="L27" s="251">
        <v>0</v>
      </c>
      <c r="M27" s="251">
        <v>0</v>
      </c>
      <c r="N27" s="252">
        <v>0</v>
      </c>
      <c r="O27" s="250">
        <v>0</v>
      </c>
      <c r="P27" s="251">
        <v>0</v>
      </c>
      <c r="Q27" s="251">
        <v>0</v>
      </c>
      <c r="R27" s="251">
        <v>0</v>
      </c>
      <c r="S27" s="252">
        <v>0</v>
      </c>
      <c r="T27" s="250">
        <v>1056</v>
      </c>
      <c r="U27" s="251">
        <v>29884.799999999999</v>
      </c>
      <c r="V27" s="251">
        <v>641</v>
      </c>
      <c r="W27" s="251">
        <v>14753.119999999999</v>
      </c>
      <c r="X27" s="252">
        <v>29884.799999999999</v>
      </c>
      <c r="Y27" s="250">
        <v>1056</v>
      </c>
      <c r="Z27" s="251">
        <v>29884.799999999999</v>
      </c>
      <c r="AA27" s="251">
        <v>641</v>
      </c>
      <c r="AB27" s="251">
        <v>14753.119999999999</v>
      </c>
      <c r="AC27" s="252">
        <v>29884.799999999999</v>
      </c>
      <c r="AD27" s="241"/>
      <c r="AK27" s="256"/>
    </row>
    <row r="28" spans="1:40" x14ac:dyDescent="0.25">
      <c r="A28" s="246" t="s">
        <v>232</v>
      </c>
      <c r="B28" s="223" t="s">
        <v>575</v>
      </c>
      <c r="C28" s="228">
        <v>6008</v>
      </c>
      <c r="D28" s="46" t="s">
        <v>107</v>
      </c>
      <c r="E28" s="241">
        <v>166421.25</v>
      </c>
      <c r="F28" s="242">
        <v>27.69994174434088</v>
      </c>
      <c r="G28" s="241">
        <v>6656</v>
      </c>
      <c r="H28" s="241">
        <v>187089.96000000002</v>
      </c>
      <c r="I28" s="242">
        <v>28.108467548076927</v>
      </c>
      <c r="J28" s="250">
        <v>0</v>
      </c>
      <c r="K28" s="251">
        <v>0</v>
      </c>
      <c r="L28" s="251">
        <v>0</v>
      </c>
      <c r="M28" s="251">
        <v>0</v>
      </c>
      <c r="N28" s="252">
        <v>0</v>
      </c>
      <c r="O28" s="250">
        <v>2000</v>
      </c>
      <c r="P28" s="251">
        <v>55399.883488681757</v>
      </c>
      <c r="Q28" s="251">
        <v>0</v>
      </c>
      <c r="R28" s="251">
        <v>0</v>
      </c>
      <c r="S28" s="252">
        <v>0</v>
      </c>
      <c r="T28" s="250">
        <v>6008</v>
      </c>
      <c r="U28" s="251">
        <v>166421.25</v>
      </c>
      <c r="V28" s="251">
        <v>5313</v>
      </c>
      <c r="W28" s="251">
        <v>150155.81</v>
      </c>
      <c r="X28" s="252">
        <v>132841.96232722356</v>
      </c>
      <c r="Y28" s="250">
        <v>6008</v>
      </c>
      <c r="Z28" s="251">
        <v>166421.25</v>
      </c>
      <c r="AA28" s="251">
        <v>6656</v>
      </c>
      <c r="AB28" s="251">
        <v>187089.96000000002</v>
      </c>
      <c r="AC28" s="252">
        <v>166421.25</v>
      </c>
      <c r="AD28" s="241"/>
      <c r="AK28" s="256"/>
    </row>
    <row r="29" spans="1:40" x14ac:dyDescent="0.25">
      <c r="A29" s="246" t="s">
        <v>233</v>
      </c>
      <c r="B29" s="223" t="s">
        <v>576</v>
      </c>
      <c r="C29" s="228">
        <v>37</v>
      </c>
      <c r="D29" s="46" t="s">
        <v>107</v>
      </c>
      <c r="E29" s="241">
        <v>21862.5</v>
      </c>
      <c r="F29" s="242">
        <v>590.87837837837833</v>
      </c>
      <c r="G29" s="241">
        <v>62</v>
      </c>
      <c r="H29" s="241">
        <v>1741.04</v>
      </c>
      <c r="I29" s="242">
        <v>28.081290322580646</v>
      </c>
      <c r="J29" s="250">
        <v>0</v>
      </c>
      <c r="K29" s="251">
        <v>0</v>
      </c>
      <c r="L29" s="251">
        <v>0</v>
      </c>
      <c r="M29" s="251">
        <v>0</v>
      </c>
      <c r="N29" s="252">
        <v>0</v>
      </c>
      <c r="O29" s="250">
        <v>0</v>
      </c>
      <c r="P29" s="251">
        <v>0</v>
      </c>
      <c r="Q29" s="251">
        <v>0</v>
      </c>
      <c r="R29" s="251">
        <v>0</v>
      </c>
      <c r="S29" s="252">
        <v>0</v>
      </c>
      <c r="T29" s="250">
        <v>37</v>
      </c>
      <c r="U29" s="251">
        <v>21862.5</v>
      </c>
      <c r="V29" s="251">
        <v>62</v>
      </c>
      <c r="W29" s="251">
        <v>1741.04</v>
      </c>
      <c r="X29" s="252">
        <v>21862.5</v>
      </c>
      <c r="Y29" s="250">
        <v>37</v>
      </c>
      <c r="Z29" s="251">
        <v>21862.5</v>
      </c>
      <c r="AA29" s="251">
        <v>62</v>
      </c>
      <c r="AB29" s="251">
        <v>1741.04</v>
      </c>
      <c r="AC29" s="252">
        <v>21862.5</v>
      </c>
      <c r="AD29" s="241"/>
      <c r="AK29" s="256"/>
    </row>
    <row r="30" spans="1:40" x14ac:dyDescent="0.25">
      <c r="A30" s="246" t="s">
        <v>234</v>
      </c>
      <c r="B30" s="223" t="s">
        <v>577</v>
      </c>
      <c r="C30" s="228">
        <v>740</v>
      </c>
      <c r="D30" s="46" t="s">
        <v>557</v>
      </c>
      <c r="E30" s="241">
        <v>16946</v>
      </c>
      <c r="F30" s="242">
        <v>22.9</v>
      </c>
      <c r="G30" s="241">
        <v>740</v>
      </c>
      <c r="H30" s="241">
        <v>23479.5</v>
      </c>
      <c r="I30" s="242">
        <v>31.729054054054053</v>
      </c>
      <c r="J30" s="253">
        <v>0</v>
      </c>
      <c r="K30" s="254">
        <v>0</v>
      </c>
      <c r="L30" s="254">
        <v>0</v>
      </c>
      <c r="M30" s="254">
        <v>0</v>
      </c>
      <c r="N30" s="255">
        <v>0</v>
      </c>
      <c r="O30" s="253">
        <v>0</v>
      </c>
      <c r="P30" s="254">
        <v>0</v>
      </c>
      <c r="Q30" s="254">
        <v>740</v>
      </c>
      <c r="R30" s="254">
        <v>23479.5</v>
      </c>
      <c r="S30" s="255">
        <v>16946</v>
      </c>
      <c r="T30" s="253">
        <v>740</v>
      </c>
      <c r="U30" s="254">
        <v>16946</v>
      </c>
      <c r="V30" s="254">
        <v>740</v>
      </c>
      <c r="W30" s="254">
        <v>23479.5</v>
      </c>
      <c r="X30" s="255">
        <v>16946</v>
      </c>
      <c r="Y30" s="253">
        <v>740</v>
      </c>
      <c r="Z30" s="254">
        <v>16946</v>
      </c>
      <c r="AA30" s="254">
        <v>740</v>
      </c>
      <c r="AB30" s="254">
        <v>23479.5</v>
      </c>
      <c r="AC30" s="255">
        <v>16946</v>
      </c>
      <c r="AD30" s="241"/>
      <c r="AK30" s="25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C5DBB-4787-4061-95B9-2247D8C37AFC}">
  <dimension ref="A1:H1082"/>
  <sheetViews>
    <sheetView tabSelected="1" workbookViewId="0">
      <selection sqref="A1:H1"/>
    </sheetView>
  </sheetViews>
  <sheetFormatPr defaultRowHeight="15" x14ac:dyDescent="0.25"/>
  <cols>
    <col min="1" max="1" width="10.7109375" bestFit="1" customWidth="1"/>
    <col min="2" max="2" width="50.140625" bestFit="1" customWidth="1"/>
    <col min="3" max="3" width="24.7109375" bestFit="1" customWidth="1"/>
    <col min="4" max="4" width="6.85546875" bestFit="1" customWidth="1"/>
    <col min="5" max="6" width="10.140625" bestFit="1" customWidth="1"/>
    <col min="7" max="7" width="11.7109375" bestFit="1" customWidth="1"/>
    <col min="8" max="8" width="13.5703125" bestFit="1" customWidth="1"/>
  </cols>
  <sheetData>
    <row r="1" spans="1:8" x14ac:dyDescent="0.25">
      <c r="A1" s="279" t="s">
        <v>322</v>
      </c>
      <c r="B1" s="224" t="s">
        <v>162</v>
      </c>
      <c r="C1" s="48" t="s">
        <v>323</v>
      </c>
      <c r="D1" s="48" t="s">
        <v>2</v>
      </c>
      <c r="E1" s="48" t="s">
        <v>3</v>
      </c>
      <c r="F1" s="48" t="s">
        <v>4</v>
      </c>
      <c r="G1" s="48" t="s">
        <v>9</v>
      </c>
      <c r="H1" s="280" t="s">
        <v>269</v>
      </c>
    </row>
    <row r="2" spans="1:8" x14ac:dyDescent="0.25">
      <c r="A2" s="257" t="s">
        <v>230</v>
      </c>
      <c r="B2" s="224" t="s">
        <v>579</v>
      </c>
      <c r="C2" s="48" t="s">
        <v>230</v>
      </c>
      <c r="D2" s="48" t="s">
        <v>230</v>
      </c>
      <c r="E2" s="226"/>
      <c r="F2" s="226"/>
      <c r="G2" s="227"/>
      <c r="H2" s="225" t="s">
        <v>230</v>
      </c>
    </row>
    <row r="3" spans="1:8" x14ac:dyDescent="0.25">
      <c r="A3" s="47">
        <v>40660</v>
      </c>
      <c r="B3" s="213" t="s">
        <v>324</v>
      </c>
      <c r="C3" t="s">
        <v>325</v>
      </c>
      <c r="D3" t="s">
        <v>19</v>
      </c>
      <c r="E3" s="228">
        <v>1</v>
      </c>
      <c r="F3" s="228">
        <v>2954.4</v>
      </c>
      <c r="G3" s="229">
        <v>2954.4</v>
      </c>
      <c r="H3" s="46">
        <v>11</v>
      </c>
    </row>
    <row r="4" spans="1:8" x14ac:dyDescent="0.25">
      <c r="A4" s="47">
        <v>40690</v>
      </c>
      <c r="B4" s="213" t="s">
        <v>166</v>
      </c>
      <c r="C4" t="s">
        <v>325</v>
      </c>
      <c r="D4" t="s">
        <v>19</v>
      </c>
      <c r="E4" s="228">
        <v>1</v>
      </c>
      <c r="F4" s="228">
        <v>8062.4</v>
      </c>
      <c r="G4" s="229">
        <v>8062.4</v>
      </c>
      <c r="H4" s="46">
        <v>11</v>
      </c>
    </row>
    <row r="5" spans="1:8" x14ac:dyDescent="0.25">
      <c r="A5" s="47">
        <v>40720</v>
      </c>
      <c r="B5" s="213" t="s">
        <v>326</v>
      </c>
      <c r="C5" t="s">
        <v>325</v>
      </c>
      <c r="D5" t="s">
        <v>19</v>
      </c>
      <c r="E5" s="228">
        <v>1</v>
      </c>
      <c r="F5" s="228">
        <v>5825.5</v>
      </c>
      <c r="G5" s="229">
        <v>5825.5</v>
      </c>
      <c r="H5" s="46">
        <v>11</v>
      </c>
    </row>
    <row r="6" spans="1:8" x14ac:dyDescent="0.25">
      <c r="A6" s="47">
        <v>40749</v>
      </c>
      <c r="B6" s="213" t="s">
        <v>327</v>
      </c>
      <c r="C6" t="s">
        <v>325</v>
      </c>
      <c r="D6" t="s">
        <v>19</v>
      </c>
      <c r="E6" s="228">
        <v>1</v>
      </c>
      <c r="F6" s="228">
        <v>2196.1999999999998</v>
      </c>
      <c r="G6" s="229">
        <v>2196.1999999999998</v>
      </c>
      <c r="H6" s="46">
        <v>11</v>
      </c>
    </row>
    <row r="7" spans="1:8" x14ac:dyDescent="0.25">
      <c r="A7" s="258" t="s">
        <v>230</v>
      </c>
      <c r="B7" s="230" t="s">
        <v>328</v>
      </c>
      <c r="C7" s="231" t="s">
        <v>230</v>
      </c>
      <c r="D7" s="231" t="s">
        <v>230</v>
      </c>
      <c r="E7" s="232"/>
      <c r="F7" s="232"/>
      <c r="G7" s="233">
        <v>19038.5</v>
      </c>
      <c r="H7" s="243" t="s">
        <v>230</v>
      </c>
    </row>
    <row r="8" spans="1:8" x14ac:dyDescent="0.25">
      <c r="A8" s="47" t="s">
        <v>230</v>
      </c>
      <c r="B8" s="213" t="s">
        <v>230</v>
      </c>
      <c r="C8" t="s">
        <v>230</v>
      </c>
      <c r="D8" t="s">
        <v>230</v>
      </c>
      <c r="E8" s="228"/>
      <c r="F8" s="228"/>
      <c r="G8" s="229"/>
      <c r="H8" s="46" t="s">
        <v>230</v>
      </c>
    </row>
    <row r="9" spans="1:8" x14ac:dyDescent="0.25">
      <c r="A9" s="257" t="s">
        <v>230</v>
      </c>
      <c r="B9" s="224" t="s">
        <v>580</v>
      </c>
      <c r="C9" s="48" t="s">
        <v>230</v>
      </c>
      <c r="D9" s="48" t="s">
        <v>230</v>
      </c>
      <c r="E9" s="226"/>
      <c r="F9" s="226"/>
      <c r="G9" s="227"/>
      <c r="H9" s="225" t="s">
        <v>230</v>
      </c>
    </row>
    <row r="10" spans="1:8" x14ac:dyDescent="0.25">
      <c r="A10" s="47">
        <v>40668</v>
      </c>
      <c r="B10" s="213" t="s">
        <v>329</v>
      </c>
      <c r="C10" t="s">
        <v>330</v>
      </c>
      <c r="D10" t="s">
        <v>331</v>
      </c>
      <c r="E10" s="228">
        <v>1</v>
      </c>
      <c r="F10" s="228">
        <v>1157.94</v>
      </c>
      <c r="G10" s="229">
        <v>1157.94</v>
      </c>
      <c r="H10" s="46">
        <v>13</v>
      </c>
    </row>
    <row r="11" spans="1:8" x14ac:dyDescent="0.25">
      <c r="A11" s="47">
        <v>40674</v>
      </c>
      <c r="B11" s="213" t="s">
        <v>332</v>
      </c>
      <c r="C11" t="s">
        <v>330</v>
      </c>
      <c r="D11" t="s">
        <v>331</v>
      </c>
      <c r="E11" s="228">
        <v>1</v>
      </c>
      <c r="F11" s="228">
        <v>579.96</v>
      </c>
      <c r="G11" s="229">
        <v>579.96</v>
      </c>
      <c r="H11" s="46">
        <v>13</v>
      </c>
    </row>
    <row r="12" spans="1:8" x14ac:dyDescent="0.25">
      <c r="A12" s="47">
        <v>40674</v>
      </c>
      <c r="B12" s="213" t="s">
        <v>333</v>
      </c>
      <c r="C12" t="s">
        <v>330</v>
      </c>
      <c r="D12" t="s">
        <v>331</v>
      </c>
      <c r="E12" s="228">
        <v>1</v>
      </c>
      <c r="F12" s="228">
        <v>1012.95</v>
      </c>
      <c r="G12" s="229">
        <v>1012.95</v>
      </c>
      <c r="H12" s="46">
        <v>13</v>
      </c>
    </row>
    <row r="13" spans="1:8" x14ac:dyDescent="0.25">
      <c r="A13" s="47">
        <v>40681</v>
      </c>
      <c r="B13" s="213" t="s">
        <v>334</v>
      </c>
      <c r="C13" t="s">
        <v>330</v>
      </c>
      <c r="D13" t="s">
        <v>331</v>
      </c>
      <c r="E13" s="228">
        <v>1</v>
      </c>
      <c r="F13" s="228">
        <v>1030</v>
      </c>
      <c r="G13" s="229">
        <v>1030</v>
      </c>
      <c r="H13" s="46">
        <v>13</v>
      </c>
    </row>
    <row r="14" spans="1:8" x14ac:dyDescent="0.25">
      <c r="A14" s="47">
        <v>40694</v>
      </c>
      <c r="B14" s="213" t="s">
        <v>335</v>
      </c>
      <c r="C14" t="s">
        <v>330</v>
      </c>
      <c r="D14" t="s">
        <v>331</v>
      </c>
      <c r="E14" s="228">
        <v>1</v>
      </c>
      <c r="F14" s="228">
        <v>1726</v>
      </c>
      <c r="G14" s="229">
        <v>1726</v>
      </c>
      <c r="H14" s="46">
        <v>13</v>
      </c>
    </row>
    <row r="15" spans="1:8" x14ac:dyDescent="0.25">
      <c r="A15" s="47">
        <v>40694</v>
      </c>
      <c r="B15" s="213" t="s">
        <v>336</v>
      </c>
      <c r="C15" t="s">
        <v>330</v>
      </c>
      <c r="D15" t="s">
        <v>331</v>
      </c>
      <c r="E15" s="228">
        <v>1</v>
      </c>
      <c r="F15" s="228">
        <v>1158</v>
      </c>
      <c r="G15" s="229">
        <v>1158</v>
      </c>
      <c r="H15" s="46">
        <v>13</v>
      </c>
    </row>
    <row r="16" spans="1:8" x14ac:dyDescent="0.25">
      <c r="A16" s="47">
        <v>40694</v>
      </c>
      <c r="B16" s="213" t="s">
        <v>337</v>
      </c>
      <c r="C16" t="s">
        <v>330</v>
      </c>
      <c r="D16" t="s">
        <v>331</v>
      </c>
      <c r="E16" s="228">
        <v>1</v>
      </c>
      <c r="F16" s="228">
        <v>725</v>
      </c>
      <c r="G16" s="229">
        <v>725</v>
      </c>
      <c r="H16" s="46">
        <v>13</v>
      </c>
    </row>
    <row r="17" spans="1:8" x14ac:dyDescent="0.25">
      <c r="A17" s="47">
        <v>40729</v>
      </c>
      <c r="B17" s="213" t="s">
        <v>338</v>
      </c>
      <c r="C17" t="s">
        <v>330</v>
      </c>
      <c r="D17" t="s">
        <v>331</v>
      </c>
      <c r="E17" s="228">
        <v>1</v>
      </c>
      <c r="F17" s="228">
        <v>1158</v>
      </c>
      <c r="G17" s="229">
        <v>1158</v>
      </c>
      <c r="H17" s="46">
        <v>13</v>
      </c>
    </row>
    <row r="18" spans="1:8" x14ac:dyDescent="0.25">
      <c r="A18" s="47">
        <v>40735</v>
      </c>
      <c r="B18" s="213" t="s">
        <v>339</v>
      </c>
      <c r="C18" t="s">
        <v>330</v>
      </c>
      <c r="D18" t="s">
        <v>331</v>
      </c>
      <c r="E18" s="228">
        <v>1</v>
      </c>
      <c r="F18" s="228">
        <v>1883</v>
      </c>
      <c r="G18" s="229">
        <v>1883</v>
      </c>
      <c r="H18" s="46">
        <v>13</v>
      </c>
    </row>
    <row r="19" spans="1:8" x14ac:dyDescent="0.25">
      <c r="A19" s="47">
        <v>40735</v>
      </c>
      <c r="B19" s="213" t="s">
        <v>340</v>
      </c>
      <c r="C19" t="s">
        <v>330</v>
      </c>
      <c r="D19" t="s">
        <v>331</v>
      </c>
      <c r="E19" s="228">
        <v>1</v>
      </c>
      <c r="F19" s="228">
        <v>1448</v>
      </c>
      <c r="G19" s="229">
        <v>1448</v>
      </c>
      <c r="H19" s="46">
        <v>13</v>
      </c>
    </row>
    <row r="20" spans="1:8" x14ac:dyDescent="0.25">
      <c r="A20" s="258" t="s">
        <v>230</v>
      </c>
      <c r="B20" s="230" t="s">
        <v>341</v>
      </c>
      <c r="C20" s="231" t="s">
        <v>230</v>
      </c>
      <c r="D20" s="231" t="s">
        <v>230</v>
      </c>
      <c r="E20" s="232"/>
      <c r="F20" s="232"/>
      <c r="G20" s="233">
        <v>11878.85</v>
      </c>
      <c r="H20" s="243" t="s">
        <v>230</v>
      </c>
    </row>
    <row r="21" spans="1:8" x14ac:dyDescent="0.25">
      <c r="A21" s="47" t="s">
        <v>230</v>
      </c>
      <c r="B21" s="213" t="s">
        <v>230</v>
      </c>
      <c r="C21" t="s">
        <v>230</v>
      </c>
      <c r="D21" t="s">
        <v>230</v>
      </c>
      <c r="E21" s="228"/>
      <c r="F21" s="228"/>
      <c r="G21" s="229"/>
      <c r="H21" s="46" t="s">
        <v>230</v>
      </c>
    </row>
    <row r="22" spans="1:8" x14ac:dyDescent="0.25">
      <c r="A22" s="257" t="s">
        <v>230</v>
      </c>
      <c r="B22" s="224" t="s">
        <v>581</v>
      </c>
      <c r="C22" s="48" t="s">
        <v>230</v>
      </c>
      <c r="D22" s="48" t="s">
        <v>230</v>
      </c>
      <c r="E22" s="226"/>
      <c r="F22" s="226"/>
      <c r="G22" s="227"/>
      <c r="H22" s="225" t="s">
        <v>230</v>
      </c>
    </row>
    <row r="23" spans="1:8" x14ac:dyDescent="0.25">
      <c r="A23" s="47">
        <v>40646</v>
      </c>
      <c r="B23" s="213" t="s">
        <v>342</v>
      </c>
      <c r="C23" t="s">
        <v>343</v>
      </c>
      <c r="D23" t="s">
        <v>19</v>
      </c>
      <c r="E23" s="228">
        <v>9.5</v>
      </c>
      <c r="F23" s="228">
        <v>85</v>
      </c>
      <c r="G23" s="229">
        <v>807.5</v>
      </c>
      <c r="H23" s="46">
        <v>31</v>
      </c>
    </row>
    <row r="24" spans="1:8" x14ac:dyDescent="0.25">
      <c r="A24" s="47">
        <v>40646</v>
      </c>
      <c r="B24" s="213" t="s">
        <v>344</v>
      </c>
      <c r="C24" t="s">
        <v>345</v>
      </c>
      <c r="D24" t="s">
        <v>19</v>
      </c>
      <c r="E24" s="228">
        <v>10</v>
      </c>
      <c r="F24" s="228">
        <v>165</v>
      </c>
      <c r="G24" s="229">
        <v>1650</v>
      </c>
      <c r="H24" s="46">
        <v>31</v>
      </c>
    </row>
    <row r="25" spans="1:8" x14ac:dyDescent="0.25">
      <c r="A25" s="47">
        <v>40647</v>
      </c>
      <c r="B25" s="213" t="s">
        <v>344</v>
      </c>
      <c r="C25" t="s">
        <v>345</v>
      </c>
      <c r="D25" t="s">
        <v>19</v>
      </c>
      <c r="E25" s="228">
        <v>9.5</v>
      </c>
      <c r="F25" s="228">
        <v>165</v>
      </c>
      <c r="G25" s="229">
        <v>1567.5</v>
      </c>
      <c r="H25" s="46">
        <v>31</v>
      </c>
    </row>
    <row r="26" spans="1:8" x14ac:dyDescent="0.25">
      <c r="A26" s="47">
        <v>40647</v>
      </c>
      <c r="B26" s="213" t="s">
        <v>342</v>
      </c>
      <c r="C26" t="s">
        <v>343</v>
      </c>
      <c r="D26" t="s">
        <v>19</v>
      </c>
      <c r="E26" s="228">
        <v>9.5</v>
      </c>
      <c r="F26" s="228">
        <v>85</v>
      </c>
      <c r="G26" s="229">
        <v>807.5</v>
      </c>
      <c r="H26" s="46">
        <v>31</v>
      </c>
    </row>
    <row r="27" spans="1:8" x14ac:dyDescent="0.25">
      <c r="A27" s="47">
        <v>40648</v>
      </c>
      <c r="B27" s="213" t="s">
        <v>344</v>
      </c>
      <c r="C27" t="s">
        <v>345</v>
      </c>
      <c r="D27" t="s">
        <v>19</v>
      </c>
      <c r="E27" s="228">
        <v>8</v>
      </c>
      <c r="F27" s="228">
        <v>165</v>
      </c>
      <c r="G27" s="229">
        <v>1320</v>
      </c>
      <c r="H27" s="46">
        <v>31</v>
      </c>
    </row>
    <row r="28" spans="1:8" x14ac:dyDescent="0.25">
      <c r="A28" s="47">
        <v>40648</v>
      </c>
      <c r="B28" s="213" t="s">
        <v>342</v>
      </c>
      <c r="C28" t="s">
        <v>343</v>
      </c>
      <c r="D28" t="s">
        <v>19</v>
      </c>
      <c r="E28" s="228">
        <v>4.5</v>
      </c>
      <c r="F28" s="228">
        <v>85</v>
      </c>
      <c r="G28" s="229">
        <v>382.5</v>
      </c>
      <c r="H28" s="46">
        <v>31</v>
      </c>
    </row>
    <row r="29" spans="1:8" x14ac:dyDescent="0.25">
      <c r="A29" s="47">
        <v>40651</v>
      </c>
      <c r="B29" s="213" t="s">
        <v>346</v>
      </c>
      <c r="C29" t="s">
        <v>535</v>
      </c>
      <c r="D29" t="s">
        <v>19</v>
      </c>
      <c r="E29" s="228">
        <v>1.5</v>
      </c>
      <c r="F29" s="228">
        <v>39.18</v>
      </c>
      <c r="G29" s="229">
        <v>58.77</v>
      </c>
      <c r="H29" s="46">
        <v>31</v>
      </c>
    </row>
    <row r="30" spans="1:8" x14ac:dyDescent="0.25">
      <c r="A30" s="47">
        <v>40651</v>
      </c>
      <c r="B30" s="213" t="s">
        <v>347</v>
      </c>
      <c r="C30" t="s">
        <v>348</v>
      </c>
      <c r="D30" t="s">
        <v>19</v>
      </c>
      <c r="E30" s="228">
        <v>1.5</v>
      </c>
      <c r="F30" s="228">
        <v>65</v>
      </c>
      <c r="G30" s="229">
        <v>97.5</v>
      </c>
      <c r="H30" s="46">
        <v>31</v>
      </c>
    </row>
    <row r="31" spans="1:8" x14ac:dyDescent="0.25">
      <c r="A31" s="47">
        <v>40652</v>
      </c>
      <c r="B31" s="213" t="s">
        <v>346</v>
      </c>
      <c r="C31" t="s">
        <v>535</v>
      </c>
      <c r="D31" t="s">
        <v>19</v>
      </c>
      <c r="E31" s="228">
        <v>5</v>
      </c>
      <c r="F31" s="228">
        <v>39.18</v>
      </c>
      <c r="G31" s="229">
        <v>195.9</v>
      </c>
      <c r="H31" s="46">
        <v>31</v>
      </c>
    </row>
    <row r="32" spans="1:8" x14ac:dyDescent="0.25">
      <c r="A32" s="47">
        <v>40652</v>
      </c>
      <c r="B32" s="213" t="s">
        <v>347</v>
      </c>
      <c r="C32" t="s">
        <v>348</v>
      </c>
      <c r="D32" t="s">
        <v>19</v>
      </c>
      <c r="E32" s="228">
        <v>5</v>
      </c>
      <c r="F32" s="228">
        <v>65</v>
      </c>
      <c r="G32" s="229">
        <v>325</v>
      </c>
      <c r="H32" s="46">
        <v>31</v>
      </c>
    </row>
    <row r="33" spans="1:8" x14ac:dyDescent="0.25">
      <c r="A33" s="47">
        <v>40652</v>
      </c>
      <c r="B33" s="213" t="s">
        <v>349</v>
      </c>
      <c r="C33" t="s">
        <v>343</v>
      </c>
      <c r="D33" t="s">
        <v>19</v>
      </c>
      <c r="E33" s="228">
        <v>5</v>
      </c>
      <c r="F33" s="228">
        <v>130</v>
      </c>
      <c r="G33" s="229">
        <v>650</v>
      </c>
      <c r="H33" s="46">
        <v>31</v>
      </c>
    </row>
    <row r="34" spans="1:8" x14ac:dyDescent="0.25">
      <c r="A34" s="47">
        <v>40652</v>
      </c>
      <c r="B34" s="213" t="s">
        <v>350</v>
      </c>
      <c r="C34" t="s">
        <v>351</v>
      </c>
      <c r="D34" t="s">
        <v>19</v>
      </c>
      <c r="E34" s="228">
        <v>5</v>
      </c>
      <c r="F34" s="228">
        <v>85</v>
      </c>
      <c r="G34" s="229">
        <v>425</v>
      </c>
      <c r="H34" s="46">
        <v>31</v>
      </c>
    </row>
    <row r="35" spans="1:8" x14ac:dyDescent="0.25">
      <c r="A35" s="258" t="s">
        <v>230</v>
      </c>
      <c r="B35" s="230" t="s">
        <v>352</v>
      </c>
      <c r="C35" s="231" t="s">
        <v>230</v>
      </c>
      <c r="D35" s="231" t="s">
        <v>230</v>
      </c>
      <c r="E35" s="232"/>
      <c r="F35" s="232"/>
      <c r="G35" s="233">
        <v>8287.17</v>
      </c>
      <c r="H35" s="243" t="s">
        <v>230</v>
      </c>
    </row>
    <row r="36" spans="1:8" x14ac:dyDescent="0.25">
      <c r="A36" s="47" t="s">
        <v>230</v>
      </c>
      <c r="B36" s="213" t="s">
        <v>230</v>
      </c>
      <c r="C36" t="s">
        <v>230</v>
      </c>
      <c r="D36" t="s">
        <v>230</v>
      </c>
      <c r="E36" s="228"/>
      <c r="F36" s="228"/>
      <c r="G36" s="229"/>
      <c r="H36" s="46" t="s">
        <v>230</v>
      </c>
    </row>
    <row r="37" spans="1:8" x14ac:dyDescent="0.25">
      <c r="A37" s="257" t="s">
        <v>230</v>
      </c>
      <c r="B37" s="224" t="s">
        <v>582</v>
      </c>
      <c r="C37" s="48" t="s">
        <v>230</v>
      </c>
      <c r="D37" s="48" t="s">
        <v>230</v>
      </c>
      <c r="E37" s="226"/>
      <c r="F37" s="226"/>
      <c r="G37" s="227"/>
      <c r="H37" s="225" t="s">
        <v>230</v>
      </c>
    </row>
    <row r="38" spans="1:8" x14ac:dyDescent="0.25">
      <c r="A38" s="47">
        <v>40651</v>
      </c>
      <c r="B38" s="213" t="s">
        <v>350</v>
      </c>
      <c r="C38" t="s">
        <v>351</v>
      </c>
      <c r="D38" t="s">
        <v>19</v>
      </c>
      <c r="E38" s="228">
        <v>5</v>
      </c>
      <c r="F38" s="228">
        <v>85</v>
      </c>
      <c r="G38" s="229">
        <v>425</v>
      </c>
      <c r="H38" s="46">
        <v>51</v>
      </c>
    </row>
    <row r="39" spans="1:8" x14ac:dyDescent="0.25">
      <c r="A39" s="47">
        <v>40651</v>
      </c>
      <c r="B39" s="213" t="s">
        <v>5</v>
      </c>
      <c r="C39" t="s">
        <v>535</v>
      </c>
      <c r="D39" t="s">
        <v>19</v>
      </c>
      <c r="E39" s="228">
        <v>9.5</v>
      </c>
      <c r="F39" s="228">
        <v>32.200000000000003</v>
      </c>
      <c r="G39" s="229">
        <v>305.89999999999998</v>
      </c>
      <c r="H39" s="46">
        <v>51</v>
      </c>
    </row>
    <row r="40" spans="1:8" x14ac:dyDescent="0.25">
      <c r="A40" s="47">
        <v>40651</v>
      </c>
      <c r="B40" s="213" t="s">
        <v>344</v>
      </c>
      <c r="C40" t="s">
        <v>345</v>
      </c>
      <c r="D40" t="s">
        <v>19</v>
      </c>
      <c r="E40" s="228">
        <v>9.5</v>
      </c>
      <c r="F40" s="228">
        <v>165</v>
      </c>
      <c r="G40" s="229">
        <v>1567.5</v>
      </c>
      <c r="H40" s="46">
        <v>51</v>
      </c>
    </row>
    <row r="41" spans="1:8" x14ac:dyDescent="0.25">
      <c r="A41" s="47">
        <v>40651</v>
      </c>
      <c r="B41" s="213" t="s">
        <v>349</v>
      </c>
      <c r="C41" t="s">
        <v>343</v>
      </c>
      <c r="D41" t="s">
        <v>19</v>
      </c>
      <c r="E41" s="228">
        <v>9.5</v>
      </c>
      <c r="F41" s="228">
        <v>130</v>
      </c>
      <c r="G41" s="229">
        <v>1235</v>
      </c>
      <c r="H41" s="46">
        <v>51</v>
      </c>
    </row>
    <row r="42" spans="1:8" x14ac:dyDescent="0.25">
      <c r="A42" s="47">
        <v>40651</v>
      </c>
      <c r="B42" s="213" t="s">
        <v>353</v>
      </c>
      <c r="C42" t="s">
        <v>354</v>
      </c>
      <c r="D42" t="s">
        <v>57</v>
      </c>
      <c r="E42" s="228">
        <v>1</v>
      </c>
      <c r="F42" s="228">
        <v>283.5</v>
      </c>
      <c r="G42" s="229">
        <v>283.5</v>
      </c>
      <c r="H42" s="46">
        <v>51</v>
      </c>
    </row>
    <row r="43" spans="1:8" x14ac:dyDescent="0.25">
      <c r="A43" s="47">
        <v>40652</v>
      </c>
      <c r="B43" s="213" t="s">
        <v>355</v>
      </c>
      <c r="C43" t="s">
        <v>354</v>
      </c>
      <c r="D43" t="s">
        <v>57</v>
      </c>
      <c r="E43" s="228">
        <v>1</v>
      </c>
      <c r="F43" s="228">
        <v>283.5</v>
      </c>
      <c r="G43" s="229">
        <v>283.5</v>
      </c>
      <c r="H43" s="46">
        <v>51</v>
      </c>
    </row>
    <row r="44" spans="1:8" x14ac:dyDescent="0.25">
      <c r="A44" s="47">
        <v>40652</v>
      </c>
      <c r="B44" s="213" t="s">
        <v>349</v>
      </c>
      <c r="C44" t="s">
        <v>343</v>
      </c>
      <c r="D44" t="s">
        <v>19</v>
      </c>
      <c r="E44" s="228">
        <v>4.5</v>
      </c>
      <c r="F44" s="228">
        <v>130</v>
      </c>
      <c r="G44" s="229">
        <v>585</v>
      </c>
      <c r="H44" s="46">
        <v>51</v>
      </c>
    </row>
    <row r="45" spans="1:8" x14ac:dyDescent="0.25">
      <c r="A45" s="47">
        <v>40652</v>
      </c>
      <c r="B45" s="213" t="s">
        <v>350</v>
      </c>
      <c r="C45" t="s">
        <v>351</v>
      </c>
      <c r="D45" t="s">
        <v>19</v>
      </c>
      <c r="E45" s="228">
        <v>4.5</v>
      </c>
      <c r="F45" s="228">
        <v>85</v>
      </c>
      <c r="G45" s="229">
        <v>382.5</v>
      </c>
      <c r="H45" s="46">
        <v>51</v>
      </c>
    </row>
    <row r="46" spans="1:8" x14ac:dyDescent="0.25">
      <c r="A46" s="47">
        <v>40652</v>
      </c>
      <c r="B46" s="213" t="s">
        <v>344</v>
      </c>
      <c r="C46" t="s">
        <v>345</v>
      </c>
      <c r="D46" t="s">
        <v>19</v>
      </c>
      <c r="E46" s="228">
        <v>10</v>
      </c>
      <c r="F46" s="228">
        <v>165</v>
      </c>
      <c r="G46" s="229">
        <v>1650</v>
      </c>
      <c r="H46" s="46">
        <v>51</v>
      </c>
    </row>
    <row r="47" spans="1:8" x14ac:dyDescent="0.25">
      <c r="A47" s="47">
        <v>40652</v>
      </c>
      <c r="B47" s="213" t="s">
        <v>5</v>
      </c>
      <c r="C47" t="s">
        <v>535</v>
      </c>
      <c r="D47" t="s">
        <v>19</v>
      </c>
      <c r="E47" s="228">
        <v>9.5</v>
      </c>
      <c r="F47" s="228">
        <v>32.200000000000003</v>
      </c>
      <c r="G47" s="229">
        <v>305.89999999999998</v>
      </c>
      <c r="H47" s="46">
        <v>51</v>
      </c>
    </row>
    <row r="48" spans="1:8" x14ac:dyDescent="0.25">
      <c r="A48" s="47">
        <v>40652</v>
      </c>
      <c r="B48" s="213" t="s">
        <v>346</v>
      </c>
      <c r="C48" t="s">
        <v>535</v>
      </c>
      <c r="D48" t="s">
        <v>19</v>
      </c>
      <c r="E48" s="228">
        <v>4.5</v>
      </c>
      <c r="F48" s="228">
        <v>39.18</v>
      </c>
      <c r="G48" s="229">
        <v>176.31</v>
      </c>
      <c r="H48" s="46">
        <v>51</v>
      </c>
    </row>
    <row r="49" spans="1:8" x14ac:dyDescent="0.25">
      <c r="A49" s="47">
        <v>40652</v>
      </c>
      <c r="B49" s="213" t="s">
        <v>347</v>
      </c>
      <c r="C49" t="s">
        <v>348</v>
      </c>
      <c r="D49" t="s">
        <v>19</v>
      </c>
      <c r="E49" s="228">
        <v>4.5</v>
      </c>
      <c r="F49" s="228">
        <v>65</v>
      </c>
      <c r="G49" s="229">
        <v>292.5</v>
      </c>
      <c r="H49" s="46">
        <v>51</v>
      </c>
    </row>
    <row r="50" spans="1:8" x14ac:dyDescent="0.25">
      <c r="A50" s="47">
        <v>40652</v>
      </c>
      <c r="B50" s="213" t="s">
        <v>5</v>
      </c>
      <c r="C50" t="s">
        <v>536</v>
      </c>
      <c r="D50" t="s">
        <v>19</v>
      </c>
      <c r="E50" s="228">
        <v>9.5</v>
      </c>
      <c r="F50" s="228">
        <v>32.200000000000003</v>
      </c>
      <c r="G50" s="229">
        <v>305.89999999999998</v>
      </c>
      <c r="H50" s="46">
        <v>51</v>
      </c>
    </row>
    <row r="51" spans="1:8" x14ac:dyDescent="0.25">
      <c r="A51" s="47">
        <v>40653</v>
      </c>
      <c r="B51" s="213" t="s">
        <v>344</v>
      </c>
      <c r="C51" t="s">
        <v>345</v>
      </c>
      <c r="D51" t="s">
        <v>19</v>
      </c>
      <c r="E51" s="228">
        <v>10</v>
      </c>
      <c r="F51" s="228">
        <v>165</v>
      </c>
      <c r="G51" s="229">
        <v>1650</v>
      </c>
      <c r="H51" s="46">
        <v>51</v>
      </c>
    </row>
    <row r="52" spans="1:8" x14ac:dyDescent="0.25">
      <c r="A52" s="47">
        <v>40653</v>
      </c>
      <c r="B52" s="213" t="s">
        <v>347</v>
      </c>
      <c r="C52" t="s">
        <v>348</v>
      </c>
      <c r="D52" t="s">
        <v>19</v>
      </c>
      <c r="E52" s="228">
        <v>9.5</v>
      </c>
      <c r="F52" s="228">
        <v>65</v>
      </c>
      <c r="G52" s="229">
        <v>617.5</v>
      </c>
      <c r="H52" s="46">
        <v>51</v>
      </c>
    </row>
    <row r="53" spans="1:8" x14ac:dyDescent="0.25">
      <c r="A53" s="47">
        <v>40653</v>
      </c>
      <c r="B53" s="213" t="s">
        <v>349</v>
      </c>
      <c r="C53" t="s">
        <v>343</v>
      </c>
      <c r="D53" t="s">
        <v>19</v>
      </c>
      <c r="E53" s="228">
        <v>9.5</v>
      </c>
      <c r="F53" s="228">
        <v>130</v>
      </c>
      <c r="G53" s="229">
        <v>1235</v>
      </c>
      <c r="H53" s="46">
        <v>51</v>
      </c>
    </row>
    <row r="54" spans="1:8" x14ac:dyDescent="0.25">
      <c r="A54" s="47">
        <v>40653</v>
      </c>
      <c r="B54" s="213" t="s">
        <v>350</v>
      </c>
      <c r="C54" t="s">
        <v>351</v>
      </c>
      <c r="D54" t="s">
        <v>19</v>
      </c>
      <c r="E54" s="228">
        <v>9.5</v>
      </c>
      <c r="F54" s="228">
        <v>85</v>
      </c>
      <c r="G54" s="229">
        <v>807.5</v>
      </c>
      <c r="H54" s="46">
        <v>51</v>
      </c>
    </row>
    <row r="55" spans="1:8" x14ac:dyDescent="0.25">
      <c r="A55" s="47">
        <v>40653</v>
      </c>
      <c r="B55" s="213" t="s">
        <v>5</v>
      </c>
      <c r="C55" t="s">
        <v>536</v>
      </c>
      <c r="D55" t="s">
        <v>19</v>
      </c>
      <c r="E55" s="228">
        <v>9.5</v>
      </c>
      <c r="F55" s="228">
        <v>32.200000000000003</v>
      </c>
      <c r="G55" s="229">
        <v>305.89999999999998</v>
      </c>
      <c r="H55" s="46">
        <v>51</v>
      </c>
    </row>
    <row r="56" spans="1:8" x14ac:dyDescent="0.25">
      <c r="A56" s="47">
        <v>40653</v>
      </c>
      <c r="B56" s="213" t="s">
        <v>353</v>
      </c>
      <c r="C56" t="s">
        <v>354</v>
      </c>
      <c r="D56" t="s">
        <v>57</v>
      </c>
      <c r="E56" s="228">
        <v>1</v>
      </c>
      <c r="F56" s="228">
        <v>283.5</v>
      </c>
      <c r="G56" s="229">
        <v>283.5</v>
      </c>
      <c r="H56" s="46">
        <v>51</v>
      </c>
    </row>
    <row r="57" spans="1:8" x14ac:dyDescent="0.25">
      <c r="A57" s="47">
        <v>40653</v>
      </c>
      <c r="B57" s="213" t="s">
        <v>346</v>
      </c>
      <c r="C57" t="s">
        <v>535</v>
      </c>
      <c r="D57" t="s">
        <v>19</v>
      </c>
      <c r="E57" s="228">
        <v>9.5</v>
      </c>
      <c r="F57" s="228">
        <v>39.18</v>
      </c>
      <c r="G57" s="229">
        <v>372.21</v>
      </c>
      <c r="H57" s="46">
        <v>51</v>
      </c>
    </row>
    <row r="58" spans="1:8" x14ac:dyDescent="0.25">
      <c r="A58" s="47">
        <v>40653</v>
      </c>
      <c r="B58" s="213" t="s">
        <v>5</v>
      </c>
      <c r="C58" t="s">
        <v>535</v>
      </c>
      <c r="D58" t="s">
        <v>19</v>
      </c>
      <c r="E58" s="228">
        <v>9.5</v>
      </c>
      <c r="F58" s="228">
        <v>32.200000000000003</v>
      </c>
      <c r="G58" s="229">
        <v>305.89999999999998</v>
      </c>
      <c r="H58" s="46">
        <v>51</v>
      </c>
    </row>
    <row r="59" spans="1:8" x14ac:dyDescent="0.25">
      <c r="A59" s="47">
        <v>40654</v>
      </c>
      <c r="B59" s="213" t="s">
        <v>344</v>
      </c>
      <c r="C59" t="s">
        <v>345</v>
      </c>
      <c r="D59" t="s">
        <v>19</v>
      </c>
      <c r="E59" s="228">
        <v>8.5</v>
      </c>
      <c r="F59" s="228">
        <v>165</v>
      </c>
      <c r="G59" s="229">
        <v>1402.5</v>
      </c>
      <c r="H59" s="46">
        <v>51</v>
      </c>
    </row>
    <row r="60" spans="1:8" x14ac:dyDescent="0.25">
      <c r="A60" s="47">
        <v>40654</v>
      </c>
      <c r="B60" s="213" t="s">
        <v>347</v>
      </c>
      <c r="C60" t="s">
        <v>348</v>
      </c>
      <c r="D60" t="s">
        <v>19</v>
      </c>
      <c r="E60" s="228">
        <v>8</v>
      </c>
      <c r="F60" s="228">
        <v>65</v>
      </c>
      <c r="G60" s="229">
        <v>520</v>
      </c>
      <c r="H60" s="46">
        <v>51</v>
      </c>
    </row>
    <row r="61" spans="1:8" x14ac:dyDescent="0.25">
      <c r="A61" s="47">
        <v>40654</v>
      </c>
      <c r="B61" s="213" t="s">
        <v>350</v>
      </c>
      <c r="C61" t="s">
        <v>351</v>
      </c>
      <c r="D61" t="s">
        <v>19</v>
      </c>
      <c r="E61" s="228">
        <v>8</v>
      </c>
      <c r="F61" s="228">
        <v>85</v>
      </c>
      <c r="G61" s="229">
        <v>680</v>
      </c>
      <c r="H61" s="46">
        <v>51</v>
      </c>
    </row>
    <row r="62" spans="1:8" x14ac:dyDescent="0.25">
      <c r="A62" s="47">
        <v>40654</v>
      </c>
      <c r="B62" s="213" t="s">
        <v>350</v>
      </c>
      <c r="C62" t="s">
        <v>356</v>
      </c>
      <c r="D62" t="s">
        <v>19</v>
      </c>
      <c r="E62" s="228">
        <v>8</v>
      </c>
      <c r="F62" s="228">
        <v>80</v>
      </c>
      <c r="G62" s="229">
        <v>640</v>
      </c>
      <c r="H62" s="46">
        <v>51</v>
      </c>
    </row>
    <row r="63" spans="1:8" x14ac:dyDescent="0.25">
      <c r="A63" s="47">
        <v>40654</v>
      </c>
      <c r="B63" s="213" t="s">
        <v>349</v>
      </c>
      <c r="C63" t="s">
        <v>343</v>
      </c>
      <c r="D63" t="s">
        <v>19</v>
      </c>
      <c r="E63" s="228">
        <v>8</v>
      </c>
      <c r="F63" s="228">
        <v>130</v>
      </c>
      <c r="G63" s="229">
        <v>1040</v>
      </c>
      <c r="H63" s="46">
        <v>51</v>
      </c>
    </row>
    <row r="64" spans="1:8" x14ac:dyDescent="0.25">
      <c r="A64" s="47">
        <v>40654</v>
      </c>
      <c r="B64" s="213" t="s">
        <v>346</v>
      </c>
      <c r="C64" t="s">
        <v>535</v>
      </c>
      <c r="D64" t="s">
        <v>19</v>
      </c>
      <c r="E64" s="228">
        <v>8</v>
      </c>
      <c r="F64" s="228">
        <v>39.18</v>
      </c>
      <c r="G64" s="229">
        <v>313.44</v>
      </c>
      <c r="H64" s="46">
        <v>51</v>
      </c>
    </row>
    <row r="65" spans="1:8" x14ac:dyDescent="0.25">
      <c r="A65" s="47">
        <v>40654</v>
      </c>
      <c r="B65" s="213" t="s">
        <v>353</v>
      </c>
      <c r="C65" t="s">
        <v>354</v>
      </c>
      <c r="D65" t="s">
        <v>57</v>
      </c>
      <c r="E65" s="228">
        <v>1</v>
      </c>
      <c r="F65" s="228">
        <v>283.5</v>
      </c>
      <c r="G65" s="229">
        <v>283.5</v>
      </c>
      <c r="H65" s="46">
        <v>51</v>
      </c>
    </row>
    <row r="66" spans="1:8" x14ac:dyDescent="0.25">
      <c r="A66" s="47">
        <v>40654</v>
      </c>
      <c r="B66" s="213" t="s">
        <v>5</v>
      </c>
      <c r="C66" t="s">
        <v>536</v>
      </c>
      <c r="D66" t="s">
        <v>19</v>
      </c>
      <c r="E66" s="228">
        <v>8</v>
      </c>
      <c r="F66" s="228">
        <v>32.200000000000003</v>
      </c>
      <c r="G66" s="229">
        <v>257.60000000000002</v>
      </c>
      <c r="H66" s="46">
        <v>51</v>
      </c>
    </row>
    <row r="67" spans="1:8" x14ac:dyDescent="0.25">
      <c r="A67" s="47">
        <v>40654</v>
      </c>
      <c r="B67" s="213" t="s">
        <v>5</v>
      </c>
      <c r="C67" t="s">
        <v>535</v>
      </c>
      <c r="D67" t="s">
        <v>19</v>
      </c>
      <c r="E67" s="228">
        <v>8</v>
      </c>
      <c r="F67" s="228">
        <v>32.200000000000003</v>
      </c>
      <c r="G67" s="229">
        <v>257.60000000000002</v>
      </c>
      <c r="H67" s="46">
        <v>51</v>
      </c>
    </row>
    <row r="68" spans="1:8" x14ac:dyDescent="0.25">
      <c r="A68" s="47">
        <v>40660</v>
      </c>
      <c r="B68" s="213" t="s">
        <v>357</v>
      </c>
      <c r="C68" t="s">
        <v>358</v>
      </c>
      <c r="D68" t="s">
        <v>19</v>
      </c>
      <c r="E68" s="228">
        <v>8.5</v>
      </c>
      <c r="F68" s="228">
        <v>42.79</v>
      </c>
      <c r="G68" s="229">
        <v>363.71499999999997</v>
      </c>
      <c r="H68" s="46">
        <v>51</v>
      </c>
    </row>
    <row r="69" spans="1:8" x14ac:dyDescent="0.25">
      <c r="A69" s="47">
        <v>40660</v>
      </c>
      <c r="B69" s="213" t="s">
        <v>359</v>
      </c>
      <c r="C69" t="s">
        <v>537</v>
      </c>
      <c r="D69" t="s">
        <v>19</v>
      </c>
      <c r="E69" s="228">
        <v>8.5</v>
      </c>
      <c r="F69" s="228">
        <v>39.18</v>
      </c>
      <c r="G69" s="229">
        <v>333.03</v>
      </c>
      <c r="H69" s="46">
        <v>51</v>
      </c>
    </row>
    <row r="70" spans="1:8" x14ac:dyDescent="0.25">
      <c r="A70" s="47">
        <v>40660</v>
      </c>
      <c r="B70" s="213" t="s">
        <v>347</v>
      </c>
      <c r="C70" t="s">
        <v>348</v>
      </c>
      <c r="D70" t="s">
        <v>19</v>
      </c>
      <c r="E70" s="228">
        <v>8.5</v>
      </c>
      <c r="F70" s="228">
        <v>65</v>
      </c>
      <c r="G70" s="229">
        <v>552.5</v>
      </c>
      <c r="H70" s="46">
        <v>51</v>
      </c>
    </row>
    <row r="71" spans="1:8" x14ac:dyDescent="0.25">
      <c r="A71" s="47">
        <v>40660</v>
      </c>
      <c r="B71" s="213" t="s">
        <v>349</v>
      </c>
      <c r="C71" t="s">
        <v>343</v>
      </c>
      <c r="D71" t="s">
        <v>19</v>
      </c>
      <c r="E71" s="228">
        <v>8.5</v>
      </c>
      <c r="F71" s="228">
        <v>130</v>
      </c>
      <c r="G71" s="229">
        <v>1105</v>
      </c>
      <c r="H71" s="46">
        <v>51</v>
      </c>
    </row>
    <row r="72" spans="1:8" x14ac:dyDescent="0.25">
      <c r="A72" s="47">
        <v>40660</v>
      </c>
      <c r="B72" s="213" t="s">
        <v>350</v>
      </c>
      <c r="C72" t="s">
        <v>351</v>
      </c>
      <c r="D72" t="s">
        <v>19</v>
      </c>
      <c r="E72" s="228">
        <v>8.5</v>
      </c>
      <c r="F72" s="228">
        <v>85</v>
      </c>
      <c r="G72" s="229">
        <v>722.5</v>
      </c>
      <c r="H72" s="46">
        <v>51</v>
      </c>
    </row>
    <row r="73" spans="1:8" x14ac:dyDescent="0.25">
      <c r="A73" s="47">
        <v>40660</v>
      </c>
      <c r="B73" s="213" t="s">
        <v>346</v>
      </c>
      <c r="C73" t="s">
        <v>535</v>
      </c>
      <c r="D73" t="s">
        <v>19</v>
      </c>
      <c r="E73" s="228">
        <v>8.5</v>
      </c>
      <c r="F73" s="228">
        <v>39.18</v>
      </c>
      <c r="G73" s="229">
        <v>333.03</v>
      </c>
      <c r="H73" s="46">
        <v>51</v>
      </c>
    </row>
    <row r="74" spans="1:8" x14ac:dyDescent="0.25">
      <c r="A74" s="47">
        <v>40660</v>
      </c>
      <c r="B74" s="213" t="s">
        <v>353</v>
      </c>
      <c r="C74" t="s">
        <v>354</v>
      </c>
      <c r="D74" t="s">
        <v>57</v>
      </c>
      <c r="E74" s="228">
        <v>1</v>
      </c>
      <c r="F74" s="228">
        <v>283.5</v>
      </c>
      <c r="G74" s="229">
        <v>283.5</v>
      </c>
      <c r="H74" s="46">
        <v>51</v>
      </c>
    </row>
    <row r="75" spans="1:8" x14ac:dyDescent="0.25">
      <c r="A75" s="47">
        <v>40660</v>
      </c>
      <c r="B75" s="213" t="s">
        <v>5</v>
      </c>
      <c r="C75" t="s">
        <v>535</v>
      </c>
      <c r="D75" t="s">
        <v>19</v>
      </c>
      <c r="E75" s="228">
        <v>8.5</v>
      </c>
      <c r="F75" s="228">
        <v>32.200000000000003</v>
      </c>
      <c r="G75" s="229">
        <v>273.7</v>
      </c>
      <c r="H75" s="46">
        <v>51</v>
      </c>
    </row>
    <row r="76" spans="1:8" x14ac:dyDescent="0.25">
      <c r="A76" s="47">
        <v>40660</v>
      </c>
      <c r="B76" s="213" t="s">
        <v>5</v>
      </c>
      <c r="C76" t="s">
        <v>536</v>
      </c>
      <c r="D76" t="s">
        <v>19</v>
      </c>
      <c r="E76" s="228">
        <v>9.5</v>
      </c>
      <c r="F76" s="228">
        <v>32.200000000000003</v>
      </c>
      <c r="G76" s="229">
        <v>305.89999999999998</v>
      </c>
      <c r="H76" s="46">
        <v>51</v>
      </c>
    </row>
    <row r="77" spans="1:8" x14ac:dyDescent="0.25">
      <c r="A77" s="47">
        <v>40661</v>
      </c>
      <c r="B77" s="213" t="s">
        <v>359</v>
      </c>
      <c r="C77" t="s">
        <v>537</v>
      </c>
      <c r="D77" t="s">
        <v>19</v>
      </c>
      <c r="E77" s="228">
        <v>9.5</v>
      </c>
      <c r="F77" s="228">
        <v>39.18</v>
      </c>
      <c r="G77" s="229">
        <v>372.21</v>
      </c>
      <c r="H77" s="46">
        <v>51</v>
      </c>
    </row>
    <row r="78" spans="1:8" x14ac:dyDescent="0.25">
      <c r="A78" s="47">
        <v>40661</v>
      </c>
      <c r="B78" s="213" t="s">
        <v>5</v>
      </c>
      <c r="C78" t="s">
        <v>536</v>
      </c>
      <c r="D78" t="s">
        <v>19</v>
      </c>
      <c r="E78" s="228">
        <v>9.5</v>
      </c>
      <c r="F78" s="228">
        <v>32.200000000000003</v>
      </c>
      <c r="G78" s="229">
        <v>305.89999999999998</v>
      </c>
      <c r="H78" s="46">
        <v>51</v>
      </c>
    </row>
    <row r="79" spans="1:8" x14ac:dyDescent="0.25">
      <c r="A79" s="47">
        <v>40661</v>
      </c>
      <c r="B79" s="213" t="s">
        <v>349</v>
      </c>
      <c r="C79" t="s">
        <v>343</v>
      </c>
      <c r="D79" t="s">
        <v>19</v>
      </c>
      <c r="E79" s="228">
        <v>9.5</v>
      </c>
      <c r="F79" s="228">
        <v>130</v>
      </c>
      <c r="G79" s="229">
        <v>1235</v>
      </c>
      <c r="H79" s="46">
        <v>51</v>
      </c>
    </row>
    <row r="80" spans="1:8" x14ac:dyDescent="0.25">
      <c r="A80" s="47">
        <v>40661</v>
      </c>
      <c r="B80" s="213" t="s">
        <v>347</v>
      </c>
      <c r="C80" t="s">
        <v>348</v>
      </c>
      <c r="D80" t="s">
        <v>19</v>
      </c>
      <c r="E80" s="228">
        <v>5.5</v>
      </c>
      <c r="F80" s="228">
        <v>65</v>
      </c>
      <c r="G80" s="229">
        <v>357.5</v>
      </c>
      <c r="H80" s="46">
        <v>51</v>
      </c>
    </row>
    <row r="81" spans="1:8" x14ac:dyDescent="0.25">
      <c r="A81" s="47">
        <v>40661</v>
      </c>
      <c r="B81" s="213" t="s">
        <v>350</v>
      </c>
      <c r="C81" t="s">
        <v>351</v>
      </c>
      <c r="D81" t="s">
        <v>19</v>
      </c>
      <c r="E81" s="228">
        <v>9.5</v>
      </c>
      <c r="F81" s="228">
        <v>85</v>
      </c>
      <c r="G81" s="229">
        <v>807.5</v>
      </c>
      <c r="H81" s="46">
        <v>51</v>
      </c>
    </row>
    <row r="82" spans="1:8" x14ac:dyDescent="0.25">
      <c r="A82" s="47">
        <v>40661</v>
      </c>
      <c r="B82" s="213" t="s">
        <v>357</v>
      </c>
      <c r="C82" t="s">
        <v>358</v>
      </c>
      <c r="D82" t="s">
        <v>19</v>
      </c>
      <c r="E82" s="228">
        <v>9.5</v>
      </c>
      <c r="F82" s="228">
        <v>42.79</v>
      </c>
      <c r="G82" s="229">
        <v>406.505</v>
      </c>
      <c r="H82" s="46">
        <v>51</v>
      </c>
    </row>
    <row r="83" spans="1:8" x14ac:dyDescent="0.25">
      <c r="A83" s="47">
        <v>40661</v>
      </c>
      <c r="B83" s="213" t="s">
        <v>5</v>
      </c>
      <c r="C83" t="s">
        <v>535</v>
      </c>
      <c r="D83" t="s">
        <v>19</v>
      </c>
      <c r="E83" s="228">
        <v>9.5</v>
      </c>
      <c r="F83" s="228">
        <v>32.200000000000003</v>
      </c>
      <c r="G83" s="229">
        <v>305.89999999999998</v>
      </c>
      <c r="H83" s="46">
        <v>51</v>
      </c>
    </row>
    <row r="84" spans="1:8" x14ac:dyDescent="0.25">
      <c r="A84" s="47">
        <v>40661</v>
      </c>
      <c r="B84" s="213" t="s">
        <v>353</v>
      </c>
      <c r="C84" t="s">
        <v>354</v>
      </c>
      <c r="D84" t="s">
        <v>57</v>
      </c>
      <c r="E84" s="228">
        <v>1</v>
      </c>
      <c r="F84" s="228">
        <v>283.5</v>
      </c>
      <c r="G84" s="229">
        <v>283.5</v>
      </c>
      <c r="H84" s="46">
        <v>51</v>
      </c>
    </row>
    <row r="85" spans="1:8" x14ac:dyDescent="0.25">
      <c r="A85" s="47">
        <v>40661</v>
      </c>
      <c r="B85" s="213" t="s">
        <v>346</v>
      </c>
      <c r="C85" t="s">
        <v>535</v>
      </c>
      <c r="D85" t="s">
        <v>19</v>
      </c>
      <c r="E85" s="228">
        <v>9.5</v>
      </c>
      <c r="F85" s="228">
        <v>39.18</v>
      </c>
      <c r="G85" s="229">
        <v>372.21</v>
      </c>
      <c r="H85" s="46">
        <v>51</v>
      </c>
    </row>
    <row r="86" spans="1:8" x14ac:dyDescent="0.25">
      <c r="A86" s="47">
        <v>40662</v>
      </c>
      <c r="B86" s="213" t="s">
        <v>5</v>
      </c>
      <c r="C86" t="s">
        <v>536</v>
      </c>
      <c r="D86" t="s">
        <v>19</v>
      </c>
      <c r="E86" s="228">
        <v>10</v>
      </c>
      <c r="F86" s="228">
        <v>32.200000000000003</v>
      </c>
      <c r="G86" s="229">
        <v>322</v>
      </c>
      <c r="H86" s="46">
        <v>51</v>
      </c>
    </row>
    <row r="87" spans="1:8" x14ac:dyDescent="0.25">
      <c r="A87" s="47">
        <v>40662</v>
      </c>
      <c r="B87" s="213" t="s">
        <v>346</v>
      </c>
      <c r="C87" t="s">
        <v>535</v>
      </c>
      <c r="D87" t="s">
        <v>19</v>
      </c>
      <c r="E87" s="228">
        <v>8</v>
      </c>
      <c r="F87" s="228">
        <v>39.18</v>
      </c>
      <c r="G87" s="229">
        <v>313.44</v>
      </c>
      <c r="H87" s="46">
        <v>51</v>
      </c>
    </row>
    <row r="88" spans="1:8" x14ac:dyDescent="0.25">
      <c r="A88" s="47">
        <v>40662</v>
      </c>
      <c r="B88" s="213" t="s">
        <v>5</v>
      </c>
      <c r="C88" t="s">
        <v>535</v>
      </c>
      <c r="D88" t="s">
        <v>19</v>
      </c>
      <c r="E88" s="228">
        <v>8</v>
      </c>
      <c r="F88" s="228">
        <v>32.200000000000003</v>
      </c>
      <c r="G88" s="229">
        <v>257.60000000000002</v>
      </c>
      <c r="H88" s="46">
        <v>51</v>
      </c>
    </row>
    <row r="89" spans="1:8" x14ac:dyDescent="0.25">
      <c r="A89" s="47">
        <v>40662</v>
      </c>
      <c r="B89" s="213" t="s">
        <v>359</v>
      </c>
      <c r="C89" t="s">
        <v>537</v>
      </c>
      <c r="D89" t="s">
        <v>19</v>
      </c>
      <c r="E89" s="228">
        <v>8</v>
      </c>
      <c r="F89" s="228">
        <v>39.18</v>
      </c>
      <c r="G89" s="229">
        <v>313.44</v>
      </c>
      <c r="H89" s="46">
        <v>51</v>
      </c>
    </row>
    <row r="90" spans="1:8" x14ac:dyDescent="0.25">
      <c r="A90" s="47">
        <v>40662</v>
      </c>
      <c r="B90" s="213" t="s">
        <v>350</v>
      </c>
      <c r="C90" t="s">
        <v>351</v>
      </c>
      <c r="D90" t="s">
        <v>19</v>
      </c>
      <c r="E90" s="228">
        <v>8</v>
      </c>
      <c r="F90" s="228">
        <v>85</v>
      </c>
      <c r="G90" s="229">
        <v>680</v>
      </c>
      <c r="H90" s="46">
        <v>51</v>
      </c>
    </row>
    <row r="91" spans="1:8" x14ac:dyDescent="0.25">
      <c r="A91" s="47">
        <v>40662</v>
      </c>
      <c r="B91" s="213" t="s">
        <v>349</v>
      </c>
      <c r="C91" t="s">
        <v>343</v>
      </c>
      <c r="D91" t="s">
        <v>19</v>
      </c>
      <c r="E91" s="228">
        <v>8</v>
      </c>
      <c r="F91" s="228">
        <v>130</v>
      </c>
      <c r="G91" s="229">
        <v>1040</v>
      </c>
      <c r="H91" s="46">
        <v>51</v>
      </c>
    </row>
    <row r="92" spans="1:8" x14ac:dyDescent="0.25">
      <c r="A92" s="47">
        <v>40662</v>
      </c>
      <c r="B92" s="213" t="s">
        <v>357</v>
      </c>
      <c r="C92" t="s">
        <v>358</v>
      </c>
      <c r="D92" t="s">
        <v>19</v>
      </c>
      <c r="E92" s="228">
        <v>8</v>
      </c>
      <c r="F92" s="228">
        <v>42.79</v>
      </c>
      <c r="G92" s="229">
        <v>342.32</v>
      </c>
      <c r="H92" s="46">
        <v>51</v>
      </c>
    </row>
    <row r="93" spans="1:8" x14ac:dyDescent="0.25">
      <c r="A93" s="47">
        <v>40662</v>
      </c>
      <c r="B93" s="213" t="s">
        <v>347</v>
      </c>
      <c r="C93" t="s">
        <v>348</v>
      </c>
      <c r="D93" t="s">
        <v>19</v>
      </c>
      <c r="E93" s="228">
        <v>8</v>
      </c>
      <c r="F93" s="228">
        <v>65</v>
      </c>
      <c r="G93" s="229">
        <v>520</v>
      </c>
      <c r="H93" s="46">
        <v>51</v>
      </c>
    </row>
    <row r="94" spans="1:8" x14ac:dyDescent="0.25">
      <c r="A94" s="47">
        <v>40662</v>
      </c>
      <c r="B94" s="213" t="s">
        <v>353</v>
      </c>
      <c r="C94" t="s">
        <v>354</v>
      </c>
      <c r="D94" t="s">
        <v>57</v>
      </c>
      <c r="E94" s="228">
        <v>1</v>
      </c>
      <c r="F94" s="228">
        <v>283.5</v>
      </c>
      <c r="G94" s="229">
        <v>283.5</v>
      </c>
      <c r="H94" s="46">
        <v>51</v>
      </c>
    </row>
    <row r="95" spans="1:8" x14ac:dyDescent="0.25">
      <c r="A95" s="47">
        <v>40663</v>
      </c>
      <c r="B95" s="213" t="s">
        <v>359</v>
      </c>
      <c r="C95" t="s">
        <v>537</v>
      </c>
      <c r="D95" t="s">
        <v>19</v>
      </c>
      <c r="E95" s="228">
        <v>6</v>
      </c>
      <c r="F95" s="228">
        <v>39.18</v>
      </c>
      <c r="G95" s="229">
        <v>235.08</v>
      </c>
      <c r="H95" s="46">
        <v>51</v>
      </c>
    </row>
    <row r="96" spans="1:8" x14ac:dyDescent="0.25">
      <c r="A96" s="47">
        <v>40663</v>
      </c>
      <c r="B96" s="213" t="s">
        <v>5</v>
      </c>
      <c r="C96" t="s">
        <v>536</v>
      </c>
      <c r="D96" t="s">
        <v>19</v>
      </c>
      <c r="E96" s="228">
        <v>9.5</v>
      </c>
      <c r="F96" s="228">
        <v>32.200000000000003</v>
      </c>
      <c r="G96" s="229">
        <v>305.89999999999998</v>
      </c>
      <c r="H96" s="46">
        <v>51</v>
      </c>
    </row>
    <row r="97" spans="1:8" x14ac:dyDescent="0.25">
      <c r="A97" s="47">
        <v>40663</v>
      </c>
      <c r="B97" s="213" t="s">
        <v>353</v>
      </c>
      <c r="C97" t="s">
        <v>354</v>
      </c>
      <c r="D97" t="s">
        <v>57</v>
      </c>
      <c r="E97" s="228">
        <v>1</v>
      </c>
      <c r="F97" s="228">
        <v>283.5</v>
      </c>
      <c r="G97" s="229">
        <v>283.5</v>
      </c>
      <c r="H97" s="46">
        <v>51</v>
      </c>
    </row>
    <row r="98" spans="1:8" x14ac:dyDescent="0.25">
      <c r="A98" s="47">
        <v>40663</v>
      </c>
      <c r="B98" s="213" t="s">
        <v>349</v>
      </c>
      <c r="C98" t="s">
        <v>343</v>
      </c>
      <c r="D98" t="s">
        <v>19</v>
      </c>
      <c r="E98" s="228">
        <v>6</v>
      </c>
      <c r="F98" s="228">
        <v>130</v>
      </c>
      <c r="G98" s="229">
        <v>780</v>
      </c>
      <c r="H98" s="46">
        <v>51</v>
      </c>
    </row>
    <row r="99" spans="1:8" x14ac:dyDescent="0.25">
      <c r="A99" s="47">
        <v>40663</v>
      </c>
      <c r="B99" s="213" t="s">
        <v>350</v>
      </c>
      <c r="C99" t="s">
        <v>351</v>
      </c>
      <c r="D99" t="s">
        <v>19</v>
      </c>
      <c r="E99" s="228">
        <v>6</v>
      </c>
      <c r="F99" s="228">
        <v>85</v>
      </c>
      <c r="G99" s="229">
        <v>510</v>
      </c>
      <c r="H99" s="46">
        <v>51</v>
      </c>
    </row>
    <row r="100" spans="1:8" x14ac:dyDescent="0.25">
      <c r="A100" s="47">
        <v>40663</v>
      </c>
      <c r="B100" s="213" t="s">
        <v>347</v>
      </c>
      <c r="C100" t="s">
        <v>348</v>
      </c>
      <c r="D100" t="s">
        <v>19</v>
      </c>
      <c r="E100" s="228">
        <v>6</v>
      </c>
      <c r="F100" s="228">
        <v>65</v>
      </c>
      <c r="G100" s="229">
        <v>390</v>
      </c>
      <c r="H100" s="46">
        <v>51</v>
      </c>
    </row>
    <row r="101" spans="1:8" x14ac:dyDescent="0.25">
      <c r="A101" s="47">
        <v>40666</v>
      </c>
      <c r="B101" s="213" t="s">
        <v>346</v>
      </c>
      <c r="C101" t="s">
        <v>535</v>
      </c>
      <c r="D101" t="s">
        <v>19</v>
      </c>
      <c r="E101" s="228">
        <v>9.5</v>
      </c>
      <c r="F101" s="228">
        <v>39.18</v>
      </c>
      <c r="G101" s="229">
        <v>372.21</v>
      </c>
      <c r="H101" s="46">
        <v>51</v>
      </c>
    </row>
    <row r="102" spans="1:8" x14ac:dyDescent="0.25">
      <c r="A102" s="47">
        <v>40666</v>
      </c>
      <c r="B102" s="213" t="s">
        <v>350</v>
      </c>
      <c r="C102" t="s">
        <v>351</v>
      </c>
      <c r="D102" t="s">
        <v>19</v>
      </c>
      <c r="E102" s="228">
        <v>9.5</v>
      </c>
      <c r="F102" s="228">
        <v>85</v>
      </c>
      <c r="G102" s="229">
        <v>807.5</v>
      </c>
      <c r="H102" s="46">
        <v>51</v>
      </c>
    </row>
    <row r="103" spans="1:8" x14ac:dyDescent="0.25">
      <c r="A103" s="47">
        <v>40666</v>
      </c>
      <c r="B103" s="213" t="s">
        <v>357</v>
      </c>
      <c r="C103" t="s">
        <v>358</v>
      </c>
      <c r="D103" t="s">
        <v>19</v>
      </c>
      <c r="E103" s="228">
        <v>9.5</v>
      </c>
      <c r="F103" s="228">
        <v>42.79</v>
      </c>
      <c r="G103" s="229">
        <v>406.505</v>
      </c>
      <c r="H103" s="46">
        <v>51</v>
      </c>
    </row>
    <row r="104" spans="1:8" x14ac:dyDescent="0.25">
      <c r="A104" s="47">
        <v>40666</v>
      </c>
      <c r="B104" s="213" t="s">
        <v>359</v>
      </c>
      <c r="C104" t="s">
        <v>537</v>
      </c>
      <c r="D104" t="s">
        <v>19</v>
      </c>
      <c r="E104" s="228">
        <v>9.5</v>
      </c>
      <c r="F104" s="228">
        <v>39.18</v>
      </c>
      <c r="G104" s="229">
        <v>372.21</v>
      </c>
      <c r="H104" s="46">
        <v>51</v>
      </c>
    </row>
    <row r="105" spans="1:8" x14ac:dyDescent="0.25">
      <c r="A105" s="47">
        <v>40666</v>
      </c>
      <c r="B105" s="213" t="s">
        <v>5</v>
      </c>
      <c r="C105" t="s">
        <v>536</v>
      </c>
      <c r="D105" t="s">
        <v>19</v>
      </c>
      <c r="E105" s="228">
        <v>9.5</v>
      </c>
      <c r="F105" s="228">
        <v>32.200000000000003</v>
      </c>
      <c r="G105" s="229">
        <v>305.89999999999998</v>
      </c>
      <c r="H105" s="46">
        <v>51</v>
      </c>
    </row>
    <row r="106" spans="1:8" x14ac:dyDescent="0.25">
      <c r="A106" s="47">
        <v>40666</v>
      </c>
      <c r="B106" s="213" t="s">
        <v>349</v>
      </c>
      <c r="C106" t="s">
        <v>343</v>
      </c>
      <c r="D106" t="s">
        <v>19</v>
      </c>
      <c r="E106" s="228">
        <v>9.5</v>
      </c>
      <c r="F106" s="228">
        <v>130</v>
      </c>
      <c r="G106" s="229">
        <v>1235</v>
      </c>
      <c r="H106" s="46">
        <v>51</v>
      </c>
    </row>
    <row r="107" spans="1:8" x14ac:dyDescent="0.25">
      <c r="A107" s="47">
        <v>40666</v>
      </c>
      <c r="B107" s="213" t="s">
        <v>5</v>
      </c>
      <c r="C107" t="s">
        <v>535</v>
      </c>
      <c r="D107" t="s">
        <v>19</v>
      </c>
      <c r="E107" s="228">
        <v>9.5</v>
      </c>
      <c r="F107" s="228">
        <v>32.200000000000003</v>
      </c>
      <c r="G107" s="229">
        <v>305.89999999999998</v>
      </c>
      <c r="H107" s="46">
        <v>51</v>
      </c>
    </row>
    <row r="108" spans="1:8" x14ac:dyDescent="0.25">
      <c r="A108" s="47">
        <v>40666</v>
      </c>
      <c r="B108" s="213" t="s">
        <v>347</v>
      </c>
      <c r="C108" t="s">
        <v>348</v>
      </c>
      <c r="D108" t="s">
        <v>19</v>
      </c>
      <c r="E108" s="228">
        <v>9.5</v>
      </c>
      <c r="F108" s="228">
        <v>65</v>
      </c>
      <c r="G108" s="229">
        <v>617.5</v>
      </c>
      <c r="H108" s="46">
        <v>51</v>
      </c>
    </row>
    <row r="109" spans="1:8" x14ac:dyDescent="0.25">
      <c r="A109" s="47">
        <v>40667</v>
      </c>
      <c r="B109" s="213" t="s">
        <v>360</v>
      </c>
      <c r="C109" t="s">
        <v>358</v>
      </c>
      <c r="D109" t="s">
        <v>19</v>
      </c>
      <c r="E109" s="228">
        <v>9.5</v>
      </c>
      <c r="F109" s="228">
        <v>42.79</v>
      </c>
      <c r="G109" s="229">
        <v>406.505</v>
      </c>
      <c r="H109" s="46">
        <v>51</v>
      </c>
    </row>
    <row r="110" spans="1:8" x14ac:dyDescent="0.25">
      <c r="A110" s="47">
        <v>40667</v>
      </c>
      <c r="B110" s="213" t="s">
        <v>347</v>
      </c>
      <c r="C110" t="s">
        <v>348</v>
      </c>
      <c r="D110" t="s">
        <v>19</v>
      </c>
      <c r="E110" s="228">
        <v>9.5</v>
      </c>
      <c r="F110" s="228">
        <v>65</v>
      </c>
      <c r="G110" s="229">
        <v>617.5</v>
      </c>
      <c r="H110" s="46">
        <v>51</v>
      </c>
    </row>
    <row r="111" spans="1:8" x14ac:dyDescent="0.25">
      <c r="A111" s="47">
        <v>40667</v>
      </c>
      <c r="B111" s="213" t="s">
        <v>349</v>
      </c>
      <c r="C111" t="s">
        <v>343</v>
      </c>
      <c r="D111" t="s">
        <v>19</v>
      </c>
      <c r="E111" s="228">
        <v>9.5</v>
      </c>
      <c r="F111" s="228">
        <v>130</v>
      </c>
      <c r="G111" s="229">
        <v>1235</v>
      </c>
      <c r="H111" s="46">
        <v>51</v>
      </c>
    </row>
    <row r="112" spans="1:8" x14ac:dyDescent="0.25">
      <c r="A112" s="47">
        <v>40667</v>
      </c>
      <c r="B112" s="213" t="s">
        <v>359</v>
      </c>
      <c r="C112" t="s">
        <v>537</v>
      </c>
      <c r="D112" t="s">
        <v>19</v>
      </c>
      <c r="E112" s="228">
        <v>9.5</v>
      </c>
      <c r="F112" s="228">
        <v>39.18</v>
      </c>
      <c r="G112" s="229">
        <v>372.21</v>
      </c>
      <c r="H112" s="46">
        <v>51</v>
      </c>
    </row>
    <row r="113" spans="1:8" x14ac:dyDescent="0.25">
      <c r="A113" s="47">
        <v>40667</v>
      </c>
      <c r="B113" s="213" t="s">
        <v>346</v>
      </c>
      <c r="C113" t="s">
        <v>535</v>
      </c>
      <c r="D113" t="s">
        <v>19</v>
      </c>
      <c r="E113" s="228">
        <v>9.5</v>
      </c>
      <c r="F113" s="228">
        <v>39.18</v>
      </c>
      <c r="G113" s="229">
        <v>372.21</v>
      </c>
      <c r="H113" s="46">
        <v>51</v>
      </c>
    </row>
    <row r="114" spans="1:8" x14ac:dyDescent="0.25">
      <c r="A114" s="47">
        <v>40667</v>
      </c>
      <c r="B114" s="213" t="s">
        <v>5</v>
      </c>
      <c r="C114" t="s">
        <v>535</v>
      </c>
      <c r="D114" t="s">
        <v>19</v>
      </c>
      <c r="E114" s="228">
        <v>9.5</v>
      </c>
      <c r="F114" s="228">
        <v>32.200000000000003</v>
      </c>
      <c r="G114" s="229">
        <v>305.89999999999998</v>
      </c>
      <c r="H114" s="46">
        <v>51</v>
      </c>
    </row>
    <row r="115" spans="1:8" x14ac:dyDescent="0.25">
      <c r="A115" s="47">
        <v>40667</v>
      </c>
      <c r="B115" s="213" t="s">
        <v>5</v>
      </c>
      <c r="C115" t="s">
        <v>536</v>
      </c>
      <c r="D115" t="s">
        <v>19</v>
      </c>
      <c r="E115" s="228">
        <v>9.5</v>
      </c>
      <c r="F115" s="228">
        <v>32.200000000000003</v>
      </c>
      <c r="G115" s="229">
        <v>305.89999999999998</v>
      </c>
      <c r="H115" s="46">
        <v>51</v>
      </c>
    </row>
    <row r="116" spans="1:8" x14ac:dyDescent="0.25">
      <c r="A116" s="47">
        <v>40667</v>
      </c>
      <c r="B116" s="213" t="s">
        <v>350</v>
      </c>
      <c r="C116" t="s">
        <v>351</v>
      </c>
      <c r="D116" t="s">
        <v>19</v>
      </c>
      <c r="E116" s="228">
        <v>9.5</v>
      </c>
      <c r="F116" s="228">
        <v>85</v>
      </c>
      <c r="G116" s="229">
        <v>807.5</v>
      </c>
      <c r="H116" s="46">
        <v>51</v>
      </c>
    </row>
    <row r="117" spans="1:8" x14ac:dyDescent="0.25">
      <c r="A117" s="47">
        <v>40668</v>
      </c>
      <c r="B117" s="213" t="s">
        <v>5</v>
      </c>
      <c r="C117" t="s">
        <v>536</v>
      </c>
      <c r="D117" t="s">
        <v>19</v>
      </c>
      <c r="E117" s="228">
        <v>9.5</v>
      </c>
      <c r="F117" s="228">
        <v>32.200000000000003</v>
      </c>
      <c r="G117" s="229">
        <v>305.89999999999998</v>
      </c>
      <c r="H117" s="46">
        <v>51</v>
      </c>
    </row>
    <row r="118" spans="1:8" x14ac:dyDescent="0.25">
      <c r="A118" s="47">
        <v>40668</v>
      </c>
      <c r="B118" s="213" t="s">
        <v>5</v>
      </c>
      <c r="C118" t="s">
        <v>535</v>
      </c>
      <c r="D118" t="s">
        <v>19</v>
      </c>
      <c r="E118" s="228">
        <v>9.5</v>
      </c>
      <c r="F118" s="228">
        <v>32.200000000000003</v>
      </c>
      <c r="G118" s="229">
        <v>305.89999999999998</v>
      </c>
      <c r="H118" s="46">
        <v>51</v>
      </c>
    </row>
    <row r="119" spans="1:8" x14ac:dyDescent="0.25">
      <c r="A119" s="47">
        <v>40668</v>
      </c>
      <c r="B119" s="213" t="s">
        <v>350</v>
      </c>
      <c r="C119" t="s">
        <v>351</v>
      </c>
      <c r="D119" t="s">
        <v>19</v>
      </c>
      <c r="E119" s="228">
        <v>9.5</v>
      </c>
      <c r="F119" s="228">
        <v>85</v>
      </c>
      <c r="G119" s="229">
        <v>807.5</v>
      </c>
      <c r="H119" s="46">
        <v>51</v>
      </c>
    </row>
    <row r="120" spans="1:8" x14ac:dyDescent="0.25">
      <c r="A120" s="47">
        <v>40668</v>
      </c>
      <c r="B120" s="213" t="s">
        <v>349</v>
      </c>
      <c r="C120" t="s">
        <v>343</v>
      </c>
      <c r="D120" t="s">
        <v>19</v>
      </c>
      <c r="E120" s="228">
        <v>9.5</v>
      </c>
      <c r="F120" s="228">
        <v>130</v>
      </c>
      <c r="G120" s="229">
        <v>1235</v>
      </c>
      <c r="H120" s="46">
        <v>51</v>
      </c>
    </row>
    <row r="121" spans="1:8" x14ac:dyDescent="0.25">
      <c r="A121" s="47">
        <v>40668</v>
      </c>
      <c r="B121" s="213" t="s">
        <v>360</v>
      </c>
      <c r="C121" t="s">
        <v>358</v>
      </c>
      <c r="D121" t="s">
        <v>19</v>
      </c>
      <c r="E121" s="228">
        <v>9.5</v>
      </c>
      <c r="F121" s="228">
        <v>42.79</v>
      </c>
      <c r="G121" s="229">
        <v>406.505</v>
      </c>
      <c r="H121" s="46">
        <v>51</v>
      </c>
    </row>
    <row r="122" spans="1:8" x14ac:dyDescent="0.25">
      <c r="A122" s="47">
        <v>40668</v>
      </c>
      <c r="B122" s="213" t="s">
        <v>347</v>
      </c>
      <c r="C122" t="s">
        <v>348</v>
      </c>
      <c r="D122" t="s">
        <v>19</v>
      </c>
      <c r="E122" s="228">
        <v>9.5</v>
      </c>
      <c r="F122" s="228">
        <v>65</v>
      </c>
      <c r="G122" s="229">
        <v>617.5</v>
      </c>
      <c r="H122" s="46">
        <v>51</v>
      </c>
    </row>
    <row r="123" spans="1:8" x14ac:dyDescent="0.25">
      <c r="A123" s="47">
        <v>40668</v>
      </c>
      <c r="B123" s="213" t="s">
        <v>346</v>
      </c>
      <c r="C123" t="s">
        <v>535</v>
      </c>
      <c r="D123" t="s">
        <v>19</v>
      </c>
      <c r="E123" s="228">
        <v>9.5</v>
      </c>
      <c r="F123" s="228">
        <v>39.18</v>
      </c>
      <c r="G123" s="229">
        <v>372.21</v>
      </c>
      <c r="H123" s="46">
        <v>51</v>
      </c>
    </row>
    <row r="124" spans="1:8" x14ac:dyDescent="0.25">
      <c r="A124" s="47">
        <v>40668</v>
      </c>
      <c r="B124" s="213" t="s">
        <v>359</v>
      </c>
      <c r="C124" t="s">
        <v>537</v>
      </c>
      <c r="D124" t="s">
        <v>19</v>
      </c>
      <c r="E124" s="228">
        <v>9.5</v>
      </c>
      <c r="F124" s="228">
        <v>39.18</v>
      </c>
      <c r="G124" s="229">
        <v>372.21</v>
      </c>
      <c r="H124" s="46">
        <v>51</v>
      </c>
    </row>
    <row r="125" spans="1:8" x14ac:dyDescent="0.25">
      <c r="A125" s="47">
        <v>40669</v>
      </c>
      <c r="B125" s="213" t="s">
        <v>347</v>
      </c>
      <c r="C125" t="s">
        <v>348</v>
      </c>
      <c r="D125" t="s">
        <v>19</v>
      </c>
      <c r="E125" s="228">
        <v>8</v>
      </c>
      <c r="F125" s="228">
        <v>65</v>
      </c>
      <c r="G125" s="229">
        <v>520</v>
      </c>
      <c r="H125" s="46">
        <v>51</v>
      </c>
    </row>
    <row r="126" spans="1:8" x14ac:dyDescent="0.25">
      <c r="A126" s="47">
        <v>40669</v>
      </c>
      <c r="B126" s="213" t="s">
        <v>360</v>
      </c>
      <c r="C126" t="s">
        <v>358</v>
      </c>
      <c r="D126" t="s">
        <v>19</v>
      </c>
      <c r="E126" s="228">
        <v>8</v>
      </c>
      <c r="F126" s="228">
        <v>42.79</v>
      </c>
      <c r="G126" s="229">
        <v>342.32</v>
      </c>
      <c r="H126" s="46">
        <v>51</v>
      </c>
    </row>
    <row r="127" spans="1:8" x14ac:dyDescent="0.25">
      <c r="A127" s="47">
        <v>40669</v>
      </c>
      <c r="B127" s="213" t="s">
        <v>350</v>
      </c>
      <c r="C127" t="s">
        <v>351</v>
      </c>
      <c r="D127" t="s">
        <v>19</v>
      </c>
      <c r="E127" s="228">
        <v>8</v>
      </c>
      <c r="F127" s="228">
        <v>85</v>
      </c>
      <c r="G127" s="229">
        <v>680</v>
      </c>
      <c r="H127" s="46">
        <v>51</v>
      </c>
    </row>
    <row r="128" spans="1:8" x14ac:dyDescent="0.25">
      <c r="A128" s="47">
        <v>40669</v>
      </c>
      <c r="B128" s="213" t="s">
        <v>349</v>
      </c>
      <c r="C128" t="s">
        <v>343</v>
      </c>
      <c r="D128" t="s">
        <v>19</v>
      </c>
      <c r="E128" s="228">
        <v>8</v>
      </c>
      <c r="F128" s="228">
        <v>85</v>
      </c>
      <c r="G128" s="229">
        <v>680</v>
      </c>
      <c r="H128" s="46">
        <v>51</v>
      </c>
    </row>
    <row r="129" spans="1:8" x14ac:dyDescent="0.25">
      <c r="A129" s="47">
        <v>40669</v>
      </c>
      <c r="B129" s="213" t="s">
        <v>5</v>
      </c>
      <c r="C129" t="s">
        <v>535</v>
      </c>
      <c r="D129" t="s">
        <v>19</v>
      </c>
      <c r="E129" s="228">
        <v>8</v>
      </c>
      <c r="F129" s="228">
        <v>32.200000000000003</v>
      </c>
      <c r="G129" s="229">
        <v>257.60000000000002</v>
      </c>
      <c r="H129" s="46">
        <v>51</v>
      </c>
    </row>
    <row r="130" spans="1:8" x14ac:dyDescent="0.25">
      <c r="A130" s="47">
        <v>40669</v>
      </c>
      <c r="B130" s="213" t="s">
        <v>346</v>
      </c>
      <c r="C130" t="s">
        <v>535</v>
      </c>
      <c r="D130" t="s">
        <v>19</v>
      </c>
      <c r="E130" s="228">
        <v>8</v>
      </c>
      <c r="F130" s="228">
        <v>39.18</v>
      </c>
      <c r="G130" s="229">
        <v>313.44</v>
      </c>
      <c r="H130" s="46">
        <v>51</v>
      </c>
    </row>
    <row r="131" spans="1:8" x14ac:dyDescent="0.25">
      <c r="A131" s="47">
        <v>40669</v>
      </c>
      <c r="B131" s="213" t="s">
        <v>5</v>
      </c>
      <c r="C131" t="s">
        <v>536</v>
      </c>
      <c r="D131" t="s">
        <v>19</v>
      </c>
      <c r="E131" s="228">
        <v>8</v>
      </c>
      <c r="F131" s="228">
        <v>32.200000000000003</v>
      </c>
      <c r="G131" s="229">
        <v>257.60000000000002</v>
      </c>
      <c r="H131" s="46">
        <v>51</v>
      </c>
    </row>
    <row r="132" spans="1:8" x14ac:dyDescent="0.25">
      <c r="A132" s="47">
        <v>40669</v>
      </c>
      <c r="B132" s="213" t="s">
        <v>359</v>
      </c>
      <c r="C132" t="s">
        <v>537</v>
      </c>
      <c r="D132" t="s">
        <v>19</v>
      </c>
      <c r="E132" s="228">
        <v>8.5</v>
      </c>
      <c r="F132" s="228">
        <v>39.18</v>
      </c>
      <c r="G132" s="229">
        <v>333.03</v>
      </c>
      <c r="H132" s="46">
        <v>51</v>
      </c>
    </row>
    <row r="133" spans="1:8" x14ac:dyDescent="0.25">
      <c r="A133" s="47">
        <v>40670</v>
      </c>
      <c r="B133" s="213" t="s">
        <v>361</v>
      </c>
      <c r="C133" t="s">
        <v>362</v>
      </c>
      <c r="D133" t="s">
        <v>19</v>
      </c>
      <c r="E133" s="228">
        <v>1</v>
      </c>
      <c r="F133" s="228">
        <v>305.45</v>
      </c>
      <c r="G133" s="229">
        <v>305.45</v>
      </c>
      <c r="H133" s="46">
        <v>51</v>
      </c>
    </row>
    <row r="134" spans="1:8" x14ac:dyDescent="0.25">
      <c r="A134" s="47">
        <v>40672</v>
      </c>
      <c r="B134" s="213" t="s">
        <v>5</v>
      </c>
      <c r="C134" t="s">
        <v>536</v>
      </c>
      <c r="D134" t="s">
        <v>19</v>
      </c>
      <c r="E134" s="228">
        <v>9.5</v>
      </c>
      <c r="F134" s="228">
        <v>32.200000000000003</v>
      </c>
      <c r="G134" s="229">
        <v>305.89999999999998</v>
      </c>
      <c r="H134" s="46">
        <v>51</v>
      </c>
    </row>
    <row r="135" spans="1:8" x14ac:dyDescent="0.25">
      <c r="A135" s="47">
        <v>40672</v>
      </c>
      <c r="B135" s="213" t="s">
        <v>5</v>
      </c>
      <c r="C135" t="s">
        <v>535</v>
      </c>
      <c r="D135" t="s">
        <v>19</v>
      </c>
      <c r="E135" s="228">
        <v>9.5</v>
      </c>
      <c r="F135" s="228">
        <v>32.200000000000003</v>
      </c>
      <c r="G135" s="229">
        <v>305.89999999999998</v>
      </c>
      <c r="H135" s="46">
        <v>51</v>
      </c>
    </row>
    <row r="136" spans="1:8" x14ac:dyDescent="0.25">
      <c r="A136" s="47">
        <v>40672</v>
      </c>
      <c r="B136" s="213" t="s">
        <v>346</v>
      </c>
      <c r="C136" t="s">
        <v>535</v>
      </c>
      <c r="D136" t="s">
        <v>19</v>
      </c>
      <c r="E136" s="228">
        <v>9.5</v>
      </c>
      <c r="F136" s="228">
        <v>39.18</v>
      </c>
      <c r="G136" s="229">
        <v>372.21</v>
      </c>
      <c r="H136" s="46">
        <v>51</v>
      </c>
    </row>
    <row r="137" spans="1:8" x14ac:dyDescent="0.25">
      <c r="A137" s="47">
        <v>40672</v>
      </c>
      <c r="B137" s="213" t="s">
        <v>359</v>
      </c>
      <c r="C137" t="s">
        <v>537</v>
      </c>
      <c r="D137" t="s">
        <v>19</v>
      </c>
      <c r="E137" s="228">
        <v>9.5</v>
      </c>
      <c r="F137" s="228">
        <v>39.18</v>
      </c>
      <c r="G137" s="229">
        <v>372.21</v>
      </c>
      <c r="H137" s="46">
        <v>51</v>
      </c>
    </row>
    <row r="138" spans="1:8" x14ac:dyDescent="0.25">
      <c r="A138" s="47">
        <v>40672</v>
      </c>
      <c r="B138" s="213" t="s">
        <v>350</v>
      </c>
      <c r="C138" t="s">
        <v>351</v>
      </c>
      <c r="D138" t="s">
        <v>19</v>
      </c>
      <c r="E138" s="228">
        <v>9.5</v>
      </c>
      <c r="F138" s="228">
        <v>85</v>
      </c>
      <c r="G138" s="229">
        <v>807.5</v>
      </c>
      <c r="H138" s="46">
        <v>51</v>
      </c>
    </row>
    <row r="139" spans="1:8" x14ac:dyDescent="0.25">
      <c r="A139" s="47">
        <v>40672</v>
      </c>
      <c r="B139" s="213" t="s">
        <v>363</v>
      </c>
      <c r="C139" t="s">
        <v>536</v>
      </c>
      <c r="D139" t="s">
        <v>19</v>
      </c>
      <c r="E139" s="228">
        <v>9.5</v>
      </c>
      <c r="F139" s="228">
        <v>43.4</v>
      </c>
      <c r="G139" s="229">
        <v>412.3</v>
      </c>
      <c r="H139" s="46">
        <v>51</v>
      </c>
    </row>
    <row r="140" spans="1:8" x14ac:dyDescent="0.25">
      <c r="A140" s="47">
        <v>40672</v>
      </c>
      <c r="B140" s="213" t="s">
        <v>349</v>
      </c>
      <c r="C140" t="s">
        <v>343</v>
      </c>
      <c r="D140" t="s">
        <v>19</v>
      </c>
      <c r="E140" s="228">
        <v>9.5</v>
      </c>
      <c r="F140" s="228">
        <v>130</v>
      </c>
      <c r="G140" s="229">
        <v>1235</v>
      </c>
      <c r="H140" s="46">
        <v>51</v>
      </c>
    </row>
    <row r="141" spans="1:8" x14ac:dyDescent="0.25">
      <c r="A141" s="47">
        <v>40672</v>
      </c>
      <c r="B141" s="213" t="s">
        <v>347</v>
      </c>
      <c r="C141" t="s">
        <v>348</v>
      </c>
      <c r="D141" t="s">
        <v>19</v>
      </c>
      <c r="E141" s="228">
        <v>9.5</v>
      </c>
      <c r="F141" s="228">
        <v>65</v>
      </c>
      <c r="G141" s="229">
        <v>617.5</v>
      </c>
      <c r="H141" s="46">
        <v>51</v>
      </c>
    </row>
    <row r="142" spans="1:8" x14ac:dyDescent="0.25">
      <c r="A142" s="47">
        <v>40672</v>
      </c>
      <c r="B142" s="213" t="s">
        <v>360</v>
      </c>
      <c r="C142" t="s">
        <v>358</v>
      </c>
      <c r="D142" t="s">
        <v>19</v>
      </c>
      <c r="E142" s="228">
        <v>9.5</v>
      </c>
      <c r="F142" s="228">
        <v>42.79</v>
      </c>
      <c r="G142" s="229">
        <v>406.505</v>
      </c>
      <c r="H142" s="46">
        <v>51</v>
      </c>
    </row>
    <row r="143" spans="1:8" x14ac:dyDescent="0.25">
      <c r="A143" s="47">
        <v>40673</v>
      </c>
      <c r="B143" s="213" t="s">
        <v>347</v>
      </c>
      <c r="C143" t="s">
        <v>348</v>
      </c>
      <c r="D143" t="s">
        <v>19</v>
      </c>
      <c r="E143" s="228">
        <v>9.5</v>
      </c>
      <c r="F143" s="228">
        <v>65</v>
      </c>
      <c r="G143" s="229">
        <v>617.5</v>
      </c>
      <c r="H143" s="46">
        <v>51</v>
      </c>
    </row>
    <row r="144" spans="1:8" x14ac:dyDescent="0.25">
      <c r="A144" s="47">
        <v>40673</v>
      </c>
      <c r="B144" s="213" t="s">
        <v>360</v>
      </c>
      <c r="C144" t="s">
        <v>358</v>
      </c>
      <c r="D144" t="s">
        <v>19</v>
      </c>
      <c r="E144" s="228">
        <v>3</v>
      </c>
      <c r="F144" s="228">
        <v>42.79</v>
      </c>
      <c r="G144" s="229">
        <v>128.37</v>
      </c>
      <c r="H144" s="46">
        <v>51</v>
      </c>
    </row>
    <row r="145" spans="1:8" x14ac:dyDescent="0.25">
      <c r="A145" s="47">
        <v>40673</v>
      </c>
      <c r="B145" s="213" t="s">
        <v>359</v>
      </c>
      <c r="C145" t="s">
        <v>537</v>
      </c>
      <c r="D145" t="s">
        <v>19</v>
      </c>
      <c r="E145" s="228">
        <v>3</v>
      </c>
      <c r="F145" s="228">
        <v>39.18</v>
      </c>
      <c r="G145" s="229">
        <v>117.54</v>
      </c>
      <c r="H145" s="46">
        <v>51</v>
      </c>
    </row>
    <row r="146" spans="1:8" x14ac:dyDescent="0.25">
      <c r="A146" s="47">
        <v>40673</v>
      </c>
      <c r="B146" s="213" t="s">
        <v>349</v>
      </c>
      <c r="C146" t="s">
        <v>343</v>
      </c>
      <c r="D146" t="s">
        <v>19</v>
      </c>
      <c r="E146" s="228">
        <v>6</v>
      </c>
      <c r="F146" s="228">
        <v>130</v>
      </c>
      <c r="G146" s="229">
        <v>780</v>
      </c>
      <c r="H146" s="46">
        <v>51</v>
      </c>
    </row>
    <row r="147" spans="1:8" x14ac:dyDescent="0.25">
      <c r="A147" s="47">
        <v>40673</v>
      </c>
      <c r="B147" s="213" t="s">
        <v>363</v>
      </c>
      <c r="C147" t="s">
        <v>536</v>
      </c>
      <c r="D147" t="s">
        <v>19</v>
      </c>
      <c r="E147" s="228">
        <v>9.5</v>
      </c>
      <c r="F147" s="228">
        <v>43.4</v>
      </c>
      <c r="G147" s="229">
        <v>412.3</v>
      </c>
      <c r="H147" s="46">
        <v>51</v>
      </c>
    </row>
    <row r="148" spans="1:8" x14ac:dyDescent="0.25">
      <c r="A148" s="47">
        <v>40673</v>
      </c>
      <c r="B148" s="213" t="s">
        <v>350</v>
      </c>
      <c r="C148" t="s">
        <v>351</v>
      </c>
      <c r="D148" t="s">
        <v>19</v>
      </c>
      <c r="E148" s="228">
        <v>9.5</v>
      </c>
      <c r="F148" s="228">
        <v>85</v>
      </c>
      <c r="G148" s="229">
        <v>807.5</v>
      </c>
      <c r="H148" s="46">
        <v>51</v>
      </c>
    </row>
    <row r="149" spans="1:8" x14ac:dyDescent="0.25">
      <c r="A149" s="47">
        <v>40673</v>
      </c>
      <c r="B149" s="213" t="s">
        <v>342</v>
      </c>
      <c r="C149" t="s">
        <v>343</v>
      </c>
      <c r="D149" t="s">
        <v>19</v>
      </c>
      <c r="E149" s="228">
        <v>3.5</v>
      </c>
      <c r="F149" s="228">
        <v>85</v>
      </c>
      <c r="G149" s="229">
        <v>297.5</v>
      </c>
      <c r="H149" s="46">
        <v>51</v>
      </c>
    </row>
    <row r="150" spans="1:8" x14ac:dyDescent="0.25">
      <c r="A150" s="47">
        <v>40673</v>
      </c>
      <c r="B150" s="213" t="s">
        <v>5</v>
      </c>
      <c r="C150" t="s">
        <v>535</v>
      </c>
      <c r="D150" t="s">
        <v>19</v>
      </c>
      <c r="E150" s="228">
        <v>9.5</v>
      </c>
      <c r="F150" s="228">
        <v>32.200000000000003</v>
      </c>
      <c r="G150" s="229">
        <v>305.89999999999998</v>
      </c>
      <c r="H150" s="46">
        <v>51</v>
      </c>
    </row>
    <row r="151" spans="1:8" x14ac:dyDescent="0.25">
      <c r="A151" s="47">
        <v>40673</v>
      </c>
      <c r="B151" s="213" t="s">
        <v>346</v>
      </c>
      <c r="C151" t="s">
        <v>535</v>
      </c>
      <c r="D151" t="s">
        <v>19</v>
      </c>
      <c r="E151" s="228">
        <v>9.5</v>
      </c>
      <c r="F151" s="228">
        <v>39.18</v>
      </c>
      <c r="G151" s="229">
        <v>372.21</v>
      </c>
      <c r="H151" s="46">
        <v>51</v>
      </c>
    </row>
    <row r="152" spans="1:8" x14ac:dyDescent="0.25">
      <c r="A152" s="47">
        <v>40673</v>
      </c>
      <c r="B152" s="213" t="s">
        <v>5</v>
      </c>
      <c r="C152" t="s">
        <v>536</v>
      </c>
      <c r="D152" t="s">
        <v>19</v>
      </c>
      <c r="E152" s="228">
        <v>9.5</v>
      </c>
      <c r="F152" s="228">
        <v>32.200000000000003</v>
      </c>
      <c r="G152" s="229">
        <v>305.89999999999998</v>
      </c>
      <c r="H152" s="46">
        <v>51</v>
      </c>
    </row>
    <row r="153" spans="1:8" x14ac:dyDescent="0.25">
      <c r="A153" s="47">
        <v>40674</v>
      </c>
      <c r="B153" s="213" t="s">
        <v>349</v>
      </c>
      <c r="C153" t="s">
        <v>343</v>
      </c>
      <c r="D153" t="s">
        <v>19</v>
      </c>
      <c r="E153" s="228">
        <v>9.5</v>
      </c>
      <c r="F153" s="228">
        <v>130</v>
      </c>
      <c r="G153" s="229">
        <v>1235</v>
      </c>
      <c r="H153" s="46">
        <v>51</v>
      </c>
    </row>
    <row r="154" spans="1:8" x14ac:dyDescent="0.25">
      <c r="A154" s="47">
        <v>40674</v>
      </c>
      <c r="B154" s="213" t="s">
        <v>350</v>
      </c>
      <c r="C154" t="s">
        <v>351</v>
      </c>
      <c r="D154" t="s">
        <v>19</v>
      </c>
      <c r="E154" s="228">
        <v>9.5</v>
      </c>
      <c r="F154" s="228">
        <v>85</v>
      </c>
      <c r="G154" s="229">
        <v>807.5</v>
      </c>
      <c r="H154" s="46">
        <v>51</v>
      </c>
    </row>
    <row r="155" spans="1:8" x14ac:dyDescent="0.25">
      <c r="A155" s="47">
        <v>40674</v>
      </c>
      <c r="B155" s="213" t="s">
        <v>363</v>
      </c>
      <c r="C155" t="s">
        <v>536</v>
      </c>
      <c r="D155" t="s">
        <v>19</v>
      </c>
      <c r="E155" s="228">
        <v>9.5</v>
      </c>
      <c r="F155" s="228">
        <v>43.4</v>
      </c>
      <c r="G155" s="229">
        <v>412.3</v>
      </c>
      <c r="H155" s="46">
        <v>51</v>
      </c>
    </row>
    <row r="156" spans="1:8" x14ac:dyDescent="0.25">
      <c r="A156" s="47">
        <v>40674</v>
      </c>
      <c r="B156" s="213" t="s">
        <v>346</v>
      </c>
      <c r="C156" t="s">
        <v>535</v>
      </c>
      <c r="D156" t="s">
        <v>19</v>
      </c>
      <c r="E156" s="228">
        <v>9.5</v>
      </c>
      <c r="F156" s="228">
        <v>39.18</v>
      </c>
      <c r="G156" s="229">
        <v>372.21</v>
      </c>
      <c r="H156" s="46">
        <v>51</v>
      </c>
    </row>
    <row r="157" spans="1:8" x14ac:dyDescent="0.25">
      <c r="A157" s="47">
        <v>40674</v>
      </c>
      <c r="B157" s="213" t="s">
        <v>5</v>
      </c>
      <c r="C157" t="s">
        <v>535</v>
      </c>
      <c r="D157" t="s">
        <v>19</v>
      </c>
      <c r="E157" s="228">
        <v>9.5</v>
      </c>
      <c r="F157" s="228">
        <v>32.200000000000003</v>
      </c>
      <c r="G157" s="229">
        <v>305.89999999999998</v>
      </c>
      <c r="H157" s="46">
        <v>51</v>
      </c>
    </row>
    <row r="158" spans="1:8" x14ac:dyDescent="0.25">
      <c r="A158" s="47">
        <v>40674</v>
      </c>
      <c r="B158" s="213" t="s">
        <v>5</v>
      </c>
      <c r="C158" t="s">
        <v>536</v>
      </c>
      <c r="D158" t="s">
        <v>19</v>
      </c>
      <c r="E158" s="228">
        <v>9.5</v>
      </c>
      <c r="F158" s="228">
        <v>32.200000000000003</v>
      </c>
      <c r="G158" s="229">
        <v>305.89999999999998</v>
      </c>
      <c r="H158" s="46">
        <v>51</v>
      </c>
    </row>
    <row r="159" spans="1:8" x14ac:dyDescent="0.25">
      <c r="A159" s="47">
        <v>40674</v>
      </c>
      <c r="B159" s="213" t="s">
        <v>347</v>
      </c>
      <c r="C159" t="s">
        <v>348</v>
      </c>
      <c r="D159" t="s">
        <v>19</v>
      </c>
      <c r="E159" s="228">
        <v>9.5</v>
      </c>
      <c r="F159" s="228">
        <v>65</v>
      </c>
      <c r="G159" s="229">
        <v>617.5</v>
      </c>
      <c r="H159" s="46">
        <v>51</v>
      </c>
    </row>
    <row r="160" spans="1:8" x14ac:dyDescent="0.25">
      <c r="A160" s="47">
        <v>40675</v>
      </c>
      <c r="B160" s="213" t="s">
        <v>346</v>
      </c>
      <c r="C160" t="s">
        <v>535</v>
      </c>
      <c r="D160" t="s">
        <v>19</v>
      </c>
      <c r="E160" s="228">
        <v>9.5</v>
      </c>
      <c r="F160" s="228">
        <v>39.18</v>
      </c>
      <c r="G160" s="229">
        <v>372.21</v>
      </c>
      <c r="H160" s="46">
        <v>51</v>
      </c>
    </row>
    <row r="161" spans="1:8" x14ac:dyDescent="0.25">
      <c r="A161" s="47">
        <v>40675</v>
      </c>
      <c r="B161" s="213" t="s">
        <v>357</v>
      </c>
      <c r="C161" t="s">
        <v>358</v>
      </c>
      <c r="D161" t="s">
        <v>19</v>
      </c>
      <c r="E161" s="228">
        <v>9.5</v>
      </c>
      <c r="F161" s="228">
        <v>42.79</v>
      </c>
      <c r="G161" s="229">
        <v>406.505</v>
      </c>
      <c r="H161" s="46">
        <v>51</v>
      </c>
    </row>
    <row r="162" spans="1:8" x14ac:dyDescent="0.25">
      <c r="A162" s="47">
        <v>40675</v>
      </c>
      <c r="B162" s="213" t="s">
        <v>359</v>
      </c>
      <c r="C162" t="s">
        <v>537</v>
      </c>
      <c r="D162" t="s">
        <v>19</v>
      </c>
      <c r="E162" s="228">
        <v>9.5</v>
      </c>
      <c r="F162" s="228">
        <v>39.18</v>
      </c>
      <c r="G162" s="229">
        <v>372.21</v>
      </c>
      <c r="H162" s="46">
        <v>51</v>
      </c>
    </row>
    <row r="163" spans="1:8" x14ac:dyDescent="0.25">
      <c r="A163" s="47">
        <v>40675</v>
      </c>
      <c r="B163" s="213" t="s">
        <v>349</v>
      </c>
      <c r="C163" t="s">
        <v>343</v>
      </c>
      <c r="D163" t="s">
        <v>19</v>
      </c>
      <c r="E163" s="228">
        <v>9.5</v>
      </c>
      <c r="F163" s="228">
        <v>130</v>
      </c>
      <c r="G163" s="229">
        <v>1235</v>
      </c>
      <c r="H163" s="46">
        <v>51</v>
      </c>
    </row>
    <row r="164" spans="1:8" x14ac:dyDescent="0.25">
      <c r="A164" s="47">
        <v>40675</v>
      </c>
      <c r="B164" s="213" t="s">
        <v>347</v>
      </c>
      <c r="C164" t="s">
        <v>348</v>
      </c>
      <c r="D164" t="s">
        <v>19</v>
      </c>
      <c r="E164" s="228">
        <v>9.5</v>
      </c>
      <c r="F164" s="228">
        <v>65</v>
      </c>
      <c r="G164" s="229">
        <v>617.5</v>
      </c>
      <c r="H164" s="46">
        <v>51</v>
      </c>
    </row>
    <row r="165" spans="1:8" x14ac:dyDescent="0.25">
      <c r="A165" s="47">
        <v>40675</v>
      </c>
      <c r="B165" s="213" t="s">
        <v>5</v>
      </c>
      <c r="C165" t="s">
        <v>536</v>
      </c>
      <c r="D165" t="s">
        <v>19</v>
      </c>
      <c r="E165" s="228">
        <v>9.5</v>
      </c>
      <c r="F165" s="228">
        <v>32.200000000000003</v>
      </c>
      <c r="G165" s="229">
        <v>305.89999999999998</v>
      </c>
      <c r="H165" s="46">
        <v>51</v>
      </c>
    </row>
    <row r="166" spans="1:8" x14ac:dyDescent="0.25">
      <c r="A166" s="47">
        <v>40675</v>
      </c>
      <c r="B166" s="213" t="s">
        <v>5</v>
      </c>
      <c r="C166" t="s">
        <v>535</v>
      </c>
      <c r="D166" t="s">
        <v>19</v>
      </c>
      <c r="E166" s="228">
        <v>9.5</v>
      </c>
      <c r="F166" s="228">
        <v>32.200000000000003</v>
      </c>
      <c r="G166" s="229">
        <v>305.89999999999998</v>
      </c>
      <c r="H166" s="46">
        <v>51</v>
      </c>
    </row>
    <row r="167" spans="1:8" x14ac:dyDescent="0.25">
      <c r="A167" s="47">
        <v>40675</v>
      </c>
      <c r="B167" s="213" t="s">
        <v>350</v>
      </c>
      <c r="C167" t="s">
        <v>351</v>
      </c>
      <c r="D167" t="s">
        <v>19</v>
      </c>
      <c r="E167" s="228">
        <v>9.5</v>
      </c>
      <c r="F167" s="228">
        <v>85</v>
      </c>
      <c r="G167" s="229">
        <v>807.5</v>
      </c>
      <c r="H167" s="46">
        <v>51</v>
      </c>
    </row>
    <row r="168" spans="1:8" x14ac:dyDescent="0.25">
      <c r="A168" s="47">
        <v>40675</v>
      </c>
      <c r="B168" s="213" t="s">
        <v>363</v>
      </c>
      <c r="C168" t="s">
        <v>536</v>
      </c>
      <c r="D168" t="s">
        <v>19</v>
      </c>
      <c r="E168" s="228">
        <v>9.5</v>
      </c>
      <c r="F168" s="228">
        <v>43.4</v>
      </c>
      <c r="G168" s="229">
        <v>412.3</v>
      </c>
      <c r="H168" s="46">
        <v>51</v>
      </c>
    </row>
    <row r="169" spans="1:8" x14ac:dyDescent="0.25">
      <c r="A169" s="47">
        <v>40676</v>
      </c>
      <c r="B169" s="213" t="s">
        <v>349</v>
      </c>
      <c r="C169" t="s">
        <v>343</v>
      </c>
      <c r="D169" t="s">
        <v>19</v>
      </c>
      <c r="E169" s="228">
        <v>8</v>
      </c>
      <c r="F169" s="228">
        <v>130</v>
      </c>
      <c r="G169" s="229">
        <v>1040</v>
      </c>
      <c r="H169" s="46">
        <v>51</v>
      </c>
    </row>
    <row r="170" spans="1:8" x14ac:dyDescent="0.25">
      <c r="A170" s="47">
        <v>40676</v>
      </c>
      <c r="B170" s="213" t="s">
        <v>347</v>
      </c>
      <c r="C170" t="s">
        <v>348</v>
      </c>
      <c r="D170" t="s">
        <v>19</v>
      </c>
      <c r="E170" s="228">
        <v>8</v>
      </c>
      <c r="F170" s="228">
        <v>65</v>
      </c>
      <c r="G170" s="229">
        <v>520</v>
      </c>
      <c r="H170" s="46">
        <v>51</v>
      </c>
    </row>
    <row r="171" spans="1:8" x14ac:dyDescent="0.25">
      <c r="A171" s="47">
        <v>40676</v>
      </c>
      <c r="B171" s="213" t="s">
        <v>363</v>
      </c>
      <c r="C171" t="s">
        <v>536</v>
      </c>
      <c r="D171" t="s">
        <v>19</v>
      </c>
      <c r="E171" s="228">
        <v>8</v>
      </c>
      <c r="F171" s="228">
        <v>43.4</v>
      </c>
      <c r="G171" s="229">
        <v>347.2</v>
      </c>
      <c r="H171" s="46">
        <v>51</v>
      </c>
    </row>
    <row r="172" spans="1:8" x14ac:dyDescent="0.25">
      <c r="A172" s="47">
        <v>40676</v>
      </c>
      <c r="B172" s="213" t="s">
        <v>350</v>
      </c>
      <c r="C172" t="s">
        <v>351</v>
      </c>
      <c r="D172" t="s">
        <v>19</v>
      </c>
      <c r="E172" s="228">
        <v>8</v>
      </c>
      <c r="F172" s="228">
        <v>85</v>
      </c>
      <c r="G172" s="229">
        <v>680</v>
      </c>
      <c r="H172" s="46">
        <v>51</v>
      </c>
    </row>
    <row r="173" spans="1:8" x14ac:dyDescent="0.25">
      <c r="A173" s="47">
        <v>40676</v>
      </c>
      <c r="B173" s="213" t="s">
        <v>357</v>
      </c>
      <c r="C173" t="s">
        <v>358</v>
      </c>
      <c r="D173" t="s">
        <v>19</v>
      </c>
      <c r="E173" s="228">
        <v>8</v>
      </c>
      <c r="F173" s="228">
        <v>42.79</v>
      </c>
      <c r="G173" s="229">
        <v>342.32</v>
      </c>
      <c r="H173" s="46">
        <v>51</v>
      </c>
    </row>
    <row r="174" spans="1:8" x14ac:dyDescent="0.25">
      <c r="A174" s="47">
        <v>40676</v>
      </c>
      <c r="B174" s="213" t="s">
        <v>5</v>
      </c>
      <c r="C174" t="s">
        <v>535</v>
      </c>
      <c r="D174" t="s">
        <v>19</v>
      </c>
      <c r="E174" s="228">
        <v>8</v>
      </c>
      <c r="F174" s="228">
        <v>32.200000000000003</v>
      </c>
      <c r="G174" s="229">
        <v>257.60000000000002</v>
      </c>
      <c r="H174" s="46">
        <v>51</v>
      </c>
    </row>
    <row r="175" spans="1:8" x14ac:dyDescent="0.25">
      <c r="A175" s="47">
        <v>40676</v>
      </c>
      <c r="B175" s="213" t="s">
        <v>346</v>
      </c>
      <c r="C175" t="s">
        <v>535</v>
      </c>
      <c r="D175" t="s">
        <v>19</v>
      </c>
      <c r="E175" s="228">
        <v>8</v>
      </c>
      <c r="F175" s="228">
        <v>39.18</v>
      </c>
      <c r="G175" s="229">
        <v>313.44</v>
      </c>
      <c r="H175" s="46">
        <v>51</v>
      </c>
    </row>
    <row r="176" spans="1:8" x14ac:dyDescent="0.25">
      <c r="A176" s="47">
        <v>40676</v>
      </c>
      <c r="B176" s="213" t="s">
        <v>359</v>
      </c>
      <c r="C176" t="s">
        <v>537</v>
      </c>
      <c r="D176" t="s">
        <v>19</v>
      </c>
      <c r="E176" s="228">
        <v>8</v>
      </c>
      <c r="F176" s="228">
        <v>39.18</v>
      </c>
      <c r="G176" s="229">
        <v>313.44</v>
      </c>
      <c r="H176" s="46">
        <v>51</v>
      </c>
    </row>
    <row r="177" spans="1:8" x14ac:dyDescent="0.25">
      <c r="A177" s="47">
        <v>40676</v>
      </c>
      <c r="B177" s="213" t="s">
        <v>5</v>
      </c>
      <c r="C177" t="s">
        <v>536</v>
      </c>
      <c r="D177" t="s">
        <v>19</v>
      </c>
      <c r="E177" s="228">
        <v>8</v>
      </c>
      <c r="F177" s="228">
        <v>32.200000000000003</v>
      </c>
      <c r="G177" s="229">
        <v>257.60000000000002</v>
      </c>
      <c r="H177" s="46">
        <v>51</v>
      </c>
    </row>
    <row r="178" spans="1:8" x14ac:dyDescent="0.25">
      <c r="A178" s="47">
        <v>40677</v>
      </c>
      <c r="B178" s="213" t="s">
        <v>357</v>
      </c>
      <c r="C178" t="s">
        <v>358</v>
      </c>
      <c r="D178" t="s">
        <v>19</v>
      </c>
      <c r="E178" s="228">
        <v>6</v>
      </c>
      <c r="F178" s="228">
        <v>42.79</v>
      </c>
      <c r="G178" s="229">
        <v>256.74</v>
      </c>
      <c r="H178" s="46">
        <v>51</v>
      </c>
    </row>
    <row r="179" spans="1:8" x14ac:dyDescent="0.25">
      <c r="A179" s="47">
        <v>40677</v>
      </c>
      <c r="B179" s="213" t="s">
        <v>347</v>
      </c>
      <c r="C179" t="s">
        <v>348</v>
      </c>
      <c r="D179" t="s">
        <v>19</v>
      </c>
      <c r="E179" s="228">
        <v>6</v>
      </c>
      <c r="F179" s="228">
        <v>65</v>
      </c>
      <c r="G179" s="229">
        <v>390</v>
      </c>
      <c r="H179" s="46">
        <v>51</v>
      </c>
    </row>
    <row r="180" spans="1:8" x14ac:dyDescent="0.25">
      <c r="A180" s="47">
        <v>40677</v>
      </c>
      <c r="B180" s="213" t="s">
        <v>359</v>
      </c>
      <c r="C180" t="s">
        <v>537</v>
      </c>
      <c r="D180" t="s">
        <v>19</v>
      </c>
      <c r="E180" s="228">
        <v>6</v>
      </c>
      <c r="F180" s="228">
        <v>39.18</v>
      </c>
      <c r="G180" s="229">
        <v>235.08</v>
      </c>
      <c r="H180" s="46">
        <v>51</v>
      </c>
    </row>
    <row r="181" spans="1:8" x14ac:dyDescent="0.25">
      <c r="A181" s="47">
        <v>40677</v>
      </c>
      <c r="B181" s="213" t="s">
        <v>363</v>
      </c>
      <c r="C181" t="s">
        <v>536</v>
      </c>
      <c r="D181" t="s">
        <v>19</v>
      </c>
      <c r="E181" s="228"/>
      <c r="F181" s="228">
        <v>43.4</v>
      </c>
      <c r="G181" s="229"/>
      <c r="H181" s="46">
        <v>51</v>
      </c>
    </row>
    <row r="182" spans="1:8" x14ac:dyDescent="0.25">
      <c r="A182" s="47">
        <v>40677</v>
      </c>
      <c r="B182" s="213" t="s">
        <v>5</v>
      </c>
      <c r="C182" t="s">
        <v>536</v>
      </c>
      <c r="D182" t="s">
        <v>19</v>
      </c>
      <c r="E182" s="228"/>
      <c r="F182" s="228">
        <v>32.200000000000003</v>
      </c>
      <c r="G182" s="229"/>
      <c r="H182" s="46">
        <v>51</v>
      </c>
    </row>
    <row r="183" spans="1:8" x14ac:dyDescent="0.25">
      <c r="A183" s="47">
        <v>40677</v>
      </c>
      <c r="B183" s="213" t="s">
        <v>5</v>
      </c>
      <c r="C183" t="s">
        <v>535</v>
      </c>
      <c r="D183" t="s">
        <v>19</v>
      </c>
      <c r="E183" s="228"/>
      <c r="F183" s="228">
        <v>32.200000000000003</v>
      </c>
      <c r="G183" s="229"/>
      <c r="H183" s="46">
        <v>51</v>
      </c>
    </row>
    <row r="184" spans="1:8" x14ac:dyDescent="0.25">
      <c r="A184" s="47">
        <v>40677</v>
      </c>
      <c r="B184" s="213" t="s">
        <v>346</v>
      </c>
      <c r="C184" t="s">
        <v>535</v>
      </c>
      <c r="D184" t="s">
        <v>19</v>
      </c>
      <c r="E184" s="228">
        <v>6</v>
      </c>
      <c r="F184" s="228">
        <v>39.18</v>
      </c>
      <c r="G184" s="229">
        <v>235.08</v>
      </c>
      <c r="H184" s="46">
        <v>51</v>
      </c>
    </row>
    <row r="185" spans="1:8" x14ac:dyDescent="0.25">
      <c r="A185" s="47">
        <v>40677</v>
      </c>
      <c r="B185" s="213" t="s">
        <v>349</v>
      </c>
      <c r="C185" t="s">
        <v>343</v>
      </c>
      <c r="D185" t="s">
        <v>19</v>
      </c>
      <c r="E185" s="228">
        <v>6</v>
      </c>
      <c r="F185" s="228">
        <v>130</v>
      </c>
      <c r="G185" s="229">
        <v>780</v>
      </c>
      <c r="H185" s="46">
        <v>51</v>
      </c>
    </row>
    <row r="186" spans="1:8" x14ac:dyDescent="0.25">
      <c r="A186" s="47">
        <v>40677</v>
      </c>
      <c r="B186" s="213" t="s">
        <v>350</v>
      </c>
      <c r="C186" t="s">
        <v>351</v>
      </c>
      <c r="D186" t="s">
        <v>19</v>
      </c>
      <c r="E186" s="228">
        <v>6</v>
      </c>
      <c r="F186" s="228">
        <v>85</v>
      </c>
      <c r="G186" s="229">
        <v>510</v>
      </c>
      <c r="H186" s="46">
        <v>51</v>
      </c>
    </row>
    <row r="187" spans="1:8" x14ac:dyDescent="0.25">
      <c r="A187" s="47">
        <v>40679</v>
      </c>
      <c r="B187" s="213" t="s">
        <v>359</v>
      </c>
      <c r="C187" t="s">
        <v>537</v>
      </c>
      <c r="D187" t="s">
        <v>19</v>
      </c>
      <c r="E187" s="228">
        <v>9.5</v>
      </c>
      <c r="F187" s="228">
        <v>39.18</v>
      </c>
      <c r="G187" s="229">
        <v>372.21</v>
      </c>
      <c r="H187" s="46">
        <v>51</v>
      </c>
    </row>
    <row r="188" spans="1:8" x14ac:dyDescent="0.25">
      <c r="A188" s="47">
        <v>40679</v>
      </c>
      <c r="B188" s="213" t="s">
        <v>5</v>
      </c>
      <c r="C188" t="s">
        <v>535</v>
      </c>
      <c r="D188" t="s">
        <v>19</v>
      </c>
      <c r="E188" s="228">
        <v>9.5</v>
      </c>
      <c r="F188" s="228">
        <v>41.83</v>
      </c>
      <c r="G188" s="229">
        <v>397.38499999999999</v>
      </c>
      <c r="H188" s="46">
        <v>51</v>
      </c>
    </row>
    <row r="189" spans="1:8" x14ac:dyDescent="0.25">
      <c r="A189" s="47">
        <v>40679</v>
      </c>
      <c r="B189" s="213" t="s">
        <v>5</v>
      </c>
      <c r="C189" t="s">
        <v>536</v>
      </c>
      <c r="D189" t="s">
        <v>19</v>
      </c>
      <c r="E189" s="228">
        <v>5.5</v>
      </c>
      <c r="F189" s="228">
        <v>32.200000000000003</v>
      </c>
      <c r="G189" s="229">
        <v>177.1</v>
      </c>
      <c r="H189" s="46">
        <v>51</v>
      </c>
    </row>
    <row r="190" spans="1:8" x14ac:dyDescent="0.25">
      <c r="A190" s="47">
        <v>40679</v>
      </c>
      <c r="B190" s="213" t="s">
        <v>363</v>
      </c>
      <c r="C190" t="s">
        <v>536</v>
      </c>
      <c r="D190" t="s">
        <v>19</v>
      </c>
      <c r="E190" s="228">
        <v>9.5</v>
      </c>
      <c r="F190" s="228">
        <v>43.4</v>
      </c>
      <c r="G190" s="229">
        <v>412.3</v>
      </c>
      <c r="H190" s="46">
        <v>51</v>
      </c>
    </row>
    <row r="191" spans="1:8" x14ac:dyDescent="0.25">
      <c r="A191" s="47">
        <v>40679</v>
      </c>
      <c r="B191" s="213" t="s">
        <v>347</v>
      </c>
      <c r="C191" t="s">
        <v>348</v>
      </c>
      <c r="D191" t="s">
        <v>19</v>
      </c>
      <c r="E191" s="228">
        <v>9.5</v>
      </c>
      <c r="F191" s="228">
        <v>65</v>
      </c>
      <c r="G191" s="229">
        <v>617.5</v>
      </c>
      <c r="H191" s="46">
        <v>51</v>
      </c>
    </row>
    <row r="192" spans="1:8" x14ac:dyDescent="0.25">
      <c r="A192" s="47">
        <v>40679</v>
      </c>
      <c r="B192" s="213" t="s">
        <v>349</v>
      </c>
      <c r="C192" t="s">
        <v>343</v>
      </c>
      <c r="D192" t="s">
        <v>19</v>
      </c>
      <c r="E192" s="228">
        <v>9.5</v>
      </c>
      <c r="F192" s="228">
        <v>130</v>
      </c>
      <c r="G192" s="229">
        <v>1235</v>
      </c>
      <c r="H192" s="46">
        <v>51</v>
      </c>
    </row>
    <row r="193" spans="1:8" x14ac:dyDescent="0.25">
      <c r="A193" s="47">
        <v>40679</v>
      </c>
      <c r="B193" s="213" t="s">
        <v>350</v>
      </c>
      <c r="C193" t="s">
        <v>351</v>
      </c>
      <c r="D193" t="s">
        <v>19</v>
      </c>
      <c r="E193" s="228">
        <v>9.5</v>
      </c>
      <c r="F193" s="228">
        <v>85</v>
      </c>
      <c r="G193" s="229">
        <v>807.5</v>
      </c>
      <c r="H193" s="46">
        <v>51</v>
      </c>
    </row>
    <row r="194" spans="1:8" x14ac:dyDescent="0.25">
      <c r="A194" s="47">
        <v>40679</v>
      </c>
      <c r="B194" s="213" t="s">
        <v>346</v>
      </c>
      <c r="C194" t="s">
        <v>535</v>
      </c>
      <c r="D194" t="s">
        <v>19</v>
      </c>
      <c r="E194" s="228">
        <v>9.5</v>
      </c>
      <c r="F194" s="228">
        <v>39.18</v>
      </c>
      <c r="G194" s="229">
        <v>372.21</v>
      </c>
      <c r="H194" s="46">
        <v>51</v>
      </c>
    </row>
    <row r="195" spans="1:8" x14ac:dyDescent="0.25">
      <c r="A195" s="47">
        <v>40679</v>
      </c>
      <c r="B195" s="213" t="s">
        <v>357</v>
      </c>
      <c r="C195" t="s">
        <v>358</v>
      </c>
      <c r="D195" t="s">
        <v>19</v>
      </c>
      <c r="E195" s="228">
        <v>9.5</v>
      </c>
      <c r="F195" s="228">
        <v>42.79</v>
      </c>
      <c r="G195" s="229">
        <v>406.505</v>
      </c>
      <c r="H195" s="46">
        <v>51</v>
      </c>
    </row>
    <row r="196" spans="1:8" x14ac:dyDescent="0.25">
      <c r="A196" s="47">
        <v>40679</v>
      </c>
      <c r="B196" s="213" t="s">
        <v>364</v>
      </c>
      <c r="C196" t="s">
        <v>365</v>
      </c>
      <c r="D196" t="s">
        <v>19</v>
      </c>
      <c r="E196" s="228">
        <v>2.5</v>
      </c>
      <c r="F196" s="228">
        <v>50</v>
      </c>
      <c r="G196" s="229">
        <v>125</v>
      </c>
      <c r="H196" s="46">
        <v>51</v>
      </c>
    </row>
    <row r="197" spans="1:8" x14ac:dyDescent="0.25">
      <c r="A197" s="47">
        <v>40679</v>
      </c>
      <c r="B197" s="213" t="s">
        <v>5</v>
      </c>
      <c r="C197" t="s">
        <v>535</v>
      </c>
      <c r="D197" t="s">
        <v>19</v>
      </c>
      <c r="E197" s="228">
        <v>9.5</v>
      </c>
      <c r="F197" s="228">
        <v>32.200000000000003</v>
      </c>
      <c r="G197" s="229">
        <v>305.89999999999998</v>
      </c>
      <c r="H197" s="46">
        <v>51</v>
      </c>
    </row>
    <row r="198" spans="1:8" x14ac:dyDescent="0.25">
      <c r="A198" s="47">
        <v>40680</v>
      </c>
      <c r="B198" s="213" t="s">
        <v>357</v>
      </c>
      <c r="C198" t="s">
        <v>358</v>
      </c>
      <c r="D198" t="s">
        <v>19</v>
      </c>
      <c r="E198" s="228">
        <v>9.5</v>
      </c>
      <c r="F198" s="228">
        <v>42.79</v>
      </c>
      <c r="G198" s="229">
        <v>406.505</v>
      </c>
      <c r="H198" s="46">
        <v>51</v>
      </c>
    </row>
    <row r="199" spans="1:8" x14ac:dyDescent="0.25">
      <c r="A199" s="47">
        <v>40680</v>
      </c>
      <c r="B199" s="213" t="s">
        <v>5</v>
      </c>
      <c r="C199" t="s">
        <v>535</v>
      </c>
      <c r="D199" t="s">
        <v>19</v>
      </c>
      <c r="E199" s="228">
        <v>9.5</v>
      </c>
      <c r="F199" s="228">
        <v>32.200000000000003</v>
      </c>
      <c r="G199" s="229">
        <v>305.89999999999998</v>
      </c>
      <c r="H199" s="46">
        <v>51</v>
      </c>
    </row>
    <row r="200" spans="1:8" x14ac:dyDescent="0.25">
      <c r="A200" s="47">
        <v>40680</v>
      </c>
      <c r="B200" s="213" t="s">
        <v>346</v>
      </c>
      <c r="C200" t="s">
        <v>535</v>
      </c>
      <c r="D200" t="s">
        <v>19</v>
      </c>
      <c r="E200" s="228">
        <v>9.5</v>
      </c>
      <c r="F200" s="228">
        <v>39.18</v>
      </c>
      <c r="G200" s="229">
        <v>372.21</v>
      </c>
      <c r="H200" s="46">
        <v>51</v>
      </c>
    </row>
    <row r="201" spans="1:8" x14ac:dyDescent="0.25">
      <c r="A201" s="47">
        <v>40680</v>
      </c>
      <c r="B201" s="213" t="s">
        <v>5</v>
      </c>
      <c r="C201" t="s">
        <v>536</v>
      </c>
      <c r="D201" t="s">
        <v>19</v>
      </c>
      <c r="E201" s="228">
        <v>9.5</v>
      </c>
      <c r="F201" s="228">
        <v>32.200000000000003</v>
      </c>
      <c r="G201" s="229">
        <v>305.89999999999998</v>
      </c>
      <c r="H201" s="46">
        <v>51</v>
      </c>
    </row>
    <row r="202" spans="1:8" x14ac:dyDescent="0.25">
      <c r="A202" s="47">
        <v>40680</v>
      </c>
      <c r="B202" s="213" t="s">
        <v>5</v>
      </c>
      <c r="C202" t="s">
        <v>535</v>
      </c>
      <c r="D202" t="s">
        <v>19</v>
      </c>
      <c r="E202" s="228">
        <v>9.5</v>
      </c>
      <c r="F202" s="228">
        <v>41.83</v>
      </c>
      <c r="G202" s="229">
        <v>397.38499999999999</v>
      </c>
      <c r="H202" s="46">
        <v>51</v>
      </c>
    </row>
    <row r="203" spans="1:8" x14ac:dyDescent="0.25">
      <c r="A203" s="47">
        <v>40680</v>
      </c>
      <c r="B203" s="213" t="s">
        <v>359</v>
      </c>
      <c r="C203" t="s">
        <v>537</v>
      </c>
      <c r="D203" t="s">
        <v>19</v>
      </c>
      <c r="E203" s="228">
        <v>9.5</v>
      </c>
      <c r="F203" s="228">
        <v>39.18</v>
      </c>
      <c r="G203" s="229">
        <v>372.21</v>
      </c>
      <c r="H203" s="46">
        <v>51</v>
      </c>
    </row>
    <row r="204" spans="1:8" x14ac:dyDescent="0.25">
      <c r="A204" s="47">
        <v>40680</v>
      </c>
      <c r="B204" s="213" t="s">
        <v>347</v>
      </c>
      <c r="C204" t="s">
        <v>348</v>
      </c>
      <c r="D204" t="s">
        <v>19</v>
      </c>
      <c r="E204" s="228">
        <v>9.5</v>
      </c>
      <c r="F204" s="228">
        <v>65</v>
      </c>
      <c r="G204" s="229">
        <v>617.5</v>
      </c>
      <c r="H204" s="46">
        <v>51</v>
      </c>
    </row>
    <row r="205" spans="1:8" x14ac:dyDescent="0.25">
      <c r="A205" s="47">
        <v>40680</v>
      </c>
      <c r="B205" s="213" t="s">
        <v>363</v>
      </c>
      <c r="C205" t="s">
        <v>536</v>
      </c>
      <c r="D205" t="s">
        <v>19</v>
      </c>
      <c r="E205" s="228">
        <v>9.5</v>
      </c>
      <c r="F205" s="228">
        <v>43.4</v>
      </c>
      <c r="G205" s="229">
        <v>412.3</v>
      </c>
      <c r="H205" s="46">
        <v>51</v>
      </c>
    </row>
    <row r="206" spans="1:8" x14ac:dyDescent="0.25">
      <c r="A206" s="47">
        <v>40680</v>
      </c>
      <c r="B206" s="213" t="s">
        <v>364</v>
      </c>
      <c r="C206" t="s">
        <v>365</v>
      </c>
      <c r="D206" t="s">
        <v>19</v>
      </c>
      <c r="E206" s="228">
        <v>9.5</v>
      </c>
      <c r="F206" s="228">
        <v>50</v>
      </c>
      <c r="G206" s="229">
        <v>475</v>
      </c>
      <c r="H206" s="46">
        <v>51</v>
      </c>
    </row>
    <row r="207" spans="1:8" x14ac:dyDescent="0.25">
      <c r="A207" s="47">
        <v>40680</v>
      </c>
      <c r="B207" s="213" t="s">
        <v>349</v>
      </c>
      <c r="C207" t="s">
        <v>343</v>
      </c>
      <c r="D207" t="s">
        <v>19</v>
      </c>
      <c r="E207" s="228">
        <v>9.5</v>
      </c>
      <c r="F207" s="228">
        <v>130</v>
      </c>
      <c r="G207" s="229">
        <v>1235</v>
      </c>
      <c r="H207" s="46">
        <v>51</v>
      </c>
    </row>
    <row r="208" spans="1:8" x14ac:dyDescent="0.25">
      <c r="A208" s="47">
        <v>40680</v>
      </c>
      <c r="B208" s="213" t="s">
        <v>350</v>
      </c>
      <c r="C208" t="s">
        <v>351</v>
      </c>
      <c r="D208" t="s">
        <v>19</v>
      </c>
      <c r="E208" s="228">
        <v>9.5</v>
      </c>
      <c r="F208" s="228">
        <v>85</v>
      </c>
      <c r="G208" s="229">
        <v>807.5</v>
      </c>
      <c r="H208" s="46">
        <v>51</v>
      </c>
    </row>
    <row r="209" spans="1:8" x14ac:dyDescent="0.25">
      <c r="A209" s="47">
        <v>40681</v>
      </c>
      <c r="B209" s="213" t="s">
        <v>357</v>
      </c>
      <c r="C209" t="s">
        <v>358</v>
      </c>
      <c r="D209" t="s">
        <v>19</v>
      </c>
      <c r="E209" s="228">
        <v>9.5</v>
      </c>
      <c r="F209" s="228">
        <v>42.79</v>
      </c>
      <c r="G209" s="229">
        <v>406.505</v>
      </c>
      <c r="H209" s="46">
        <v>51</v>
      </c>
    </row>
    <row r="210" spans="1:8" x14ac:dyDescent="0.25">
      <c r="A210" s="47">
        <v>40681</v>
      </c>
      <c r="B210" s="213" t="s">
        <v>363</v>
      </c>
      <c r="C210" t="s">
        <v>536</v>
      </c>
      <c r="D210" t="s">
        <v>19</v>
      </c>
      <c r="E210" s="228">
        <v>9.5</v>
      </c>
      <c r="F210" s="228">
        <v>43.4</v>
      </c>
      <c r="G210" s="229">
        <v>412.3</v>
      </c>
      <c r="H210" s="46">
        <v>51</v>
      </c>
    </row>
    <row r="211" spans="1:8" x14ac:dyDescent="0.25">
      <c r="A211" s="47">
        <v>40681</v>
      </c>
      <c r="B211" s="213" t="s">
        <v>347</v>
      </c>
      <c r="C211" t="s">
        <v>348</v>
      </c>
      <c r="D211" t="s">
        <v>19</v>
      </c>
      <c r="E211" s="228">
        <v>9.5</v>
      </c>
      <c r="F211" s="228">
        <v>65</v>
      </c>
      <c r="G211" s="229">
        <v>617.5</v>
      </c>
      <c r="H211" s="46">
        <v>51</v>
      </c>
    </row>
    <row r="212" spans="1:8" x14ac:dyDescent="0.25">
      <c r="A212" s="47">
        <v>40681</v>
      </c>
      <c r="B212" s="213" t="s">
        <v>364</v>
      </c>
      <c r="C212" t="s">
        <v>365</v>
      </c>
      <c r="D212" t="s">
        <v>19</v>
      </c>
      <c r="E212" s="228">
        <v>9.5</v>
      </c>
      <c r="F212" s="228">
        <v>50</v>
      </c>
      <c r="G212" s="229">
        <v>475</v>
      </c>
      <c r="H212" s="46">
        <v>51</v>
      </c>
    </row>
    <row r="213" spans="1:8" x14ac:dyDescent="0.25">
      <c r="A213" s="47">
        <v>40681</v>
      </c>
      <c r="B213" s="213" t="s">
        <v>349</v>
      </c>
      <c r="C213" t="s">
        <v>343</v>
      </c>
      <c r="D213" t="s">
        <v>19</v>
      </c>
      <c r="E213" s="228">
        <v>9.5</v>
      </c>
      <c r="F213" s="228">
        <v>130</v>
      </c>
      <c r="G213" s="229">
        <v>1235</v>
      </c>
      <c r="H213" s="46">
        <v>51</v>
      </c>
    </row>
    <row r="214" spans="1:8" x14ac:dyDescent="0.25">
      <c r="A214" s="47">
        <v>40681</v>
      </c>
      <c r="B214" s="213" t="s">
        <v>5</v>
      </c>
      <c r="C214" t="s">
        <v>535</v>
      </c>
      <c r="D214" t="s">
        <v>19</v>
      </c>
      <c r="E214" s="228">
        <v>9.5</v>
      </c>
      <c r="F214" s="228">
        <v>41.83</v>
      </c>
      <c r="G214" s="229">
        <v>397.38499999999999</v>
      </c>
      <c r="H214" s="46">
        <v>51</v>
      </c>
    </row>
    <row r="215" spans="1:8" x14ac:dyDescent="0.25">
      <c r="A215" s="47">
        <v>40681</v>
      </c>
      <c r="B215" s="213" t="s">
        <v>5</v>
      </c>
      <c r="C215" t="s">
        <v>535</v>
      </c>
      <c r="D215" t="s">
        <v>19</v>
      </c>
      <c r="E215" s="228">
        <v>9.5</v>
      </c>
      <c r="F215" s="228">
        <v>32.200000000000003</v>
      </c>
      <c r="G215" s="229">
        <v>305.89999999999998</v>
      </c>
      <c r="H215" s="46">
        <v>51</v>
      </c>
    </row>
    <row r="216" spans="1:8" x14ac:dyDescent="0.25">
      <c r="A216" s="47">
        <v>40681</v>
      </c>
      <c r="B216" s="213" t="s">
        <v>346</v>
      </c>
      <c r="C216" t="s">
        <v>535</v>
      </c>
      <c r="D216" t="s">
        <v>19</v>
      </c>
      <c r="E216" s="228">
        <v>9.5</v>
      </c>
      <c r="F216" s="228">
        <v>39.18</v>
      </c>
      <c r="G216" s="229">
        <v>372.21</v>
      </c>
      <c r="H216" s="46">
        <v>51</v>
      </c>
    </row>
    <row r="217" spans="1:8" x14ac:dyDescent="0.25">
      <c r="A217" s="47">
        <v>40681</v>
      </c>
      <c r="B217" s="213" t="s">
        <v>5</v>
      </c>
      <c r="C217" t="s">
        <v>536</v>
      </c>
      <c r="D217" t="s">
        <v>19</v>
      </c>
      <c r="E217" s="228">
        <v>9.5</v>
      </c>
      <c r="F217" s="228">
        <v>32.200000000000003</v>
      </c>
      <c r="G217" s="229">
        <v>305.89999999999998</v>
      </c>
      <c r="H217" s="46">
        <v>51</v>
      </c>
    </row>
    <row r="218" spans="1:8" x14ac:dyDescent="0.25">
      <c r="A218" s="47">
        <v>40681</v>
      </c>
      <c r="B218" s="213" t="s">
        <v>359</v>
      </c>
      <c r="C218" t="s">
        <v>537</v>
      </c>
      <c r="D218" t="s">
        <v>19</v>
      </c>
      <c r="E218" s="228">
        <v>9.5</v>
      </c>
      <c r="F218" s="228">
        <v>39.18</v>
      </c>
      <c r="G218" s="229">
        <v>372.21</v>
      </c>
      <c r="H218" s="46">
        <v>51</v>
      </c>
    </row>
    <row r="219" spans="1:8" x14ac:dyDescent="0.25">
      <c r="A219" s="47">
        <v>40681</v>
      </c>
      <c r="B219" s="213" t="s">
        <v>350</v>
      </c>
      <c r="C219" t="s">
        <v>351</v>
      </c>
      <c r="D219" t="s">
        <v>19</v>
      </c>
      <c r="E219" s="228">
        <v>9.5</v>
      </c>
      <c r="F219" s="228">
        <v>85</v>
      </c>
      <c r="G219" s="229">
        <v>807.5</v>
      </c>
      <c r="H219" s="46">
        <v>51</v>
      </c>
    </row>
    <row r="220" spans="1:8" x14ac:dyDescent="0.25">
      <c r="A220" s="47">
        <v>40682</v>
      </c>
      <c r="B220" s="213" t="s">
        <v>350</v>
      </c>
      <c r="C220" t="s">
        <v>351</v>
      </c>
      <c r="D220" t="s">
        <v>19</v>
      </c>
      <c r="E220" s="228">
        <v>9.5</v>
      </c>
      <c r="F220" s="228">
        <v>85</v>
      </c>
      <c r="G220" s="229">
        <v>807.5</v>
      </c>
      <c r="H220" s="46">
        <v>51</v>
      </c>
    </row>
    <row r="221" spans="1:8" x14ac:dyDescent="0.25">
      <c r="A221" s="47">
        <v>40682</v>
      </c>
      <c r="B221" s="213" t="s">
        <v>5</v>
      </c>
      <c r="C221" t="s">
        <v>535</v>
      </c>
      <c r="D221" t="s">
        <v>19</v>
      </c>
      <c r="E221" s="228">
        <v>9.5</v>
      </c>
      <c r="F221" s="228">
        <v>32.200000000000003</v>
      </c>
      <c r="G221" s="229">
        <v>305.89999999999998</v>
      </c>
      <c r="H221" s="46">
        <v>51</v>
      </c>
    </row>
    <row r="222" spans="1:8" x14ac:dyDescent="0.25">
      <c r="A222" s="47">
        <v>40682</v>
      </c>
      <c r="B222" s="213" t="s">
        <v>346</v>
      </c>
      <c r="C222" t="s">
        <v>535</v>
      </c>
      <c r="D222" t="s">
        <v>19</v>
      </c>
      <c r="E222" s="228">
        <v>9.5</v>
      </c>
      <c r="F222" s="228">
        <v>39.18</v>
      </c>
      <c r="G222" s="229">
        <v>372.21</v>
      </c>
      <c r="H222" s="46">
        <v>51</v>
      </c>
    </row>
    <row r="223" spans="1:8" x14ac:dyDescent="0.25">
      <c r="A223" s="47">
        <v>40682</v>
      </c>
      <c r="B223" s="213" t="s">
        <v>364</v>
      </c>
      <c r="C223" t="s">
        <v>365</v>
      </c>
      <c r="D223" t="s">
        <v>19</v>
      </c>
      <c r="E223" s="228">
        <v>9.5</v>
      </c>
      <c r="F223" s="228">
        <v>50</v>
      </c>
      <c r="G223" s="229">
        <v>475</v>
      </c>
      <c r="H223" s="46">
        <v>51</v>
      </c>
    </row>
    <row r="224" spans="1:8" x14ac:dyDescent="0.25">
      <c r="A224" s="47">
        <v>40682</v>
      </c>
      <c r="B224" s="213" t="s">
        <v>363</v>
      </c>
      <c r="C224" t="s">
        <v>536</v>
      </c>
      <c r="D224" t="s">
        <v>19</v>
      </c>
      <c r="E224" s="228">
        <v>9.5</v>
      </c>
      <c r="F224" s="228">
        <v>43.4</v>
      </c>
      <c r="G224" s="229">
        <v>412.3</v>
      </c>
      <c r="H224" s="46">
        <v>51</v>
      </c>
    </row>
    <row r="225" spans="1:8" x14ac:dyDescent="0.25">
      <c r="A225" s="47">
        <v>40682</v>
      </c>
      <c r="B225" s="213" t="s">
        <v>5</v>
      </c>
      <c r="C225" t="s">
        <v>536</v>
      </c>
      <c r="D225" t="s">
        <v>19</v>
      </c>
      <c r="E225" s="228">
        <v>9.5</v>
      </c>
      <c r="F225" s="228">
        <v>32.200000000000003</v>
      </c>
      <c r="G225" s="229">
        <v>305.89999999999998</v>
      </c>
      <c r="H225" s="46">
        <v>51</v>
      </c>
    </row>
    <row r="226" spans="1:8" x14ac:dyDescent="0.25">
      <c r="A226" s="47">
        <v>40682</v>
      </c>
      <c r="B226" s="213" t="s">
        <v>347</v>
      </c>
      <c r="C226" t="s">
        <v>348</v>
      </c>
      <c r="D226" t="s">
        <v>19</v>
      </c>
      <c r="E226" s="228">
        <v>9.5</v>
      </c>
      <c r="F226" s="228">
        <v>65</v>
      </c>
      <c r="G226" s="229">
        <v>617.5</v>
      </c>
      <c r="H226" s="46">
        <v>51</v>
      </c>
    </row>
    <row r="227" spans="1:8" x14ac:dyDescent="0.25">
      <c r="A227" s="47">
        <v>40682</v>
      </c>
      <c r="B227" s="213" t="s">
        <v>349</v>
      </c>
      <c r="C227" t="s">
        <v>343</v>
      </c>
      <c r="D227" t="s">
        <v>19</v>
      </c>
      <c r="E227" s="228">
        <v>9.5</v>
      </c>
      <c r="F227" s="228">
        <v>130</v>
      </c>
      <c r="G227" s="229">
        <v>1235</v>
      </c>
      <c r="H227" s="46">
        <v>51</v>
      </c>
    </row>
    <row r="228" spans="1:8" x14ac:dyDescent="0.25">
      <c r="A228" s="47">
        <v>40682</v>
      </c>
      <c r="B228" s="213" t="s">
        <v>357</v>
      </c>
      <c r="C228" t="s">
        <v>358</v>
      </c>
      <c r="D228" t="s">
        <v>19</v>
      </c>
      <c r="E228" s="228">
        <v>9.5</v>
      </c>
      <c r="F228" s="228">
        <v>42.79</v>
      </c>
      <c r="G228" s="229">
        <v>406.505</v>
      </c>
      <c r="H228" s="46">
        <v>51</v>
      </c>
    </row>
    <row r="229" spans="1:8" x14ac:dyDescent="0.25">
      <c r="A229" s="47">
        <v>40682</v>
      </c>
      <c r="B229" s="213" t="s">
        <v>359</v>
      </c>
      <c r="C229" t="s">
        <v>537</v>
      </c>
      <c r="D229" t="s">
        <v>19</v>
      </c>
      <c r="E229" s="228">
        <v>9.5</v>
      </c>
      <c r="F229" s="228">
        <v>39.18</v>
      </c>
      <c r="G229" s="229">
        <v>372.21</v>
      </c>
      <c r="H229" s="46">
        <v>51</v>
      </c>
    </row>
    <row r="230" spans="1:8" x14ac:dyDescent="0.25">
      <c r="A230" s="47">
        <v>40682</v>
      </c>
      <c r="B230" s="213" t="s">
        <v>5</v>
      </c>
      <c r="C230" t="s">
        <v>535</v>
      </c>
      <c r="D230" t="s">
        <v>19</v>
      </c>
      <c r="E230" s="228">
        <v>9.5</v>
      </c>
      <c r="F230" s="228">
        <v>41.83</v>
      </c>
      <c r="G230" s="229">
        <v>397.38499999999999</v>
      </c>
      <c r="H230" s="46">
        <v>51</v>
      </c>
    </row>
    <row r="231" spans="1:8" x14ac:dyDescent="0.25">
      <c r="A231" s="47">
        <v>40683</v>
      </c>
      <c r="B231" s="213" t="s">
        <v>349</v>
      </c>
      <c r="C231" t="s">
        <v>343</v>
      </c>
      <c r="D231" t="s">
        <v>19</v>
      </c>
      <c r="E231" s="228">
        <v>8</v>
      </c>
      <c r="F231" s="228">
        <v>130</v>
      </c>
      <c r="G231" s="229">
        <v>1040</v>
      </c>
      <c r="H231" s="46">
        <v>51</v>
      </c>
    </row>
    <row r="232" spans="1:8" x14ac:dyDescent="0.25">
      <c r="A232" s="47">
        <v>40683</v>
      </c>
      <c r="B232" s="213" t="s">
        <v>347</v>
      </c>
      <c r="C232" t="s">
        <v>348</v>
      </c>
      <c r="D232" t="s">
        <v>19</v>
      </c>
      <c r="E232" s="228">
        <v>8</v>
      </c>
      <c r="F232" s="228">
        <v>65</v>
      </c>
      <c r="G232" s="229">
        <v>520</v>
      </c>
      <c r="H232" s="46">
        <v>51</v>
      </c>
    </row>
    <row r="233" spans="1:8" x14ac:dyDescent="0.25">
      <c r="A233" s="47">
        <v>40683</v>
      </c>
      <c r="B233" s="213" t="s">
        <v>350</v>
      </c>
      <c r="C233" t="s">
        <v>351</v>
      </c>
      <c r="D233" t="s">
        <v>19</v>
      </c>
      <c r="E233" s="228">
        <v>8</v>
      </c>
      <c r="F233" s="228">
        <v>85</v>
      </c>
      <c r="G233" s="229">
        <v>680</v>
      </c>
      <c r="H233" s="46">
        <v>51</v>
      </c>
    </row>
    <row r="234" spans="1:8" x14ac:dyDescent="0.25">
      <c r="A234" s="47">
        <v>40683</v>
      </c>
      <c r="B234" s="213" t="s">
        <v>364</v>
      </c>
      <c r="C234" t="s">
        <v>365</v>
      </c>
      <c r="D234" t="s">
        <v>19</v>
      </c>
      <c r="E234" s="228">
        <v>8</v>
      </c>
      <c r="F234" s="228">
        <v>50</v>
      </c>
      <c r="G234" s="229">
        <v>400</v>
      </c>
      <c r="H234" s="46">
        <v>51</v>
      </c>
    </row>
    <row r="235" spans="1:8" x14ac:dyDescent="0.25">
      <c r="A235" s="47">
        <v>40683</v>
      </c>
      <c r="B235" s="213" t="s">
        <v>363</v>
      </c>
      <c r="C235" t="s">
        <v>536</v>
      </c>
      <c r="D235" t="s">
        <v>19</v>
      </c>
      <c r="E235" s="228">
        <v>8</v>
      </c>
      <c r="F235" s="228">
        <v>43.4</v>
      </c>
      <c r="G235" s="229">
        <v>347.2</v>
      </c>
      <c r="H235" s="46">
        <v>51</v>
      </c>
    </row>
    <row r="236" spans="1:8" x14ac:dyDescent="0.25">
      <c r="A236" s="47">
        <v>40683</v>
      </c>
      <c r="B236" s="213" t="s">
        <v>357</v>
      </c>
      <c r="C236" t="s">
        <v>358</v>
      </c>
      <c r="D236" t="s">
        <v>19</v>
      </c>
      <c r="E236" s="228">
        <v>4</v>
      </c>
      <c r="F236" s="228">
        <v>42.79</v>
      </c>
      <c r="G236" s="229">
        <v>171.16</v>
      </c>
      <c r="H236" s="46">
        <v>51</v>
      </c>
    </row>
    <row r="237" spans="1:8" x14ac:dyDescent="0.25">
      <c r="A237" s="47">
        <v>40683</v>
      </c>
      <c r="B237" s="213" t="s">
        <v>5</v>
      </c>
      <c r="C237" t="s">
        <v>535</v>
      </c>
      <c r="D237" t="s">
        <v>19</v>
      </c>
      <c r="E237" s="228">
        <v>7</v>
      </c>
      <c r="F237" s="228">
        <v>32.200000000000003</v>
      </c>
      <c r="G237" s="229">
        <v>225.4</v>
      </c>
      <c r="H237" s="46">
        <v>51</v>
      </c>
    </row>
    <row r="238" spans="1:8" x14ac:dyDescent="0.25">
      <c r="A238" s="47">
        <v>40683</v>
      </c>
      <c r="B238" s="213" t="s">
        <v>346</v>
      </c>
      <c r="C238" t="s">
        <v>535</v>
      </c>
      <c r="D238" t="s">
        <v>19</v>
      </c>
      <c r="E238" s="228">
        <v>8</v>
      </c>
      <c r="F238" s="228">
        <v>39.18</v>
      </c>
      <c r="G238" s="229">
        <v>313.44</v>
      </c>
      <c r="H238" s="46">
        <v>51</v>
      </c>
    </row>
    <row r="239" spans="1:8" x14ac:dyDescent="0.25">
      <c r="A239" s="47">
        <v>40683</v>
      </c>
      <c r="B239" s="213" t="s">
        <v>5</v>
      </c>
      <c r="C239" t="s">
        <v>536</v>
      </c>
      <c r="D239" t="s">
        <v>19</v>
      </c>
      <c r="E239" s="228">
        <v>8</v>
      </c>
      <c r="F239" s="228">
        <v>32.200000000000003</v>
      </c>
      <c r="G239" s="229">
        <v>257.60000000000002</v>
      </c>
      <c r="H239" s="46">
        <v>51</v>
      </c>
    </row>
    <row r="240" spans="1:8" x14ac:dyDescent="0.25">
      <c r="A240" s="47">
        <v>40683</v>
      </c>
      <c r="B240" s="213" t="s">
        <v>5</v>
      </c>
      <c r="C240" t="s">
        <v>535</v>
      </c>
      <c r="D240" t="s">
        <v>19</v>
      </c>
      <c r="E240" s="228">
        <v>8</v>
      </c>
      <c r="F240" s="228">
        <v>41.83</v>
      </c>
      <c r="G240" s="229">
        <v>334.64</v>
      </c>
      <c r="H240" s="46">
        <v>51</v>
      </c>
    </row>
    <row r="241" spans="1:8" x14ac:dyDescent="0.25">
      <c r="A241" s="47">
        <v>40683</v>
      </c>
      <c r="B241" s="213" t="s">
        <v>359</v>
      </c>
      <c r="C241" t="s">
        <v>537</v>
      </c>
      <c r="D241" t="s">
        <v>19</v>
      </c>
      <c r="E241" s="228">
        <v>4</v>
      </c>
      <c r="F241" s="228">
        <v>39.18</v>
      </c>
      <c r="G241" s="229">
        <v>156.72</v>
      </c>
      <c r="H241" s="46">
        <v>51</v>
      </c>
    </row>
    <row r="242" spans="1:8" x14ac:dyDescent="0.25">
      <c r="A242" s="47">
        <v>40686</v>
      </c>
      <c r="B242" s="213" t="s">
        <v>364</v>
      </c>
      <c r="C242" t="s">
        <v>365</v>
      </c>
      <c r="D242" t="s">
        <v>19</v>
      </c>
      <c r="E242" s="228">
        <v>9.5</v>
      </c>
      <c r="F242" s="228">
        <v>50</v>
      </c>
      <c r="G242" s="229">
        <v>475</v>
      </c>
      <c r="H242" s="46">
        <v>51</v>
      </c>
    </row>
    <row r="243" spans="1:8" x14ac:dyDescent="0.25">
      <c r="A243" s="47">
        <v>40686</v>
      </c>
      <c r="B243" s="213" t="s">
        <v>347</v>
      </c>
      <c r="C243" t="s">
        <v>348</v>
      </c>
      <c r="D243" t="s">
        <v>19</v>
      </c>
      <c r="E243" s="228">
        <v>9.5</v>
      </c>
      <c r="F243" s="228">
        <v>65</v>
      </c>
      <c r="G243" s="229">
        <v>617.5</v>
      </c>
      <c r="H243" s="46">
        <v>51</v>
      </c>
    </row>
    <row r="244" spans="1:8" x14ac:dyDescent="0.25">
      <c r="A244" s="47">
        <v>40686</v>
      </c>
      <c r="B244" s="213" t="s">
        <v>5</v>
      </c>
      <c r="C244" t="s">
        <v>535</v>
      </c>
      <c r="D244" t="s">
        <v>19</v>
      </c>
      <c r="E244" s="228">
        <v>9.5</v>
      </c>
      <c r="F244" s="228">
        <v>41.83</v>
      </c>
      <c r="G244" s="229">
        <v>397.38499999999999</v>
      </c>
      <c r="H244" s="46">
        <v>51</v>
      </c>
    </row>
    <row r="245" spans="1:8" x14ac:dyDescent="0.25">
      <c r="A245" s="47">
        <v>40686</v>
      </c>
      <c r="B245" s="213" t="s">
        <v>363</v>
      </c>
      <c r="C245" t="s">
        <v>536</v>
      </c>
      <c r="D245" t="s">
        <v>19</v>
      </c>
      <c r="E245" s="228">
        <v>9.5</v>
      </c>
      <c r="F245" s="228">
        <v>43.4</v>
      </c>
      <c r="G245" s="229">
        <v>412.3</v>
      </c>
      <c r="H245" s="46">
        <v>51</v>
      </c>
    </row>
    <row r="246" spans="1:8" x14ac:dyDescent="0.25">
      <c r="A246" s="47">
        <v>40686</v>
      </c>
      <c r="B246" s="213" t="s">
        <v>350</v>
      </c>
      <c r="C246" t="s">
        <v>351</v>
      </c>
      <c r="D246" t="s">
        <v>19</v>
      </c>
      <c r="E246" s="228">
        <v>9.5</v>
      </c>
      <c r="F246" s="228">
        <v>85</v>
      </c>
      <c r="G246" s="229">
        <v>807.5</v>
      </c>
      <c r="H246" s="46">
        <v>51</v>
      </c>
    </row>
    <row r="247" spans="1:8" x14ac:dyDescent="0.25">
      <c r="A247" s="47">
        <v>40686</v>
      </c>
      <c r="B247" s="213" t="s">
        <v>349</v>
      </c>
      <c r="C247" t="s">
        <v>343</v>
      </c>
      <c r="D247" t="s">
        <v>19</v>
      </c>
      <c r="E247" s="228">
        <v>9.5</v>
      </c>
      <c r="F247" s="228">
        <v>130</v>
      </c>
      <c r="G247" s="229">
        <v>1235</v>
      </c>
      <c r="H247" s="46">
        <v>51</v>
      </c>
    </row>
    <row r="248" spans="1:8" x14ac:dyDescent="0.25">
      <c r="A248" s="47">
        <v>40686</v>
      </c>
      <c r="B248" s="213" t="s">
        <v>346</v>
      </c>
      <c r="C248" t="s">
        <v>535</v>
      </c>
      <c r="D248" t="s">
        <v>19</v>
      </c>
      <c r="E248" s="228">
        <v>9.5</v>
      </c>
      <c r="F248" s="228">
        <v>39.18</v>
      </c>
      <c r="G248" s="229">
        <v>372.21</v>
      </c>
      <c r="H248" s="46">
        <v>51</v>
      </c>
    </row>
    <row r="249" spans="1:8" x14ac:dyDescent="0.25">
      <c r="A249" s="47">
        <v>40687</v>
      </c>
      <c r="B249" s="213" t="s">
        <v>346</v>
      </c>
      <c r="C249" t="s">
        <v>535</v>
      </c>
      <c r="D249" t="s">
        <v>19</v>
      </c>
      <c r="E249" s="228">
        <v>9.5</v>
      </c>
      <c r="F249" s="228">
        <v>39.18</v>
      </c>
      <c r="G249" s="229">
        <v>372.21</v>
      </c>
      <c r="H249" s="46">
        <v>51</v>
      </c>
    </row>
    <row r="250" spans="1:8" x14ac:dyDescent="0.25">
      <c r="A250" s="47">
        <v>40687</v>
      </c>
      <c r="B250" s="213" t="s">
        <v>350</v>
      </c>
      <c r="C250" t="s">
        <v>351</v>
      </c>
      <c r="D250" t="s">
        <v>19</v>
      </c>
      <c r="E250" s="228">
        <v>9.5</v>
      </c>
      <c r="F250" s="228">
        <v>85</v>
      </c>
      <c r="G250" s="229">
        <v>807.5</v>
      </c>
      <c r="H250" s="46">
        <v>51</v>
      </c>
    </row>
    <row r="251" spans="1:8" x14ac:dyDescent="0.25">
      <c r="A251" s="47">
        <v>40687</v>
      </c>
      <c r="B251" s="213" t="s">
        <v>363</v>
      </c>
      <c r="C251" t="s">
        <v>536</v>
      </c>
      <c r="D251" t="s">
        <v>19</v>
      </c>
      <c r="E251" s="228"/>
      <c r="F251" s="228">
        <v>43.4</v>
      </c>
      <c r="G251" s="229"/>
      <c r="H251" s="46">
        <v>51</v>
      </c>
    </row>
    <row r="252" spans="1:8" x14ac:dyDescent="0.25">
      <c r="A252" s="47">
        <v>40687</v>
      </c>
      <c r="B252" s="213" t="s">
        <v>364</v>
      </c>
      <c r="C252" t="s">
        <v>365</v>
      </c>
      <c r="D252" t="s">
        <v>19</v>
      </c>
      <c r="E252" s="228">
        <v>9.5</v>
      </c>
      <c r="F252" s="228">
        <v>50</v>
      </c>
      <c r="G252" s="229">
        <v>475</v>
      </c>
      <c r="H252" s="46">
        <v>51</v>
      </c>
    </row>
    <row r="253" spans="1:8" x14ac:dyDescent="0.25">
      <c r="A253" s="47">
        <v>40687</v>
      </c>
      <c r="B253" s="213" t="s">
        <v>349</v>
      </c>
      <c r="C253" t="s">
        <v>343</v>
      </c>
      <c r="D253" t="s">
        <v>19</v>
      </c>
      <c r="E253" s="228">
        <v>9.5</v>
      </c>
      <c r="F253" s="228">
        <v>130</v>
      </c>
      <c r="G253" s="229">
        <v>1235</v>
      </c>
      <c r="H253" s="46">
        <v>51</v>
      </c>
    </row>
    <row r="254" spans="1:8" x14ac:dyDescent="0.25">
      <c r="A254" s="47">
        <v>40687</v>
      </c>
      <c r="B254" s="213" t="s">
        <v>5</v>
      </c>
      <c r="C254" t="s">
        <v>535</v>
      </c>
      <c r="D254" t="s">
        <v>19</v>
      </c>
      <c r="E254" s="228">
        <v>9.5</v>
      </c>
      <c r="F254" s="228">
        <v>41.83</v>
      </c>
      <c r="G254" s="229">
        <v>397.38499999999999</v>
      </c>
      <c r="H254" s="46">
        <v>51</v>
      </c>
    </row>
    <row r="255" spans="1:8" x14ac:dyDescent="0.25">
      <c r="A255" s="47">
        <v>40687</v>
      </c>
      <c r="B255" s="213" t="s">
        <v>347</v>
      </c>
      <c r="C255" t="s">
        <v>348</v>
      </c>
      <c r="D255" t="s">
        <v>19</v>
      </c>
      <c r="E255" s="228">
        <v>9.5</v>
      </c>
      <c r="F255" s="228">
        <v>65</v>
      </c>
      <c r="G255" s="229">
        <v>617.5</v>
      </c>
      <c r="H255" s="46">
        <v>51</v>
      </c>
    </row>
    <row r="256" spans="1:8" x14ac:dyDescent="0.25">
      <c r="A256" s="47">
        <v>40688</v>
      </c>
      <c r="B256" s="213" t="s">
        <v>353</v>
      </c>
      <c r="C256" t="s">
        <v>354</v>
      </c>
      <c r="D256" t="s">
        <v>19</v>
      </c>
      <c r="E256" s="228">
        <v>17</v>
      </c>
      <c r="F256" s="228">
        <v>365</v>
      </c>
      <c r="G256" s="229">
        <v>6205</v>
      </c>
      <c r="H256" s="46">
        <v>51</v>
      </c>
    </row>
    <row r="257" spans="1:8" x14ac:dyDescent="0.25">
      <c r="A257" s="47">
        <v>40688</v>
      </c>
      <c r="B257" s="213" t="s">
        <v>366</v>
      </c>
      <c r="C257" t="s">
        <v>367</v>
      </c>
      <c r="D257" t="s">
        <v>19</v>
      </c>
      <c r="E257" s="228">
        <v>15</v>
      </c>
      <c r="F257" s="228">
        <v>365</v>
      </c>
      <c r="G257" s="229">
        <v>5475</v>
      </c>
      <c r="H257" s="46">
        <v>51</v>
      </c>
    </row>
    <row r="258" spans="1:8" x14ac:dyDescent="0.25">
      <c r="A258" s="47">
        <v>40688</v>
      </c>
      <c r="B258" s="213" t="s">
        <v>364</v>
      </c>
      <c r="C258" t="s">
        <v>365</v>
      </c>
      <c r="D258" t="s">
        <v>19</v>
      </c>
      <c r="E258" s="228">
        <v>9.5</v>
      </c>
      <c r="F258" s="228">
        <v>50</v>
      </c>
      <c r="G258" s="229">
        <v>475</v>
      </c>
      <c r="H258" s="46">
        <v>51</v>
      </c>
    </row>
    <row r="259" spans="1:8" x14ac:dyDescent="0.25">
      <c r="A259" s="47">
        <v>40688</v>
      </c>
      <c r="B259" s="213" t="s">
        <v>347</v>
      </c>
      <c r="C259" t="s">
        <v>348</v>
      </c>
      <c r="D259" t="s">
        <v>19</v>
      </c>
      <c r="E259" s="228">
        <v>9.5</v>
      </c>
      <c r="F259" s="228">
        <v>65</v>
      </c>
      <c r="G259" s="229">
        <v>617.5</v>
      </c>
      <c r="H259" s="46">
        <v>51</v>
      </c>
    </row>
    <row r="260" spans="1:8" x14ac:dyDescent="0.25">
      <c r="A260" s="47">
        <v>40688</v>
      </c>
      <c r="B260" s="213" t="s">
        <v>5</v>
      </c>
      <c r="C260" t="s">
        <v>535</v>
      </c>
      <c r="D260" t="s">
        <v>19</v>
      </c>
      <c r="E260" s="228">
        <v>9.5</v>
      </c>
      <c r="F260" s="228">
        <v>41.83</v>
      </c>
      <c r="G260" s="229">
        <v>397.38499999999999</v>
      </c>
      <c r="H260" s="46">
        <v>51</v>
      </c>
    </row>
    <row r="261" spans="1:8" x14ac:dyDescent="0.25">
      <c r="A261" s="47">
        <v>40688</v>
      </c>
      <c r="B261" s="213" t="s">
        <v>346</v>
      </c>
      <c r="C261" t="s">
        <v>535</v>
      </c>
      <c r="D261" t="s">
        <v>19</v>
      </c>
      <c r="E261" s="228">
        <v>9.5</v>
      </c>
      <c r="F261" s="228">
        <v>39.18</v>
      </c>
      <c r="G261" s="229">
        <v>372.21</v>
      </c>
      <c r="H261" s="46">
        <v>51</v>
      </c>
    </row>
    <row r="262" spans="1:8" x14ac:dyDescent="0.25">
      <c r="A262" s="47">
        <v>40688</v>
      </c>
      <c r="B262" s="213" t="s">
        <v>363</v>
      </c>
      <c r="C262" t="s">
        <v>536</v>
      </c>
      <c r="D262" t="s">
        <v>19</v>
      </c>
      <c r="E262" s="228">
        <v>9.5</v>
      </c>
      <c r="F262" s="228">
        <v>43.4</v>
      </c>
      <c r="G262" s="229">
        <v>412.3</v>
      </c>
      <c r="H262" s="46">
        <v>51</v>
      </c>
    </row>
    <row r="263" spans="1:8" x14ac:dyDescent="0.25">
      <c r="A263" s="47">
        <v>40688</v>
      </c>
      <c r="B263" s="213" t="s">
        <v>350</v>
      </c>
      <c r="C263" t="s">
        <v>351</v>
      </c>
      <c r="D263" t="s">
        <v>19</v>
      </c>
      <c r="E263" s="228">
        <v>9.5</v>
      </c>
      <c r="F263" s="228">
        <v>85</v>
      </c>
      <c r="G263" s="229">
        <v>807.5</v>
      </c>
      <c r="H263" s="46">
        <v>51</v>
      </c>
    </row>
    <row r="264" spans="1:8" x14ac:dyDescent="0.25">
      <c r="A264" s="47">
        <v>40688</v>
      </c>
      <c r="B264" s="213" t="s">
        <v>349</v>
      </c>
      <c r="C264" t="s">
        <v>343</v>
      </c>
      <c r="D264" t="s">
        <v>19</v>
      </c>
      <c r="E264" s="228">
        <v>9.5</v>
      </c>
      <c r="F264" s="228">
        <v>130</v>
      </c>
      <c r="G264" s="229">
        <v>1235</v>
      </c>
      <c r="H264" s="46">
        <v>51</v>
      </c>
    </row>
    <row r="265" spans="1:8" x14ac:dyDescent="0.25">
      <c r="A265" s="47">
        <v>40688</v>
      </c>
      <c r="B265" s="213" t="s">
        <v>368</v>
      </c>
      <c r="C265" t="s">
        <v>354</v>
      </c>
      <c r="D265" t="s">
        <v>19</v>
      </c>
      <c r="E265" s="228">
        <v>14</v>
      </c>
      <c r="F265" s="228">
        <v>365</v>
      </c>
      <c r="G265" s="229">
        <v>5110</v>
      </c>
      <c r="H265" s="46">
        <v>51</v>
      </c>
    </row>
    <row r="266" spans="1:8" x14ac:dyDescent="0.25">
      <c r="A266" s="47">
        <v>40688</v>
      </c>
      <c r="B266" s="213" t="s">
        <v>369</v>
      </c>
      <c r="C266" t="s">
        <v>370</v>
      </c>
      <c r="D266" t="s">
        <v>293</v>
      </c>
      <c r="E266" s="228">
        <v>1</v>
      </c>
      <c r="F266" s="228">
        <v>17730</v>
      </c>
      <c r="G266" s="229">
        <v>17730</v>
      </c>
      <c r="H266" s="46">
        <v>51</v>
      </c>
    </row>
    <row r="267" spans="1:8" x14ac:dyDescent="0.25">
      <c r="A267" s="47">
        <v>40689</v>
      </c>
      <c r="B267" s="213" t="s">
        <v>349</v>
      </c>
      <c r="C267" t="s">
        <v>343</v>
      </c>
      <c r="D267" t="s">
        <v>19</v>
      </c>
      <c r="E267" s="228">
        <v>9.5</v>
      </c>
      <c r="F267" s="228">
        <v>130</v>
      </c>
      <c r="G267" s="229">
        <v>1235</v>
      </c>
      <c r="H267" s="46">
        <v>51</v>
      </c>
    </row>
    <row r="268" spans="1:8" x14ac:dyDescent="0.25">
      <c r="A268" s="47">
        <v>40689</v>
      </c>
      <c r="B268" s="213" t="s">
        <v>5</v>
      </c>
      <c r="C268" t="s">
        <v>536</v>
      </c>
      <c r="D268" t="s">
        <v>19</v>
      </c>
      <c r="E268" s="228">
        <v>9.5</v>
      </c>
      <c r="F268" s="228">
        <v>32.200000000000003</v>
      </c>
      <c r="G268" s="229">
        <v>305.89999999999998</v>
      </c>
      <c r="H268" s="46">
        <v>51</v>
      </c>
    </row>
    <row r="269" spans="1:8" x14ac:dyDescent="0.25">
      <c r="A269" s="47">
        <v>40689</v>
      </c>
      <c r="B269" s="213" t="s">
        <v>364</v>
      </c>
      <c r="C269" t="s">
        <v>365</v>
      </c>
      <c r="D269" t="s">
        <v>19</v>
      </c>
      <c r="E269" s="228">
        <v>9.5</v>
      </c>
      <c r="F269" s="228">
        <v>50</v>
      </c>
      <c r="G269" s="229">
        <v>475</v>
      </c>
      <c r="H269" s="46">
        <v>51</v>
      </c>
    </row>
    <row r="270" spans="1:8" x14ac:dyDescent="0.25">
      <c r="A270" s="47">
        <v>40689</v>
      </c>
      <c r="B270" s="213" t="s">
        <v>5</v>
      </c>
      <c r="C270" t="s">
        <v>535</v>
      </c>
      <c r="D270" t="s">
        <v>19</v>
      </c>
      <c r="E270" s="228">
        <v>9.5</v>
      </c>
      <c r="F270" s="228">
        <v>32.200000000000003</v>
      </c>
      <c r="G270" s="229">
        <v>305.89999999999998</v>
      </c>
      <c r="H270" s="46">
        <v>51</v>
      </c>
    </row>
    <row r="271" spans="1:8" x14ac:dyDescent="0.25">
      <c r="A271" s="47">
        <v>40689</v>
      </c>
      <c r="B271" s="213" t="s">
        <v>350</v>
      </c>
      <c r="C271" t="s">
        <v>371</v>
      </c>
      <c r="D271" t="s">
        <v>19</v>
      </c>
      <c r="E271" s="228">
        <v>9.5</v>
      </c>
      <c r="F271" s="228">
        <v>85</v>
      </c>
      <c r="G271" s="229">
        <v>807.5</v>
      </c>
      <c r="H271" s="46">
        <v>51</v>
      </c>
    </row>
    <row r="272" spans="1:8" x14ac:dyDescent="0.25">
      <c r="A272" s="47">
        <v>40689</v>
      </c>
      <c r="B272" s="213" t="s">
        <v>350</v>
      </c>
      <c r="C272" t="s">
        <v>351</v>
      </c>
      <c r="D272" t="s">
        <v>19</v>
      </c>
      <c r="E272" s="228">
        <v>9.5</v>
      </c>
      <c r="F272" s="228">
        <v>85</v>
      </c>
      <c r="G272" s="229">
        <v>807.5</v>
      </c>
      <c r="H272" s="46">
        <v>51</v>
      </c>
    </row>
    <row r="273" spans="1:8" x14ac:dyDescent="0.25">
      <c r="A273" s="47">
        <v>40689</v>
      </c>
      <c r="B273" s="213" t="s">
        <v>353</v>
      </c>
      <c r="C273" t="s">
        <v>354</v>
      </c>
      <c r="D273" t="s">
        <v>57</v>
      </c>
      <c r="E273" s="228">
        <v>1</v>
      </c>
      <c r="F273" s="228">
        <v>365</v>
      </c>
      <c r="G273" s="229">
        <v>365</v>
      </c>
      <c r="H273" s="46">
        <v>51</v>
      </c>
    </row>
    <row r="274" spans="1:8" x14ac:dyDescent="0.25">
      <c r="A274" s="47">
        <v>40689</v>
      </c>
      <c r="B274" s="213" t="s">
        <v>5</v>
      </c>
      <c r="C274" t="s">
        <v>535</v>
      </c>
      <c r="D274" t="s">
        <v>19</v>
      </c>
      <c r="E274" s="228">
        <v>9.5</v>
      </c>
      <c r="F274" s="228">
        <v>41.83</v>
      </c>
      <c r="G274" s="229">
        <v>397.38499999999999</v>
      </c>
      <c r="H274" s="46">
        <v>51</v>
      </c>
    </row>
    <row r="275" spans="1:8" x14ac:dyDescent="0.25">
      <c r="A275" s="47">
        <v>40689</v>
      </c>
      <c r="B275" s="213" t="s">
        <v>368</v>
      </c>
      <c r="C275" t="s">
        <v>354</v>
      </c>
      <c r="D275" t="s">
        <v>57</v>
      </c>
      <c r="E275" s="228">
        <v>1</v>
      </c>
      <c r="F275" s="228">
        <v>365</v>
      </c>
      <c r="G275" s="229">
        <v>365</v>
      </c>
      <c r="H275" s="46">
        <v>51</v>
      </c>
    </row>
    <row r="276" spans="1:8" x14ac:dyDescent="0.25">
      <c r="A276" s="47">
        <v>40689</v>
      </c>
      <c r="B276" s="213" t="s">
        <v>372</v>
      </c>
      <c r="C276" t="s">
        <v>367</v>
      </c>
      <c r="D276" t="s">
        <v>57</v>
      </c>
      <c r="E276" s="228">
        <v>1</v>
      </c>
      <c r="F276" s="228">
        <v>365</v>
      </c>
      <c r="G276" s="229">
        <v>365</v>
      </c>
      <c r="H276" s="46">
        <v>51</v>
      </c>
    </row>
    <row r="277" spans="1:8" x14ac:dyDescent="0.25">
      <c r="A277" s="47">
        <v>40689</v>
      </c>
      <c r="B277" s="213" t="s">
        <v>363</v>
      </c>
      <c r="C277" t="s">
        <v>536</v>
      </c>
      <c r="D277" t="s">
        <v>19</v>
      </c>
      <c r="E277" s="228">
        <v>9.5</v>
      </c>
      <c r="F277" s="228">
        <v>43.4</v>
      </c>
      <c r="G277" s="229">
        <v>412.3</v>
      </c>
      <c r="H277" s="46">
        <v>51</v>
      </c>
    </row>
    <row r="278" spans="1:8" x14ac:dyDescent="0.25">
      <c r="A278" s="47">
        <v>40690</v>
      </c>
      <c r="B278" s="213" t="s">
        <v>350</v>
      </c>
      <c r="C278" t="s">
        <v>371</v>
      </c>
      <c r="D278" t="s">
        <v>19</v>
      </c>
      <c r="E278" s="228">
        <v>8</v>
      </c>
      <c r="F278" s="228">
        <v>85</v>
      </c>
      <c r="G278" s="229">
        <v>680</v>
      </c>
      <c r="H278" s="46">
        <v>51</v>
      </c>
    </row>
    <row r="279" spans="1:8" x14ac:dyDescent="0.25">
      <c r="A279" s="47">
        <v>40690</v>
      </c>
      <c r="B279" s="213" t="s">
        <v>372</v>
      </c>
      <c r="C279" t="s">
        <v>367</v>
      </c>
      <c r="D279" t="s">
        <v>57</v>
      </c>
      <c r="E279" s="228">
        <v>1</v>
      </c>
      <c r="F279" s="228">
        <v>365</v>
      </c>
      <c r="G279" s="229">
        <v>365</v>
      </c>
      <c r="H279" s="46">
        <v>51</v>
      </c>
    </row>
    <row r="280" spans="1:8" x14ac:dyDescent="0.25">
      <c r="A280" s="47">
        <v>40690</v>
      </c>
      <c r="B280" s="213" t="s">
        <v>353</v>
      </c>
      <c r="C280" t="s">
        <v>354</v>
      </c>
      <c r="D280" t="s">
        <v>57</v>
      </c>
      <c r="E280" s="228">
        <v>1</v>
      </c>
      <c r="F280" s="228">
        <v>365</v>
      </c>
      <c r="G280" s="229">
        <v>365</v>
      </c>
      <c r="H280" s="46">
        <v>51</v>
      </c>
    </row>
    <row r="281" spans="1:8" x14ac:dyDescent="0.25">
      <c r="A281" s="47">
        <v>40690</v>
      </c>
      <c r="B281" s="213" t="s">
        <v>350</v>
      </c>
      <c r="C281" t="s">
        <v>351</v>
      </c>
      <c r="D281" t="s">
        <v>19</v>
      </c>
      <c r="E281" s="228">
        <v>8</v>
      </c>
      <c r="F281" s="228">
        <v>85</v>
      </c>
      <c r="G281" s="229">
        <v>680</v>
      </c>
      <c r="H281" s="46">
        <v>51</v>
      </c>
    </row>
    <row r="282" spans="1:8" x14ac:dyDescent="0.25">
      <c r="A282" s="47">
        <v>40690</v>
      </c>
      <c r="B282" s="213" t="s">
        <v>368</v>
      </c>
      <c r="C282" t="s">
        <v>354</v>
      </c>
      <c r="D282" t="s">
        <v>57</v>
      </c>
      <c r="E282" s="228">
        <v>1</v>
      </c>
      <c r="F282" s="228">
        <v>365</v>
      </c>
      <c r="G282" s="229">
        <v>365</v>
      </c>
      <c r="H282" s="46">
        <v>51</v>
      </c>
    </row>
    <row r="283" spans="1:8" x14ac:dyDescent="0.25">
      <c r="A283" s="47">
        <v>40690</v>
      </c>
      <c r="B283" s="213" t="s">
        <v>363</v>
      </c>
      <c r="C283" t="s">
        <v>536</v>
      </c>
      <c r="D283" t="s">
        <v>19</v>
      </c>
      <c r="E283" s="228">
        <v>8</v>
      </c>
      <c r="F283" s="228">
        <v>43.4</v>
      </c>
      <c r="G283" s="229">
        <v>347.2</v>
      </c>
      <c r="H283" s="46">
        <v>51</v>
      </c>
    </row>
    <row r="284" spans="1:8" x14ac:dyDescent="0.25">
      <c r="A284" s="47">
        <v>40690</v>
      </c>
      <c r="B284" s="213" t="s">
        <v>5</v>
      </c>
      <c r="C284" t="s">
        <v>535</v>
      </c>
      <c r="D284" t="s">
        <v>19</v>
      </c>
      <c r="E284" s="228">
        <v>8</v>
      </c>
      <c r="F284" s="228">
        <v>32.200000000000003</v>
      </c>
      <c r="G284" s="229">
        <v>257.60000000000002</v>
      </c>
      <c r="H284" s="46">
        <v>51</v>
      </c>
    </row>
    <row r="285" spans="1:8" x14ac:dyDescent="0.25">
      <c r="A285" s="47">
        <v>40690</v>
      </c>
      <c r="B285" s="213" t="s">
        <v>349</v>
      </c>
      <c r="C285" t="s">
        <v>343</v>
      </c>
      <c r="D285" t="s">
        <v>19</v>
      </c>
      <c r="E285" s="228">
        <v>8</v>
      </c>
      <c r="F285" s="228">
        <v>130</v>
      </c>
      <c r="G285" s="229">
        <v>1040</v>
      </c>
      <c r="H285" s="46">
        <v>51</v>
      </c>
    </row>
    <row r="286" spans="1:8" x14ac:dyDescent="0.25">
      <c r="A286" s="47">
        <v>40690</v>
      </c>
      <c r="B286" s="213" t="s">
        <v>5</v>
      </c>
      <c r="C286" t="s">
        <v>535</v>
      </c>
      <c r="D286" t="s">
        <v>19</v>
      </c>
      <c r="E286" s="228">
        <v>8</v>
      </c>
      <c r="F286" s="228">
        <v>41.83</v>
      </c>
      <c r="G286" s="229">
        <v>334.64</v>
      </c>
      <c r="H286" s="46">
        <v>51</v>
      </c>
    </row>
    <row r="287" spans="1:8" x14ac:dyDescent="0.25">
      <c r="A287" s="47">
        <v>40690</v>
      </c>
      <c r="B287" s="213" t="s">
        <v>364</v>
      </c>
      <c r="C287" t="s">
        <v>365</v>
      </c>
      <c r="D287" t="s">
        <v>19</v>
      </c>
      <c r="E287" s="228">
        <v>8</v>
      </c>
      <c r="F287" s="228">
        <v>50</v>
      </c>
      <c r="G287" s="229">
        <v>400</v>
      </c>
      <c r="H287" s="46">
        <v>51</v>
      </c>
    </row>
    <row r="288" spans="1:8" x14ac:dyDescent="0.25">
      <c r="A288" s="47">
        <v>40690</v>
      </c>
      <c r="B288" s="213" t="s">
        <v>5</v>
      </c>
      <c r="C288" t="s">
        <v>536</v>
      </c>
      <c r="D288" t="s">
        <v>19</v>
      </c>
      <c r="E288" s="228">
        <v>8</v>
      </c>
      <c r="F288" s="228">
        <v>32.200000000000003</v>
      </c>
      <c r="G288" s="229">
        <v>257.60000000000002</v>
      </c>
      <c r="H288" s="46">
        <v>51</v>
      </c>
    </row>
    <row r="289" spans="1:8" x14ac:dyDescent="0.25">
      <c r="A289" s="47">
        <v>40691</v>
      </c>
      <c r="B289" s="213" t="s">
        <v>350</v>
      </c>
      <c r="C289" t="s">
        <v>351</v>
      </c>
      <c r="D289" t="s">
        <v>19</v>
      </c>
      <c r="E289" s="228">
        <v>6</v>
      </c>
      <c r="F289" s="228">
        <v>85</v>
      </c>
      <c r="G289" s="229">
        <v>510</v>
      </c>
      <c r="H289" s="46">
        <v>51</v>
      </c>
    </row>
    <row r="290" spans="1:8" x14ac:dyDescent="0.25">
      <c r="A290" s="47">
        <v>40691</v>
      </c>
      <c r="B290" s="213" t="s">
        <v>349</v>
      </c>
      <c r="C290" t="s">
        <v>343</v>
      </c>
      <c r="D290" t="s">
        <v>19</v>
      </c>
      <c r="E290" s="228">
        <v>6</v>
      </c>
      <c r="F290" s="228">
        <v>130</v>
      </c>
      <c r="G290" s="229">
        <v>780</v>
      </c>
      <c r="H290" s="46">
        <v>51</v>
      </c>
    </row>
    <row r="291" spans="1:8" x14ac:dyDescent="0.25">
      <c r="A291" s="47">
        <v>40691</v>
      </c>
      <c r="B291" s="213" t="s">
        <v>5</v>
      </c>
      <c r="C291" t="s">
        <v>535</v>
      </c>
      <c r="D291" t="s">
        <v>19</v>
      </c>
      <c r="E291" s="228">
        <v>6</v>
      </c>
      <c r="F291" s="228">
        <v>41.83</v>
      </c>
      <c r="G291" s="229">
        <v>250.98</v>
      </c>
      <c r="H291" s="46">
        <v>51</v>
      </c>
    </row>
    <row r="292" spans="1:8" x14ac:dyDescent="0.25">
      <c r="A292" s="47">
        <v>40691</v>
      </c>
      <c r="B292" s="213" t="s">
        <v>350</v>
      </c>
      <c r="C292" t="s">
        <v>371</v>
      </c>
      <c r="D292" t="s">
        <v>19</v>
      </c>
      <c r="E292" s="228">
        <v>6</v>
      </c>
      <c r="F292" s="228">
        <v>85</v>
      </c>
      <c r="G292" s="229">
        <v>510</v>
      </c>
      <c r="H292" s="46">
        <v>51</v>
      </c>
    </row>
    <row r="293" spans="1:8" x14ac:dyDescent="0.25">
      <c r="A293" s="47">
        <v>40691</v>
      </c>
      <c r="B293" s="213" t="s">
        <v>364</v>
      </c>
      <c r="C293" t="s">
        <v>365</v>
      </c>
      <c r="D293" t="s">
        <v>19</v>
      </c>
      <c r="E293" s="228">
        <v>6</v>
      </c>
      <c r="F293" s="228">
        <v>50</v>
      </c>
      <c r="G293" s="229">
        <v>300</v>
      </c>
      <c r="H293" s="46">
        <v>51</v>
      </c>
    </row>
    <row r="294" spans="1:8" x14ac:dyDescent="0.25">
      <c r="A294" s="47">
        <v>40691</v>
      </c>
      <c r="B294" s="213" t="s">
        <v>363</v>
      </c>
      <c r="C294" t="s">
        <v>536</v>
      </c>
      <c r="D294" t="s">
        <v>19</v>
      </c>
      <c r="E294" s="228">
        <v>6</v>
      </c>
      <c r="F294" s="228">
        <v>43.4</v>
      </c>
      <c r="G294" s="229">
        <v>260.39999999999998</v>
      </c>
      <c r="H294" s="46">
        <v>51</v>
      </c>
    </row>
    <row r="295" spans="1:8" x14ac:dyDescent="0.25">
      <c r="A295" s="47">
        <v>40694</v>
      </c>
      <c r="B295" s="213" t="s">
        <v>353</v>
      </c>
      <c r="C295" t="s">
        <v>354</v>
      </c>
      <c r="D295" t="s">
        <v>57</v>
      </c>
      <c r="E295" s="228">
        <v>1</v>
      </c>
      <c r="F295" s="228">
        <v>365</v>
      </c>
      <c r="G295" s="229">
        <v>365</v>
      </c>
      <c r="H295" s="46">
        <v>51</v>
      </c>
    </row>
    <row r="296" spans="1:8" x14ac:dyDescent="0.25">
      <c r="A296" s="47">
        <v>40694</v>
      </c>
      <c r="B296" s="213" t="s">
        <v>372</v>
      </c>
      <c r="C296" t="s">
        <v>367</v>
      </c>
      <c r="D296" t="s">
        <v>57</v>
      </c>
      <c r="E296" s="228">
        <v>1</v>
      </c>
      <c r="F296" s="228">
        <v>365</v>
      </c>
      <c r="G296" s="229">
        <v>365</v>
      </c>
      <c r="H296" s="46">
        <v>51</v>
      </c>
    </row>
    <row r="297" spans="1:8" x14ac:dyDescent="0.25">
      <c r="A297" s="47">
        <v>40694</v>
      </c>
      <c r="B297" s="213" t="s">
        <v>350</v>
      </c>
      <c r="C297" t="s">
        <v>371</v>
      </c>
      <c r="D297" t="s">
        <v>19</v>
      </c>
      <c r="E297" s="228">
        <v>10</v>
      </c>
      <c r="F297" s="228">
        <v>85</v>
      </c>
      <c r="G297" s="229">
        <v>850</v>
      </c>
      <c r="H297" s="46">
        <v>51</v>
      </c>
    </row>
    <row r="298" spans="1:8" x14ac:dyDescent="0.25">
      <c r="A298" s="47">
        <v>40694</v>
      </c>
      <c r="B298" s="213" t="s">
        <v>350</v>
      </c>
      <c r="C298" t="s">
        <v>373</v>
      </c>
      <c r="D298" t="s">
        <v>19</v>
      </c>
      <c r="E298" s="228">
        <v>4</v>
      </c>
      <c r="F298" s="228">
        <v>80</v>
      </c>
      <c r="G298" s="229">
        <v>320</v>
      </c>
      <c r="H298" s="46">
        <v>51</v>
      </c>
    </row>
    <row r="299" spans="1:8" x14ac:dyDescent="0.25">
      <c r="A299" s="47">
        <v>40694</v>
      </c>
      <c r="B299" s="213" t="s">
        <v>374</v>
      </c>
      <c r="C299" t="s">
        <v>375</v>
      </c>
      <c r="D299" t="s">
        <v>19</v>
      </c>
      <c r="E299" s="228">
        <v>1</v>
      </c>
      <c r="F299" s="228">
        <v>255</v>
      </c>
      <c r="G299" s="229">
        <v>255</v>
      </c>
      <c r="H299" s="46">
        <v>51</v>
      </c>
    </row>
    <row r="300" spans="1:8" x14ac:dyDescent="0.25">
      <c r="A300" s="47">
        <v>40694</v>
      </c>
      <c r="B300" s="213" t="s">
        <v>368</v>
      </c>
      <c r="C300" t="s">
        <v>354</v>
      </c>
      <c r="D300" t="s">
        <v>57</v>
      </c>
      <c r="E300" s="228">
        <v>1</v>
      </c>
      <c r="F300" s="228">
        <v>365</v>
      </c>
      <c r="G300" s="229">
        <v>365</v>
      </c>
      <c r="H300" s="46">
        <v>51</v>
      </c>
    </row>
    <row r="301" spans="1:8" x14ac:dyDescent="0.25">
      <c r="A301" s="47">
        <v>40694</v>
      </c>
      <c r="B301" s="213" t="s">
        <v>364</v>
      </c>
      <c r="C301" t="s">
        <v>365</v>
      </c>
      <c r="D301" t="s">
        <v>19</v>
      </c>
      <c r="E301" s="228">
        <v>10</v>
      </c>
      <c r="F301" s="228">
        <v>50</v>
      </c>
      <c r="G301" s="229">
        <v>500</v>
      </c>
      <c r="H301" s="46">
        <v>51</v>
      </c>
    </row>
    <row r="302" spans="1:8" x14ac:dyDescent="0.25">
      <c r="A302" s="47">
        <v>40694</v>
      </c>
      <c r="B302" s="213" t="s">
        <v>5</v>
      </c>
      <c r="C302" t="s">
        <v>535</v>
      </c>
      <c r="D302" t="s">
        <v>19</v>
      </c>
      <c r="E302" s="228">
        <v>10</v>
      </c>
      <c r="F302" s="228">
        <v>41.83</v>
      </c>
      <c r="G302" s="229">
        <v>418.3</v>
      </c>
      <c r="H302" s="46">
        <v>51</v>
      </c>
    </row>
    <row r="303" spans="1:8" x14ac:dyDescent="0.25">
      <c r="A303" s="47">
        <v>40694</v>
      </c>
      <c r="B303" s="213" t="s">
        <v>5</v>
      </c>
      <c r="C303" t="s">
        <v>536</v>
      </c>
      <c r="D303" t="s">
        <v>19</v>
      </c>
      <c r="E303" s="228">
        <v>10</v>
      </c>
      <c r="F303" s="228">
        <v>32.200000000000003</v>
      </c>
      <c r="G303" s="229">
        <v>322</v>
      </c>
      <c r="H303" s="46">
        <v>51</v>
      </c>
    </row>
    <row r="304" spans="1:8" x14ac:dyDescent="0.25">
      <c r="A304" s="47">
        <v>40694</v>
      </c>
      <c r="B304" s="213" t="s">
        <v>5</v>
      </c>
      <c r="C304" t="s">
        <v>535</v>
      </c>
      <c r="D304" t="s">
        <v>19</v>
      </c>
      <c r="E304" s="228">
        <v>10</v>
      </c>
      <c r="F304" s="228">
        <v>32.200000000000003</v>
      </c>
      <c r="G304" s="229">
        <v>322</v>
      </c>
      <c r="H304" s="46">
        <v>51</v>
      </c>
    </row>
    <row r="305" spans="1:8" x14ac:dyDescent="0.25">
      <c r="A305" s="47">
        <v>40694</v>
      </c>
      <c r="B305" s="213" t="s">
        <v>363</v>
      </c>
      <c r="C305" t="s">
        <v>536</v>
      </c>
      <c r="D305" t="s">
        <v>19</v>
      </c>
      <c r="E305" s="228">
        <v>10</v>
      </c>
      <c r="F305" s="228">
        <v>43.4</v>
      </c>
      <c r="G305" s="229">
        <v>434</v>
      </c>
      <c r="H305" s="46">
        <v>51</v>
      </c>
    </row>
    <row r="306" spans="1:8" x14ac:dyDescent="0.25">
      <c r="A306" s="47">
        <v>40694</v>
      </c>
      <c r="B306" s="213" t="s">
        <v>350</v>
      </c>
      <c r="C306" t="s">
        <v>351</v>
      </c>
      <c r="D306" t="s">
        <v>19</v>
      </c>
      <c r="E306" s="228">
        <v>10</v>
      </c>
      <c r="F306" s="228">
        <v>85</v>
      </c>
      <c r="G306" s="229">
        <v>850</v>
      </c>
      <c r="H306" s="46">
        <v>51</v>
      </c>
    </row>
    <row r="307" spans="1:8" x14ac:dyDescent="0.25">
      <c r="A307" s="47">
        <v>40694</v>
      </c>
      <c r="B307" s="213" t="s">
        <v>349</v>
      </c>
      <c r="C307" t="s">
        <v>343</v>
      </c>
      <c r="D307" t="s">
        <v>19</v>
      </c>
      <c r="E307" s="228">
        <v>10</v>
      </c>
      <c r="F307" s="228">
        <v>130</v>
      </c>
      <c r="G307" s="229">
        <v>1300</v>
      </c>
      <c r="H307" s="46">
        <v>51</v>
      </c>
    </row>
    <row r="308" spans="1:8" x14ac:dyDescent="0.25">
      <c r="A308" s="47">
        <v>40695</v>
      </c>
      <c r="B308" s="213" t="s">
        <v>372</v>
      </c>
      <c r="C308" t="s">
        <v>367</v>
      </c>
      <c r="D308" t="s">
        <v>57</v>
      </c>
      <c r="E308" s="228">
        <v>1</v>
      </c>
      <c r="F308" s="228">
        <v>365</v>
      </c>
      <c r="G308" s="229">
        <v>365</v>
      </c>
      <c r="H308" s="46">
        <v>51</v>
      </c>
    </row>
    <row r="309" spans="1:8" x14ac:dyDescent="0.25">
      <c r="A309" s="47">
        <v>40695</v>
      </c>
      <c r="B309" s="213" t="s">
        <v>350</v>
      </c>
      <c r="C309" t="s">
        <v>371</v>
      </c>
      <c r="D309" t="s">
        <v>19</v>
      </c>
      <c r="E309" s="228">
        <v>10</v>
      </c>
      <c r="F309" s="228">
        <v>85</v>
      </c>
      <c r="G309" s="229">
        <v>850</v>
      </c>
      <c r="H309" s="46">
        <v>51</v>
      </c>
    </row>
    <row r="310" spans="1:8" x14ac:dyDescent="0.25">
      <c r="A310" s="47">
        <v>40695</v>
      </c>
      <c r="B310" s="213" t="s">
        <v>364</v>
      </c>
      <c r="C310" t="s">
        <v>365</v>
      </c>
      <c r="D310" t="s">
        <v>19</v>
      </c>
      <c r="E310" s="228">
        <v>10</v>
      </c>
      <c r="F310" s="228">
        <v>50</v>
      </c>
      <c r="G310" s="229">
        <v>500</v>
      </c>
      <c r="H310" s="46">
        <v>51</v>
      </c>
    </row>
    <row r="311" spans="1:8" x14ac:dyDescent="0.25">
      <c r="A311" s="47">
        <v>40695</v>
      </c>
      <c r="B311" s="213" t="s">
        <v>353</v>
      </c>
      <c r="C311" t="s">
        <v>354</v>
      </c>
      <c r="D311" t="s">
        <v>57</v>
      </c>
      <c r="E311" s="228">
        <v>1</v>
      </c>
      <c r="F311" s="228">
        <v>365</v>
      </c>
      <c r="G311" s="229">
        <v>365</v>
      </c>
      <c r="H311" s="46">
        <v>51</v>
      </c>
    </row>
    <row r="312" spans="1:8" x14ac:dyDescent="0.25">
      <c r="A312" s="47">
        <v>40695</v>
      </c>
      <c r="B312" s="213" t="s">
        <v>350</v>
      </c>
      <c r="C312" t="s">
        <v>373</v>
      </c>
      <c r="D312" t="s">
        <v>19</v>
      </c>
      <c r="E312" s="228">
        <v>10</v>
      </c>
      <c r="F312" s="228">
        <v>80</v>
      </c>
      <c r="G312" s="229">
        <v>800</v>
      </c>
      <c r="H312" s="46">
        <v>51</v>
      </c>
    </row>
    <row r="313" spans="1:8" x14ac:dyDescent="0.25">
      <c r="A313" s="47">
        <v>40695</v>
      </c>
      <c r="B313" s="213" t="s">
        <v>374</v>
      </c>
      <c r="C313" t="s">
        <v>375</v>
      </c>
      <c r="D313" t="s">
        <v>19</v>
      </c>
      <c r="E313" s="228">
        <v>1</v>
      </c>
      <c r="F313" s="228">
        <v>255</v>
      </c>
      <c r="G313" s="229">
        <v>255</v>
      </c>
      <c r="H313" s="46">
        <v>51</v>
      </c>
    </row>
    <row r="314" spans="1:8" x14ac:dyDescent="0.25">
      <c r="A314" s="47">
        <v>40695</v>
      </c>
      <c r="B314" s="213" t="s">
        <v>368</v>
      </c>
      <c r="C314" t="s">
        <v>354</v>
      </c>
      <c r="D314" t="s">
        <v>57</v>
      </c>
      <c r="E314" s="228">
        <v>1</v>
      </c>
      <c r="F314" s="228">
        <v>365</v>
      </c>
      <c r="G314" s="229">
        <v>365</v>
      </c>
      <c r="H314" s="46">
        <v>51</v>
      </c>
    </row>
    <row r="315" spans="1:8" x14ac:dyDescent="0.25">
      <c r="A315" s="47">
        <v>40695</v>
      </c>
      <c r="B315" s="213" t="s">
        <v>363</v>
      </c>
      <c r="C315" t="s">
        <v>536</v>
      </c>
      <c r="D315" t="s">
        <v>19</v>
      </c>
      <c r="E315" s="228">
        <v>10</v>
      </c>
      <c r="F315" s="228">
        <v>43.4</v>
      </c>
      <c r="G315" s="229">
        <v>434</v>
      </c>
      <c r="H315" s="46">
        <v>51</v>
      </c>
    </row>
    <row r="316" spans="1:8" x14ac:dyDescent="0.25">
      <c r="A316" s="47">
        <v>40695</v>
      </c>
      <c r="B316" s="213" t="s">
        <v>5</v>
      </c>
      <c r="C316" t="s">
        <v>535</v>
      </c>
      <c r="D316" t="s">
        <v>19</v>
      </c>
      <c r="E316" s="228">
        <v>10</v>
      </c>
      <c r="F316" s="228">
        <v>41.83</v>
      </c>
      <c r="G316" s="229">
        <v>418.3</v>
      </c>
      <c r="H316" s="46">
        <v>51</v>
      </c>
    </row>
    <row r="317" spans="1:8" x14ac:dyDescent="0.25">
      <c r="A317" s="47">
        <v>40695</v>
      </c>
      <c r="B317" s="213" t="s">
        <v>5</v>
      </c>
      <c r="C317" t="s">
        <v>536</v>
      </c>
      <c r="D317" t="s">
        <v>19</v>
      </c>
      <c r="E317" s="228">
        <v>10</v>
      </c>
      <c r="F317" s="228">
        <v>32.200000000000003</v>
      </c>
      <c r="G317" s="229">
        <v>322</v>
      </c>
      <c r="H317" s="46">
        <v>51</v>
      </c>
    </row>
    <row r="318" spans="1:8" x14ac:dyDescent="0.25">
      <c r="A318" s="47">
        <v>40695</v>
      </c>
      <c r="B318" s="213" t="s">
        <v>5</v>
      </c>
      <c r="C318" t="s">
        <v>535</v>
      </c>
      <c r="D318" t="s">
        <v>19</v>
      </c>
      <c r="E318" s="228">
        <v>10</v>
      </c>
      <c r="F318" s="228">
        <v>32.200000000000003</v>
      </c>
      <c r="G318" s="229">
        <v>322</v>
      </c>
      <c r="H318" s="46">
        <v>51</v>
      </c>
    </row>
    <row r="319" spans="1:8" x14ac:dyDescent="0.25">
      <c r="A319" s="47">
        <v>40695</v>
      </c>
      <c r="B319" s="213" t="s">
        <v>349</v>
      </c>
      <c r="C319" t="s">
        <v>343</v>
      </c>
      <c r="D319" t="s">
        <v>19</v>
      </c>
      <c r="E319" s="228">
        <v>10</v>
      </c>
      <c r="F319" s="228">
        <v>130</v>
      </c>
      <c r="G319" s="229">
        <v>1300</v>
      </c>
      <c r="H319" s="46">
        <v>51</v>
      </c>
    </row>
    <row r="320" spans="1:8" x14ac:dyDescent="0.25">
      <c r="A320" s="47">
        <v>40695</v>
      </c>
      <c r="B320" s="213" t="s">
        <v>376</v>
      </c>
      <c r="C320" t="s">
        <v>377</v>
      </c>
      <c r="D320" t="s">
        <v>19</v>
      </c>
      <c r="E320" s="228">
        <v>5</v>
      </c>
      <c r="F320" s="228">
        <v>145</v>
      </c>
      <c r="G320" s="229">
        <v>725</v>
      </c>
      <c r="H320" s="46">
        <v>51</v>
      </c>
    </row>
    <row r="321" spans="1:8" x14ac:dyDescent="0.25">
      <c r="A321" s="47">
        <v>40695</v>
      </c>
      <c r="B321" s="213" t="s">
        <v>350</v>
      </c>
      <c r="C321" t="s">
        <v>351</v>
      </c>
      <c r="D321" t="s">
        <v>19</v>
      </c>
      <c r="E321" s="228">
        <v>10</v>
      </c>
      <c r="F321" s="228">
        <v>85</v>
      </c>
      <c r="G321" s="229">
        <v>850</v>
      </c>
      <c r="H321" s="46">
        <v>51</v>
      </c>
    </row>
    <row r="322" spans="1:8" x14ac:dyDescent="0.25">
      <c r="A322" s="47">
        <v>40695</v>
      </c>
      <c r="B322" s="213" t="s">
        <v>344</v>
      </c>
      <c r="C322" t="s">
        <v>345</v>
      </c>
      <c r="D322" t="s">
        <v>19</v>
      </c>
      <c r="E322" s="228">
        <v>5</v>
      </c>
      <c r="F322" s="228">
        <v>165</v>
      </c>
      <c r="G322" s="229">
        <v>825</v>
      </c>
      <c r="H322" s="46">
        <v>51</v>
      </c>
    </row>
    <row r="323" spans="1:8" x14ac:dyDescent="0.25">
      <c r="A323" s="47">
        <v>40696</v>
      </c>
      <c r="B323" s="213" t="s">
        <v>350</v>
      </c>
      <c r="C323" t="s">
        <v>351</v>
      </c>
      <c r="D323" t="s">
        <v>19</v>
      </c>
      <c r="E323" s="228">
        <v>10</v>
      </c>
      <c r="F323" s="228">
        <v>85</v>
      </c>
      <c r="G323" s="229">
        <v>850</v>
      </c>
      <c r="H323" s="46">
        <v>51</v>
      </c>
    </row>
    <row r="324" spans="1:8" x14ac:dyDescent="0.25">
      <c r="A324" s="47">
        <v>40696</v>
      </c>
      <c r="B324" s="213" t="s">
        <v>364</v>
      </c>
      <c r="C324" t="s">
        <v>365</v>
      </c>
      <c r="D324" t="s">
        <v>19</v>
      </c>
      <c r="E324" s="228">
        <v>10</v>
      </c>
      <c r="F324" s="228">
        <v>50</v>
      </c>
      <c r="G324" s="229">
        <v>500</v>
      </c>
      <c r="H324" s="46">
        <v>51</v>
      </c>
    </row>
    <row r="325" spans="1:8" x14ac:dyDescent="0.25">
      <c r="A325" s="47">
        <v>40696</v>
      </c>
      <c r="B325" s="213" t="s">
        <v>350</v>
      </c>
      <c r="C325" t="s">
        <v>371</v>
      </c>
      <c r="D325" t="s">
        <v>19</v>
      </c>
      <c r="E325" s="228">
        <v>10</v>
      </c>
      <c r="F325" s="228">
        <v>85</v>
      </c>
      <c r="G325" s="229">
        <v>850</v>
      </c>
      <c r="H325" s="46">
        <v>51</v>
      </c>
    </row>
    <row r="326" spans="1:8" x14ac:dyDescent="0.25">
      <c r="A326" s="47">
        <v>40696</v>
      </c>
      <c r="B326" s="213" t="s">
        <v>5</v>
      </c>
      <c r="C326" t="s">
        <v>535</v>
      </c>
      <c r="D326" t="s">
        <v>19</v>
      </c>
      <c r="E326" s="228">
        <v>10</v>
      </c>
      <c r="F326" s="228">
        <v>32.200000000000003</v>
      </c>
      <c r="G326" s="229">
        <v>322</v>
      </c>
      <c r="H326" s="46">
        <v>51</v>
      </c>
    </row>
    <row r="327" spans="1:8" x14ac:dyDescent="0.25">
      <c r="A327" s="47">
        <v>40696</v>
      </c>
      <c r="B327" s="213" t="s">
        <v>5</v>
      </c>
      <c r="C327" t="s">
        <v>535</v>
      </c>
      <c r="D327" t="s">
        <v>19</v>
      </c>
      <c r="E327" s="228">
        <v>10</v>
      </c>
      <c r="F327" s="228">
        <v>41.83</v>
      </c>
      <c r="G327" s="229">
        <v>418.3</v>
      </c>
      <c r="H327" s="46">
        <v>51</v>
      </c>
    </row>
    <row r="328" spans="1:8" x14ac:dyDescent="0.25">
      <c r="A328" s="47">
        <v>40696</v>
      </c>
      <c r="B328" s="213" t="s">
        <v>349</v>
      </c>
      <c r="C328" t="s">
        <v>343</v>
      </c>
      <c r="D328" t="s">
        <v>19</v>
      </c>
      <c r="E328" s="228">
        <v>10</v>
      </c>
      <c r="F328" s="228">
        <v>130</v>
      </c>
      <c r="G328" s="229">
        <v>1300</v>
      </c>
      <c r="H328" s="46">
        <v>51</v>
      </c>
    </row>
    <row r="329" spans="1:8" x14ac:dyDescent="0.25">
      <c r="A329" s="47">
        <v>40696</v>
      </c>
      <c r="B329" s="213" t="s">
        <v>374</v>
      </c>
      <c r="C329" t="s">
        <v>375</v>
      </c>
      <c r="D329" t="s">
        <v>19</v>
      </c>
      <c r="E329" s="228">
        <v>1</v>
      </c>
      <c r="F329" s="228">
        <v>255</v>
      </c>
      <c r="G329" s="229">
        <v>255</v>
      </c>
      <c r="H329" s="46">
        <v>51</v>
      </c>
    </row>
    <row r="330" spans="1:8" x14ac:dyDescent="0.25">
      <c r="A330" s="47">
        <v>40696</v>
      </c>
      <c r="B330" s="213" t="s">
        <v>350</v>
      </c>
      <c r="C330" t="s">
        <v>373</v>
      </c>
      <c r="D330" t="s">
        <v>19</v>
      </c>
      <c r="E330" s="228">
        <v>10</v>
      </c>
      <c r="F330" s="228">
        <v>80</v>
      </c>
      <c r="G330" s="229">
        <v>800</v>
      </c>
      <c r="H330" s="46">
        <v>51</v>
      </c>
    </row>
    <row r="331" spans="1:8" x14ac:dyDescent="0.25">
      <c r="A331" s="47">
        <v>40696</v>
      </c>
      <c r="B331" s="213" t="s">
        <v>378</v>
      </c>
      <c r="C331" t="s">
        <v>538</v>
      </c>
      <c r="D331" t="s">
        <v>19</v>
      </c>
      <c r="E331" s="228">
        <v>10</v>
      </c>
      <c r="F331" s="228">
        <v>38</v>
      </c>
      <c r="G331" s="229">
        <v>380</v>
      </c>
      <c r="H331" s="46">
        <v>51</v>
      </c>
    </row>
    <row r="332" spans="1:8" x14ac:dyDescent="0.25">
      <c r="A332" s="47">
        <v>40696</v>
      </c>
      <c r="B332" s="213" t="s">
        <v>372</v>
      </c>
      <c r="C332" t="s">
        <v>367</v>
      </c>
      <c r="D332" t="s">
        <v>57</v>
      </c>
      <c r="E332" s="228">
        <v>1</v>
      </c>
      <c r="F332" s="228">
        <v>365</v>
      </c>
      <c r="G332" s="229">
        <v>365</v>
      </c>
      <c r="H332" s="46">
        <v>51</v>
      </c>
    </row>
    <row r="333" spans="1:8" x14ac:dyDescent="0.25">
      <c r="A333" s="47">
        <v>40696</v>
      </c>
      <c r="B333" s="213" t="s">
        <v>353</v>
      </c>
      <c r="C333" t="s">
        <v>354</v>
      </c>
      <c r="D333" t="s">
        <v>57</v>
      </c>
      <c r="E333" s="228">
        <v>1</v>
      </c>
      <c r="F333" s="228">
        <v>365</v>
      </c>
      <c r="G333" s="229">
        <v>365</v>
      </c>
      <c r="H333" s="46">
        <v>51</v>
      </c>
    </row>
    <row r="334" spans="1:8" x14ac:dyDescent="0.25">
      <c r="A334" s="47">
        <v>40696</v>
      </c>
      <c r="B334" s="213" t="s">
        <v>368</v>
      </c>
      <c r="C334" t="s">
        <v>354</v>
      </c>
      <c r="D334" t="s">
        <v>57</v>
      </c>
      <c r="E334" s="228">
        <v>1</v>
      </c>
      <c r="F334" s="228">
        <v>365</v>
      </c>
      <c r="G334" s="229">
        <v>365</v>
      </c>
      <c r="H334" s="46">
        <v>51</v>
      </c>
    </row>
    <row r="335" spans="1:8" x14ac:dyDescent="0.25">
      <c r="A335" s="47">
        <v>40697</v>
      </c>
      <c r="B335" s="213" t="s">
        <v>350</v>
      </c>
      <c r="C335" t="s">
        <v>351</v>
      </c>
      <c r="D335" t="s">
        <v>19</v>
      </c>
      <c r="E335" s="228">
        <v>10</v>
      </c>
      <c r="F335" s="228">
        <v>85</v>
      </c>
      <c r="G335" s="229">
        <v>850</v>
      </c>
      <c r="H335" s="46">
        <v>51</v>
      </c>
    </row>
    <row r="336" spans="1:8" x14ac:dyDescent="0.25">
      <c r="A336" s="47">
        <v>40697</v>
      </c>
      <c r="B336" s="213" t="s">
        <v>364</v>
      </c>
      <c r="C336" t="s">
        <v>365</v>
      </c>
      <c r="D336" t="s">
        <v>19</v>
      </c>
      <c r="E336" s="228">
        <v>10</v>
      </c>
      <c r="F336" s="228">
        <v>50</v>
      </c>
      <c r="G336" s="229">
        <v>500</v>
      </c>
      <c r="H336" s="46">
        <v>51</v>
      </c>
    </row>
    <row r="337" spans="1:8" x14ac:dyDescent="0.25">
      <c r="A337" s="47">
        <v>40697</v>
      </c>
      <c r="B337" s="213" t="s">
        <v>350</v>
      </c>
      <c r="C337" t="s">
        <v>371</v>
      </c>
      <c r="D337" t="s">
        <v>19</v>
      </c>
      <c r="E337" s="228">
        <v>10</v>
      </c>
      <c r="F337" s="228">
        <v>85</v>
      </c>
      <c r="G337" s="229">
        <v>850</v>
      </c>
      <c r="H337" s="46">
        <v>51</v>
      </c>
    </row>
    <row r="338" spans="1:8" x14ac:dyDescent="0.25">
      <c r="A338" s="47">
        <v>40697</v>
      </c>
      <c r="B338" s="213" t="s">
        <v>5</v>
      </c>
      <c r="C338" t="s">
        <v>535</v>
      </c>
      <c r="D338" t="s">
        <v>19</v>
      </c>
      <c r="E338" s="228">
        <v>10</v>
      </c>
      <c r="F338" s="228">
        <v>32.200000000000003</v>
      </c>
      <c r="G338" s="229">
        <v>322</v>
      </c>
      <c r="H338" s="46">
        <v>51</v>
      </c>
    </row>
    <row r="339" spans="1:8" x14ac:dyDescent="0.25">
      <c r="A339" s="47">
        <v>40697</v>
      </c>
      <c r="B339" s="213" t="s">
        <v>5</v>
      </c>
      <c r="C339" t="s">
        <v>535</v>
      </c>
      <c r="D339" t="s">
        <v>19</v>
      </c>
      <c r="E339" s="228">
        <v>10</v>
      </c>
      <c r="F339" s="228">
        <v>41.83</v>
      </c>
      <c r="G339" s="229">
        <v>418.3</v>
      </c>
      <c r="H339" s="46">
        <v>51</v>
      </c>
    </row>
    <row r="340" spans="1:8" x14ac:dyDescent="0.25">
      <c r="A340" s="47">
        <v>40697</v>
      </c>
      <c r="B340" s="213" t="s">
        <v>349</v>
      </c>
      <c r="C340" t="s">
        <v>343</v>
      </c>
      <c r="D340" t="s">
        <v>19</v>
      </c>
      <c r="E340" s="228">
        <v>10</v>
      </c>
      <c r="F340" s="228">
        <v>130</v>
      </c>
      <c r="G340" s="229">
        <v>1300</v>
      </c>
      <c r="H340" s="46">
        <v>51</v>
      </c>
    </row>
    <row r="341" spans="1:8" x14ac:dyDescent="0.25">
      <c r="A341" s="47">
        <v>40697</v>
      </c>
      <c r="B341" s="213" t="s">
        <v>374</v>
      </c>
      <c r="C341" t="s">
        <v>375</v>
      </c>
      <c r="D341" t="s">
        <v>19</v>
      </c>
      <c r="E341" s="228">
        <v>1</v>
      </c>
      <c r="F341" s="228">
        <v>255</v>
      </c>
      <c r="G341" s="229">
        <v>255</v>
      </c>
      <c r="H341" s="46">
        <v>51</v>
      </c>
    </row>
    <row r="342" spans="1:8" x14ac:dyDescent="0.25">
      <c r="A342" s="47">
        <v>40697</v>
      </c>
      <c r="B342" s="213" t="s">
        <v>350</v>
      </c>
      <c r="C342" t="s">
        <v>373</v>
      </c>
      <c r="D342" t="s">
        <v>19</v>
      </c>
      <c r="E342" s="228">
        <v>7.5</v>
      </c>
      <c r="F342" s="228">
        <v>80</v>
      </c>
      <c r="G342" s="229">
        <v>600</v>
      </c>
      <c r="H342" s="46">
        <v>51</v>
      </c>
    </row>
    <row r="343" spans="1:8" x14ac:dyDescent="0.25">
      <c r="A343" s="47">
        <v>40697</v>
      </c>
      <c r="B343" s="213" t="s">
        <v>378</v>
      </c>
      <c r="C343" t="s">
        <v>538</v>
      </c>
      <c r="D343" t="s">
        <v>19</v>
      </c>
      <c r="E343" s="228">
        <v>10</v>
      </c>
      <c r="F343" s="228">
        <v>38</v>
      </c>
      <c r="G343" s="229">
        <v>380</v>
      </c>
      <c r="H343" s="46">
        <v>51</v>
      </c>
    </row>
    <row r="344" spans="1:8" x14ac:dyDescent="0.25">
      <c r="A344" s="47">
        <v>40697</v>
      </c>
      <c r="B344" s="213" t="s">
        <v>372</v>
      </c>
      <c r="C344" t="s">
        <v>367</v>
      </c>
      <c r="D344" t="s">
        <v>57</v>
      </c>
      <c r="E344" s="228">
        <v>1</v>
      </c>
      <c r="F344" s="228">
        <v>365</v>
      </c>
      <c r="G344" s="229">
        <v>365</v>
      </c>
      <c r="H344" s="46">
        <v>51</v>
      </c>
    </row>
    <row r="345" spans="1:8" x14ac:dyDescent="0.25">
      <c r="A345" s="47">
        <v>40697</v>
      </c>
      <c r="B345" s="213" t="s">
        <v>353</v>
      </c>
      <c r="C345" t="s">
        <v>354</v>
      </c>
      <c r="D345" t="s">
        <v>57</v>
      </c>
      <c r="E345" s="228">
        <v>1</v>
      </c>
      <c r="F345" s="228">
        <v>365</v>
      </c>
      <c r="G345" s="229">
        <v>365</v>
      </c>
      <c r="H345" s="46">
        <v>51</v>
      </c>
    </row>
    <row r="346" spans="1:8" x14ac:dyDescent="0.25">
      <c r="A346" s="47">
        <v>40697</v>
      </c>
      <c r="B346" s="213" t="s">
        <v>368</v>
      </c>
      <c r="C346" t="s">
        <v>354</v>
      </c>
      <c r="D346" t="s">
        <v>57</v>
      </c>
      <c r="E346" s="228">
        <v>1</v>
      </c>
      <c r="F346" s="228">
        <v>365</v>
      </c>
      <c r="G346" s="229">
        <v>365</v>
      </c>
      <c r="H346" s="46">
        <v>51</v>
      </c>
    </row>
    <row r="347" spans="1:8" x14ac:dyDescent="0.25">
      <c r="A347" s="47">
        <v>40698</v>
      </c>
      <c r="B347" s="213" t="s">
        <v>353</v>
      </c>
      <c r="C347" t="s">
        <v>354</v>
      </c>
      <c r="D347" t="s">
        <v>57</v>
      </c>
      <c r="E347" s="228">
        <v>1</v>
      </c>
      <c r="F347" s="228">
        <v>365</v>
      </c>
      <c r="G347" s="229">
        <v>365</v>
      </c>
      <c r="H347" s="46">
        <v>51</v>
      </c>
    </row>
    <row r="348" spans="1:8" x14ac:dyDescent="0.25">
      <c r="A348" s="47">
        <v>40698</v>
      </c>
      <c r="B348" s="213" t="s">
        <v>372</v>
      </c>
      <c r="C348" t="s">
        <v>367</v>
      </c>
      <c r="D348" t="s">
        <v>57</v>
      </c>
      <c r="E348" s="228">
        <v>1</v>
      </c>
      <c r="F348" s="228">
        <v>365</v>
      </c>
      <c r="G348" s="229">
        <v>365</v>
      </c>
      <c r="H348" s="46">
        <v>51</v>
      </c>
    </row>
    <row r="349" spans="1:8" x14ac:dyDescent="0.25">
      <c r="A349" s="47">
        <v>40698</v>
      </c>
      <c r="B349" s="213" t="s">
        <v>368</v>
      </c>
      <c r="C349" t="s">
        <v>354</v>
      </c>
      <c r="D349" t="s">
        <v>57</v>
      </c>
      <c r="E349" s="228">
        <v>1</v>
      </c>
      <c r="F349" s="228">
        <v>365</v>
      </c>
      <c r="G349" s="229">
        <v>365</v>
      </c>
      <c r="H349" s="46">
        <v>51</v>
      </c>
    </row>
    <row r="350" spans="1:8" x14ac:dyDescent="0.25">
      <c r="A350" s="47">
        <v>40698</v>
      </c>
      <c r="B350" s="213" t="s">
        <v>378</v>
      </c>
      <c r="C350" t="s">
        <v>538</v>
      </c>
      <c r="D350" t="s">
        <v>19</v>
      </c>
      <c r="E350" s="228">
        <v>8</v>
      </c>
      <c r="F350" s="228">
        <v>38</v>
      </c>
      <c r="G350" s="229">
        <v>304</v>
      </c>
      <c r="H350" s="46">
        <v>51</v>
      </c>
    </row>
    <row r="351" spans="1:8" x14ac:dyDescent="0.25">
      <c r="A351" s="47">
        <v>40698</v>
      </c>
      <c r="B351" s="213" t="s">
        <v>350</v>
      </c>
      <c r="C351" t="s">
        <v>373</v>
      </c>
      <c r="D351" t="s">
        <v>19</v>
      </c>
      <c r="E351" s="228">
        <v>8</v>
      </c>
      <c r="F351" s="228">
        <v>80</v>
      </c>
      <c r="G351" s="229">
        <v>640</v>
      </c>
      <c r="H351" s="46">
        <v>51</v>
      </c>
    </row>
    <row r="352" spans="1:8" x14ac:dyDescent="0.25">
      <c r="A352" s="47">
        <v>40698</v>
      </c>
      <c r="B352" s="213" t="s">
        <v>349</v>
      </c>
      <c r="C352" t="s">
        <v>343</v>
      </c>
      <c r="D352" t="s">
        <v>19</v>
      </c>
      <c r="E352" s="228">
        <v>8</v>
      </c>
      <c r="F352" s="228">
        <v>130</v>
      </c>
      <c r="G352" s="229">
        <v>1040</v>
      </c>
      <c r="H352" s="46">
        <v>51</v>
      </c>
    </row>
    <row r="353" spans="1:8" x14ac:dyDescent="0.25">
      <c r="A353" s="47">
        <v>40698</v>
      </c>
      <c r="B353" s="213" t="s">
        <v>5</v>
      </c>
      <c r="C353" t="s">
        <v>535</v>
      </c>
      <c r="D353" t="s">
        <v>19</v>
      </c>
      <c r="E353" s="228">
        <v>8</v>
      </c>
      <c r="F353" s="228">
        <v>41.83</v>
      </c>
      <c r="G353" s="229">
        <v>334.64</v>
      </c>
      <c r="H353" s="46">
        <v>51</v>
      </c>
    </row>
    <row r="354" spans="1:8" x14ac:dyDescent="0.25">
      <c r="A354" s="47">
        <v>40698</v>
      </c>
      <c r="B354" s="213" t="s">
        <v>350</v>
      </c>
      <c r="C354" t="s">
        <v>351</v>
      </c>
      <c r="D354" t="s">
        <v>19</v>
      </c>
      <c r="E354" s="228">
        <v>8</v>
      </c>
      <c r="F354" s="228">
        <v>85</v>
      </c>
      <c r="G354" s="229">
        <v>680</v>
      </c>
      <c r="H354" s="46">
        <v>51</v>
      </c>
    </row>
    <row r="355" spans="1:8" x14ac:dyDescent="0.25">
      <c r="A355" s="47">
        <v>40698</v>
      </c>
      <c r="B355" s="213" t="s">
        <v>350</v>
      </c>
      <c r="C355" t="s">
        <v>371</v>
      </c>
      <c r="D355" t="s">
        <v>19</v>
      </c>
      <c r="E355" s="228">
        <v>8</v>
      </c>
      <c r="F355" s="228">
        <v>85</v>
      </c>
      <c r="G355" s="229">
        <v>680</v>
      </c>
      <c r="H355" s="46">
        <v>51</v>
      </c>
    </row>
    <row r="356" spans="1:8" x14ac:dyDescent="0.25">
      <c r="A356" s="47">
        <v>40698</v>
      </c>
      <c r="B356" s="213" t="s">
        <v>364</v>
      </c>
      <c r="C356" t="s">
        <v>365</v>
      </c>
      <c r="D356" t="s">
        <v>19</v>
      </c>
      <c r="E356" s="228">
        <v>8</v>
      </c>
      <c r="F356" s="228">
        <v>50</v>
      </c>
      <c r="G356" s="229">
        <v>400</v>
      </c>
      <c r="H356" s="46">
        <v>51</v>
      </c>
    </row>
    <row r="357" spans="1:8" x14ac:dyDescent="0.25">
      <c r="A357" s="47">
        <v>40700</v>
      </c>
      <c r="B357" s="213" t="s">
        <v>363</v>
      </c>
      <c r="C357" t="s">
        <v>536</v>
      </c>
      <c r="D357" t="s">
        <v>19</v>
      </c>
      <c r="E357" s="228">
        <v>4</v>
      </c>
      <c r="F357" s="228">
        <v>43.4</v>
      </c>
      <c r="G357" s="229">
        <v>173.6</v>
      </c>
      <c r="H357" s="46">
        <v>51</v>
      </c>
    </row>
    <row r="358" spans="1:8" x14ac:dyDescent="0.25">
      <c r="A358" s="47">
        <v>40700</v>
      </c>
      <c r="B358" s="213" t="s">
        <v>349</v>
      </c>
      <c r="C358" t="s">
        <v>343</v>
      </c>
      <c r="D358" t="s">
        <v>19</v>
      </c>
      <c r="E358" s="228">
        <v>10</v>
      </c>
      <c r="F358" s="228">
        <v>130</v>
      </c>
      <c r="G358" s="229">
        <v>1300</v>
      </c>
      <c r="H358" s="46">
        <v>51</v>
      </c>
    </row>
    <row r="359" spans="1:8" x14ac:dyDescent="0.25">
      <c r="A359" s="47">
        <v>40700</v>
      </c>
      <c r="B359" s="213" t="s">
        <v>350</v>
      </c>
      <c r="C359" t="s">
        <v>351</v>
      </c>
      <c r="D359" t="s">
        <v>19</v>
      </c>
      <c r="E359" s="228">
        <v>10</v>
      </c>
      <c r="F359" s="228">
        <v>85</v>
      </c>
      <c r="G359" s="229">
        <v>850</v>
      </c>
      <c r="H359" s="46">
        <v>51</v>
      </c>
    </row>
    <row r="360" spans="1:8" x14ac:dyDescent="0.25">
      <c r="A360" s="47">
        <v>40700</v>
      </c>
      <c r="B360" s="213" t="s">
        <v>378</v>
      </c>
      <c r="C360" t="s">
        <v>538</v>
      </c>
      <c r="D360" t="s">
        <v>19</v>
      </c>
      <c r="E360" s="228">
        <v>10</v>
      </c>
      <c r="F360" s="228">
        <v>38</v>
      </c>
      <c r="G360" s="229">
        <v>380</v>
      </c>
      <c r="H360" s="46">
        <v>51</v>
      </c>
    </row>
    <row r="361" spans="1:8" x14ac:dyDescent="0.25">
      <c r="A361" s="47">
        <v>40700</v>
      </c>
      <c r="B361" s="213" t="s">
        <v>350</v>
      </c>
      <c r="C361" t="s">
        <v>373</v>
      </c>
      <c r="D361" t="s">
        <v>19</v>
      </c>
      <c r="E361" s="228">
        <v>10</v>
      </c>
      <c r="F361" s="228">
        <v>80</v>
      </c>
      <c r="G361" s="229">
        <v>800</v>
      </c>
      <c r="H361" s="46">
        <v>51</v>
      </c>
    </row>
    <row r="362" spans="1:8" x14ac:dyDescent="0.25">
      <c r="A362" s="47">
        <v>40700</v>
      </c>
      <c r="B362" s="213" t="s">
        <v>350</v>
      </c>
      <c r="C362" t="s">
        <v>371</v>
      </c>
      <c r="D362" t="s">
        <v>19</v>
      </c>
      <c r="E362" s="228">
        <v>10</v>
      </c>
      <c r="F362" s="228">
        <v>85</v>
      </c>
      <c r="G362" s="229">
        <v>850</v>
      </c>
      <c r="H362" s="46">
        <v>51</v>
      </c>
    </row>
    <row r="363" spans="1:8" x14ac:dyDescent="0.25">
      <c r="A363" s="47">
        <v>40700</v>
      </c>
      <c r="B363" s="213" t="s">
        <v>379</v>
      </c>
      <c r="C363" t="s">
        <v>375</v>
      </c>
      <c r="D363" t="s">
        <v>19</v>
      </c>
      <c r="E363" s="228">
        <v>1</v>
      </c>
      <c r="F363" s="228">
        <v>255</v>
      </c>
      <c r="G363" s="229">
        <v>255</v>
      </c>
      <c r="H363" s="46">
        <v>51</v>
      </c>
    </row>
    <row r="364" spans="1:8" x14ac:dyDescent="0.25">
      <c r="A364" s="47">
        <v>40700</v>
      </c>
      <c r="B364" s="213" t="s">
        <v>372</v>
      </c>
      <c r="C364" t="s">
        <v>367</v>
      </c>
      <c r="D364" t="s">
        <v>57</v>
      </c>
      <c r="E364" s="228">
        <v>1</v>
      </c>
      <c r="F364" s="228">
        <v>365</v>
      </c>
      <c r="G364" s="229">
        <v>365</v>
      </c>
      <c r="H364" s="46">
        <v>51</v>
      </c>
    </row>
    <row r="365" spans="1:8" x14ac:dyDescent="0.25">
      <c r="A365" s="47">
        <v>40700</v>
      </c>
      <c r="B365" s="213" t="s">
        <v>359</v>
      </c>
      <c r="C365" t="s">
        <v>535</v>
      </c>
      <c r="D365" t="s">
        <v>19</v>
      </c>
      <c r="E365" s="228">
        <v>10</v>
      </c>
      <c r="F365" s="228">
        <v>41.83</v>
      </c>
      <c r="G365" s="229">
        <v>418.3</v>
      </c>
      <c r="H365" s="46">
        <v>51</v>
      </c>
    </row>
    <row r="366" spans="1:8" x14ac:dyDescent="0.25">
      <c r="A366" s="47">
        <v>40700</v>
      </c>
      <c r="B366" s="213" t="s">
        <v>5</v>
      </c>
      <c r="C366" t="s">
        <v>535</v>
      </c>
      <c r="D366" t="s">
        <v>19</v>
      </c>
      <c r="E366" s="228">
        <v>1</v>
      </c>
      <c r="F366" s="228">
        <v>32.200000000000003</v>
      </c>
      <c r="G366" s="229">
        <v>32.200000000000003</v>
      </c>
      <c r="H366" s="46">
        <v>51</v>
      </c>
    </row>
    <row r="367" spans="1:8" x14ac:dyDescent="0.25">
      <c r="A367" s="47">
        <v>40700</v>
      </c>
      <c r="B367" s="213" t="s">
        <v>364</v>
      </c>
      <c r="C367" t="s">
        <v>365</v>
      </c>
      <c r="D367" t="s">
        <v>19</v>
      </c>
      <c r="E367" s="228">
        <v>10</v>
      </c>
      <c r="F367" s="228">
        <v>50</v>
      </c>
      <c r="G367" s="229">
        <v>500</v>
      </c>
      <c r="H367" s="46">
        <v>51</v>
      </c>
    </row>
    <row r="368" spans="1:8" x14ac:dyDescent="0.25">
      <c r="A368" s="47">
        <v>40700</v>
      </c>
      <c r="B368" s="213" t="s">
        <v>368</v>
      </c>
      <c r="C368" t="s">
        <v>354</v>
      </c>
      <c r="D368" t="s">
        <v>57</v>
      </c>
      <c r="E368" s="228">
        <v>1</v>
      </c>
      <c r="F368" s="228">
        <v>365</v>
      </c>
      <c r="G368" s="229">
        <v>365</v>
      </c>
      <c r="H368" s="46">
        <v>51</v>
      </c>
    </row>
    <row r="369" spans="1:8" x14ac:dyDescent="0.25">
      <c r="A369" s="47">
        <v>40700</v>
      </c>
      <c r="B369" s="213" t="s">
        <v>353</v>
      </c>
      <c r="C369" t="s">
        <v>354</v>
      </c>
      <c r="D369" t="s">
        <v>57</v>
      </c>
      <c r="E369" s="228">
        <v>1</v>
      </c>
      <c r="F369" s="228">
        <v>283.5</v>
      </c>
      <c r="G369" s="229">
        <v>283.5</v>
      </c>
      <c r="H369" s="46">
        <v>51</v>
      </c>
    </row>
    <row r="370" spans="1:8" x14ac:dyDescent="0.25">
      <c r="A370" s="47">
        <v>40701</v>
      </c>
      <c r="B370" s="213" t="s">
        <v>364</v>
      </c>
      <c r="C370" t="s">
        <v>365</v>
      </c>
      <c r="D370" t="s">
        <v>19</v>
      </c>
      <c r="E370" s="228">
        <v>10</v>
      </c>
      <c r="F370" s="228">
        <v>50</v>
      </c>
      <c r="G370" s="229">
        <v>500</v>
      </c>
      <c r="H370" s="46">
        <v>51</v>
      </c>
    </row>
    <row r="371" spans="1:8" x14ac:dyDescent="0.25">
      <c r="A371" s="47">
        <v>40701</v>
      </c>
      <c r="B371" s="213" t="s">
        <v>5</v>
      </c>
      <c r="C371" t="s">
        <v>536</v>
      </c>
      <c r="D371" t="s">
        <v>19</v>
      </c>
      <c r="E371" s="228">
        <v>10</v>
      </c>
      <c r="F371" s="228">
        <v>32.200000000000003</v>
      </c>
      <c r="G371" s="229">
        <v>322</v>
      </c>
      <c r="H371" s="46">
        <v>51</v>
      </c>
    </row>
    <row r="372" spans="1:8" x14ac:dyDescent="0.25">
      <c r="A372" s="47">
        <v>40701</v>
      </c>
      <c r="B372" s="213" t="s">
        <v>379</v>
      </c>
      <c r="C372" t="s">
        <v>375</v>
      </c>
      <c r="D372" t="s">
        <v>19</v>
      </c>
      <c r="E372" s="228">
        <v>1</v>
      </c>
      <c r="F372" s="228">
        <v>255</v>
      </c>
      <c r="G372" s="229">
        <v>255</v>
      </c>
      <c r="H372" s="46">
        <v>51</v>
      </c>
    </row>
    <row r="373" spans="1:8" x14ac:dyDescent="0.25">
      <c r="A373" s="47">
        <v>40701</v>
      </c>
      <c r="B373" s="213" t="s">
        <v>368</v>
      </c>
      <c r="C373" t="s">
        <v>354</v>
      </c>
      <c r="D373" t="s">
        <v>57</v>
      </c>
      <c r="E373" s="228">
        <v>1</v>
      </c>
      <c r="F373" s="228">
        <v>365</v>
      </c>
      <c r="G373" s="229">
        <v>365</v>
      </c>
      <c r="H373" s="46">
        <v>51</v>
      </c>
    </row>
    <row r="374" spans="1:8" x14ac:dyDescent="0.25">
      <c r="A374" s="47">
        <v>40701</v>
      </c>
      <c r="B374" s="213" t="s">
        <v>359</v>
      </c>
      <c r="C374" t="s">
        <v>535</v>
      </c>
      <c r="D374" t="s">
        <v>19</v>
      </c>
      <c r="E374" s="228">
        <v>10</v>
      </c>
      <c r="F374" s="228">
        <v>41.83</v>
      </c>
      <c r="G374" s="229">
        <v>418.3</v>
      </c>
      <c r="H374" s="46">
        <v>51</v>
      </c>
    </row>
    <row r="375" spans="1:8" x14ac:dyDescent="0.25">
      <c r="A375" s="47">
        <v>40701</v>
      </c>
      <c r="B375" s="213" t="s">
        <v>372</v>
      </c>
      <c r="C375" t="s">
        <v>367</v>
      </c>
      <c r="D375" t="s">
        <v>57</v>
      </c>
      <c r="E375" s="228">
        <v>1</v>
      </c>
      <c r="F375" s="228">
        <v>365</v>
      </c>
      <c r="G375" s="229">
        <v>365</v>
      </c>
      <c r="H375" s="46">
        <v>51</v>
      </c>
    </row>
    <row r="376" spans="1:8" x14ac:dyDescent="0.25">
      <c r="A376" s="47">
        <v>40701</v>
      </c>
      <c r="B376" s="213" t="s">
        <v>353</v>
      </c>
      <c r="C376" t="s">
        <v>354</v>
      </c>
      <c r="D376" t="s">
        <v>57</v>
      </c>
      <c r="E376" s="228">
        <v>1</v>
      </c>
      <c r="F376" s="228">
        <v>283.5</v>
      </c>
      <c r="G376" s="229">
        <v>283.5</v>
      </c>
      <c r="H376" s="46">
        <v>51</v>
      </c>
    </row>
    <row r="377" spans="1:8" x14ac:dyDescent="0.25">
      <c r="A377" s="47">
        <v>40701</v>
      </c>
      <c r="B377" s="213" t="s">
        <v>350</v>
      </c>
      <c r="C377" t="s">
        <v>351</v>
      </c>
      <c r="D377" t="s">
        <v>19</v>
      </c>
      <c r="E377" s="228">
        <v>10</v>
      </c>
      <c r="F377" s="228">
        <v>85</v>
      </c>
      <c r="G377" s="229">
        <v>850</v>
      </c>
      <c r="H377" s="46">
        <v>51</v>
      </c>
    </row>
    <row r="378" spans="1:8" x14ac:dyDescent="0.25">
      <c r="A378" s="47">
        <v>40701</v>
      </c>
      <c r="B378" s="213" t="s">
        <v>363</v>
      </c>
      <c r="C378" t="s">
        <v>536</v>
      </c>
      <c r="D378" t="s">
        <v>19</v>
      </c>
      <c r="E378" s="228">
        <v>10</v>
      </c>
      <c r="F378" s="228">
        <v>43.4</v>
      </c>
      <c r="G378" s="229">
        <v>434</v>
      </c>
      <c r="H378" s="46">
        <v>51</v>
      </c>
    </row>
    <row r="379" spans="1:8" x14ac:dyDescent="0.25">
      <c r="A379" s="47">
        <v>40701</v>
      </c>
      <c r="B379" s="213" t="s">
        <v>349</v>
      </c>
      <c r="C379" t="s">
        <v>343</v>
      </c>
      <c r="D379" t="s">
        <v>19</v>
      </c>
      <c r="E379" s="228">
        <v>10</v>
      </c>
      <c r="F379" s="228">
        <v>130</v>
      </c>
      <c r="G379" s="229">
        <v>1300</v>
      </c>
      <c r="H379" s="46">
        <v>51</v>
      </c>
    </row>
    <row r="380" spans="1:8" x14ac:dyDescent="0.25">
      <c r="A380" s="47">
        <v>40701</v>
      </c>
      <c r="B380" s="213" t="s">
        <v>380</v>
      </c>
      <c r="C380" t="s">
        <v>373</v>
      </c>
      <c r="D380" t="s">
        <v>19</v>
      </c>
      <c r="E380" s="228">
        <v>20</v>
      </c>
      <c r="F380" s="228">
        <v>80</v>
      </c>
      <c r="G380" s="229">
        <v>1600</v>
      </c>
      <c r="H380" s="46">
        <v>51</v>
      </c>
    </row>
    <row r="381" spans="1:8" x14ac:dyDescent="0.25">
      <c r="A381" s="47">
        <v>40701</v>
      </c>
      <c r="B381" s="213" t="s">
        <v>350</v>
      </c>
      <c r="C381" t="s">
        <v>371</v>
      </c>
      <c r="D381" t="s">
        <v>19</v>
      </c>
      <c r="E381" s="228">
        <v>10</v>
      </c>
      <c r="F381" s="228">
        <v>85</v>
      </c>
      <c r="G381" s="229">
        <v>850</v>
      </c>
      <c r="H381" s="46">
        <v>51</v>
      </c>
    </row>
    <row r="382" spans="1:8" x14ac:dyDescent="0.25">
      <c r="A382" s="47">
        <v>40701</v>
      </c>
      <c r="B382" s="213" t="s">
        <v>378</v>
      </c>
      <c r="C382" t="s">
        <v>538</v>
      </c>
      <c r="D382" t="s">
        <v>19</v>
      </c>
      <c r="E382" s="228">
        <v>10</v>
      </c>
      <c r="F382" s="228">
        <v>38</v>
      </c>
      <c r="G382" s="229">
        <v>380</v>
      </c>
      <c r="H382" s="46">
        <v>51</v>
      </c>
    </row>
    <row r="383" spans="1:8" x14ac:dyDescent="0.25">
      <c r="A383" s="47">
        <v>40701</v>
      </c>
      <c r="B383" s="213" t="s">
        <v>5</v>
      </c>
      <c r="C383" t="s">
        <v>535</v>
      </c>
      <c r="D383" t="s">
        <v>19</v>
      </c>
      <c r="E383" s="228">
        <v>1</v>
      </c>
      <c r="F383" s="228">
        <v>32.200000000000003</v>
      </c>
      <c r="G383" s="229">
        <v>32.200000000000003</v>
      </c>
      <c r="H383" s="46">
        <v>51</v>
      </c>
    </row>
    <row r="384" spans="1:8" x14ac:dyDescent="0.25">
      <c r="A384" s="47">
        <v>40702</v>
      </c>
      <c r="B384" s="213" t="s">
        <v>349</v>
      </c>
      <c r="C384" t="s">
        <v>343</v>
      </c>
      <c r="D384" t="s">
        <v>19</v>
      </c>
      <c r="E384" s="228">
        <v>10</v>
      </c>
      <c r="F384" s="228">
        <v>130</v>
      </c>
      <c r="G384" s="229">
        <v>1300</v>
      </c>
      <c r="H384" s="46">
        <v>51</v>
      </c>
    </row>
    <row r="385" spans="1:8" x14ac:dyDescent="0.25">
      <c r="A385" s="47">
        <v>40702</v>
      </c>
      <c r="B385" s="213" t="s">
        <v>350</v>
      </c>
      <c r="C385" t="s">
        <v>351</v>
      </c>
      <c r="D385" t="s">
        <v>19</v>
      </c>
      <c r="E385" s="228">
        <v>10</v>
      </c>
      <c r="F385" s="228">
        <v>85</v>
      </c>
      <c r="G385" s="229">
        <v>850</v>
      </c>
      <c r="H385" s="46">
        <v>51</v>
      </c>
    </row>
    <row r="386" spans="1:8" x14ac:dyDescent="0.25">
      <c r="A386" s="47">
        <v>40702</v>
      </c>
      <c r="B386" s="213" t="s">
        <v>344</v>
      </c>
      <c r="C386" t="s">
        <v>345</v>
      </c>
      <c r="D386" t="s">
        <v>19</v>
      </c>
      <c r="E386" s="228">
        <v>10</v>
      </c>
      <c r="F386" s="228">
        <v>165</v>
      </c>
      <c r="G386" s="229">
        <v>1650</v>
      </c>
      <c r="H386" s="46">
        <v>51</v>
      </c>
    </row>
    <row r="387" spans="1:8" x14ac:dyDescent="0.25">
      <c r="A387" s="47">
        <v>40702</v>
      </c>
      <c r="B387" s="213" t="s">
        <v>376</v>
      </c>
      <c r="C387" t="s">
        <v>377</v>
      </c>
      <c r="D387" t="s">
        <v>19</v>
      </c>
      <c r="E387" s="228">
        <v>10</v>
      </c>
      <c r="F387" s="228">
        <v>145</v>
      </c>
      <c r="G387" s="229">
        <v>1450</v>
      </c>
      <c r="H387" s="46">
        <v>51</v>
      </c>
    </row>
    <row r="388" spans="1:8" x14ac:dyDescent="0.25">
      <c r="A388" s="47">
        <v>40702</v>
      </c>
      <c r="B388" s="213" t="s">
        <v>363</v>
      </c>
      <c r="C388" t="s">
        <v>536</v>
      </c>
      <c r="D388" t="s">
        <v>19</v>
      </c>
      <c r="E388" s="228">
        <v>10</v>
      </c>
      <c r="F388" s="228">
        <v>43.4</v>
      </c>
      <c r="G388" s="229">
        <v>434</v>
      </c>
      <c r="H388" s="46">
        <v>51</v>
      </c>
    </row>
    <row r="389" spans="1:8" x14ac:dyDescent="0.25">
      <c r="A389" s="47">
        <v>40702</v>
      </c>
      <c r="B389" s="213" t="s">
        <v>350</v>
      </c>
      <c r="C389" t="s">
        <v>371</v>
      </c>
      <c r="D389" t="s">
        <v>19</v>
      </c>
      <c r="E389" s="228">
        <v>10</v>
      </c>
      <c r="F389" s="228">
        <v>85</v>
      </c>
      <c r="G389" s="229">
        <v>850</v>
      </c>
      <c r="H389" s="46">
        <v>51</v>
      </c>
    </row>
    <row r="390" spans="1:8" x14ac:dyDescent="0.25">
      <c r="A390" s="47">
        <v>40702</v>
      </c>
      <c r="B390" s="213" t="s">
        <v>379</v>
      </c>
      <c r="C390" t="s">
        <v>375</v>
      </c>
      <c r="D390" t="s">
        <v>19</v>
      </c>
      <c r="E390" s="228">
        <v>1</v>
      </c>
      <c r="F390" s="228">
        <v>255</v>
      </c>
      <c r="G390" s="229">
        <v>255</v>
      </c>
      <c r="H390" s="46">
        <v>51</v>
      </c>
    </row>
    <row r="391" spans="1:8" x14ac:dyDescent="0.25">
      <c r="A391" s="47">
        <v>40702</v>
      </c>
      <c r="B391" s="213" t="s">
        <v>5</v>
      </c>
      <c r="C391" t="s">
        <v>535</v>
      </c>
      <c r="D391" t="s">
        <v>19</v>
      </c>
      <c r="E391" s="228">
        <v>10</v>
      </c>
      <c r="F391" s="228">
        <v>32.200000000000003</v>
      </c>
      <c r="G391" s="229">
        <v>322</v>
      </c>
      <c r="H391" s="46">
        <v>51</v>
      </c>
    </row>
    <row r="392" spans="1:8" x14ac:dyDescent="0.25">
      <c r="A392" s="47">
        <v>40702</v>
      </c>
      <c r="B392" s="213" t="s">
        <v>359</v>
      </c>
      <c r="C392" t="s">
        <v>535</v>
      </c>
      <c r="D392" t="s">
        <v>19</v>
      </c>
      <c r="E392" s="228">
        <v>10</v>
      </c>
      <c r="F392" s="228">
        <v>41.83</v>
      </c>
      <c r="G392" s="229">
        <v>418.3</v>
      </c>
      <c r="H392" s="46">
        <v>51</v>
      </c>
    </row>
    <row r="393" spans="1:8" x14ac:dyDescent="0.25">
      <c r="A393" s="47">
        <v>40702</v>
      </c>
      <c r="B393" s="213" t="s">
        <v>5</v>
      </c>
      <c r="C393" t="s">
        <v>536</v>
      </c>
      <c r="D393" t="s">
        <v>19</v>
      </c>
      <c r="E393" s="228">
        <v>10</v>
      </c>
      <c r="F393" s="228">
        <v>32.200000000000003</v>
      </c>
      <c r="G393" s="229">
        <v>322</v>
      </c>
      <c r="H393" s="46">
        <v>51</v>
      </c>
    </row>
    <row r="394" spans="1:8" x14ac:dyDescent="0.25">
      <c r="A394" s="47">
        <v>40702</v>
      </c>
      <c r="B394" s="213" t="s">
        <v>372</v>
      </c>
      <c r="C394" t="s">
        <v>367</v>
      </c>
      <c r="D394" t="s">
        <v>57</v>
      </c>
      <c r="E394" s="228">
        <v>1</v>
      </c>
      <c r="F394" s="228">
        <v>365</v>
      </c>
      <c r="G394" s="229">
        <v>365</v>
      </c>
      <c r="H394" s="46">
        <v>51</v>
      </c>
    </row>
    <row r="395" spans="1:8" x14ac:dyDescent="0.25">
      <c r="A395" s="47">
        <v>40702</v>
      </c>
      <c r="B395" s="213" t="s">
        <v>364</v>
      </c>
      <c r="C395" t="s">
        <v>365</v>
      </c>
      <c r="D395" t="s">
        <v>19</v>
      </c>
      <c r="E395" s="228">
        <v>10</v>
      </c>
      <c r="F395" s="228">
        <v>50</v>
      </c>
      <c r="G395" s="229">
        <v>500</v>
      </c>
      <c r="H395" s="46">
        <v>51</v>
      </c>
    </row>
    <row r="396" spans="1:8" x14ac:dyDescent="0.25">
      <c r="A396" s="47">
        <v>40702</v>
      </c>
      <c r="B396" s="213" t="s">
        <v>368</v>
      </c>
      <c r="C396" t="s">
        <v>354</v>
      </c>
      <c r="D396" t="s">
        <v>57</v>
      </c>
      <c r="E396" s="228">
        <v>1</v>
      </c>
      <c r="F396" s="228">
        <v>365</v>
      </c>
      <c r="G396" s="229">
        <v>365</v>
      </c>
      <c r="H396" s="46">
        <v>51</v>
      </c>
    </row>
    <row r="397" spans="1:8" x14ac:dyDescent="0.25">
      <c r="A397" s="47">
        <v>40702</v>
      </c>
      <c r="B397" s="213" t="s">
        <v>353</v>
      </c>
      <c r="C397" t="s">
        <v>354</v>
      </c>
      <c r="D397" t="s">
        <v>57</v>
      </c>
      <c r="E397" s="228">
        <v>1</v>
      </c>
      <c r="F397" s="228">
        <v>283.5</v>
      </c>
      <c r="G397" s="229">
        <v>283.5</v>
      </c>
      <c r="H397" s="46">
        <v>51</v>
      </c>
    </row>
    <row r="398" spans="1:8" x14ac:dyDescent="0.25">
      <c r="A398" s="47">
        <v>40702</v>
      </c>
      <c r="B398" s="213" t="s">
        <v>380</v>
      </c>
      <c r="C398" t="s">
        <v>373</v>
      </c>
      <c r="D398" t="s">
        <v>19</v>
      </c>
      <c r="E398" s="228">
        <v>13</v>
      </c>
      <c r="F398" s="228">
        <v>80</v>
      </c>
      <c r="G398" s="229">
        <v>1040</v>
      </c>
      <c r="H398" s="46">
        <v>51</v>
      </c>
    </row>
    <row r="399" spans="1:8" x14ac:dyDescent="0.25">
      <c r="A399" s="47">
        <v>40702</v>
      </c>
      <c r="B399" s="213" t="s">
        <v>378</v>
      </c>
      <c r="C399" t="s">
        <v>538</v>
      </c>
      <c r="D399" t="s">
        <v>19</v>
      </c>
      <c r="E399" s="228">
        <v>10</v>
      </c>
      <c r="F399" s="228">
        <v>38</v>
      </c>
      <c r="G399" s="229">
        <v>380</v>
      </c>
      <c r="H399" s="46">
        <v>51</v>
      </c>
    </row>
    <row r="400" spans="1:8" x14ac:dyDescent="0.25">
      <c r="A400" s="47">
        <v>40703</v>
      </c>
      <c r="B400" s="213" t="s">
        <v>372</v>
      </c>
      <c r="C400" t="s">
        <v>367</v>
      </c>
      <c r="D400" t="s">
        <v>57</v>
      </c>
      <c r="E400" s="228">
        <v>1</v>
      </c>
      <c r="F400" s="228">
        <v>365</v>
      </c>
      <c r="G400" s="229">
        <v>365</v>
      </c>
      <c r="H400" s="46">
        <v>51</v>
      </c>
    </row>
    <row r="401" spans="1:8" x14ac:dyDescent="0.25">
      <c r="A401" s="47">
        <v>40703</v>
      </c>
      <c r="B401" s="213" t="s">
        <v>364</v>
      </c>
      <c r="C401" t="s">
        <v>365</v>
      </c>
      <c r="D401" t="s">
        <v>19</v>
      </c>
      <c r="E401" s="228">
        <v>10</v>
      </c>
      <c r="F401" s="228">
        <v>50</v>
      </c>
      <c r="G401" s="229">
        <v>500</v>
      </c>
      <c r="H401" s="46">
        <v>51</v>
      </c>
    </row>
    <row r="402" spans="1:8" x14ac:dyDescent="0.25">
      <c r="A402" s="47">
        <v>40703</v>
      </c>
      <c r="B402" s="213" t="s">
        <v>346</v>
      </c>
      <c r="C402" t="s">
        <v>535</v>
      </c>
      <c r="D402" t="s">
        <v>19</v>
      </c>
      <c r="E402" s="228">
        <v>12</v>
      </c>
      <c r="F402" s="228">
        <v>39.18</v>
      </c>
      <c r="G402" s="229">
        <v>470.16</v>
      </c>
      <c r="H402" s="46">
        <v>51</v>
      </c>
    </row>
    <row r="403" spans="1:8" x14ac:dyDescent="0.25">
      <c r="A403" s="47">
        <v>40703</v>
      </c>
      <c r="B403" s="213" t="s">
        <v>349</v>
      </c>
      <c r="C403" t="s">
        <v>343</v>
      </c>
      <c r="D403" t="s">
        <v>19</v>
      </c>
      <c r="E403" s="228">
        <v>10</v>
      </c>
      <c r="F403" s="228">
        <v>130</v>
      </c>
      <c r="G403" s="229">
        <v>1300</v>
      </c>
      <c r="H403" s="46">
        <v>51</v>
      </c>
    </row>
    <row r="404" spans="1:8" x14ac:dyDescent="0.25">
      <c r="A404" s="47">
        <v>40703</v>
      </c>
      <c r="B404" s="213" t="s">
        <v>368</v>
      </c>
      <c r="C404" t="s">
        <v>354</v>
      </c>
      <c r="D404" t="s">
        <v>57</v>
      </c>
      <c r="E404" s="228">
        <v>1</v>
      </c>
      <c r="F404" s="228">
        <v>365</v>
      </c>
      <c r="G404" s="229">
        <v>365</v>
      </c>
      <c r="H404" s="46">
        <v>51</v>
      </c>
    </row>
    <row r="405" spans="1:8" x14ac:dyDescent="0.25">
      <c r="A405" s="47">
        <v>40703</v>
      </c>
      <c r="B405" s="213" t="s">
        <v>378</v>
      </c>
      <c r="C405" t="s">
        <v>538</v>
      </c>
      <c r="D405" t="s">
        <v>19</v>
      </c>
      <c r="E405" s="228">
        <v>10</v>
      </c>
      <c r="F405" s="228">
        <v>38</v>
      </c>
      <c r="G405" s="229">
        <v>380</v>
      </c>
      <c r="H405" s="46">
        <v>51</v>
      </c>
    </row>
    <row r="406" spans="1:8" x14ac:dyDescent="0.25">
      <c r="A406" s="47">
        <v>40703</v>
      </c>
      <c r="B406" s="213" t="s">
        <v>350</v>
      </c>
      <c r="C406" t="s">
        <v>371</v>
      </c>
      <c r="D406" t="s">
        <v>19</v>
      </c>
      <c r="E406" s="228">
        <v>10</v>
      </c>
      <c r="F406" s="228">
        <v>85</v>
      </c>
      <c r="G406" s="229">
        <v>850</v>
      </c>
      <c r="H406" s="46">
        <v>51</v>
      </c>
    </row>
    <row r="407" spans="1:8" x14ac:dyDescent="0.25">
      <c r="A407" s="47">
        <v>40703</v>
      </c>
      <c r="B407" s="213" t="s">
        <v>353</v>
      </c>
      <c r="C407" t="s">
        <v>354</v>
      </c>
      <c r="D407" t="s">
        <v>57</v>
      </c>
      <c r="E407" s="228">
        <v>1</v>
      </c>
      <c r="F407" s="228">
        <v>283.5</v>
      </c>
      <c r="G407" s="229">
        <v>283.5</v>
      </c>
      <c r="H407" s="46">
        <v>51</v>
      </c>
    </row>
    <row r="408" spans="1:8" x14ac:dyDescent="0.25">
      <c r="A408" s="47">
        <v>40703</v>
      </c>
      <c r="B408" s="213" t="s">
        <v>376</v>
      </c>
      <c r="C408" t="s">
        <v>377</v>
      </c>
      <c r="D408" t="s">
        <v>19</v>
      </c>
      <c r="E408" s="228">
        <v>10</v>
      </c>
      <c r="F408" s="228">
        <v>145</v>
      </c>
      <c r="G408" s="229">
        <v>1450</v>
      </c>
      <c r="H408" s="46">
        <v>51</v>
      </c>
    </row>
    <row r="409" spans="1:8" x14ac:dyDescent="0.25">
      <c r="A409" s="47">
        <v>40703</v>
      </c>
      <c r="B409" s="213" t="s">
        <v>381</v>
      </c>
      <c r="C409" t="s">
        <v>373</v>
      </c>
      <c r="D409" t="s">
        <v>19</v>
      </c>
      <c r="E409" s="228">
        <v>10</v>
      </c>
      <c r="F409" s="228">
        <v>80</v>
      </c>
      <c r="G409" s="229">
        <v>800</v>
      </c>
      <c r="H409" s="46">
        <v>51</v>
      </c>
    </row>
    <row r="410" spans="1:8" x14ac:dyDescent="0.25">
      <c r="A410" s="47">
        <v>40703</v>
      </c>
      <c r="B410" s="213" t="s">
        <v>379</v>
      </c>
      <c r="C410" t="s">
        <v>375</v>
      </c>
      <c r="D410" t="s">
        <v>19</v>
      </c>
      <c r="E410" s="228">
        <v>1</v>
      </c>
      <c r="F410" s="228">
        <v>255</v>
      </c>
      <c r="G410" s="229">
        <v>255</v>
      </c>
      <c r="H410" s="46">
        <v>51</v>
      </c>
    </row>
    <row r="411" spans="1:8" x14ac:dyDescent="0.25">
      <c r="A411" s="47">
        <v>40703</v>
      </c>
      <c r="B411" s="213" t="s">
        <v>382</v>
      </c>
      <c r="C411" t="s">
        <v>383</v>
      </c>
      <c r="D411" t="s">
        <v>19</v>
      </c>
      <c r="E411" s="228">
        <v>7</v>
      </c>
      <c r="F411" s="228">
        <v>90</v>
      </c>
      <c r="G411" s="229">
        <v>630</v>
      </c>
      <c r="H411" s="46">
        <v>51</v>
      </c>
    </row>
    <row r="412" spans="1:8" x14ac:dyDescent="0.25">
      <c r="A412" s="47">
        <v>40703</v>
      </c>
      <c r="B412" s="213" t="s">
        <v>350</v>
      </c>
      <c r="C412" t="s">
        <v>351</v>
      </c>
      <c r="D412" t="s">
        <v>19</v>
      </c>
      <c r="E412" s="228">
        <v>10</v>
      </c>
      <c r="F412" s="228">
        <v>85</v>
      </c>
      <c r="G412" s="229">
        <v>850</v>
      </c>
      <c r="H412" s="46">
        <v>51</v>
      </c>
    </row>
    <row r="413" spans="1:8" x14ac:dyDescent="0.25">
      <c r="A413" s="47">
        <v>40703</v>
      </c>
      <c r="B413" s="213" t="s">
        <v>344</v>
      </c>
      <c r="C413" t="s">
        <v>345</v>
      </c>
      <c r="D413" t="s">
        <v>19</v>
      </c>
      <c r="E413" s="228">
        <v>10</v>
      </c>
      <c r="F413" s="228">
        <v>165</v>
      </c>
      <c r="G413" s="229">
        <v>1650</v>
      </c>
      <c r="H413" s="46">
        <v>51</v>
      </c>
    </row>
    <row r="414" spans="1:8" x14ac:dyDescent="0.25">
      <c r="A414" s="47">
        <v>40704</v>
      </c>
      <c r="B414" s="213" t="s">
        <v>350</v>
      </c>
      <c r="C414" t="s">
        <v>371</v>
      </c>
      <c r="D414" t="s">
        <v>19</v>
      </c>
      <c r="E414" s="228">
        <v>8</v>
      </c>
      <c r="F414" s="228">
        <v>85</v>
      </c>
      <c r="G414" s="229">
        <v>680</v>
      </c>
      <c r="H414" s="46">
        <v>51</v>
      </c>
    </row>
    <row r="415" spans="1:8" x14ac:dyDescent="0.25">
      <c r="A415" s="47">
        <v>40704</v>
      </c>
      <c r="B415" s="213" t="s">
        <v>381</v>
      </c>
      <c r="C415" t="s">
        <v>373</v>
      </c>
      <c r="D415" t="s">
        <v>19</v>
      </c>
      <c r="E415" s="228">
        <v>8</v>
      </c>
      <c r="F415" s="228">
        <v>80</v>
      </c>
      <c r="G415" s="229">
        <v>640</v>
      </c>
      <c r="H415" s="46">
        <v>51</v>
      </c>
    </row>
    <row r="416" spans="1:8" x14ac:dyDescent="0.25">
      <c r="A416" s="47">
        <v>40704</v>
      </c>
      <c r="B416" s="213" t="s">
        <v>379</v>
      </c>
      <c r="C416" t="s">
        <v>375</v>
      </c>
      <c r="D416" t="s">
        <v>19</v>
      </c>
      <c r="E416" s="228">
        <v>1</v>
      </c>
      <c r="F416" s="228">
        <v>255</v>
      </c>
      <c r="G416" s="229">
        <v>255</v>
      </c>
      <c r="H416" s="46">
        <v>51</v>
      </c>
    </row>
    <row r="417" spans="1:8" x14ac:dyDescent="0.25">
      <c r="A417" s="47">
        <v>40704</v>
      </c>
      <c r="B417" s="213" t="s">
        <v>344</v>
      </c>
      <c r="C417" t="s">
        <v>345</v>
      </c>
      <c r="D417" t="s">
        <v>19</v>
      </c>
      <c r="E417" s="228">
        <v>8</v>
      </c>
      <c r="F417" s="228">
        <v>165</v>
      </c>
      <c r="G417" s="229">
        <v>1320</v>
      </c>
      <c r="H417" s="46">
        <v>51</v>
      </c>
    </row>
    <row r="418" spans="1:8" x14ac:dyDescent="0.25">
      <c r="A418" s="47">
        <v>40704</v>
      </c>
      <c r="B418" s="213" t="s">
        <v>372</v>
      </c>
      <c r="C418" t="s">
        <v>367</v>
      </c>
      <c r="D418" t="s">
        <v>57</v>
      </c>
      <c r="E418" s="228">
        <v>1</v>
      </c>
      <c r="F418" s="228">
        <v>365</v>
      </c>
      <c r="G418" s="229">
        <v>365</v>
      </c>
      <c r="H418" s="46">
        <v>51</v>
      </c>
    </row>
    <row r="419" spans="1:8" x14ac:dyDescent="0.25">
      <c r="A419" s="47">
        <v>40704</v>
      </c>
      <c r="B419" s="213" t="s">
        <v>353</v>
      </c>
      <c r="C419" t="s">
        <v>354</v>
      </c>
      <c r="D419" t="s">
        <v>57</v>
      </c>
      <c r="E419" s="228">
        <v>1</v>
      </c>
      <c r="F419" s="228">
        <v>283.5</v>
      </c>
      <c r="G419" s="229">
        <v>283.5</v>
      </c>
      <c r="H419" s="46">
        <v>51</v>
      </c>
    </row>
    <row r="420" spans="1:8" x14ac:dyDescent="0.25">
      <c r="A420" s="47">
        <v>40704</v>
      </c>
      <c r="B420" s="213" t="s">
        <v>368</v>
      </c>
      <c r="C420" t="s">
        <v>354</v>
      </c>
      <c r="D420" t="s">
        <v>57</v>
      </c>
      <c r="E420" s="228">
        <v>1</v>
      </c>
      <c r="F420" s="228">
        <v>365</v>
      </c>
      <c r="G420" s="229">
        <v>365</v>
      </c>
      <c r="H420" s="46">
        <v>51</v>
      </c>
    </row>
    <row r="421" spans="1:8" x14ac:dyDescent="0.25">
      <c r="A421" s="47">
        <v>40704</v>
      </c>
      <c r="B421" s="213" t="s">
        <v>5</v>
      </c>
      <c r="C421" t="s">
        <v>536</v>
      </c>
      <c r="D421" t="s">
        <v>19</v>
      </c>
      <c r="E421" s="228">
        <v>8</v>
      </c>
      <c r="F421" s="228">
        <v>32.200000000000003</v>
      </c>
      <c r="G421" s="229">
        <v>257.60000000000002</v>
      </c>
      <c r="H421" s="46">
        <v>51</v>
      </c>
    </row>
    <row r="422" spans="1:8" x14ac:dyDescent="0.25">
      <c r="A422" s="47">
        <v>40704</v>
      </c>
      <c r="B422" s="213" t="s">
        <v>349</v>
      </c>
      <c r="C422" t="s">
        <v>343</v>
      </c>
      <c r="D422" t="s">
        <v>19</v>
      </c>
      <c r="E422" s="228">
        <v>8</v>
      </c>
      <c r="F422" s="228">
        <v>130</v>
      </c>
      <c r="G422" s="229">
        <v>1040</v>
      </c>
      <c r="H422" s="46">
        <v>51</v>
      </c>
    </row>
    <row r="423" spans="1:8" x14ac:dyDescent="0.25">
      <c r="A423" s="47">
        <v>40704</v>
      </c>
      <c r="B423" s="213" t="s">
        <v>359</v>
      </c>
      <c r="C423" t="s">
        <v>535</v>
      </c>
      <c r="D423" t="s">
        <v>19</v>
      </c>
      <c r="E423" s="228">
        <v>3</v>
      </c>
      <c r="F423" s="228">
        <v>41.83</v>
      </c>
      <c r="G423" s="229">
        <v>125.49</v>
      </c>
      <c r="H423" s="46">
        <v>51</v>
      </c>
    </row>
    <row r="424" spans="1:8" x14ac:dyDescent="0.25">
      <c r="A424" s="47">
        <v>40704</v>
      </c>
      <c r="B424" s="213" t="s">
        <v>346</v>
      </c>
      <c r="C424" t="s">
        <v>535</v>
      </c>
      <c r="D424" t="s">
        <v>19</v>
      </c>
      <c r="E424" s="228">
        <v>10</v>
      </c>
      <c r="F424" s="228">
        <v>39.18</v>
      </c>
      <c r="G424" s="229">
        <v>391.8</v>
      </c>
      <c r="H424" s="46">
        <v>51</v>
      </c>
    </row>
    <row r="425" spans="1:8" x14ac:dyDescent="0.25">
      <c r="A425" s="47">
        <v>40704</v>
      </c>
      <c r="B425" s="213" t="s">
        <v>350</v>
      </c>
      <c r="C425" t="s">
        <v>351</v>
      </c>
      <c r="D425" t="s">
        <v>19</v>
      </c>
      <c r="E425" s="228">
        <v>3</v>
      </c>
      <c r="F425" s="228">
        <v>85</v>
      </c>
      <c r="G425" s="229">
        <v>255</v>
      </c>
      <c r="H425" s="46">
        <v>51</v>
      </c>
    </row>
    <row r="426" spans="1:8" x14ac:dyDescent="0.25">
      <c r="A426" s="47">
        <v>40704</v>
      </c>
      <c r="B426" s="213" t="s">
        <v>5</v>
      </c>
      <c r="C426" t="s">
        <v>535</v>
      </c>
      <c r="D426" t="s">
        <v>19</v>
      </c>
      <c r="E426" s="228">
        <v>3</v>
      </c>
      <c r="F426" s="228">
        <v>32.200000000000003</v>
      </c>
      <c r="G426" s="229">
        <v>96.6</v>
      </c>
      <c r="H426" s="46">
        <v>51</v>
      </c>
    </row>
    <row r="427" spans="1:8" x14ac:dyDescent="0.25">
      <c r="A427" s="47">
        <v>40704</v>
      </c>
      <c r="B427" s="213" t="s">
        <v>378</v>
      </c>
      <c r="C427" t="s">
        <v>538</v>
      </c>
      <c r="D427" t="s">
        <v>19</v>
      </c>
      <c r="E427" s="228">
        <v>8</v>
      </c>
      <c r="F427" s="228">
        <v>38</v>
      </c>
      <c r="G427" s="229">
        <v>304</v>
      </c>
      <c r="H427" s="46">
        <v>51</v>
      </c>
    </row>
    <row r="428" spans="1:8" x14ac:dyDescent="0.25">
      <c r="A428" s="47">
        <v>40704</v>
      </c>
      <c r="B428" s="213" t="s">
        <v>376</v>
      </c>
      <c r="C428" t="s">
        <v>377</v>
      </c>
      <c r="D428" t="s">
        <v>19</v>
      </c>
      <c r="E428" s="228">
        <v>8</v>
      </c>
      <c r="F428" s="228">
        <v>145</v>
      </c>
      <c r="G428" s="229">
        <v>1160</v>
      </c>
      <c r="H428" s="46">
        <v>51</v>
      </c>
    </row>
    <row r="429" spans="1:8" x14ac:dyDescent="0.25">
      <c r="A429" s="47">
        <v>40708</v>
      </c>
      <c r="B429" s="213" t="s">
        <v>376</v>
      </c>
      <c r="C429" t="s">
        <v>377</v>
      </c>
      <c r="D429" t="s">
        <v>19</v>
      </c>
      <c r="E429" s="228">
        <v>10</v>
      </c>
      <c r="F429" s="228">
        <v>145</v>
      </c>
      <c r="G429" s="229">
        <v>1450</v>
      </c>
      <c r="H429" s="46">
        <v>51</v>
      </c>
    </row>
    <row r="430" spans="1:8" x14ac:dyDescent="0.25">
      <c r="A430" s="47">
        <v>40708</v>
      </c>
      <c r="B430" s="213" t="s">
        <v>372</v>
      </c>
      <c r="C430" t="s">
        <v>367</v>
      </c>
      <c r="D430" t="s">
        <v>57</v>
      </c>
      <c r="E430" s="228">
        <v>1</v>
      </c>
      <c r="F430" s="228">
        <v>365</v>
      </c>
      <c r="G430" s="229">
        <v>365</v>
      </c>
      <c r="H430" s="46">
        <v>51</v>
      </c>
    </row>
    <row r="431" spans="1:8" x14ac:dyDescent="0.25">
      <c r="A431" s="47">
        <v>40708</v>
      </c>
      <c r="B431" s="213" t="s">
        <v>349</v>
      </c>
      <c r="C431" t="s">
        <v>343</v>
      </c>
      <c r="D431" t="s">
        <v>19</v>
      </c>
      <c r="E431" s="228">
        <v>9.5</v>
      </c>
      <c r="F431" s="228">
        <v>130</v>
      </c>
      <c r="G431" s="229">
        <v>1235</v>
      </c>
      <c r="H431" s="46">
        <v>51</v>
      </c>
    </row>
    <row r="432" spans="1:8" x14ac:dyDescent="0.25">
      <c r="A432" s="47">
        <v>40708</v>
      </c>
      <c r="B432" s="213" t="s">
        <v>382</v>
      </c>
      <c r="C432" t="s">
        <v>383</v>
      </c>
      <c r="D432" t="s">
        <v>19</v>
      </c>
      <c r="E432" s="228">
        <v>6</v>
      </c>
      <c r="F432" s="228">
        <v>90</v>
      </c>
      <c r="G432" s="229">
        <v>540</v>
      </c>
      <c r="H432" s="46">
        <v>51</v>
      </c>
    </row>
    <row r="433" spans="1:8" x14ac:dyDescent="0.25">
      <c r="A433" s="47">
        <v>40708</v>
      </c>
      <c r="B433" s="213" t="s">
        <v>350</v>
      </c>
      <c r="C433" t="s">
        <v>371</v>
      </c>
      <c r="D433" t="s">
        <v>19</v>
      </c>
      <c r="E433" s="228">
        <v>9.5</v>
      </c>
      <c r="F433" s="228">
        <v>85</v>
      </c>
      <c r="G433" s="229">
        <v>807.5</v>
      </c>
      <c r="H433" s="46">
        <v>51</v>
      </c>
    </row>
    <row r="434" spans="1:8" x14ac:dyDescent="0.25">
      <c r="A434" s="47">
        <v>40708</v>
      </c>
      <c r="B434" s="213" t="s">
        <v>384</v>
      </c>
      <c r="C434" t="s">
        <v>385</v>
      </c>
      <c r="D434" t="s">
        <v>57</v>
      </c>
      <c r="E434" s="228">
        <v>1</v>
      </c>
      <c r="F434" s="228">
        <v>77.27</v>
      </c>
      <c r="G434" s="229">
        <v>77.27</v>
      </c>
      <c r="H434" s="46">
        <v>51</v>
      </c>
    </row>
    <row r="435" spans="1:8" x14ac:dyDescent="0.25">
      <c r="A435" s="47">
        <v>40708</v>
      </c>
      <c r="B435" s="213" t="s">
        <v>379</v>
      </c>
      <c r="C435" t="s">
        <v>375</v>
      </c>
      <c r="D435" t="s">
        <v>19</v>
      </c>
      <c r="E435" s="228">
        <v>1</v>
      </c>
      <c r="F435" s="228">
        <v>255</v>
      </c>
      <c r="G435" s="229">
        <v>255</v>
      </c>
      <c r="H435" s="46">
        <v>51</v>
      </c>
    </row>
    <row r="436" spans="1:8" x14ac:dyDescent="0.25">
      <c r="A436" s="47">
        <v>40708</v>
      </c>
      <c r="B436" s="213" t="s">
        <v>350</v>
      </c>
      <c r="C436" t="s">
        <v>351</v>
      </c>
      <c r="D436" t="s">
        <v>19</v>
      </c>
      <c r="E436" s="228">
        <v>10</v>
      </c>
      <c r="F436" s="228">
        <v>85</v>
      </c>
      <c r="G436" s="229">
        <v>850</v>
      </c>
      <c r="H436" s="46">
        <v>51</v>
      </c>
    </row>
    <row r="437" spans="1:8" x14ac:dyDescent="0.25">
      <c r="A437" s="47">
        <v>40708</v>
      </c>
      <c r="B437" s="213" t="s">
        <v>378</v>
      </c>
      <c r="C437" t="s">
        <v>538</v>
      </c>
      <c r="D437" t="s">
        <v>19</v>
      </c>
      <c r="E437" s="228">
        <v>10</v>
      </c>
      <c r="F437" s="228">
        <v>38</v>
      </c>
      <c r="G437" s="229">
        <v>380</v>
      </c>
      <c r="H437" s="46">
        <v>51</v>
      </c>
    </row>
    <row r="438" spans="1:8" x14ac:dyDescent="0.25">
      <c r="A438" s="47">
        <v>40708</v>
      </c>
      <c r="B438" s="213" t="s">
        <v>344</v>
      </c>
      <c r="C438" t="s">
        <v>345</v>
      </c>
      <c r="D438" t="s">
        <v>19</v>
      </c>
      <c r="E438" s="228">
        <v>10</v>
      </c>
      <c r="F438" s="228">
        <v>165</v>
      </c>
      <c r="G438" s="229">
        <v>1650</v>
      </c>
      <c r="H438" s="46">
        <v>51</v>
      </c>
    </row>
    <row r="439" spans="1:8" x14ac:dyDescent="0.25">
      <c r="A439" s="47">
        <v>40708</v>
      </c>
      <c r="B439" s="213" t="s">
        <v>353</v>
      </c>
      <c r="C439" t="s">
        <v>354</v>
      </c>
      <c r="D439" t="s">
        <v>57</v>
      </c>
      <c r="E439" s="228">
        <v>1</v>
      </c>
      <c r="F439" s="228">
        <v>283.5</v>
      </c>
      <c r="G439" s="229">
        <v>283.5</v>
      </c>
      <c r="H439" s="46">
        <v>51</v>
      </c>
    </row>
    <row r="440" spans="1:8" x14ac:dyDescent="0.25">
      <c r="A440" s="47">
        <v>40708</v>
      </c>
      <c r="B440" s="213" t="s">
        <v>381</v>
      </c>
      <c r="C440" t="s">
        <v>373</v>
      </c>
      <c r="D440" t="s">
        <v>19</v>
      </c>
      <c r="E440" s="228">
        <v>5</v>
      </c>
      <c r="F440" s="228">
        <v>80</v>
      </c>
      <c r="G440" s="229">
        <v>400</v>
      </c>
      <c r="H440" s="46">
        <v>51</v>
      </c>
    </row>
    <row r="441" spans="1:8" x14ac:dyDescent="0.25">
      <c r="A441" s="47">
        <v>40709</v>
      </c>
      <c r="B441" s="213" t="s">
        <v>353</v>
      </c>
      <c r="C441" t="s">
        <v>354</v>
      </c>
      <c r="D441" t="s">
        <v>57</v>
      </c>
      <c r="E441" s="228">
        <v>1</v>
      </c>
      <c r="F441" s="228">
        <v>283.5</v>
      </c>
      <c r="G441" s="229">
        <v>283.5</v>
      </c>
      <c r="H441" s="46">
        <v>51</v>
      </c>
    </row>
    <row r="442" spans="1:8" x14ac:dyDescent="0.25">
      <c r="A442" s="47">
        <v>40709</v>
      </c>
      <c r="B442" s="213" t="s">
        <v>376</v>
      </c>
      <c r="C442" t="s">
        <v>377</v>
      </c>
      <c r="D442" t="s">
        <v>19</v>
      </c>
      <c r="E442" s="228">
        <v>5</v>
      </c>
      <c r="F442" s="228">
        <v>145</v>
      </c>
      <c r="G442" s="229">
        <v>725</v>
      </c>
      <c r="H442" s="46">
        <v>51</v>
      </c>
    </row>
    <row r="443" spans="1:8" x14ac:dyDescent="0.25">
      <c r="A443" s="47">
        <v>40709</v>
      </c>
      <c r="B443" s="213" t="s">
        <v>381</v>
      </c>
      <c r="C443" t="s">
        <v>373</v>
      </c>
      <c r="D443" t="s">
        <v>19</v>
      </c>
      <c r="E443" s="228">
        <v>10</v>
      </c>
      <c r="F443" s="228">
        <v>80</v>
      </c>
      <c r="G443" s="229">
        <v>800</v>
      </c>
      <c r="H443" s="46">
        <v>51</v>
      </c>
    </row>
    <row r="444" spans="1:8" x14ac:dyDescent="0.25">
      <c r="A444" s="47">
        <v>40709</v>
      </c>
      <c r="B444" s="213" t="s">
        <v>350</v>
      </c>
      <c r="C444" t="s">
        <v>371</v>
      </c>
      <c r="D444" t="s">
        <v>19</v>
      </c>
      <c r="E444" s="228">
        <v>10</v>
      </c>
      <c r="F444" s="228">
        <v>85</v>
      </c>
      <c r="G444" s="229">
        <v>850</v>
      </c>
      <c r="H444" s="46">
        <v>51</v>
      </c>
    </row>
    <row r="445" spans="1:8" x14ac:dyDescent="0.25">
      <c r="A445" s="47">
        <v>40709</v>
      </c>
      <c r="B445" s="213" t="s">
        <v>349</v>
      </c>
      <c r="C445" t="s">
        <v>343</v>
      </c>
      <c r="D445" t="s">
        <v>19</v>
      </c>
      <c r="E445" s="228">
        <v>10</v>
      </c>
      <c r="F445" s="228">
        <v>130</v>
      </c>
      <c r="G445" s="229">
        <v>1300</v>
      </c>
      <c r="H445" s="46">
        <v>51</v>
      </c>
    </row>
    <row r="446" spans="1:8" x14ac:dyDescent="0.25">
      <c r="A446" s="47">
        <v>40709</v>
      </c>
      <c r="B446" s="213" t="s">
        <v>350</v>
      </c>
      <c r="C446" t="s">
        <v>351</v>
      </c>
      <c r="D446" t="s">
        <v>19</v>
      </c>
      <c r="E446" s="228">
        <v>10</v>
      </c>
      <c r="F446" s="228">
        <v>85</v>
      </c>
      <c r="G446" s="229">
        <v>850</v>
      </c>
      <c r="H446" s="46">
        <v>51</v>
      </c>
    </row>
    <row r="447" spans="1:8" x14ac:dyDescent="0.25">
      <c r="A447" s="47">
        <v>40709</v>
      </c>
      <c r="B447" s="213" t="s">
        <v>372</v>
      </c>
      <c r="C447" t="s">
        <v>367</v>
      </c>
      <c r="D447" t="s">
        <v>57</v>
      </c>
      <c r="E447" s="228">
        <v>1</v>
      </c>
      <c r="F447" s="228">
        <v>365</v>
      </c>
      <c r="G447" s="229">
        <v>365</v>
      </c>
      <c r="H447" s="46">
        <v>51</v>
      </c>
    </row>
    <row r="448" spans="1:8" x14ac:dyDescent="0.25">
      <c r="A448" s="47">
        <v>40709</v>
      </c>
      <c r="B448" s="213" t="s">
        <v>378</v>
      </c>
      <c r="C448" t="s">
        <v>538</v>
      </c>
      <c r="D448" t="s">
        <v>19</v>
      </c>
      <c r="E448" s="228">
        <v>10</v>
      </c>
      <c r="F448" s="228">
        <v>38</v>
      </c>
      <c r="G448" s="229">
        <v>380</v>
      </c>
      <c r="H448" s="46">
        <v>51</v>
      </c>
    </row>
    <row r="449" spans="1:8" x14ac:dyDescent="0.25">
      <c r="A449" s="47">
        <v>40710</v>
      </c>
      <c r="B449" s="213" t="s">
        <v>382</v>
      </c>
      <c r="C449" t="s">
        <v>383</v>
      </c>
      <c r="D449" t="s">
        <v>19</v>
      </c>
      <c r="E449" s="228">
        <v>4.5</v>
      </c>
      <c r="F449" s="228">
        <v>90</v>
      </c>
      <c r="G449" s="229">
        <v>405</v>
      </c>
      <c r="H449" s="46">
        <v>51</v>
      </c>
    </row>
    <row r="450" spans="1:8" x14ac:dyDescent="0.25">
      <c r="A450" s="47">
        <v>40710</v>
      </c>
      <c r="B450" s="213" t="s">
        <v>350</v>
      </c>
      <c r="C450" t="s">
        <v>351</v>
      </c>
      <c r="D450" t="s">
        <v>19</v>
      </c>
      <c r="E450" s="228">
        <v>8</v>
      </c>
      <c r="F450" s="228">
        <v>85</v>
      </c>
      <c r="G450" s="229">
        <v>680</v>
      </c>
      <c r="H450" s="46">
        <v>51</v>
      </c>
    </row>
    <row r="451" spans="1:8" x14ac:dyDescent="0.25">
      <c r="A451" s="47">
        <v>40710</v>
      </c>
      <c r="B451" s="213" t="s">
        <v>349</v>
      </c>
      <c r="C451" t="s">
        <v>343</v>
      </c>
      <c r="D451" t="s">
        <v>19</v>
      </c>
      <c r="E451" s="228">
        <v>8</v>
      </c>
      <c r="F451" s="228">
        <v>130</v>
      </c>
      <c r="G451" s="229">
        <v>1040</v>
      </c>
      <c r="H451" s="46">
        <v>51</v>
      </c>
    </row>
    <row r="452" spans="1:8" x14ac:dyDescent="0.25">
      <c r="A452" s="47">
        <v>40710</v>
      </c>
      <c r="B452" s="213" t="s">
        <v>372</v>
      </c>
      <c r="C452" t="s">
        <v>367</v>
      </c>
      <c r="D452" t="s">
        <v>57</v>
      </c>
      <c r="E452" s="228">
        <v>1</v>
      </c>
      <c r="F452" s="228">
        <v>365</v>
      </c>
      <c r="G452" s="229">
        <v>365</v>
      </c>
      <c r="H452" s="46">
        <v>51</v>
      </c>
    </row>
    <row r="453" spans="1:8" x14ac:dyDescent="0.25">
      <c r="A453" s="47">
        <v>40710</v>
      </c>
      <c r="B453" s="213" t="s">
        <v>353</v>
      </c>
      <c r="C453" t="s">
        <v>354</v>
      </c>
      <c r="D453" t="s">
        <v>57</v>
      </c>
      <c r="E453" s="228">
        <v>1</v>
      </c>
      <c r="F453" s="228">
        <v>283.5</v>
      </c>
      <c r="G453" s="229">
        <v>283.5</v>
      </c>
      <c r="H453" s="46">
        <v>51</v>
      </c>
    </row>
    <row r="454" spans="1:8" x14ac:dyDescent="0.25">
      <c r="A454" s="47">
        <v>40710</v>
      </c>
      <c r="B454" s="213" t="s">
        <v>350</v>
      </c>
      <c r="C454" t="s">
        <v>371</v>
      </c>
      <c r="D454" t="s">
        <v>19</v>
      </c>
      <c r="E454" s="228">
        <v>8</v>
      </c>
      <c r="F454" s="228">
        <v>85</v>
      </c>
      <c r="G454" s="229">
        <v>680</v>
      </c>
      <c r="H454" s="46">
        <v>51</v>
      </c>
    </row>
    <row r="455" spans="1:8" x14ac:dyDescent="0.25">
      <c r="A455" s="47">
        <v>40710</v>
      </c>
      <c r="B455" s="213" t="s">
        <v>378</v>
      </c>
      <c r="C455" t="s">
        <v>538</v>
      </c>
      <c r="D455" t="s">
        <v>19</v>
      </c>
      <c r="E455" s="228">
        <v>10</v>
      </c>
      <c r="F455" s="228">
        <v>38</v>
      </c>
      <c r="G455" s="229">
        <v>380</v>
      </c>
      <c r="H455" s="46">
        <v>51</v>
      </c>
    </row>
    <row r="456" spans="1:8" x14ac:dyDescent="0.25">
      <c r="A456" s="47">
        <v>40710</v>
      </c>
      <c r="B456" s="213" t="s">
        <v>381</v>
      </c>
      <c r="C456" t="s">
        <v>373</v>
      </c>
      <c r="D456" t="s">
        <v>19</v>
      </c>
      <c r="E456" s="228">
        <v>8</v>
      </c>
      <c r="F456" s="228">
        <v>80</v>
      </c>
      <c r="G456" s="229">
        <v>640</v>
      </c>
      <c r="H456" s="46">
        <v>51</v>
      </c>
    </row>
    <row r="457" spans="1:8" x14ac:dyDescent="0.25">
      <c r="A457" s="47">
        <v>40711</v>
      </c>
      <c r="B457" s="213" t="s">
        <v>350</v>
      </c>
      <c r="C457" t="s">
        <v>371</v>
      </c>
      <c r="D457" t="s">
        <v>19</v>
      </c>
      <c r="E457" s="228">
        <v>6</v>
      </c>
      <c r="F457" s="228">
        <v>85</v>
      </c>
      <c r="G457" s="229">
        <v>510</v>
      </c>
      <c r="H457" s="46">
        <v>51</v>
      </c>
    </row>
    <row r="458" spans="1:8" x14ac:dyDescent="0.25">
      <c r="A458" s="47">
        <v>40711</v>
      </c>
      <c r="B458" s="213" t="s">
        <v>349</v>
      </c>
      <c r="C458" t="s">
        <v>343</v>
      </c>
      <c r="D458" t="s">
        <v>19</v>
      </c>
      <c r="E458" s="228">
        <v>6</v>
      </c>
      <c r="F458" s="228">
        <v>130</v>
      </c>
      <c r="G458" s="229">
        <v>780</v>
      </c>
      <c r="H458" s="46">
        <v>51</v>
      </c>
    </row>
    <row r="459" spans="1:8" x14ac:dyDescent="0.25">
      <c r="A459" s="47">
        <v>40711</v>
      </c>
      <c r="B459" s="213" t="s">
        <v>350</v>
      </c>
      <c r="C459" t="s">
        <v>351</v>
      </c>
      <c r="D459" t="s">
        <v>19</v>
      </c>
      <c r="E459" s="228">
        <v>6</v>
      </c>
      <c r="F459" s="228">
        <v>85</v>
      </c>
      <c r="G459" s="229">
        <v>510</v>
      </c>
      <c r="H459" s="46">
        <v>51</v>
      </c>
    </row>
    <row r="460" spans="1:8" x14ac:dyDescent="0.25">
      <c r="A460" s="47">
        <v>40711</v>
      </c>
      <c r="B460" s="213" t="s">
        <v>378</v>
      </c>
      <c r="C460" t="s">
        <v>538</v>
      </c>
      <c r="D460" t="s">
        <v>19</v>
      </c>
      <c r="E460" s="228">
        <v>8</v>
      </c>
      <c r="F460" s="228">
        <v>38</v>
      </c>
      <c r="G460" s="229">
        <v>304</v>
      </c>
      <c r="H460" s="46">
        <v>51</v>
      </c>
    </row>
    <row r="461" spans="1:8" x14ac:dyDescent="0.25">
      <c r="A461" s="47">
        <v>40711</v>
      </c>
      <c r="B461" s="213" t="s">
        <v>381</v>
      </c>
      <c r="C461" t="s">
        <v>373</v>
      </c>
      <c r="D461" t="s">
        <v>19</v>
      </c>
      <c r="E461" s="228">
        <v>6</v>
      </c>
      <c r="F461" s="228">
        <v>80</v>
      </c>
      <c r="G461" s="229">
        <v>480</v>
      </c>
      <c r="H461" s="46">
        <v>51</v>
      </c>
    </row>
    <row r="462" spans="1:8" x14ac:dyDescent="0.25">
      <c r="A462" s="47">
        <v>40711</v>
      </c>
      <c r="B462" s="213" t="s">
        <v>372</v>
      </c>
      <c r="C462" t="s">
        <v>367</v>
      </c>
      <c r="D462" t="s">
        <v>57</v>
      </c>
      <c r="E462" s="228">
        <v>1</v>
      </c>
      <c r="F462" s="228">
        <v>365</v>
      </c>
      <c r="G462" s="229">
        <v>365</v>
      </c>
      <c r="H462" s="46">
        <v>51</v>
      </c>
    </row>
    <row r="463" spans="1:8" x14ac:dyDescent="0.25">
      <c r="A463" s="47">
        <v>40711</v>
      </c>
      <c r="B463" s="213" t="s">
        <v>353</v>
      </c>
      <c r="C463" t="s">
        <v>354</v>
      </c>
      <c r="D463" t="s">
        <v>57</v>
      </c>
      <c r="E463" s="228">
        <v>1</v>
      </c>
      <c r="F463" s="228">
        <v>283.5</v>
      </c>
      <c r="G463" s="229">
        <v>283.5</v>
      </c>
      <c r="H463" s="46">
        <v>51</v>
      </c>
    </row>
    <row r="464" spans="1:8" x14ac:dyDescent="0.25">
      <c r="A464" s="47">
        <v>40712</v>
      </c>
      <c r="B464" s="213" t="s">
        <v>379</v>
      </c>
      <c r="C464" t="s">
        <v>375</v>
      </c>
      <c r="D464" t="s">
        <v>19</v>
      </c>
      <c r="E464" s="228">
        <v>1</v>
      </c>
      <c r="F464" s="228">
        <v>255</v>
      </c>
      <c r="G464" s="229">
        <v>255</v>
      </c>
      <c r="H464" s="46">
        <v>51</v>
      </c>
    </row>
    <row r="465" spans="1:8" x14ac:dyDescent="0.25">
      <c r="A465" s="47">
        <v>40712</v>
      </c>
      <c r="B465" s="213" t="s">
        <v>363</v>
      </c>
      <c r="C465" t="s">
        <v>536</v>
      </c>
      <c r="D465" t="s">
        <v>19</v>
      </c>
      <c r="E465" s="228">
        <v>4</v>
      </c>
      <c r="F465" s="228">
        <v>43.4</v>
      </c>
      <c r="G465" s="229">
        <v>173.6</v>
      </c>
      <c r="H465" s="46">
        <v>51</v>
      </c>
    </row>
    <row r="466" spans="1:8" x14ac:dyDescent="0.25">
      <c r="A466" s="47">
        <v>40712</v>
      </c>
      <c r="B466" s="213" t="s">
        <v>350</v>
      </c>
      <c r="C466" t="s">
        <v>351</v>
      </c>
      <c r="D466" t="s">
        <v>19</v>
      </c>
      <c r="E466" s="228">
        <v>4</v>
      </c>
      <c r="F466" s="228">
        <v>85</v>
      </c>
      <c r="G466" s="229">
        <v>340</v>
      </c>
      <c r="H466" s="46">
        <v>51</v>
      </c>
    </row>
    <row r="467" spans="1:8" x14ac:dyDescent="0.25">
      <c r="A467" s="47">
        <v>40712</v>
      </c>
      <c r="B467" s="213" t="s">
        <v>349</v>
      </c>
      <c r="C467" t="s">
        <v>343</v>
      </c>
      <c r="D467" t="s">
        <v>19</v>
      </c>
      <c r="E467" s="228">
        <v>4</v>
      </c>
      <c r="F467" s="228">
        <v>130</v>
      </c>
      <c r="G467" s="229">
        <v>520</v>
      </c>
      <c r="H467" s="46">
        <v>51</v>
      </c>
    </row>
    <row r="468" spans="1:8" x14ac:dyDescent="0.25">
      <c r="A468" s="47">
        <v>40712</v>
      </c>
      <c r="B468" s="213" t="s">
        <v>353</v>
      </c>
      <c r="C468" t="s">
        <v>354</v>
      </c>
      <c r="D468" t="s">
        <v>57</v>
      </c>
      <c r="E468" s="228">
        <v>1</v>
      </c>
      <c r="F468" s="228">
        <v>283.5</v>
      </c>
      <c r="G468" s="229">
        <v>283.5</v>
      </c>
      <c r="H468" s="46">
        <v>51</v>
      </c>
    </row>
    <row r="469" spans="1:8" x14ac:dyDescent="0.25">
      <c r="A469" s="47">
        <v>40712</v>
      </c>
      <c r="B469" s="213" t="s">
        <v>350</v>
      </c>
      <c r="C469" t="s">
        <v>371</v>
      </c>
      <c r="D469" t="s">
        <v>19</v>
      </c>
      <c r="E469" s="228">
        <v>4</v>
      </c>
      <c r="F469" s="228">
        <v>85</v>
      </c>
      <c r="G469" s="229">
        <v>340</v>
      </c>
      <c r="H469" s="46">
        <v>51</v>
      </c>
    </row>
    <row r="470" spans="1:8" x14ac:dyDescent="0.25">
      <c r="A470" s="47">
        <v>40712</v>
      </c>
      <c r="B470" s="213" t="s">
        <v>372</v>
      </c>
      <c r="C470" t="s">
        <v>367</v>
      </c>
      <c r="D470" t="s">
        <v>57</v>
      </c>
      <c r="E470" s="228">
        <v>1</v>
      </c>
      <c r="F470" s="228">
        <v>365</v>
      </c>
      <c r="G470" s="229">
        <v>365</v>
      </c>
      <c r="H470" s="46">
        <v>51</v>
      </c>
    </row>
    <row r="471" spans="1:8" x14ac:dyDescent="0.25">
      <c r="A471" s="47">
        <v>40714</v>
      </c>
      <c r="B471" s="213" t="s">
        <v>350</v>
      </c>
      <c r="C471" t="s">
        <v>351</v>
      </c>
      <c r="D471" t="s">
        <v>19</v>
      </c>
      <c r="E471" s="228">
        <v>8</v>
      </c>
      <c r="F471" s="228">
        <v>85</v>
      </c>
      <c r="G471" s="229">
        <v>680</v>
      </c>
      <c r="H471" s="46">
        <v>51</v>
      </c>
    </row>
    <row r="472" spans="1:8" x14ac:dyDescent="0.25">
      <c r="A472" s="47">
        <v>40714</v>
      </c>
      <c r="B472" s="213" t="s">
        <v>344</v>
      </c>
      <c r="C472" t="s">
        <v>345</v>
      </c>
      <c r="D472" t="s">
        <v>19</v>
      </c>
      <c r="E472" s="228">
        <v>8</v>
      </c>
      <c r="F472" s="228">
        <v>165</v>
      </c>
      <c r="G472" s="229">
        <v>1320</v>
      </c>
      <c r="H472" s="46">
        <v>51</v>
      </c>
    </row>
    <row r="473" spans="1:8" x14ac:dyDescent="0.25">
      <c r="A473" s="47">
        <v>40714</v>
      </c>
      <c r="B473" s="213" t="s">
        <v>378</v>
      </c>
      <c r="C473" t="s">
        <v>538</v>
      </c>
      <c r="D473" t="s">
        <v>19</v>
      </c>
      <c r="E473" s="228">
        <v>10</v>
      </c>
      <c r="F473" s="228">
        <v>38</v>
      </c>
      <c r="G473" s="229">
        <v>380</v>
      </c>
      <c r="H473" s="46">
        <v>51</v>
      </c>
    </row>
    <row r="474" spans="1:8" x14ac:dyDescent="0.25">
      <c r="A474" s="47">
        <v>40714</v>
      </c>
      <c r="B474" s="213" t="s">
        <v>350</v>
      </c>
      <c r="C474" t="s">
        <v>371</v>
      </c>
      <c r="D474" t="s">
        <v>19</v>
      </c>
      <c r="E474" s="228">
        <v>8</v>
      </c>
      <c r="F474" s="228">
        <v>85</v>
      </c>
      <c r="G474" s="229">
        <v>680</v>
      </c>
      <c r="H474" s="46">
        <v>51</v>
      </c>
    </row>
    <row r="475" spans="1:8" x14ac:dyDescent="0.25">
      <c r="A475" s="47">
        <v>40714</v>
      </c>
      <c r="B475" s="213" t="s">
        <v>372</v>
      </c>
      <c r="C475" t="s">
        <v>367</v>
      </c>
      <c r="D475" t="s">
        <v>57</v>
      </c>
      <c r="E475" s="228">
        <v>1</v>
      </c>
      <c r="F475" s="228">
        <v>365</v>
      </c>
      <c r="G475" s="229">
        <v>365</v>
      </c>
      <c r="H475" s="46">
        <v>51</v>
      </c>
    </row>
    <row r="476" spans="1:8" x14ac:dyDescent="0.25">
      <c r="A476" s="47">
        <v>40714</v>
      </c>
      <c r="B476" s="213" t="s">
        <v>349</v>
      </c>
      <c r="C476" t="s">
        <v>343</v>
      </c>
      <c r="D476" t="s">
        <v>19</v>
      </c>
      <c r="E476" s="228">
        <v>8</v>
      </c>
      <c r="F476" s="228">
        <v>130</v>
      </c>
      <c r="G476" s="229">
        <v>1040</v>
      </c>
      <c r="H476" s="46">
        <v>51</v>
      </c>
    </row>
    <row r="477" spans="1:8" x14ac:dyDescent="0.25">
      <c r="A477" s="47">
        <v>40714</v>
      </c>
      <c r="B477" s="213" t="s">
        <v>353</v>
      </c>
      <c r="C477" t="s">
        <v>354</v>
      </c>
      <c r="D477" t="s">
        <v>57</v>
      </c>
      <c r="E477" s="228">
        <v>1</v>
      </c>
      <c r="F477" s="228">
        <v>283.5</v>
      </c>
      <c r="G477" s="229">
        <v>283.5</v>
      </c>
      <c r="H477" s="46">
        <v>51</v>
      </c>
    </row>
    <row r="478" spans="1:8" x14ac:dyDescent="0.25">
      <c r="A478" s="47">
        <v>40715</v>
      </c>
      <c r="B478" s="213" t="s">
        <v>344</v>
      </c>
      <c r="C478" t="s">
        <v>345</v>
      </c>
      <c r="D478" t="s">
        <v>19</v>
      </c>
      <c r="E478" s="228">
        <v>10</v>
      </c>
      <c r="F478" s="228">
        <v>165</v>
      </c>
      <c r="G478" s="229">
        <v>1650</v>
      </c>
      <c r="H478" s="46">
        <v>51</v>
      </c>
    </row>
    <row r="479" spans="1:8" x14ac:dyDescent="0.25">
      <c r="A479" s="47">
        <v>40715</v>
      </c>
      <c r="B479" s="213" t="s">
        <v>378</v>
      </c>
      <c r="C479" t="s">
        <v>538</v>
      </c>
      <c r="D479" t="s">
        <v>19</v>
      </c>
      <c r="E479" s="228">
        <v>10</v>
      </c>
      <c r="F479" s="228">
        <v>38</v>
      </c>
      <c r="G479" s="229">
        <v>380</v>
      </c>
      <c r="H479" s="46">
        <v>51</v>
      </c>
    </row>
    <row r="480" spans="1:8" x14ac:dyDescent="0.25">
      <c r="A480" s="47">
        <v>40715</v>
      </c>
      <c r="B480" s="213" t="s">
        <v>372</v>
      </c>
      <c r="C480" t="s">
        <v>367</v>
      </c>
      <c r="D480" t="s">
        <v>57</v>
      </c>
      <c r="E480" s="228">
        <v>1</v>
      </c>
      <c r="F480" s="228">
        <v>365</v>
      </c>
      <c r="G480" s="229">
        <v>365</v>
      </c>
      <c r="H480" s="46">
        <v>51</v>
      </c>
    </row>
    <row r="481" spans="1:8" x14ac:dyDescent="0.25">
      <c r="A481" s="47">
        <v>40715</v>
      </c>
      <c r="B481" s="213" t="s">
        <v>353</v>
      </c>
      <c r="C481" t="s">
        <v>354</v>
      </c>
      <c r="D481" t="s">
        <v>57</v>
      </c>
      <c r="E481" s="228">
        <v>1</v>
      </c>
      <c r="F481" s="228">
        <v>283.5</v>
      </c>
      <c r="G481" s="229">
        <v>283.5</v>
      </c>
      <c r="H481" s="46">
        <v>51</v>
      </c>
    </row>
    <row r="482" spans="1:8" x14ac:dyDescent="0.25">
      <c r="A482" s="47">
        <v>40716</v>
      </c>
      <c r="B482" s="213" t="s">
        <v>350</v>
      </c>
      <c r="C482" t="s">
        <v>351</v>
      </c>
      <c r="D482" t="s">
        <v>19</v>
      </c>
      <c r="E482" s="228">
        <v>2</v>
      </c>
      <c r="F482" s="228">
        <v>85</v>
      </c>
      <c r="G482" s="229">
        <v>170</v>
      </c>
      <c r="H482" s="46">
        <v>51</v>
      </c>
    </row>
    <row r="483" spans="1:8" x14ac:dyDescent="0.25">
      <c r="A483" s="47">
        <v>40716</v>
      </c>
      <c r="B483" s="213" t="s">
        <v>344</v>
      </c>
      <c r="C483" t="s">
        <v>345</v>
      </c>
      <c r="D483" t="s">
        <v>19</v>
      </c>
      <c r="E483" s="228">
        <v>10</v>
      </c>
      <c r="F483" s="228">
        <v>165</v>
      </c>
      <c r="G483" s="229">
        <v>1650</v>
      </c>
      <c r="H483" s="46">
        <v>51</v>
      </c>
    </row>
    <row r="484" spans="1:8" x14ac:dyDescent="0.25">
      <c r="A484" s="47">
        <v>40716</v>
      </c>
      <c r="B484" s="213" t="s">
        <v>353</v>
      </c>
      <c r="C484" t="s">
        <v>354</v>
      </c>
      <c r="D484" t="s">
        <v>57</v>
      </c>
      <c r="E484" s="228">
        <v>1</v>
      </c>
      <c r="F484" s="228">
        <v>283.5</v>
      </c>
      <c r="G484" s="229">
        <v>283.5</v>
      </c>
      <c r="H484" s="46">
        <v>51</v>
      </c>
    </row>
    <row r="485" spans="1:8" x14ac:dyDescent="0.25">
      <c r="A485" s="47">
        <v>40716</v>
      </c>
      <c r="B485" s="213" t="s">
        <v>378</v>
      </c>
      <c r="C485" t="s">
        <v>538</v>
      </c>
      <c r="D485" t="s">
        <v>19</v>
      </c>
      <c r="E485" s="228">
        <v>5</v>
      </c>
      <c r="F485" s="228">
        <v>38</v>
      </c>
      <c r="G485" s="229">
        <v>190</v>
      </c>
      <c r="H485" s="46">
        <v>51</v>
      </c>
    </row>
    <row r="486" spans="1:8" x14ac:dyDescent="0.25">
      <c r="A486" s="47">
        <v>40716</v>
      </c>
      <c r="B486" s="213" t="s">
        <v>350</v>
      </c>
      <c r="C486" t="s">
        <v>371</v>
      </c>
      <c r="D486" t="s">
        <v>19</v>
      </c>
      <c r="E486" s="228">
        <v>2</v>
      </c>
      <c r="F486" s="228">
        <v>85</v>
      </c>
      <c r="G486" s="229">
        <v>170</v>
      </c>
      <c r="H486" s="46">
        <v>51</v>
      </c>
    </row>
    <row r="487" spans="1:8" x14ac:dyDescent="0.25">
      <c r="A487" s="47">
        <v>40716</v>
      </c>
      <c r="B487" s="213" t="s">
        <v>349</v>
      </c>
      <c r="C487" t="s">
        <v>343</v>
      </c>
      <c r="D487" t="s">
        <v>19</v>
      </c>
      <c r="E487" s="228">
        <v>2</v>
      </c>
      <c r="F487" s="228">
        <v>130</v>
      </c>
      <c r="G487" s="229">
        <v>260</v>
      </c>
      <c r="H487" s="46">
        <v>51</v>
      </c>
    </row>
    <row r="488" spans="1:8" x14ac:dyDescent="0.25">
      <c r="A488" s="47">
        <v>40716</v>
      </c>
      <c r="B488" s="213" t="s">
        <v>372</v>
      </c>
      <c r="C488" t="s">
        <v>367</v>
      </c>
      <c r="D488" t="s">
        <v>57</v>
      </c>
      <c r="E488" s="228">
        <v>0.5</v>
      </c>
      <c r="F488" s="228">
        <v>365</v>
      </c>
      <c r="G488" s="229">
        <v>182.5</v>
      </c>
      <c r="H488" s="46">
        <v>51</v>
      </c>
    </row>
    <row r="489" spans="1:8" x14ac:dyDescent="0.25">
      <c r="A489" s="47">
        <v>40717</v>
      </c>
      <c r="B489" s="213" t="s">
        <v>378</v>
      </c>
      <c r="C489" t="s">
        <v>538</v>
      </c>
      <c r="D489" t="s">
        <v>19</v>
      </c>
      <c r="E489" s="228">
        <v>10</v>
      </c>
      <c r="F489" s="228">
        <v>38</v>
      </c>
      <c r="G489" s="229">
        <v>380</v>
      </c>
      <c r="H489" s="46">
        <v>51</v>
      </c>
    </row>
    <row r="490" spans="1:8" x14ac:dyDescent="0.25">
      <c r="A490" s="47">
        <v>40717</v>
      </c>
      <c r="B490" s="213" t="s">
        <v>359</v>
      </c>
      <c r="C490" t="s">
        <v>535</v>
      </c>
      <c r="D490" t="s">
        <v>19</v>
      </c>
      <c r="E490" s="228">
        <v>10</v>
      </c>
      <c r="F490" s="228">
        <v>41.83</v>
      </c>
      <c r="G490" s="229">
        <v>418.3</v>
      </c>
      <c r="H490" s="46">
        <v>51</v>
      </c>
    </row>
    <row r="491" spans="1:8" x14ac:dyDescent="0.25">
      <c r="A491" s="47">
        <v>40717</v>
      </c>
      <c r="B491" s="213" t="s">
        <v>5</v>
      </c>
      <c r="C491" t="s">
        <v>535</v>
      </c>
      <c r="D491" t="s">
        <v>19</v>
      </c>
      <c r="E491" s="228">
        <v>10</v>
      </c>
      <c r="F491" s="228">
        <v>32.200000000000003</v>
      </c>
      <c r="G491" s="229">
        <v>322</v>
      </c>
      <c r="H491" s="46">
        <v>51</v>
      </c>
    </row>
    <row r="492" spans="1:8" x14ac:dyDescent="0.25">
      <c r="A492" s="47">
        <v>40717</v>
      </c>
      <c r="B492" s="213" t="s">
        <v>344</v>
      </c>
      <c r="C492" t="s">
        <v>345</v>
      </c>
      <c r="D492" t="s">
        <v>19</v>
      </c>
      <c r="E492" s="228">
        <v>10</v>
      </c>
      <c r="F492" s="228">
        <v>165</v>
      </c>
      <c r="G492" s="229">
        <v>1650</v>
      </c>
      <c r="H492" s="46">
        <v>51</v>
      </c>
    </row>
    <row r="493" spans="1:8" x14ac:dyDescent="0.25">
      <c r="A493" s="47">
        <v>40717</v>
      </c>
      <c r="B493" s="213" t="s">
        <v>372</v>
      </c>
      <c r="C493" t="s">
        <v>367</v>
      </c>
      <c r="D493" t="s">
        <v>57</v>
      </c>
      <c r="E493" s="228">
        <v>1</v>
      </c>
      <c r="F493" s="228">
        <v>365</v>
      </c>
      <c r="G493" s="229">
        <v>365</v>
      </c>
      <c r="H493" s="46">
        <v>51</v>
      </c>
    </row>
    <row r="494" spans="1:8" x14ac:dyDescent="0.25">
      <c r="A494" s="47">
        <v>40717</v>
      </c>
      <c r="B494" s="213" t="s">
        <v>353</v>
      </c>
      <c r="C494" t="s">
        <v>354</v>
      </c>
      <c r="D494" t="s">
        <v>57</v>
      </c>
      <c r="E494" s="228">
        <v>1</v>
      </c>
      <c r="F494" s="228">
        <v>283.5</v>
      </c>
      <c r="G494" s="229">
        <v>283.5</v>
      </c>
      <c r="H494" s="46">
        <v>51</v>
      </c>
    </row>
    <row r="495" spans="1:8" x14ac:dyDescent="0.25">
      <c r="A495" s="47">
        <v>40717</v>
      </c>
      <c r="B495" s="213" t="s">
        <v>386</v>
      </c>
      <c r="C495" t="s">
        <v>387</v>
      </c>
      <c r="D495" t="s">
        <v>19</v>
      </c>
      <c r="E495" s="228">
        <v>1</v>
      </c>
      <c r="F495" s="228">
        <v>385</v>
      </c>
      <c r="G495" s="229">
        <v>385</v>
      </c>
      <c r="H495" s="46">
        <v>51</v>
      </c>
    </row>
    <row r="496" spans="1:8" x14ac:dyDescent="0.25">
      <c r="A496" s="47">
        <v>40718</v>
      </c>
      <c r="B496" s="213" t="s">
        <v>350</v>
      </c>
      <c r="C496" t="s">
        <v>351</v>
      </c>
      <c r="D496" t="s">
        <v>19</v>
      </c>
      <c r="E496" s="228">
        <v>8</v>
      </c>
      <c r="F496" s="228">
        <v>85</v>
      </c>
      <c r="G496" s="229">
        <v>680</v>
      </c>
      <c r="H496" s="46">
        <v>51</v>
      </c>
    </row>
    <row r="497" spans="1:8" x14ac:dyDescent="0.25">
      <c r="A497" s="47">
        <v>40718</v>
      </c>
      <c r="B497" s="213" t="s">
        <v>344</v>
      </c>
      <c r="C497" t="s">
        <v>345</v>
      </c>
      <c r="D497" t="s">
        <v>19</v>
      </c>
      <c r="E497" s="228">
        <v>8</v>
      </c>
      <c r="F497" s="228">
        <v>165</v>
      </c>
      <c r="G497" s="229">
        <v>1320</v>
      </c>
      <c r="H497" s="46">
        <v>51</v>
      </c>
    </row>
    <row r="498" spans="1:8" x14ac:dyDescent="0.25">
      <c r="A498" s="47">
        <v>40718</v>
      </c>
      <c r="B498" s="213" t="s">
        <v>364</v>
      </c>
      <c r="C498" t="s">
        <v>365</v>
      </c>
      <c r="D498" t="s">
        <v>19</v>
      </c>
      <c r="E498" s="228">
        <v>2</v>
      </c>
      <c r="F498" s="228">
        <v>50</v>
      </c>
      <c r="G498" s="229">
        <v>100</v>
      </c>
      <c r="H498" s="46">
        <v>51</v>
      </c>
    </row>
    <row r="499" spans="1:8" x14ac:dyDescent="0.25">
      <c r="A499" s="47">
        <v>40718</v>
      </c>
      <c r="B499" s="213" t="s">
        <v>349</v>
      </c>
      <c r="C499" t="s">
        <v>343</v>
      </c>
      <c r="D499" t="s">
        <v>19</v>
      </c>
      <c r="E499" s="228">
        <v>3</v>
      </c>
      <c r="F499" s="228">
        <v>130</v>
      </c>
      <c r="G499" s="229">
        <v>390</v>
      </c>
      <c r="H499" s="46">
        <v>51</v>
      </c>
    </row>
    <row r="500" spans="1:8" x14ac:dyDescent="0.25">
      <c r="A500" s="47">
        <v>40718</v>
      </c>
      <c r="B500" s="213" t="s">
        <v>378</v>
      </c>
      <c r="C500" t="s">
        <v>538</v>
      </c>
      <c r="D500" t="s">
        <v>19</v>
      </c>
      <c r="E500" s="228">
        <v>5</v>
      </c>
      <c r="F500" s="228">
        <v>38</v>
      </c>
      <c r="G500" s="229">
        <v>190</v>
      </c>
      <c r="H500" s="46">
        <v>51</v>
      </c>
    </row>
    <row r="501" spans="1:8" x14ac:dyDescent="0.25">
      <c r="A501" s="47">
        <v>40718</v>
      </c>
      <c r="B501" s="213" t="s">
        <v>350</v>
      </c>
      <c r="C501" t="s">
        <v>371</v>
      </c>
      <c r="D501" t="s">
        <v>19</v>
      </c>
      <c r="E501" s="228">
        <v>8</v>
      </c>
      <c r="F501" s="228">
        <v>85</v>
      </c>
      <c r="G501" s="229">
        <v>680</v>
      </c>
      <c r="H501" s="46">
        <v>51</v>
      </c>
    </row>
    <row r="502" spans="1:8" x14ac:dyDescent="0.25">
      <c r="A502" s="47">
        <v>40718</v>
      </c>
      <c r="B502" s="213" t="s">
        <v>376</v>
      </c>
      <c r="C502" t="s">
        <v>377</v>
      </c>
      <c r="D502" t="s">
        <v>19</v>
      </c>
      <c r="E502" s="228">
        <v>4</v>
      </c>
      <c r="F502" s="228">
        <v>135</v>
      </c>
      <c r="G502" s="229">
        <v>540</v>
      </c>
      <c r="H502" s="46">
        <v>51</v>
      </c>
    </row>
    <row r="503" spans="1:8" x14ac:dyDescent="0.25">
      <c r="A503" s="47">
        <v>40718</v>
      </c>
      <c r="B503" s="213" t="s">
        <v>372</v>
      </c>
      <c r="C503" t="s">
        <v>367</v>
      </c>
      <c r="D503" t="s">
        <v>57</v>
      </c>
      <c r="E503" s="228">
        <v>1</v>
      </c>
      <c r="F503" s="228">
        <v>365</v>
      </c>
      <c r="G503" s="229">
        <v>365</v>
      </c>
      <c r="H503" s="46">
        <v>51</v>
      </c>
    </row>
    <row r="504" spans="1:8" x14ac:dyDescent="0.25">
      <c r="A504" s="47">
        <v>40718</v>
      </c>
      <c r="B504" s="213" t="s">
        <v>353</v>
      </c>
      <c r="C504" t="s">
        <v>354</v>
      </c>
      <c r="D504" t="s">
        <v>57</v>
      </c>
      <c r="E504" s="228">
        <v>1</v>
      </c>
      <c r="F504" s="228">
        <v>283.5</v>
      </c>
      <c r="G504" s="229">
        <v>283.5</v>
      </c>
      <c r="H504" s="46">
        <v>51</v>
      </c>
    </row>
    <row r="505" spans="1:8" x14ac:dyDescent="0.25">
      <c r="A505" s="47">
        <v>40721</v>
      </c>
      <c r="B505" s="213" t="s">
        <v>344</v>
      </c>
      <c r="C505" t="s">
        <v>345</v>
      </c>
      <c r="D505" t="s">
        <v>19</v>
      </c>
      <c r="E505" s="228">
        <v>10</v>
      </c>
      <c r="F505" s="228">
        <v>165</v>
      </c>
      <c r="G505" s="229">
        <v>1650</v>
      </c>
      <c r="H505" s="46">
        <v>51</v>
      </c>
    </row>
    <row r="506" spans="1:8" x14ac:dyDescent="0.25">
      <c r="A506" s="47">
        <v>40721</v>
      </c>
      <c r="B506" s="213" t="s">
        <v>353</v>
      </c>
      <c r="C506" t="s">
        <v>354</v>
      </c>
      <c r="D506" t="s">
        <v>57</v>
      </c>
      <c r="E506" s="228">
        <v>1</v>
      </c>
      <c r="F506" s="228">
        <v>283.5</v>
      </c>
      <c r="G506" s="229">
        <v>283.5</v>
      </c>
      <c r="H506" s="46">
        <v>51</v>
      </c>
    </row>
    <row r="507" spans="1:8" x14ac:dyDescent="0.25">
      <c r="A507" s="47">
        <v>40721</v>
      </c>
      <c r="B507" s="213" t="s">
        <v>349</v>
      </c>
      <c r="C507" t="s">
        <v>343</v>
      </c>
      <c r="D507" t="s">
        <v>19</v>
      </c>
      <c r="E507" s="228">
        <v>10</v>
      </c>
      <c r="F507" s="228">
        <v>130</v>
      </c>
      <c r="G507" s="229">
        <v>1300</v>
      </c>
      <c r="H507" s="46">
        <v>51</v>
      </c>
    </row>
    <row r="508" spans="1:8" x14ac:dyDescent="0.25">
      <c r="A508" s="47">
        <v>40721</v>
      </c>
      <c r="B508" s="213" t="s">
        <v>378</v>
      </c>
      <c r="C508" t="s">
        <v>538</v>
      </c>
      <c r="D508" t="s">
        <v>19</v>
      </c>
      <c r="E508" s="228">
        <v>2</v>
      </c>
      <c r="F508" s="228">
        <v>38</v>
      </c>
      <c r="G508" s="229">
        <v>76</v>
      </c>
      <c r="H508" s="46">
        <v>51</v>
      </c>
    </row>
    <row r="509" spans="1:8" x14ac:dyDescent="0.25">
      <c r="A509" s="47">
        <v>40721</v>
      </c>
      <c r="B509" s="213" t="s">
        <v>350</v>
      </c>
      <c r="C509" t="s">
        <v>371</v>
      </c>
      <c r="D509" t="s">
        <v>19</v>
      </c>
      <c r="E509" s="228">
        <v>5.5</v>
      </c>
      <c r="F509" s="228">
        <v>85</v>
      </c>
      <c r="G509" s="229">
        <v>467.5</v>
      </c>
      <c r="H509" s="46">
        <v>51</v>
      </c>
    </row>
    <row r="510" spans="1:8" x14ac:dyDescent="0.25">
      <c r="A510" s="47">
        <v>40721</v>
      </c>
      <c r="B510" s="213" t="s">
        <v>372</v>
      </c>
      <c r="C510" t="s">
        <v>367</v>
      </c>
      <c r="D510" t="s">
        <v>57</v>
      </c>
      <c r="E510" s="228">
        <v>1</v>
      </c>
      <c r="F510" s="228">
        <v>365</v>
      </c>
      <c r="G510" s="229">
        <v>365</v>
      </c>
      <c r="H510" s="46">
        <v>51</v>
      </c>
    </row>
    <row r="511" spans="1:8" x14ac:dyDescent="0.25">
      <c r="A511" s="47">
        <v>40722</v>
      </c>
      <c r="B511" s="213" t="s">
        <v>378</v>
      </c>
      <c r="C511" t="s">
        <v>538</v>
      </c>
      <c r="D511" t="s">
        <v>19</v>
      </c>
      <c r="E511" s="228">
        <v>2</v>
      </c>
      <c r="F511" s="228">
        <v>38</v>
      </c>
      <c r="G511" s="229">
        <v>76</v>
      </c>
      <c r="H511" s="46">
        <v>51</v>
      </c>
    </row>
    <row r="512" spans="1:8" x14ac:dyDescent="0.25">
      <c r="A512" s="47">
        <v>40722</v>
      </c>
      <c r="B512" s="213" t="s">
        <v>353</v>
      </c>
      <c r="C512" t="s">
        <v>354</v>
      </c>
      <c r="D512" t="s">
        <v>57</v>
      </c>
      <c r="E512" s="228">
        <v>1</v>
      </c>
      <c r="F512" s="228">
        <v>283.5</v>
      </c>
      <c r="G512" s="229">
        <v>283.5</v>
      </c>
      <c r="H512" s="46">
        <v>51</v>
      </c>
    </row>
    <row r="513" spans="1:8" x14ac:dyDescent="0.25">
      <c r="A513" s="47">
        <v>40722</v>
      </c>
      <c r="B513" s="213" t="s">
        <v>372</v>
      </c>
      <c r="C513" t="s">
        <v>367</v>
      </c>
      <c r="D513" t="s">
        <v>57</v>
      </c>
      <c r="E513" s="228">
        <v>1</v>
      </c>
      <c r="F513" s="228">
        <v>365</v>
      </c>
      <c r="G513" s="229">
        <v>365</v>
      </c>
      <c r="H513" s="46">
        <v>51</v>
      </c>
    </row>
    <row r="514" spans="1:8" x14ac:dyDescent="0.25">
      <c r="A514" s="47">
        <v>40722</v>
      </c>
      <c r="B514" s="213" t="s">
        <v>350</v>
      </c>
      <c r="C514" t="s">
        <v>371</v>
      </c>
      <c r="D514" t="s">
        <v>19</v>
      </c>
      <c r="E514" s="228">
        <v>1</v>
      </c>
      <c r="F514" s="228">
        <v>85</v>
      </c>
      <c r="G514" s="229">
        <v>85</v>
      </c>
      <c r="H514" s="46">
        <v>51</v>
      </c>
    </row>
    <row r="515" spans="1:8" x14ac:dyDescent="0.25">
      <c r="A515" s="47">
        <v>40722</v>
      </c>
      <c r="B515" s="213" t="s">
        <v>344</v>
      </c>
      <c r="C515" t="s">
        <v>345</v>
      </c>
      <c r="D515" t="s">
        <v>19</v>
      </c>
      <c r="E515" s="228">
        <v>6</v>
      </c>
      <c r="F515" s="228">
        <v>165</v>
      </c>
      <c r="G515" s="229">
        <v>990</v>
      </c>
      <c r="H515" s="46">
        <v>51</v>
      </c>
    </row>
    <row r="516" spans="1:8" x14ac:dyDescent="0.25">
      <c r="A516" s="47">
        <v>40722</v>
      </c>
      <c r="B516" s="213" t="s">
        <v>350</v>
      </c>
      <c r="C516" t="s">
        <v>351</v>
      </c>
      <c r="D516" t="s">
        <v>19</v>
      </c>
      <c r="E516" s="228">
        <v>4.5</v>
      </c>
      <c r="F516" s="228">
        <v>85</v>
      </c>
      <c r="G516" s="229">
        <v>382.5</v>
      </c>
      <c r="H516" s="46">
        <v>51</v>
      </c>
    </row>
    <row r="517" spans="1:8" x14ac:dyDescent="0.25">
      <c r="A517" s="47">
        <v>40722</v>
      </c>
      <c r="B517" s="213" t="s">
        <v>349</v>
      </c>
      <c r="C517" t="s">
        <v>343</v>
      </c>
      <c r="D517" t="s">
        <v>19</v>
      </c>
      <c r="E517" s="228">
        <v>9</v>
      </c>
      <c r="F517" s="228">
        <v>130</v>
      </c>
      <c r="G517" s="229">
        <v>1170</v>
      </c>
      <c r="H517" s="46">
        <v>51</v>
      </c>
    </row>
    <row r="518" spans="1:8" x14ac:dyDescent="0.25">
      <c r="A518" s="47">
        <v>40723</v>
      </c>
      <c r="B518" s="213" t="s">
        <v>378</v>
      </c>
      <c r="C518" t="s">
        <v>538</v>
      </c>
      <c r="D518" t="s">
        <v>19</v>
      </c>
      <c r="E518" s="228">
        <v>2</v>
      </c>
      <c r="F518" s="228">
        <v>38</v>
      </c>
      <c r="G518" s="229">
        <v>76</v>
      </c>
      <c r="H518" s="46">
        <v>51</v>
      </c>
    </row>
    <row r="519" spans="1:8" x14ac:dyDescent="0.25">
      <c r="A519" s="47">
        <v>40723</v>
      </c>
      <c r="B519" s="213" t="s">
        <v>372</v>
      </c>
      <c r="C519" t="s">
        <v>367</v>
      </c>
      <c r="D519" t="s">
        <v>57</v>
      </c>
      <c r="E519" s="228">
        <v>1</v>
      </c>
      <c r="F519" s="228">
        <v>365</v>
      </c>
      <c r="G519" s="229">
        <v>365</v>
      </c>
      <c r="H519" s="46">
        <v>51</v>
      </c>
    </row>
    <row r="520" spans="1:8" x14ac:dyDescent="0.25">
      <c r="A520" s="47">
        <v>40723</v>
      </c>
      <c r="B520" s="213" t="s">
        <v>364</v>
      </c>
      <c r="C520" t="s">
        <v>365</v>
      </c>
      <c r="D520" t="s">
        <v>19</v>
      </c>
      <c r="E520" s="228">
        <v>4</v>
      </c>
      <c r="F520" s="228">
        <v>50</v>
      </c>
      <c r="G520" s="229">
        <v>200</v>
      </c>
      <c r="H520" s="46">
        <v>51</v>
      </c>
    </row>
    <row r="521" spans="1:8" x14ac:dyDescent="0.25">
      <c r="A521" s="47">
        <v>40723</v>
      </c>
      <c r="B521" s="213" t="s">
        <v>350</v>
      </c>
      <c r="C521" t="s">
        <v>351</v>
      </c>
      <c r="D521" t="s">
        <v>19</v>
      </c>
      <c r="E521" s="228">
        <v>3</v>
      </c>
      <c r="F521" s="228">
        <v>45</v>
      </c>
      <c r="G521" s="229">
        <v>135</v>
      </c>
      <c r="H521" s="46">
        <v>51</v>
      </c>
    </row>
    <row r="522" spans="1:8" x14ac:dyDescent="0.25">
      <c r="A522" s="47">
        <v>40723</v>
      </c>
      <c r="B522" s="213" t="s">
        <v>363</v>
      </c>
      <c r="C522" t="s">
        <v>536</v>
      </c>
      <c r="D522" t="s">
        <v>19</v>
      </c>
      <c r="E522" s="228">
        <v>10</v>
      </c>
      <c r="F522" s="228">
        <v>43.4</v>
      </c>
      <c r="G522" s="229">
        <v>434</v>
      </c>
      <c r="H522" s="46">
        <v>51</v>
      </c>
    </row>
    <row r="523" spans="1:8" x14ac:dyDescent="0.25">
      <c r="A523" s="47">
        <v>40723</v>
      </c>
      <c r="B523" s="213" t="s">
        <v>349</v>
      </c>
      <c r="C523" t="s">
        <v>343</v>
      </c>
      <c r="D523" t="s">
        <v>19</v>
      </c>
      <c r="E523" s="228">
        <v>9</v>
      </c>
      <c r="F523" s="228">
        <v>130</v>
      </c>
      <c r="G523" s="229">
        <v>1170</v>
      </c>
      <c r="H523" s="46">
        <v>51</v>
      </c>
    </row>
    <row r="524" spans="1:8" x14ac:dyDescent="0.25">
      <c r="A524" s="47">
        <v>40723</v>
      </c>
      <c r="B524" s="213" t="s">
        <v>349</v>
      </c>
      <c r="C524" t="s">
        <v>343</v>
      </c>
      <c r="D524" t="s">
        <v>19</v>
      </c>
      <c r="E524" s="228">
        <v>1</v>
      </c>
      <c r="F524" s="228">
        <v>130</v>
      </c>
      <c r="G524" s="229">
        <v>130</v>
      </c>
      <c r="H524" s="46">
        <v>51</v>
      </c>
    </row>
    <row r="525" spans="1:8" x14ac:dyDescent="0.25">
      <c r="A525" s="47">
        <v>40724</v>
      </c>
      <c r="B525" s="213" t="s">
        <v>350</v>
      </c>
      <c r="C525" t="s">
        <v>351</v>
      </c>
      <c r="D525" t="s">
        <v>19</v>
      </c>
      <c r="E525" s="228">
        <v>5</v>
      </c>
      <c r="F525" s="228">
        <v>45</v>
      </c>
      <c r="G525" s="229">
        <v>225</v>
      </c>
      <c r="H525" s="46">
        <v>51</v>
      </c>
    </row>
    <row r="526" spans="1:8" x14ac:dyDescent="0.25">
      <c r="A526" s="47">
        <v>40724</v>
      </c>
      <c r="B526" s="213" t="s">
        <v>363</v>
      </c>
      <c r="C526" t="s">
        <v>536</v>
      </c>
      <c r="D526" t="s">
        <v>19</v>
      </c>
      <c r="E526" s="228">
        <v>5</v>
      </c>
      <c r="F526" s="228">
        <v>43.4</v>
      </c>
      <c r="G526" s="229">
        <v>217</v>
      </c>
      <c r="H526" s="46">
        <v>51</v>
      </c>
    </row>
    <row r="527" spans="1:8" x14ac:dyDescent="0.25">
      <c r="A527" s="47">
        <v>40724</v>
      </c>
      <c r="B527" s="213" t="s">
        <v>5</v>
      </c>
      <c r="C527" t="s">
        <v>535</v>
      </c>
      <c r="D527" t="s">
        <v>19</v>
      </c>
      <c r="E527" s="228">
        <v>5</v>
      </c>
      <c r="F527" s="228">
        <v>32.200000000000003</v>
      </c>
      <c r="G527" s="229">
        <v>161</v>
      </c>
      <c r="H527" s="46">
        <v>51</v>
      </c>
    </row>
    <row r="528" spans="1:8" x14ac:dyDescent="0.25">
      <c r="A528" s="47">
        <v>40724</v>
      </c>
      <c r="B528" s="213" t="s">
        <v>386</v>
      </c>
      <c r="C528" t="s">
        <v>387</v>
      </c>
      <c r="D528" t="s">
        <v>19</v>
      </c>
      <c r="E528" s="228">
        <v>0.5</v>
      </c>
      <c r="F528" s="228">
        <v>385</v>
      </c>
      <c r="G528" s="229">
        <v>192.5</v>
      </c>
      <c r="H528" s="46">
        <v>51</v>
      </c>
    </row>
    <row r="529" spans="1:8" x14ac:dyDescent="0.25">
      <c r="A529" s="258" t="s">
        <v>230</v>
      </c>
      <c r="B529" s="230" t="s">
        <v>388</v>
      </c>
      <c r="C529" s="231" t="s">
        <v>230</v>
      </c>
      <c r="D529" s="231" t="s">
        <v>230</v>
      </c>
      <c r="E529" s="232"/>
      <c r="F529" s="232"/>
      <c r="G529" s="233">
        <v>292965.58500000002</v>
      </c>
      <c r="H529" s="243" t="s">
        <v>230</v>
      </c>
    </row>
    <row r="530" spans="1:8" x14ac:dyDescent="0.25">
      <c r="A530" s="47" t="s">
        <v>230</v>
      </c>
      <c r="B530" s="213" t="s">
        <v>230</v>
      </c>
      <c r="C530" t="s">
        <v>230</v>
      </c>
      <c r="D530" t="s">
        <v>230</v>
      </c>
      <c r="E530" s="228"/>
      <c r="F530" s="228"/>
      <c r="G530" s="229"/>
      <c r="H530" s="46" t="s">
        <v>230</v>
      </c>
    </row>
    <row r="531" spans="1:8" x14ac:dyDescent="0.25">
      <c r="A531" s="257" t="s">
        <v>230</v>
      </c>
      <c r="B531" s="224" t="s">
        <v>583</v>
      </c>
      <c r="C531" s="48" t="s">
        <v>230</v>
      </c>
      <c r="D531" s="48" t="s">
        <v>230</v>
      </c>
      <c r="E531" s="226"/>
      <c r="F531" s="226"/>
      <c r="G531" s="227"/>
      <c r="H531" s="225" t="s">
        <v>230</v>
      </c>
    </row>
    <row r="532" spans="1:8" x14ac:dyDescent="0.25">
      <c r="A532" s="47">
        <v>40675</v>
      </c>
      <c r="B532" s="213" t="s">
        <v>182</v>
      </c>
      <c r="C532" t="s">
        <v>389</v>
      </c>
      <c r="D532" t="s">
        <v>57</v>
      </c>
      <c r="E532" s="228">
        <v>1</v>
      </c>
      <c r="F532" s="228">
        <v>15400</v>
      </c>
      <c r="G532" s="229">
        <v>15400</v>
      </c>
      <c r="H532" s="46">
        <v>510</v>
      </c>
    </row>
    <row r="533" spans="1:8" x14ac:dyDescent="0.25">
      <c r="A533" s="47">
        <v>40675</v>
      </c>
      <c r="B533" s="213" t="s">
        <v>183</v>
      </c>
      <c r="C533" t="s">
        <v>390</v>
      </c>
      <c r="D533" t="s">
        <v>57</v>
      </c>
      <c r="E533" s="228">
        <v>2</v>
      </c>
      <c r="F533" s="228">
        <v>5240</v>
      </c>
      <c r="G533" s="229">
        <v>10480</v>
      </c>
      <c r="H533" s="46">
        <v>510</v>
      </c>
    </row>
    <row r="534" spans="1:8" x14ac:dyDescent="0.25">
      <c r="A534" s="258" t="s">
        <v>230</v>
      </c>
      <c r="B534" s="230" t="s">
        <v>391</v>
      </c>
      <c r="C534" s="231" t="s">
        <v>230</v>
      </c>
      <c r="D534" s="231" t="s">
        <v>230</v>
      </c>
      <c r="E534" s="232"/>
      <c r="F534" s="232"/>
      <c r="G534" s="233">
        <v>25880</v>
      </c>
      <c r="H534" s="243" t="s">
        <v>230</v>
      </c>
    </row>
    <row r="535" spans="1:8" x14ac:dyDescent="0.25">
      <c r="A535" s="47" t="s">
        <v>230</v>
      </c>
      <c r="B535" s="213" t="s">
        <v>230</v>
      </c>
      <c r="C535" t="s">
        <v>230</v>
      </c>
      <c r="D535" t="s">
        <v>230</v>
      </c>
      <c r="E535" s="228"/>
      <c r="F535" s="228"/>
      <c r="G535" s="229"/>
      <c r="H535" s="46" t="s">
        <v>230</v>
      </c>
    </row>
    <row r="536" spans="1:8" x14ac:dyDescent="0.25">
      <c r="A536" s="257" t="s">
        <v>230</v>
      </c>
      <c r="B536" s="224" t="s">
        <v>584</v>
      </c>
      <c r="C536" s="48" t="s">
        <v>230</v>
      </c>
      <c r="D536" s="48" t="s">
        <v>230</v>
      </c>
      <c r="E536" s="226"/>
      <c r="F536" s="226"/>
      <c r="G536" s="227"/>
      <c r="H536" s="225" t="s">
        <v>230</v>
      </c>
    </row>
    <row r="537" spans="1:8" x14ac:dyDescent="0.25">
      <c r="A537" s="47">
        <v>40660</v>
      </c>
      <c r="B537" s="213" t="s">
        <v>344</v>
      </c>
      <c r="C537" t="s">
        <v>345</v>
      </c>
      <c r="D537" t="s">
        <v>19</v>
      </c>
      <c r="E537" s="228">
        <v>9.5</v>
      </c>
      <c r="F537" s="228">
        <v>165</v>
      </c>
      <c r="G537" s="229">
        <v>1567.5</v>
      </c>
      <c r="H537" s="46">
        <v>59</v>
      </c>
    </row>
    <row r="538" spans="1:8" x14ac:dyDescent="0.25">
      <c r="A538" s="47">
        <v>40661</v>
      </c>
      <c r="B538" s="213" t="s">
        <v>344</v>
      </c>
      <c r="C538" t="s">
        <v>345</v>
      </c>
      <c r="D538" t="s">
        <v>19</v>
      </c>
      <c r="E538" s="228">
        <v>9.5</v>
      </c>
      <c r="F538" s="228">
        <v>165</v>
      </c>
      <c r="G538" s="229">
        <v>1567.5</v>
      </c>
      <c r="H538" s="46">
        <v>59</v>
      </c>
    </row>
    <row r="539" spans="1:8" x14ac:dyDescent="0.25">
      <c r="A539" s="47">
        <v>40661</v>
      </c>
      <c r="B539" s="213" t="s">
        <v>376</v>
      </c>
      <c r="C539" t="s">
        <v>377</v>
      </c>
      <c r="D539" t="s">
        <v>19</v>
      </c>
      <c r="E539" s="228">
        <v>9.5</v>
      </c>
      <c r="F539" s="228">
        <v>135</v>
      </c>
      <c r="G539" s="229">
        <v>1282.5</v>
      </c>
      <c r="H539" s="46">
        <v>59</v>
      </c>
    </row>
    <row r="540" spans="1:8" x14ac:dyDescent="0.25">
      <c r="A540" s="47">
        <v>40662</v>
      </c>
      <c r="B540" s="213" t="s">
        <v>376</v>
      </c>
      <c r="C540" t="s">
        <v>377</v>
      </c>
      <c r="D540" t="s">
        <v>19</v>
      </c>
      <c r="E540" s="228">
        <v>8</v>
      </c>
      <c r="F540" s="228">
        <v>135</v>
      </c>
      <c r="G540" s="229">
        <v>1080</v>
      </c>
      <c r="H540" s="46">
        <v>59</v>
      </c>
    </row>
    <row r="541" spans="1:8" x14ac:dyDescent="0.25">
      <c r="A541" s="47">
        <v>40662</v>
      </c>
      <c r="B541" s="213" t="s">
        <v>344</v>
      </c>
      <c r="C541" t="s">
        <v>345</v>
      </c>
      <c r="D541" t="s">
        <v>19</v>
      </c>
      <c r="E541" s="228">
        <v>8.5</v>
      </c>
      <c r="F541" s="228">
        <v>165</v>
      </c>
      <c r="G541" s="229">
        <v>1402.5</v>
      </c>
      <c r="H541" s="46">
        <v>59</v>
      </c>
    </row>
    <row r="542" spans="1:8" x14ac:dyDescent="0.25">
      <c r="A542" s="47">
        <v>40666</v>
      </c>
      <c r="B542" s="213" t="s">
        <v>376</v>
      </c>
      <c r="C542" t="s">
        <v>377</v>
      </c>
      <c r="D542" t="s">
        <v>19</v>
      </c>
      <c r="E542" s="228">
        <v>9.5</v>
      </c>
      <c r="F542" s="228">
        <v>135</v>
      </c>
      <c r="G542" s="229">
        <v>1282.5</v>
      </c>
      <c r="H542" s="46">
        <v>59</v>
      </c>
    </row>
    <row r="543" spans="1:8" x14ac:dyDescent="0.25">
      <c r="A543" s="47">
        <v>40666</v>
      </c>
      <c r="B543" s="213" t="s">
        <v>344</v>
      </c>
      <c r="C543" t="s">
        <v>345</v>
      </c>
      <c r="D543" t="s">
        <v>19</v>
      </c>
      <c r="E543" s="228">
        <v>9.5</v>
      </c>
      <c r="F543" s="228">
        <v>165</v>
      </c>
      <c r="G543" s="229">
        <v>1567.5</v>
      </c>
      <c r="H543" s="46">
        <v>59</v>
      </c>
    </row>
    <row r="544" spans="1:8" x14ac:dyDescent="0.25">
      <c r="A544" s="47">
        <v>40667</v>
      </c>
      <c r="B544" s="213" t="s">
        <v>344</v>
      </c>
      <c r="C544" t="s">
        <v>345</v>
      </c>
      <c r="D544" t="s">
        <v>19</v>
      </c>
      <c r="E544" s="228">
        <v>9.5</v>
      </c>
      <c r="F544" s="228">
        <v>165</v>
      </c>
      <c r="G544" s="229">
        <v>1567.5</v>
      </c>
      <c r="H544" s="46">
        <v>59</v>
      </c>
    </row>
    <row r="545" spans="1:8" x14ac:dyDescent="0.25">
      <c r="A545" s="47">
        <v>40667</v>
      </c>
      <c r="B545" s="213" t="s">
        <v>376</v>
      </c>
      <c r="C545" t="s">
        <v>377</v>
      </c>
      <c r="D545" t="s">
        <v>19</v>
      </c>
      <c r="E545" s="228">
        <v>9.5</v>
      </c>
      <c r="F545" s="228">
        <v>135</v>
      </c>
      <c r="G545" s="229">
        <v>1282.5</v>
      </c>
      <c r="H545" s="46">
        <v>59</v>
      </c>
    </row>
    <row r="546" spans="1:8" x14ac:dyDescent="0.25">
      <c r="A546" s="47">
        <v>40668</v>
      </c>
      <c r="B546" s="213" t="s">
        <v>376</v>
      </c>
      <c r="C546" t="s">
        <v>377</v>
      </c>
      <c r="D546" t="s">
        <v>19</v>
      </c>
      <c r="E546" s="228">
        <v>9.5</v>
      </c>
      <c r="F546" s="228">
        <v>135</v>
      </c>
      <c r="G546" s="229">
        <v>1282.5</v>
      </c>
      <c r="H546" s="46">
        <v>59</v>
      </c>
    </row>
    <row r="547" spans="1:8" x14ac:dyDescent="0.25">
      <c r="A547" s="47">
        <v>40668</v>
      </c>
      <c r="B547" s="213" t="s">
        <v>344</v>
      </c>
      <c r="C547" t="s">
        <v>345</v>
      </c>
      <c r="D547" t="s">
        <v>19</v>
      </c>
      <c r="E547" s="228">
        <v>9.5</v>
      </c>
      <c r="F547" s="228">
        <v>165</v>
      </c>
      <c r="G547" s="229">
        <v>1567.5</v>
      </c>
      <c r="H547" s="46">
        <v>59</v>
      </c>
    </row>
    <row r="548" spans="1:8" x14ac:dyDescent="0.25">
      <c r="A548" s="47">
        <v>40669</v>
      </c>
      <c r="B548" s="213" t="s">
        <v>344</v>
      </c>
      <c r="C548" t="s">
        <v>345</v>
      </c>
      <c r="D548" t="s">
        <v>19</v>
      </c>
      <c r="E548" s="228">
        <v>8</v>
      </c>
      <c r="F548" s="228">
        <v>165</v>
      </c>
      <c r="G548" s="229">
        <v>1320</v>
      </c>
      <c r="H548" s="46">
        <v>59</v>
      </c>
    </row>
    <row r="549" spans="1:8" x14ac:dyDescent="0.25">
      <c r="A549" s="47">
        <v>40669</v>
      </c>
      <c r="B549" s="213" t="s">
        <v>376</v>
      </c>
      <c r="C549" t="s">
        <v>377</v>
      </c>
      <c r="D549" t="s">
        <v>19</v>
      </c>
      <c r="E549" s="228">
        <v>8</v>
      </c>
      <c r="F549" s="228">
        <v>135</v>
      </c>
      <c r="G549" s="229">
        <v>1080</v>
      </c>
      <c r="H549" s="46">
        <v>59</v>
      </c>
    </row>
    <row r="550" spans="1:8" x14ac:dyDescent="0.25">
      <c r="A550" s="47">
        <v>40672</v>
      </c>
      <c r="B550" s="213" t="s">
        <v>344</v>
      </c>
      <c r="C550" t="s">
        <v>345</v>
      </c>
      <c r="D550" t="s">
        <v>19</v>
      </c>
      <c r="E550" s="228">
        <v>9.5</v>
      </c>
      <c r="F550" s="228">
        <v>165</v>
      </c>
      <c r="G550" s="229">
        <v>1567.5</v>
      </c>
      <c r="H550" s="46">
        <v>59</v>
      </c>
    </row>
    <row r="551" spans="1:8" x14ac:dyDescent="0.25">
      <c r="A551" s="47">
        <v>40672</v>
      </c>
      <c r="B551" s="213" t="s">
        <v>376</v>
      </c>
      <c r="C551" t="s">
        <v>377</v>
      </c>
      <c r="D551" t="s">
        <v>19</v>
      </c>
      <c r="E551" s="228">
        <v>9.5</v>
      </c>
      <c r="F551" s="228">
        <v>135</v>
      </c>
      <c r="G551" s="229">
        <v>1282.5</v>
      </c>
      <c r="H551" s="46">
        <v>59</v>
      </c>
    </row>
    <row r="552" spans="1:8" x14ac:dyDescent="0.25">
      <c r="A552" s="47">
        <v>40673</v>
      </c>
      <c r="B552" s="213" t="s">
        <v>376</v>
      </c>
      <c r="C552" t="s">
        <v>377</v>
      </c>
      <c r="D552" t="s">
        <v>19</v>
      </c>
      <c r="E552" s="228">
        <v>9.5</v>
      </c>
      <c r="F552" s="228">
        <v>135</v>
      </c>
      <c r="G552" s="229">
        <v>1282.5</v>
      </c>
      <c r="H552" s="46">
        <v>59</v>
      </c>
    </row>
    <row r="553" spans="1:8" x14ac:dyDescent="0.25">
      <c r="A553" s="47">
        <v>40673</v>
      </c>
      <c r="B553" s="213" t="s">
        <v>344</v>
      </c>
      <c r="C553" t="s">
        <v>345</v>
      </c>
      <c r="D553" t="s">
        <v>19</v>
      </c>
      <c r="E553" s="228">
        <v>9.5</v>
      </c>
      <c r="F553" s="228">
        <v>165</v>
      </c>
      <c r="G553" s="229">
        <v>1567.5</v>
      </c>
      <c r="H553" s="46">
        <v>59</v>
      </c>
    </row>
    <row r="554" spans="1:8" x14ac:dyDescent="0.25">
      <c r="A554" s="47">
        <v>40674</v>
      </c>
      <c r="B554" s="213" t="s">
        <v>376</v>
      </c>
      <c r="C554" t="s">
        <v>377</v>
      </c>
      <c r="D554" t="s">
        <v>19</v>
      </c>
      <c r="E554" s="228">
        <v>9.5</v>
      </c>
      <c r="F554" s="228">
        <v>135</v>
      </c>
      <c r="G554" s="229">
        <v>1282.5</v>
      </c>
      <c r="H554" s="46">
        <v>59</v>
      </c>
    </row>
    <row r="555" spans="1:8" x14ac:dyDescent="0.25">
      <c r="A555" s="47">
        <v>40674</v>
      </c>
      <c r="B555" s="213" t="s">
        <v>344</v>
      </c>
      <c r="C555" t="s">
        <v>345</v>
      </c>
      <c r="D555" t="s">
        <v>19</v>
      </c>
      <c r="E555" s="228">
        <v>9.5</v>
      </c>
      <c r="F555" s="228">
        <v>165</v>
      </c>
      <c r="G555" s="229">
        <v>1567.5</v>
      </c>
      <c r="H555" s="46">
        <v>59</v>
      </c>
    </row>
    <row r="556" spans="1:8" x14ac:dyDescent="0.25">
      <c r="A556" s="47">
        <v>40675</v>
      </c>
      <c r="B556" s="213" t="s">
        <v>344</v>
      </c>
      <c r="C556" t="s">
        <v>345</v>
      </c>
      <c r="D556" t="s">
        <v>19</v>
      </c>
      <c r="E556" s="228">
        <v>9.5</v>
      </c>
      <c r="F556" s="228">
        <v>165</v>
      </c>
      <c r="G556" s="229">
        <v>1567.5</v>
      </c>
      <c r="H556" s="46">
        <v>59</v>
      </c>
    </row>
    <row r="557" spans="1:8" x14ac:dyDescent="0.25">
      <c r="A557" s="47">
        <v>40675</v>
      </c>
      <c r="B557" s="213" t="s">
        <v>376</v>
      </c>
      <c r="C557" t="s">
        <v>377</v>
      </c>
      <c r="D557" t="s">
        <v>19</v>
      </c>
      <c r="E557" s="228">
        <v>9.5</v>
      </c>
      <c r="F557" s="228">
        <v>135</v>
      </c>
      <c r="G557" s="229">
        <v>1282.5</v>
      </c>
      <c r="H557" s="46">
        <v>59</v>
      </c>
    </row>
    <row r="558" spans="1:8" x14ac:dyDescent="0.25">
      <c r="A558" s="47">
        <v>40676</v>
      </c>
      <c r="B558" s="213" t="s">
        <v>376</v>
      </c>
      <c r="C558" t="s">
        <v>377</v>
      </c>
      <c r="D558" t="s">
        <v>19</v>
      </c>
      <c r="E558" s="228">
        <v>8</v>
      </c>
      <c r="F558" s="228">
        <v>135</v>
      </c>
      <c r="G558" s="229">
        <v>1080</v>
      </c>
      <c r="H558" s="46">
        <v>59</v>
      </c>
    </row>
    <row r="559" spans="1:8" x14ac:dyDescent="0.25">
      <c r="A559" s="47">
        <v>40676</v>
      </c>
      <c r="B559" s="213" t="s">
        <v>344</v>
      </c>
      <c r="C559" t="s">
        <v>345</v>
      </c>
      <c r="D559" t="s">
        <v>19</v>
      </c>
      <c r="E559" s="228">
        <v>8</v>
      </c>
      <c r="F559" s="228">
        <v>165</v>
      </c>
      <c r="G559" s="229">
        <v>1320</v>
      </c>
      <c r="H559" s="46">
        <v>59</v>
      </c>
    </row>
    <row r="560" spans="1:8" x14ac:dyDescent="0.25">
      <c r="A560" s="47">
        <v>40677</v>
      </c>
      <c r="B560" s="213" t="s">
        <v>376</v>
      </c>
      <c r="C560" t="s">
        <v>377</v>
      </c>
      <c r="D560" t="s">
        <v>19</v>
      </c>
      <c r="E560" s="228"/>
      <c r="F560" s="228">
        <v>135</v>
      </c>
      <c r="G560" s="229"/>
      <c r="H560" s="46">
        <v>59</v>
      </c>
    </row>
    <row r="561" spans="1:8" x14ac:dyDescent="0.25">
      <c r="A561" s="47">
        <v>40677</v>
      </c>
      <c r="B561" s="213" t="s">
        <v>344</v>
      </c>
      <c r="C561" t="s">
        <v>345</v>
      </c>
      <c r="D561" t="s">
        <v>19</v>
      </c>
      <c r="E561" s="228"/>
      <c r="F561" s="228">
        <v>165</v>
      </c>
      <c r="G561" s="229"/>
      <c r="H561" s="46">
        <v>59</v>
      </c>
    </row>
    <row r="562" spans="1:8" x14ac:dyDescent="0.25">
      <c r="A562" s="47">
        <v>40679</v>
      </c>
      <c r="B562" s="213" t="s">
        <v>376</v>
      </c>
      <c r="C562" t="s">
        <v>377</v>
      </c>
      <c r="D562" t="s">
        <v>19</v>
      </c>
      <c r="E562" s="228">
        <v>9.5</v>
      </c>
      <c r="F562" s="228">
        <v>135</v>
      </c>
      <c r="G562" s="229">
        <v>1282.5</v>
      </c>
      <c r="H562" s="46">
        <v>59</v>
      </c>
    </row>
    <row r="563" spans="1:8" x14ac:dyDescent="0.25">
      <c r="A563" s="47">
        <v>40679</v>
      </c>
      <c r="B563" s="213" t="s">
        <v>344</v>
      </c>
      <c r="C563" t="s">
        <v>345</v>
      </c>
      <c r="D563" t="s">
        <v>19</v>
      </c>
      <c r="E563" s="228">
        <v>9.5</v>
      </c>
      <c r="F563" s="228">
        <v>165</v>
      </c>
      <c r="G563" s="229">
        <v>1567.5</v>
      </c>
      <c r="H563" s="46">
        <v>59</v>
      </c>
    </row>
    <row r="564" spans="1:8" x14ac:dyDescent="0.25">
      <c r="A564" s="47">
        <v>40680</v>
      </c>
      <c r="B564" s="213" t="s">
        <v>344</v>
      </c>
      <c r="C564" t="s">
        <v>345</v>
      </c>
      <c r="D564" t="s">
        <v>19</v>
      </c>
      <c r="E564" s="228">
        <v>9.5</v>
      </c>
      <c r="F564" s="228">
        <v>165</v>
      </c>
      <c r="G564" s="229">
        <v>1567.5</v>
      </c>
      <c r="H564" s="46">
        <v>59</v>
      </c>
    </row>
    <row r="565" spans="1:8" x14ac:dyDescent="0.25">
      <c r="A565" s="47">
        <v>40680</v>
      </c>
      <c r="B565" s="213" t="s">
        <v>376</v>
      </c>
      <c r="C565" t="s">
        <v>377</v>
      </c>
      <c r="D565" t="s">
        <v>19</v>
      </c>
      <c r="E565" s="228">
        <v>9.5</v>
      </c>
      <c r="F565" s="228">
        <v>135</v>
      </c>
      <c r="G565" s="229">
        <v>1282.5</v>
      </c>
      <c r="H565" s="46">
        <v>59</v>
      </c>
    </row>
    <row r="566" spans="1:8" x14ac:dyDescent="0.25">
      <c r="A566" s="47">
        <v>40681</v>
      </c>
      <c r="B566" s="213" t="s">
        <v>376</v>
      </c>
      <c r="C566" t="s">
        <v>377</v>
      </c>
      <c r="D566" t="s">
        <v>19</v>
      </c>
      <c r="E566" s="228">
        <v>9.5</v>
      </c>
      <c r="F566" s="228">
        <v>135</v>
      </c>
      <c r="G566" s="229">
        <v>1282.5</v>
      </c>
      <c r="H566" s="46">
        <v>59</v>
      </c>
    </row>
    <row r="567" spans="1:8" x14ac:dyDescent="0.25">
      <c r="A567" s="47">
        <v>40681</v>
      </c>
      <c r="B567" s="213" t="s">
        <v>344</v>
      </c>
      <c r="C567" t="s">
        <v>345</v>
      </c>
      <c r="D567" t="s">
        <v>19</v>
      </c>
      <c r="E567" s="228">
        <v>9.5</v>
      </c>
      <c r="F567" s="228">
        <v>165</v>
      </c>
      <c r="G567" s="229">
        <v>1567.5</v>
      </c>
      <c r="H567" s="46">
        <v>59</v>
      </c>
    </row>
    <row r="568" spans="1:8" x14ac:dyDescent="0.25">
      <c r="A568" s="47">
        <v>40682</v>
      </c>
      <c r="B568" s="213" t="s">
        <v>376</v>
      </c>
      <c r="C568" t="s">
        <v>377</v>
      </c>
      <c r="D568" t="s">
        <v>19</v>
      </c>
      <c r="E568" s="228">
        <v>9.5</v>
      </c>
      <c r="F568" s="228">
        <v>135</v>
      </c>
      <c r="G568" s="229">
        <v>1282.5</v>
      </c>
      <c r="H568" s="46">
        <v>59</v>
      </c>
    </row>
    <row r="569" spans="1:8" x14ac:dyDescent="0.25">
      <c r="A569" s="47">
        <v>40682</v>
      </c>
      <c r="B569" s="213" t="s">
        <v>344</v>
      </c>
      <c r="C569" t="s">
        <v>345</v>
      </c>
      <c r="D569" t="s">
        <v>19</v>
      </c>
      <c r="E569" s="228">
        <v>9.5</v>
      </c>
      <c r="F569" s="228">
        <v>165</v>
      </c>
      <c r="G569" s="229">
        <v>1567.5</v>
      </c>
      <c r="H569" s="46">
        <v>59</v>
      </c>
    </row>
    <row r="570" spans="1:8" x14ac:dyDescent="0.25">
      <c r="A570" s="47">
        <v>40683</v>
      </c>
      <c r="B570" s="213" t="s">
        <v>376</v>
      </c>
      <c r="C570" t="s">
        <v>377</v>
      </c>
      <c r="D570" t="s">
        <v>19</v>
      </c>
      <c r="E570" s="228">
        <v>7</v>
      </c>
      <c r="F570" s="228">
        <v>135</v>
      </c>
      <c r="G570" s="229">
        <v>945</v>
      </c>
      <c r="H570" s="46">
        <v>59</v>
      </c>
    </row>
    <row r="571" spans="1:8" x14ac:dyDescent="0.25">
      <c r="A571" s="47">
        <v>40683</v>
      </c>
      <c r="B571" s="213" t="s">
        <v>344</v>
      </c>
      <c r="C571" t="s">
        <v>345</v>
      </c>
      <c r="D571" t="s">
        <v>19</v>
      </c>
      <c r="E571" s="228">
        <v>8</v>
      </c>
      <c r="F571" s="228">
        <v>165</v>
      </c>
      <c r="G571" s="229">
        <v>1320</v>
      </c>
      <c r="H571" s="46">
        <v>59</v>
      </c>
    </row>
    <row r="572" spans="1:8" x14ac:dyDescent="0.25">
      <c r="A572" s="47">
        <v>40686</v>
      </c>
      <c r="B572" s="213" t="s">
        <v>344</v>
      </c>
      <c r="C572" t="s">
        <v>345</v>
      </c>
      <c r="D572" t="s">
        <v>19</v>
      </c>
      <c r="E572" s="228">
        <v>9.5</v>
      </c>
      <c r="F572" s="228">
        <v>165</v>
      </c>
      <c r="G572" s="229">
        <v>1567.5</v>
      </c>
      <c r="H572" s="46">
        <v>59</v>
      </c>
    </row>
    <row r="573" spans="1:8" x14ac:dyDescent="0.25">
      <c r="A573" s="47">
        <v>40686</v>
      </c>
      <c r="B573" s="213" t="s">
        <v>376</v>
      </c>
      <c r="C573" t="s">
        <v>377</v>
      </c>
      <c r="D573" t="s">
        <v>19</v>
      </c>
      <c r="E573" s="228">
        <v>9.5</v>
      </c>
      <c r="F573" s="228">
        <v>135</v>
      </c>
      <c r="G573" s="229">
        <v>1282.5</v>
      </c>
      <c r="H573" s="46">
        <v>59</v>
      </c>
    </row>
    <row r="574" spans="1:8" x14ac:dyDescent="0.25">
      <c r="A574" s="47">
        <v>40687</v>
      </c>
      <c r="B574" s="213" t="s">
        <v>344</v>
      </c>
      <c r="C574" t="s">
        <v>345</v>
      </c>
      <c r="D574" t="s">
        <v>19</v>
      </c>
      <c r="E574" s="228">
        <v>9.5</v>
      </c>
      <c r="F574" s="228">
        <v>165</v>
      </c>
      <c r="G574" s="229">
        <v>1567.5</v>
      </c>
      <c r="H574" s="46">
        <v>59</v>
      </c>
    </row>
    <row r="575" spans="1:8" x14ac:dyDescent="0.25">
      <c r="A575" s="47">
        <v>40687</v>
      </c>
      <c r="B575" s="213" t="s">
        <v>376</v>
      </c>
      <c r="C575" t="s">
        <v>377</v>
      </c>
      <c r="D575" t="s">
        <v>19</v>
      </c>
      <c r="E575" s="228">
        <v>9.5</v>
      </c>
      <c r="F575" s="228">
        <v>135</v>
      </c>
      <c r="G575" s="229">
        <v>1282.5</v>
      </c>
      <c r="H575" s="46">
        <v>59</v>
      </c>
    </row>
    <row r="576" spans="1:8" x14ac:dyDescent="0.25">
      <c r="A576" s="47">
        <v>40688</v>
      </c>
      <c r="B576" s="213" t="s">
        <v>376</v>
      </c>
      <c r="C576" t="s">
        <v>377</v>
      </c>
      <c r="D576" t="s">
        <v>19</v>
      </c>
      <c r="E576" s="228">
        <v>9.5</v>
      </c>
      <c r="F576" s="228">
        <v>135</v>
      </c>
      <c r="G576" s="229">
        <v>1282.5</v>
      </c>
      <c r="H576" s="46">
        <v>59</v>
      </c>
    </row>
    <row r="577" spans="1:8" x14ac:dyDescent="0.25">
      <c r="A577" s="47">
        <v>40688</v>
      </c>
      <c r="B577" s="213" t="s">
        <v>344</v>
      </c>
      <c r="C577" t="s">
        <v>345</v>
      </c>
      <c r="D577" t="s">
        <v>19</v>
      </c>
      <c r="E577" s="228">
        <v>9.5</v>
      </c>
      <c r="F577" s="228">
        <v>165</v>
      </c>
      <c r="G577" s="229">
        <v>1567.5</v>
      </c>
      <c r="H577" s="46">
        <v>59</v>
      </c>
    </row>
    <row r="578" spans="1:8" x14ac:dyDescent="0.25">
      <c r="A578" s="47">
        <v>40689</v>
      </c>
      <c r="B578" s="213" t="s">
        <v>376</v>
      </c>
      <c r="C578" t="s">
        <v>377</v>
      </c>
      <c r="D578" t="s">
        <v>19</v>
      </c>
      <c r="E578" s="228">
        <v>9.5</v>
      </c>
      <c r="F578" s="228">
        <v>135</v>
      </c>
      <c r="G578" s="229">
        <v>1282.5</v>
      </c>
      <c r="H578" s="46">
        <v>59</v>
      </c>
    </row>
    <row r="579" spans="1:8" x14ac:dyDescent="0.25">
      <c r="A579" s="47">
        <v>40689</v>
      </c>
      <c r="B579" s="213" t="s">
        <v>344</v>
      </c>
      <c r="C579" t="s">
        <v>345</v>
      </c>
      <c r="D579" t="s">
        <v>19</v>
      </c>
      <c r="E579" s="228">
        <v>9.5</v>
      </c>
      <c r="F579" s="228">
        <v>165</v>
      </c>
      <c r="G579" s="229">
        <v>1567.5</v>
      </c>
      <c r="H579" s="46">
        <v>59</v>
      </c>
    </row>
    <row r="580" spans="1:8" x14ac:dyDescent="0.25">
      <c r="A580" s="47">
        <v>40690</v>
      </c>
      <c r="B580" s="213" t="s">
        <v>376</v>
      </c>
      <c r="C580" t="s">
        <v>377</v>
      </c>
      <c r="D580" t="s">
        <v>19</v>
      </c>
      <c r="E580" s="228">
        <v>8</v>
      </c>
      <c r="F580" s="228">
        <v>135</v>
      </c>
      <c r="G580" s="229">
        <v>1080</v>
      </c>
      <c r="H580" s="46">
        <v>59</v>
      </c>
    </row>
    <row r="581" spans="1:8" x14ac:dyDescent="0.25">
      <c r="A581" s="47">
        <v>40690</v>
      </c>
      <c r="B581" s="213" t="s">
        <v>344</v>
      </c>
      <c r="C581" t="s">
        <v>345</v>
      </c>
      <c r="D581" t="s">
        <v>19</v>
      </c>
      <c r="E581" s="228">
        <v>8</v>
      </c>
      <c r="F581" s="228">
        <v>165</v>
      </c>
      <c r="G581" s="229">
        <v>1320</v>
      </c>
      <c r="H581" s="46">
        <v>59</v>
      </c>
    </row>
    <row r="582" spans="1:8" x14ac:dyDescent="0.25">
      <c r="A582" s="47">
        <v>40694</v>
      </c>
      <c r="B582" s="213" t="s">
        <v>376</v>
      </c>
      <c r="C582" t="s">
        <v>377</v>
      </c>
      <c r="D582" t="s">
        <v>19</v>
      </c>
      <c r="E582" s="228">
        <v>10</v>
      </c>
      <c r="F582" s="228">
        <v>135</v>
      </c>
      <c r="G582" s="229">
        <v>1350</v>
      </c>
      <c r="H582" s="46">
        <v>59</v>
      </c>
    </row>
    <row r="583" spans="1:8" x14ac:dyDescent="0.25">
      <c r="A583" s="47">
        <v>40694</v>
      </c>
      <c r="B583" s="213" t="s">
        <v>344</v>
      </c>
      <c r="C583" t="s">
        <v>345</v>
      </c>
      <c r="D583" t="s">
        <v>19</v>
      </c>
      <c r="E583" s="228">
        <v>10</v>
      </c>
      <c r="F583" s="228">
        <v>165</v>
      </c>
      <c r="G583" s="229">
        <v>1650</v>
      </c>
      <c r="H583" s="46">
        <v>59</v>
      </c>
    </row>
    <row r="584" spans="1:8" x14ac:dyDescent="0.25">
      <c r="A584" s="47">
        <v>40695</v>
      </c>
      <c r="B584" s="213" t="s">
        <v>376</v>
      </c>
      <c r="C584" t="s">
        <v>377</v>
      </c>
      <c r="D584" t="s">
        <v>19</v>
      </c>
      <c r="E584" s="228">
        <v>5</v>
      </c>
      <c r="F584" s="228">
        <v>145</v>
      </c>
      <c r="G584" s="229">
        <v>725</v>
      </c>
      <c r="H584" s="46">
        <v>59</v>
      </c>
    </row>
    <row r="585" spans="1:8" x14ac:dyDescent="0.25">
      <c r="A585" s="47">
        <v>40695</v>
      </c>
      <c r="B585" s="213" t="s">
        <v>344</v>
      </c>
      <c r="C585" t="s">
        <v>345</v>
      </c>
      <c r="D585" t="s">
        <v>19</v>
      </c>
      <c r="E585" s="228">
        <v>5</v>
      </c>
      <c r="F585" s="228">
        <v>165</v>
      </c>
      <c r="G585" s="229">
        <v>825</v>
      </c>
      <c r="H585" s="46">
        <v>59</v>
      </c>
    </row>
    <row r="586" spans="1:8" x14ac:dyDescent="0.25">
      <c r="A586" s="47">
        <v>40696</v>
      </c>
      <c r="B586" s="213" t="s">
        <v>376</v>
      </c>
      <c r="C586" t="s">
        <v>377</v>
      </c>
      <c r="D586" t="s">
        <v>19</v>
      </c>
      <c r="E586" s="228">
        <v>10</v>
      </c>
      <c r="F586" s="228">
        <v>135</v>
      </c>
      <c r="G586" s="229">
        <v>1350</v>
      </c>
      <c r="H586" s="46">
        <v>59</v>
      </c>
    </row>
    <row r="587" spans="1:8" x14ac:dyDescent="0.25">
      <c r="A587" s="47">
        <v>40696</v>
      </c>
      <c r="B587" s="213" t="s">
        <v>344</v>
      </c>
      <c r="C587" t="s">
        <v>345</v>
      </c>
      <c r="D587" t="s">
        <v>19</v>
      </c>
      <c r="E587" s="228">
        <v>10</v>
      </c>
      <c r="F587" s="228">
        <v>165</v>
      </c>
      <c r="G587" s="229">
        <v>1650</v>
      </c>
      <c r="H587" s="46">
        <v>59</v>
      </c>
    </row>
    <row r="588" spans="1:8" x14ac:dyDescent="0.25">
      <c r="A588" s="47">
        <v>40697</v>
      </c>
      <c r="B588" s="213" t="s">
        <v>344</v>
      </c>
      <c r="C588" t="s">
        <v>345</v>
      </c>
      <c r="D588" t="s">
        <v>19</v>
      </c>
      <c r="E588" s="228">
        <v>10</v>
      </c>
      <c r="F588" s="228">
        <v>165</v>
      </c>
      <c r="G588" s="229">
        <v>1650</v>
      </c>
      <c r="H588" s="46">
        <v>59</v>
      </c>
    </row>
    <row r="589" spans="1:8" x14ac:dyDescent="0.25">
      <c r="A589" s="47">
        <v>40697</v>
      </c>
      <c r="B589" s="213" t="s">
        <v>376</v>
      </c>
      <c r="C589" t="s">
        <v>377</v>
      </c>
      <c r="D589" t="s">
        <v>19</v>
      </c>
      <c r="E589" s="228">
        <v>10</v>
      </c>
      <c r="F589" s="228">
        <v>135</v>
      </c>
      <c r="G589" s="229">
        <v>1350</v>
      </c>
      <c r="H589" s="46">
        <v>59</v>
      </c>
    </row>
    <row r="590" spans="1:8" x14ac:dyDescent="0.25">
      <c r="A590" s="47">
        <v>40698</v>
      </c>
      <c r="B590" s="213" t="s">
        <v>376</v>
      </c>
      <c r="C590" t="s">
        <v>377</v>
      </c>
      <c r="D590" t="s">
        <v>19</v>
      </c>
      <c r="E590" s="228">
        <v>8</v>
      </c>
      <c r="F590" s="228">
        <v>135</v>
      </c>
      <c r="G590" s="229">
        <v>1080</v>
      </c>
      <c r="H590" s="46">
        <v>59</v>
      </c>
    </row>
    <row r="591" spans="1:8" x14ac:dyDescent="0.25">
      <c r="A591" s="47">
        <v>40698</v>
      </c>
      <c r="B591" s="213" t="s">
        <v>344</v>
      </c>
      <c r="C591" t="s">
        <v>345</v>
      </c>
      <c r="D591" t="s">
        <v>19</v>
      </c>
      <c r="E591" s="228">
        <v>8</v>
      </c>
      <c r="F591" s="228">
        <v>165</v>
      </c>
      <c r="G591" s="229">
        <v>1320</v>
      </c>
      <c r="H591" s="46">
        <v>59</v>
      </c>
    </row>
    <row r="592" spans="1:8" x14ac:dyDescent="0.25">
      <c r="A592" s="47">
        <v>40700</v>
      </c>
      <c r="B592" s="213" t="s">
        <v>376</v>
      </c>
      <c r="C592" t="s">
        <v>377</v>
      </c>
      <c r="D592" t="s">
        <v>19</v>
      </c>
      <c r="E592" s="228">
        <v>10</v>
      </c>
      <c r="F592" s="228">
        <v>145</v>
      </c>
      <c r="G592" s="229">
        <v>1450</v>
      </c>
      <c r="H592" s="46">
        <v>59</v>
      </c>
    </row>
    <row r="593" spans="1:8" x14ac:dyDescent="0.25">
      <c r="A593" s="47">
        <v>40700</v>
      </c>
      <c r="B593" s="213" t="s">
        <v>344</v>
      </c>
      <c r="C593" t="s">
        <v>345</v>
      </c>
      <c r="D593" t="s">
        <v>19</v>
      </c>
      <c r="E593" s="228">
        <v>10</v>
      </c>
      <c r="F593" s="228">
        <v>165</v>
      </c>
      <c r="G593" s="229">
        <v>1650</v>
      </c>
      <c r="H593" s="46">
        <v>59</v>
      </c>
    </row>
    <row r="594" spans="1:8" x14ac:dyDescent="0.25">
      <c r="A594" s="47">
        <v>40701</v>
      </c>
      <c r="B594" s="213" t="s">
        <v>344</v>
      </c>
      <c r="C594" t="s">
        <v>345</v>
      </c>
      <c r="D594" t="s">
        <v>19</v>
      </c>
      <c r="E594" s="228">
        <v>10</v>
      </c>
      <c r="F594" s="228">
        <v>165</v>
      </c>
      <c r="G594" s="229">
        <v>1650</v>
      </c>
      <c r="H594" s="46">
        <v>59</v>
      </c>
    </row>
    <row r="595" spans="1:8" x14ac:dyDescent="0.25">
      <c r="A595" s="47">
        <v>40701</v>
      </c>
      <c r="B595" s="213" t="s">
        <v>376</v>
      </c>
      <c r="C595" t="s">
        <v>377</v>
      </c>
      <c r="D595" t="s">
        <v>19</v>
      </c>
      <c r="E595" s="228">
        <v>10</v>
      </c>
      <c r="F595" s="228">
        <v>145</v>
      </c>
      <c r="G595" s="229">
        <v>1450</v>
      </c>
      <c r="H595" s="46">
        <v>59</v>
      </c>
    </row>
    <row r="596" spans="1:8" x14ac:dyDescent="0.25">
      <c r="A596" s="47">
        <v>40709</v>
      </c>
      <c r="B596" s="213" t="s">
        <v>344</v>
      </c>
      <c r="C596" t="s">
        <v>345</v>
      </c>
      <c r="D596" t="s">
        <v>19</v>
      </c>
      <c r="E596" s="228">
        <v>10</v>
      </c>
      <c r="F596" s="228">
        <v>165</v>
      </c>
      <c r="G596" s="229">
        <v>1650</v>
      </c>
      <c r="H596" s="46">
        <v>59</v>
      </c>
    </row>
    <row r="597" spans="1:8" x14ac:dyDescent="0.25">
      <c r="A597" s="47">
        <v>40709</v>
      </c>
      <c r="B597" s="213" t="s">
        <v>376</v>
      </c>
      <c r="C597" t="s">
        <v>377</v>
      </c>
      <c r="D597" t="s">
        <v>19</v>
      </c>
      <c r="E597" s="228">
        <v>5</v>
      </c>
      <c r="F597" s="228">
        <v>145</v>
      </c>
      <c r="G597" s="229">
        <v>725</v>
      </c>
      <c r="H597" s="46">
        <v>59</v>
      </c>
    </row>
    <row r="598" spans="1:8" x14ac:dyDescent="0.25">
      <c r="A598" s="47">
        <v>40710</v>
      </c>
      <c r="B598" s="213" t="s">
        <v>376</v>
      </c>
      <c r="C598" t="s">
        <v>377</v>
      </c>
      <c r="D598" t="s">
        <v>19</v>
      </c>
      <c r="E598" s="228">
        <v>10</v>
      </c>
      <c r="F598" s="228">
        <v>145</v>
      </c>
      <c r="G598" s="229">
        <v>1450</v>
      </c>
      <c r="H598" s="46">
        <v>59</v>
      </c>
    </row>
    <row r="599" spans="1:8" x14ac:dyDescent="0.25">
      <c r="A599" s="47">
        <v>40710</v>
      </c>
      <c r="B599" s="213" t="s">
        <v>344</v>
      </c>
      <c r="C599" t="s">
        <v>345</v>
      </c>
      <c r="D599" t="s">
        <v>19</v>
      </c>
      <c r="E599" s="228">
        <v>10</v>
      </c>
      <c r="F599" s="228">
        <v>165</v>
      </c>
      <c r="G599" s="229">
        <v>1650</v>
      </c>
      <c r="H599" s="46">
        <v>59</v>
      </c>
    </row>
    <row r="600" spans="1:8" x14ac:dyDescent="0.25">
      <c r="A600" s="47">
        <v>40711</v>
      </c>
      <c r="B600" s="213" t="s">
        <v>376</v>
      </c>
      <c r="C600" t="s">
        <v>377</v>
      </c>
      <c r="D600" t="s">
        <v>19</v>
      </c>
      <c r="E600" s="228">
        <v>8</v>
      </c>
      <c r="F600" s="228">
        <v>145</v>
      </c>
      <c r="G600" s="229">
        <v>1160</v>
      </c>
      <c r="H600" s="46">
        <v>59</v>
      </c>
    </row>
    <row r="601" spans="1:8" x14ac:dyDescent="0.25">
      <c r="A601" s="47">
        <v>40711</v>
      </c>
      <c r="B601" s="213" t="s">
        <v>344</v>
      </c>
      <c r="C601" t="s">
        <v>345</v>
      </c>
      <c r="D601" t="s">
        <v>19</v>
      </c>
      <c r="E601" s="228">
        <v>8</v>
      </c>
      <c r="F601" s="228">
        <v>165</v>
      </c>
      <c r="G601" s="229">
        <v>1320</v>
      </c>
      <c r="H601" s="46">
        <v>59</v>
      </c>
    </row>
    <row r="602" spans="1:8" x14ac:dyDescent="0.25">
      <c r="A602" s="47">
        <v>40714</v>
      </c>
      <c r="B602" s="213" t="s">
        <v>376</v>
      </c>
      <c r="C602" t="s">
        <v>377</v>
      </c>
      <c r="D602" t="s">
        <v>19</v>
      </c>
      <c r="E602" s="228">
        <v>10</v>
      </c>
      <c r="F602" s="228">
        <v>145</v>
      </c>
      <c r="G602" s="229">
        <v>1450</v>
      </c>
      <c r="H602" s="46">
        <v>59</v>
      </c>
    </row>
    <row r="603" spans="1:8" x14ac:dyDescent="0.25">
      <c r="A603" s="47">
        <v>40715</v>
      </c>
      <c r="B603" s="213" t="s">
        <v>376</v>
      </c>
      <c r="C603" t="s">
        <v>377</v>
      </c>
      <c r="D603" t="s">
        <v>19</v>
      </c>
      <c r="E603" s="228">
        <v>10</v>
      </c>
      <c r="F603" s="228">
        <v>145</v>
      </c>
      <c r="G603" s="229">
        <v>1450</v>
      </c>
      <c r="H603" s="46">
        <v>59</v>
      </c>
    </row>
    <row r="604" spans="1:8" x14ac:dyDescent="0.25">
      <c r="A604" s="47">
        <v>40716</v>
      </c>
      <c r="B604" s="213" t="s">
        <v>376</v>
      </c>
      <c r="C604" t="s">
        <v>377</v>
      </c>
      <c r="D604" t="s">
        <v>19</v>
      </c>
      <c r="E604" s="228">
        <v>10</v>
      </c>
      <c r="F604" s="228">
        <v>145</v>
      </c>
      <c r="G604" s="229">
        <v>1450</v>
      </c>
      <c r="H604" s="46">
        <v>59</v>
      </c>
    </row>
    <row r="605" spans="1:8" x14ac:dyDescent="0.25">
      <c r="A605" s="47">
        <v>40717</v>
      </c>
      <c r="B605" s="213" t="s">
        <v>376</v>
      </c>
      <c r="C605" t="s">
        <v>377</v>
      </c>
      <c r="D605" t="s">
        <v>19</v>
      </c>
      <c r="E605" s="228">
        <v>10</v>
      </c>
      <c r="F605" s="228">
        <v>135</v>
      </c>
      <c r="G605" s="229">
        <v>1350</v>
      </c>
      <c r="H605" s="46">
        <v>59</v>
      </c>
    </row>
    <row r="606" spans="1:8" x14ac:dyDescent="0.25">
      <c r="A606" s="47">
        <v>40718</v>
      </c>
      <c r="B606" s="213" t="s">
        <v>349</v>
      </c>
      <c r="C606" t="s">
        <v>343</v>
      </c>
      <c r="D606" t="s">
        <v>19</v>
      </c>
      <c r="E606" s="228">
        <v>5</v>
      </c>
      <c r="F606" s="228">
        <v>130</v>
      </c>
      <c r="G606" s="229">
        <v>650</v>
      </c>
      <c r="H606" s="46">
        <v>59</v>
      </c>
    </row>
    <row r="607" spans="1:8" x14ac:dyDescent="0.25">
      <c r="A607" s="47">
        <v>40721</v>
      </c>
      <c r="B607" s="213" t="s">
        <v>376</v>
      </c>
      <c r="C607" t="s">
        <v>377</v>
      </c>
      <c r="D607" t="s">
        <v>19</v>
      </c>
      <c r="E607" s="228">
        <v>4</v>
      </c>
      <c r="F607" s="228">
        <v>135</v>
      </c>
      <c r="G607" s="229">
        <v>540</v>
      </c>
      <c r="H607" s="46">
        <v>59</v>
      </c>
    </row>
    <row r="608" spans="1:8" x14ac:dyDescent="0.25">
      <c r="A608" s="47">
        <v>40722</v>
      </c>
      <c r="B608" s="213" t="s">
        <v>376</v>
      </c>
      <c r="C608" t="s">
        <v>377</v>
      </c>
      <c r="D608" t="s">
        <v>19</v>
      </c>
      <c r="E608" s="228">
        <v>2</v>
      </c>
      <c r="F608" s="228">
        <v>135</v>
      </c>
      <c r="G608" s="229">
        <v>270</v>
      </c>
      <c r="H608" s="46">
        <v>59</v>
      </c>
    </row>
    <row r="609" spans="1:8" x14ac:dyDescent="0.25">
      <c r="A609" s="47">
        <v>40723</v>
      </c>
      <c r="B609" s="213" t="s">
        <v>376</v>
      </c>
      <c r="C609" t="s">
        <v>377</v>
      </c>
      <c r="D609" t="s">
        <v>19</v>
      </c>
      <c r="E609" s="228">
        <v>10</v>
      </c>
      <c r="F609" s="228">
        <v>135</v>
      </c>
      <c r="G609" s="229">
        <v>1350</v>
      </c>
      <c r="H609" s="46">
        <v>59</v>
      </c>
    </row>
    <row r="610" spans="1:8" x14ac:dyDescent="0.25">
      <c r="A610" s="47">
        <v>40724</v>
      </c>
      <c r="B610" s="213" t="s">
        <v>349</v>
      </c>
      <c r="C610" t="s">
        <v>343</v>
      </c>
      <c r="D610" t="s">
        <v>19</v>
      </c>
      <c r="E610" s="228">
        <v>10</v>
      </c>
      <c r="F610" s="228">
        <v>130</v>
      </c>
      <c r="G610" s="229">
        <v>1300</v>
      </c>
      <c r="H610" s="46">
        <v>59</v>
      </c>
    </row>
    <row r="611" spans="1:8" x14ac:dyDescent="0.25">
      <c r="A611" s="47">
        <v>40724</v>
      </c>
      <c r="B611" s="213" t="s">
        <v>378</v>
      </c>
      <c r="C611" t="s">
        <v>538</v>
      </c>
      <c r="D611" t="s">
        <v>19</v>
      </c>
      <c r="E611" s="228">
        <v>10</v>
      </c>
      <c r="F611" s="228">
        <v>38</v>
      </c>
      <c r="G611" s="229">
        <v>380</v>
      </c>
      <c r="H611" s="46">
        <v>59</v>
      </c>
    </row>
    <row r="612" spans="1:8" x14ac:dyDescent="0.25">
      <c r="A612" s="47">
        <v>40724</v>
      </c>
      <c r="B612" s="213" t="s">
        <v>376</v>
      </c>
      <c r="C612" t="s">
        <v>377</v>
      </c>
      <c r="D612" t="s">
        <v>19</v>
      </c>
      <c r="E612" s="228">
        <v>10</v>
      </c>
      <c r="F612" s="228">
        <v>135</v>
      </c>
      <c r="G612" s="229">
        <v>1350</v>
      </c>
      <c r="H612" s="46">
        <v>59</v>
      </c>
    </row>
    <row r="613" spans="1:8" x14ac:dyDescent="0.25">
      <c r="A613" s="47">
        <v>40724</v>
      </c>
      <c r="B613" s="213" t="s">
        <v>392</v>
      </c>
      <c r="C613" t="s">
        <v>387</v>
      </c>
      <c r="D613" t="s">
        <v>19</v>
      </c>
      <c r="E613" s="228">
        <v>0.5</v>
      </c>
      <c r="F613" s="228">
        <v>385</v>
      </c>
      <c r="G613" s="229">
        <v>192.5</v>
      </c>
      <c r="H613" s="46">
        <v>59</v>
      </c>
    </row>
    <row r="614" spans="1:8" x14ac:dyDescent="0.25">
      <c r="A614" s="47">
        <v>40724</v>
      </c>
      <c r="B614" s="213" t="s">
        <v>359</v>
      </c>
      <c r="C614" t="s">
        <v>535</v>
      </c>
      <c r="D614" t="s">
        <v>19</v>
      </c>
      <c r="E614" s="228">
        <v>10</v>
      </c>
      <c r="F614" s="228">
        <v>41.83</v>
      </c>
      <c r="G614" s="229">
        <v>418.3</v>
      </c>
      <c r="H614" s="46">
        <v>59</v>
      </c>
    </row>
    <row r="615" spans="1:8" x14ac:dyDescent="0.25">
      <c r="A615" s="47">
        <v>40724</v>
      </c>
      <c r="B615" s="213" t="s">
        <v>5</v>
      </c>
      <c r="C615" t="s">
        <v>536</v>
      </c>
      <c r="D615" t="s">
        <v>19</v>
      </c>
      <c r="E615" s="228">
        <v>10</v>
      </c>
      <c r="F615" s="228">
        <v>32.200000000000003</v>
      </c>
      <c r="G615" s="229">
        <v>322</v>
      </c>
      <c r="H615" s="46">
        <v>59</v>
      </c>
    </row>
    <row r="616" spans="1:8" x14ac:dyDescent="0.25">
      <c r="A616" s="47">
        <v>40724</v>
      </c>
      <c r="B616" s="213" t="s">
        <v>379</v>
      </c>
      <c r="C616" t="s">
        <v>375</v>
      </c>
      <c r="D616" t="s">
        <v>19</v>
      </c>
      <c r="E616" s="228">
        <v>1</v>
      </c>
      <c r="F616" s="228">
        <v>255</v>
      </c>
      <c r="G616" s="229">
        <v>255</v>
      </c>
      <c r="H616" s="46">
        <v>59</v>
      </c>
    </row>
    <row r="617" spans="1:8" x14ac:dyDescent="0.25">
      <c r="A617" s="47">
        <v>40724</v>
      </c>
      <c r="B617" s="213" t="s">
        <v>372</v>
      </c>
      <c r="C617" t="s">
        <v>367</v>
      </c>
      <c r="D617" t="s">
        <v>57</v>
      </c>
      <c r="E617" s="228">
        <v>1</v>
      </c>
      <c r="F617" s="228">
        <v>365</v>
      </c>
      <c r="G617" s="229">
        <v>365</v>
      </c>
      <c r="H617" s="46">
        <v>59</v>
      </c>
    </row>
    <row r="618" spans="1:8" x14ac:dyDescent="0.25">
      <c r="A618" s="47">
        <v>40725</v>
      </c>
      <c r="B618" s="213" t="s">
        <v>349</v>
      </c>
      <c r="C618" t="s">
        <v>343</v>
      </c>
      <c r="D618" t="s">
        <v>19</v>
      </c>
      <c r="E618" s="228">
        <v>4</v>
      </c>
      <c r="F618" s="228">
        <v>130</v>
      </c>
      <c r="G618" s="229">
        <v>520</v>
      </c>
      <c r="H618" s="46">
        <v>59</v>
      </c>
    </row>
    <row r="619" spans="1:8" x14ac:dyDescent="0.25">
      <c r="A619" s="47">
        <v>40725</v>
      </c>
      <c r="B619" s="213" t="s">
        <v>350</v>
      </c>
      <c r="C619" t="s">
        <v>351</v>
      </c>
      <c r="D619" t="s">
        <v>19</v>
      </c>
      <c r="E619" s="228">
        <v>4</v>
      </c>
      <c r="F619" s="228">
        <v>85</v>
      </c>
      <c r="G619" s="229">
        <v>340</v>
      </c>
      <c r="H619" s="46">
        <v>59</v>
      </c>
    </row>
    <row r="620" spans="1:8" x14ac:dyDescent="0.25">
      <c r="A620" s="47">
        <v>40725</v>
      </c>
      <c r="B620" s="213" t="s">
        <v>376</v>
      </c>
      <c r="C620" t="s">
        <v>377</v>
      </c>
      <c r="D620" t="s">
        <v>19</v>
      </c>
      <c r="E620" s="228">
        <v>4</v>
      </c>
      <c r="F620" s="228">
        <v>135</v>
      </c>
      <c r="G620" s="229">
        <v>540</v>
      </c>
      <c r="H620" s="46">
        <v>59</v>
      </c>
    </row>
    <row r="621" spans="1:8" x14ac:dyDescent="0.25">
      <c r="A621" s="47">
        <v>40725</v>
      </c>
      <c r="B621" s="213" t="s">
        <v>378</v>
      </c>
      <c r="C621" t="s">
        <v>538</v>
      </c>
      <c r="D621" t="s">
        <v>19</v>
      </c>
      <c r="E621" s="228">
        <v>4</v>
      </c>
      <c r="F621" s="228">
        <v>38</v>
      </c>
      <c r="G621" s="229">
        <v>152</v>
      </c>
      <c r="H621" s="46">
        <v>59</v>
      </c>
    </row>
    <row r="622" spans="1:8" x14ac:dyDescent="0.25">
      <c r="A622" s="47">
        <v>40725</v>
      </c>
      <c r="B622" s="213" t="s">
        <v>363</v>
      </c>
      <c r="C622" t="s">
        <v>536</v>
      </c>
      <c r="D622" t="s">
        <v>19</v>
      </c>
      <c r="E622" s="228">
        <v>8</v>
      </c>
      <c r="F622" s="228">
        <v>43.4</v>
      </c>
      <c r="G622" s="229">
        <v>347.2</v>
      </c>
      <c r="H622" s="46">
        <v>59</v>
      </c>
    </row>
    <row r="623" spans="1:8" x14ac:dyDescent="0.25">
      <c r="A623" s="47">
        <v>40725</v>
      </c>
      <c r="B623" s="213" t="s">
        <v>386</v>
      </c>
      <c r="C623" t="s">
        <v>387</v>
      </c>
      <c r="D623" t="s">
        <v>19</v>
      </c>
      <c r="E623" s="228">
        <v>0.5</v>
      </c>
      <c r="F623" s="228">
        <v>385</v>
      </c>
      <c r="G623" s="229">
        <v>192.5</v>
      </c>
      <c r="H623" s="46">
        <v>59</v>
      </c>
    </row>
    <row r="624" spans="1:8" x14ac:dyDescent="0.25">
      <c r="A624" s="47">
        <v>40725</v>
      </c>
      <c r="B624" s="213" t="s">
        <v>5</v>
      </c>
      <c r="C624" t="s">
        <v>536</v>
      </c>
      <c r="D624" t="s">
        <v>19</v>
      </c>
      <c r="E624" s="228">
        <v>8</v>
      </c>
      <c r="F624" s="228">
        <v>32.200000000000003</v>
      </c>
      <c r="G624" s="229">
        <v>257.60000000000002</v>
      </c>
      <c r="H624" s="46">
        <v>59</v>
      </c>
    </row>
    <row r="625" spans="1:8" x14ac:dyDescent="0.25">
      <c r="A625" s="47">
        <v>40725</v>
      </c>
      <c r="B625" s="213" t="s">
        <v>5</v>
      </c>
      <c r="C625" t="s">
        <v>535</v>
      </c>
      <c r="D625" t="s">
        <v>19</v>
      </c>
      <c r="E625" s="228">
        <v>8</v>
      </c>
      <c r="F625" s="228">
        <v>32.200000000000003</v>
      </c>
      <c r="G625" s="229">
        <v>257.60000000000002</v>
      </c>
      <c r="H625" s="46">
        <v>59</v>
      </c>
    </row>
    <row r="626" spans="1:8" x14ac:dyDescent="0.25">
      <c r="A626" s="47">
        <v>40725</v>
      </c>
      <c r="B626" s="213" t="s">
        <v>359</v>
      </c>
      <c r="C626" t="s">
        <v>535</v>
      </c>
      <c r="D626" t="s">
        <v>19</v>
      </c>
      <c r="E626" s="228">
        <v>8</v>
      </c>
      <c r="F626" s="228">
        <v>41.83</v>
      </c>
      <c r="G626" s="229">
        <v>334.64</v>
      </c>
      <c r="H626" s="46">
        <v>59</v>
      </c>
    </row>
    <row r="627" spans="1:8" x14ac:dyDescent="0.25">
      <c r="A627" s="47">
        <v>40725</v>
      </c>
      <c r="B627" s="213" t="s">
        <v>379</v>
      </c>
      <c r="C627" t="s">
        <v>375</v>
      </c>
      <c r="D627" t="s">
        <v>19</v>
      </c>
      <c r="E627" s="228">
        <v>1</v>
      </c>
      <c r="F627" s="228">
        <v>255</v>
      </c>
      <c r="G627" s="229">
        <v>255</v>
      </c>
      <c r="H627" s="46">
        <v>59</v>
      </c>
    </row>
    <row r="628" spans="1:8" x14ac:dyDescent="0.25">
      <c r="A628" s="47">
        <v>40725</v>
      </c>
      <c r="B628" s="213" t="s">
        <v>372</v>
      </c>
      <c r="C628" t="s">
        <v>367</v>
      </c>
      <c r="D628" t="s">
        <v>57</v>
      </c>
      <c r="E628" s="228">
        <v>1</v>
      </c>
      <c r="F628" s="228">
        <v>365</v>
      </c>
      <c r="G628" s="229">
        <v>365</v>
      </c>
      <c r="H628" s="46">
        <v>59</v>
      </c>
    </row>
    <row r="629" spans="1:8" x14ac:dyDescent="0.25">
      <c r="A629" s="47">
        <v>40728</v>
      </c>
      <c r="B629" s="213" t="s">
        <v>349</v>
      </c>
      <c r="C629" t="s">
        <v>343</v>
      </c>
      <c r="D629" t="s">
        <v>19</v>
      </c>
      <c r="E629" s="228">
        <v>6</v>
      </c>
      <c r="F629" s="228">
        <v>130</v>
      </c>
      <c r="G629" s="229">
        <v>780</v>
      </c>
      <c r="H629" s="46">
        <v>59</v>
      </c>
    </row>
    <row r="630" spans="1:8" x14ac:dyDescent="0.25">
      <c r="A630" s="47">
        <v>40729</v>
      </c>
      <c r="B630" s="213" t="s">
        <v>372</v>
      </c>
      <c r="C630" t="s">
        <v>367</v>
      </c>
      <c r="D630" t="s">
        <v>57</v>
      </c>
      <c r="E630" s="228">
        <v>1</v>
      </c>
      <c r="F630" s="228">
        <v>365</v>
      </c>
      <c r="G630" s="229">
        <v>365</v>
      </c>
      <c r="H630" s="46">
        <v>59</v>
      </c>
    </row>
    <row r="631" spans="1:8" x14ac:dyDescent="0.25">
      <c r="A631" s="47">
        <v>40729</v>
      </c>
      <c r="B631" s="213" t="s">
        <v>378</v>
      </c>
      <c r="C631" t="s">
        <v>538</v>
      </c>
      <c r="D631" t="s">
        <v>19</v>
      </c>
      <c r="E631" s="228">
        <v>10</v>
      </c>
      <c r="F631" s="228">
        <v>38</v>
      </c>
      <c r="G631" s="229">
        <v>380</v>
      </c>
      <c r="H631" s="46">
        <v>59</v>
      </c>
    </row>
    <row r="632" spans="1:8" x14ac:dyDescent="0.25">
      <c r="A632" s="47">
        <v>40731</v>
      </c>
      <c r="B632" s="213" t="s">
        <v>349</v>
      </c>
      <c r="C632" t="s">
        <v>343</v>
      </c>
      <c r="D632" t="s">
        <v>19</v>
      </c>
      <c r="E632" s="228">
        <v>3</v>
      </c>
      <c r="F632" s="228">
        <v>130</v>
      </c>
      <c r="G632" s="229">
        <v>390</v>
      </c>
      <c r="H632" s="46">
        <v>59</v>
      </c>
    </row>
    <row r="633" spans="1:8" x14ac:dyDescent="0.25">
      <c r="A633" s="47">
        <v>40732</v>
      </c>
      <c r="B633" s="213" t="s">
        <v>349</v>
      </c>
      <c r="C633" t="s">
        <v>343</v>
      </c>
      <c r="D633" t="s">
        <v>19</v>
      </c>
      <c r="E633" s="228">
        <v>3</v>
      </c>
      <c r="F633" s="228">
        <v>130</v>
      </c>
      <c r="G633" s="229">
        <v>390</v>
      </c>
      <c r="H633" s="46">
        <v>59</v>
      </c>
    </row>
    <row r="634" spans="1:8" x14ac:dyDescent="0.25">
      <c r="A634" s="258" t="s">
        <v>230</v>
      </c>
      <c r="B634" s="230" t="s">
        <v>393</v>
      </c>
      <c r="C634" s="231" t="s">
        <v>230</v>
      </c>
      <c r="D634" s="231" t="s">
        <v>230</v>
      </c>
      <c r="E634" s="232"/>
      <c r="F634" s="232"/>
      <c r="G634" s="233">
        <v>105179.34</v>
      </c>
      <c r="H634" s="243" t="s">
        <v>230</v>
      </c>
    </row>
    <row r="635" spans="1:8" x14ac:dyDescent="0.25">
      <c r="A635" s="47" t="s">
        <v>230</v>
      </c>
      <c r="B635" s="213" t="s">
        <v>230</v>
      </c>
      <c r="C635" t="s">
        <v>230</v>
      </c>
      <c r="D635" t="s">
        <v>230</v>
      </c>
      <c r="E635" s="228"/>
      <c r="F635" s="228"/>
      <c r="G635" s="229"/>
      <c r="H635" s="46" t="s">
        <v>230</v>
      </c>
    </row>
    <row r="636" spans="1:8" x14ac:dyDescent="0.25">
      <c r="A636" s="257" t="s">
        <v>230</v>
      </c>
      <c r="B636" s="224" t="s">
        <v>585</v>
      </c>
      <c r="C636" s="48" t="s">
        <v>230</v>
      </c>
      <c r="D636" s="48" t="s">
        <v>230</v>
      </c>
      <c r="E636" s="226"/>
      <c r="F636" s="226"/>
      <c r="G636" s="227"/>
      <c r="H636" s="225" t="s">
        <v>230</v>
      </c>
    </row>
    <row r="637" spans="1:8" x14ac:dyDescent="0.25">
      <c r="A637" s="47">
        <v>40718</v>
      </c>
      <c r="B637" s="213" t="s">
        <v>376</v>
      </c>
      <c r="C637" t="s">
        <v>377</v>
      </c>
      <c r="D637" t="s">
        <v>19</v>
      </c>
      <c r="E637" s="228">
        <v>5.5</v>
      </c>
      <c r="F637" s="228">
        <v>135</v>
      </c>
      <c r="G637" s="229">
        <v>742.5</v>
      </c>
      <c r="H637" s="46">
        <v>62</v>
      </c>
    </row>
    <row r="638" spans="1:8" x14ac:dyDescent="0.25">
      <c r="A638" s="47">
        <v>40718</v>
      </c>
      <c r="B638" s="213" t="s">
        <v>364</v>
      </c>
      <c r="C638" t="s">
        <v>365</v>
      </c>
      <c r="D638" t="s">
        <v>19</v>
      </c>
      <c r="E638" s="228">
        <v>6</v>
      </c>
      <c r="F638" s="228">
        <v>50</v>
      </c>
      <c r="G638" s="229">
        <v>300</v>
      </c>
      <c r="H638" s="46">
        <v>62</v>
      </c>
    </row>
    <row r="639" spans="1:8" x14ac:dyDescent="0.25">
      <c r="A639" s="47">
        <v>40721</v>
      </c>
      <c r="B639" s="213" t="s">
        <v>364</v>
      </c>
      <c r="C639" t="s">
        <v>365</v>
      </c>
      <c r="D639" t="s">
        <v>19</v>
      </c>
      <c r="E639" s="228">
        <v>6</v>
      </c>
      <c r="F639" s="228">
        <v>50</v>
      </c>
      <c r="G639" s="229">
        <v>300</v>
      </c>
      <c r="H639" s="46">
        <v>62</v>
      </c>
    </row>
    <row r="640" spans="1:8" x14ac:dyDescent="0.25">
      <c r="A640" s="47">
        <v>40721</v>
      </c>
      <c r="B640" s="213" t="s">
        <v>376</v>
      </c>
      <c r="C640" t="s">
        <v>377</v>
      </c>
      <c r="D640" t="s">
        <v>19</v>
      </c>
      <c r="E640" s="228">
        <v>6</v>
      </c>
      <c r="F640" s="228">
        <v>135</v>
      </c>
      <c r="G640" s="229">
        <v>810</v>
      </c>
      <c r="H640" s="46">
        <v>62</v>
      </c>
    </row>
    <row r="641" spans="1:8" x14ac:dyDescent="0.25">
      <c r="A641" s="47">
        <v>40722</v>
      </c>
      <c r="B641" s="213" t="s">
        <v>376</v>
      </c>
      <c r="C641" t="s">
        <v>377</v>
      </c>
      <c r="D641" t="s">
        <v>19</v>
      </c>
      <c r="E641" s="228">
        <v>8</v>
      </c>
      <c r="F641" s="228">
        <v>135</v>
      </c>
      <c r="G641" s="229">
        <v>1080</v>
      </c>
      <c r="H641" s="46">
        <v>62</v>
      </c>
    </row>
    <row r="642" spans="1:8" x14ac:dyDescent="0.25">
      <c r="A642" s="47">
        <v>40722</v>
      </c>
      <c r="B642" s="213" t="s">
        <v>364</v>
      </c>
      <c r="C642" t="s">
        <v>365</v>
      </c>
      <c r="D642" t="s">
        <v>19</v>
      </c>
      <c r="E642" s="228">
        <v>8</v>
      </c>
      <c r="F642" s="228">
        <v>50</v>
      </c>
      <c r="G642" s="229">
        <v>400</v>
      </c>
      <c r="H642" s="46">
        <v>62</v>
      </c>
    </row>
    <row r="643" spans="1:8" x14ac:dyDescent="0.25">
      <c r="A643" s="258" t="s">
        <v>230</v>
      </c>
      <c r="B643" s="230" t="s">
        <v>394</v>
      </c>
      <c r="C643" s="231" t="s">
        <v>230</v>
      </c>
      <c r="D643" s="231" t="s">
        <v>230</v>
      </c>
      <c r="E643" s="232"/>
      <c r="F643" s="232"/>
      <c r="G643" s="233">
        <v>3632.5</v>
      </c>
      <c r="H643" s="243" t="s">
        <v>230</v>
      </c>
    </row>
    <row r="644" spans="1:8" x14ac:dyDescent="0.25">
      <c r="A644" s="47" t="s">
        <v>230</v>
      </c>
      <c r="B644" s="213" t="s">
        <v>230</v>
      </c>
      <c r="C644" t="s">
        <v>230</v>
      </c>
      <c r="D644" t="s">
        <v>230</v>
      </c>
      <c r="E644" s="228"/>
      <c r="F644" s="228"/>
      <c r="G644" s="229"/>
      <c r="H644" s="46" t="s">
        <v>230</v>
      </c>
    </row>
    <row r="645" spans="1:8" x14ac:dyDescent="0.25">
      <c r="A645" s="257" t="s">
        <v>230</v>
      </c>
      <c r="B645" s="224" t="s">
        <v>586</v>
      </c>
      <c r="C645" s="48" t="s">
        <v>230</v>
      </c>
      <c r="D645" s="48" t="s">
        <v>230</v>
      </c>
      <c r="E645" s="226"/>
      <c r="F645" s="226"/>
      <c r="G645" s="227"/>
      <c r="H645" s="225" t="s">
        <v>230</v>
      </c>
    </row>
    <row r="646" spans="1:8" x14ac:dyDescent="0.25">
      <c r="A646" s="47">
        <v>40696</v>
      </c>
      <c r="B646" s="213" t="s">
        <v>5</v>
      </c>
      <c r="C646" t="s">
        <v>536</v>
      </c>
      <c r="D646" t="s">
        <v>19</v>
      </c>
      <c r="E646" s="228">
        <v>10</v>
      </c>
      <c r="F646" s="228">
        <v>32.200000000000003</v>
      </c>
      <c r="G646" s="229">
        <v>322</v>
      </c>
      <c r="H646" s="46">
        <v>91</v>
      </c>
    </row>
    <row r="647" spans="1:8" x14ac:dyDescent="0.25">
      <c r="A647" s="47">
        <v>40696</v>
      </c>
      <c r="B647" s="213" t="s">
        <v>363</v>
      </c>
      <c r="C647" t="s">
        <v>536</v>
      </c>
      <c r="D647" t="s">
        <v>19</v>
      </c>
      <c r="E647" s="228">
        <v>10</v>
      </c>
      <c r="F647" s="228">
        <v>43.4</v>
      </c>
      <c r="G647" s="229">
        <v>434</v>
      </c>
      <c r="H647" s="46">
        <v>91</v>
      </c>
    </row>
    <row r="648" spans="1:8" x14ac:dyDescent="0.25">
      <c r="A648" s="47">
        <v>40697</v>
      </c>
      <c r="B648" s="213" t="s">
        <v>363</v>
      </c>
      <c r="C648" t="s">
        <v>536</v>
      </c>
      <c r="D648" t="s">
        <v>19</v>
      </c>
      <c r="E648" s="228">
        <v>10</v>
      </c>
      <c r="F648" s="228">
        <v>43.4</v>
      </c>
      <c r="G648" s="229">
        <v>434</v>
      </c>
      <c r="H648" s="46">
        <v>91</v>
      </c>
    </row>
    <row r="649" spans="1:8" x14ac:dyDescent="0.25">
      <c r="A649" s="47">
        <v>40697</v>
      </c>
      <c r="B649" s="213" t="s">
        <v>5</v>
      </c>
      <c r="C649" t="s">
        <v>536</v>
      </c>
      <c r="D649" t="s">
        <v>19</v>
      </c>
      <c r="E649" s="228">
        <v>10</v>
      </c>
      <c r="F649" s="228">
        <v>32.200000000000003</v>
      </c>
      <c r="G649" s="229">
        <v>322</v>
      </c>
      <c r="H649" s="46">
        <v>91</v>
      </c>
    </row>
    <row r="650" spans="1:8" x14ac:dyDescent="0.25">
      <c r="A650" s="47">
        <v>40698</v>
      </c>
      <c r="B650" s="213" t="s">
        <v>363</v>
      </c>
      <c r="C650" t="s">
        <v>536</v>
      </c>
      <c r="D650" t="s">
        <v>19</v>
      </c>
      <c r="E650" s="228">
        <v>8</v>
      </c>
      <c r="F650" s="228">
        <v>43.4</v>
      </c>
      <c r="G650" s="229">
        <v>347.2</v>
      </c>
      <c r="H650" s="46">
        <v>91</v>
      </c>
    </row>
    <row r="651" spans="1:8" x14ac:dyDescent="0.25">
      <c r="A651" s="47">
        <v>40698</v>
      </c>
      <c r="B651" s="213" t="s">
        <v>5</v>
      </c>
      <c r="C651" t="s">
        <v>536</v>
      </c>
      <c r="D651" t="s">
        <v>19</v>
      </c>
      <c r="E651" s="228">
        <v>8</v>
      </c>
      <c r="F651" s="228">
        <v>32.200000000000003</v>
      </c>
      <c r="G651" s="229">
        <v>257.60000000000002</v>
      </c>
      <c r="H651" s="46">
        <v>91</v>
      </c>
    </row>
    <row r="652" spans="1:8" x14ac:dyDescent="0.25">
      <c r="A652" s="47">
        <v>40700</v>
      </c>
      <c r="B652" s="213" t="s">
        <v>5</v>
      </c>
      <c r="C652" t="s">
        <v>536</v>
      </c>
      <c r="D652" t="s">
        <v>19</v>
      </c>
      <c r="E652" s="228">
        <v>10</v>
      </c>
      <c r="F652" s="228">
        <v>32.200000000000003</v>
      </c>
      <c r="G652" s="229">
        <v>322</v>
      </c>
      <c r="H652" s="46">
        <v>91</v>
      </c>
    </row>
    <row r="653" spans="1:8" x14ac:dyDescent="0.25">
      <c r="A653" s="47">
        <v>40700</v>
      </c>
      <c r="B653" s="213" t="s">
        <v>5</v>
      </c>
      <c r="C653" t="s">
        <v>535</v>
      </c>
      <c r="D653" t="s">
        <v>19</v>
      </c>
      <c r="E653" s="228">
        <v>9</v>
      </c>
      <c r="F653" s="228">
        <v>32.200000000000003</v>
      </c>
      <c r="G653" s="229">
        <v>289.8</v>
      </c>
      <c r="H653" s="46">
        <v>91</v>
      </c>
    </row>
    <row r="654" spans="1:8" x14ac:dyDescent="0.25">
      <c r="A654" s="47">
        <v>40701</v>
      </c>
      <c r="B654" s="213" t="s">
        <v>5</v>
      </c>
      <c r="C654" t="s">
        <v>535</v>
      </c>
      <c r="D654" t="s">
        <v>19</v>
      </c>
      <c r="E654" s="228">
        <v>9</v>
      </c>
      <c r="F654" s="228">
        <v>32.200000000000003</v>
      </c>
      <c r="G654" s="229">
        <v>289.8</v>
      </c>
      <c r="H654" s="46">
        <v>91</v>
      </c>
    </row>
    <row r="655" spans="1:8" x14ac:dyDescent="0.25">
      <c r="A655" s="47">
        <v>40724</v>
      </c>
      <c r="B655" s="213" t="s">
        <v>363</v>
      </c>
      <c r="C655" t="s">
        <v>536</v>
      </c>
      <c r="D655" t="s">
        <v>19</v>
      </c>
      <c r="E655" s="228">
        <v>5</v>
      </c>
      <c r="F655" s="228">
        <v>43.4</v>
      </c>
      <c r="G655" s="229">
        <v>217</v>
      </c>
      <c r="H655" s="46">
        <v>91</v>
      </c>
    </row>
    <row r="656" spans="1:8" x14ac:dyDescent="0.25">
      <c r="A656" s="47">
        <v>40729</v>
      </c>
      <c r="B656" s="213" t="s">
        <v>395</v>
      </c>
      <c r="C656" t="s">
        <v>396</v>
      </c>
      <c r="D656" t="s">
        <v>107</v>
      </c>
      <c r="E656" s="228">
        <v>1</v>
      </c>
      <c r="F656" s="228">
        <v>292.18</v>
      </c>
      <c r="G656" s="229">
        <v>292.18</v>
      </c>
      <c r="H656" s="46">
        <v>91</v>
      </c>
    </row>
    <row r="657" spans="1:8" x14ac:dyDescent="0.25">
      <c r="A657" s="47">
        <v>40738</v>
      </c>
      <c r="B657" s="213" t="s">
        <v>397</v>
      </c>
      <c r="C657" t="s">
        <v>398</v>
      </c>
      <c r="D657" t="s">
        <v>399</v>
      </c>
      <c r="E657" s="228">
        <v>1</v>
      </c>
      <c r="F657" s="228">
        <v>7945.46</v>
      </c>
      <c r="G657" s="229">
        <v>7945.46</v>
      </c>
      <c r="H657" s="46">
        <v>91</v>
      </c>
    </row>
    <row r="658" spans="1:8" x14ac:dyDescent="0.25">
      <c r="A658" s="258" t="s">
        <v>230</v>
      </c>
      <c r="B658" s="230" t="s">
        <v>400</v>
      </c>
      <c r="C658" s="231" t="s">
        <v>230</v>
      </c>
      <c r="D658" s="231" t="s">
        <v>230</v>
      </c>
      <c r="E658" s="232"/>
      <c r="F658" s="232"/>
      <c r="G658" s="233">
        <v>11473.04</v>
      </c>
      <c r="H658" s="243" t="s">
        <v>230</v>
      </c>
    </row>
    <row r="659" spans="1:8" x14ac:dyDescent="0.25">
      <c r="A659" s="47" t="s">
        <v>230</v>
      </c>
      <c r="B659" s="213" t="s">
        <v>230</v>
      </c>
      <c r="C659" t="s">
        <v>230</v>
      </c>
      <c r="D659" t="s">
        <v>230</v>
      </c>
      <c r="E659" s="228"/>
      <c r="F659" s="228"/>
      <c r="G659" s="229"/>
      <c r="H659" s="46" t="s">
        <v>230</v>
      </c>
    </row>
    <row r="660" spans="1:8" x14ac:dyDescent="0.25">
      <c r="A660" s="257" t="s">
        <v>230</v>
      </c>
      <c r="B660" s="224" t="s">
        <v>587</v>
      </c>
      <c r="C660" s="48" t="s">
        <v>230</v>
      </c>
      <c r="D660" s="48" t="s">
        <v>230</v>
      </c>
      <c r="E660" s="226"/>
      <c r="F660" s="226"/>
      <c r="G660" s="227"/>
      <c r="H660" s="225" t="s">
        <v>230</v>
      </c>
    </row>
    <row r="661" spans="1:8" x14ac:dyDescent="0.25">
      <c r="A661" s="47">
        <v>40724</v>
      </c>
      <c r="B661" s="213" t="s">
        <v>401</v>
      </c>
      <c r="C661" t="s">
        <v>402</v>
      </c>
      <c r="D661" t="s">
        <v>293</v>
      </c>
      <c r="E661" s="228">
        <v>1</v>
      </c>
      <c r="F661" s="228">
        <v>18430</v>
      </c>
      <c r="G661" s="229">
        <v>18430</v>
      </c>
      <c r="H661" s="46">
        <v>131</v>
      </c>
    </row>
    <row r="662" spans="1:8" x14ac:dyDescent="0.25">
      <c r="A662" s="258" t="s">
        <v>230</v>
      </c>
      <c r="B662" s="230" t="s">
        <v>403</v>
      </c>
      <c r="C662" s="231" t="s">
        <v>230</v>
      </c>
      <c r="D662" s="231" t="s">
        <v>230</v>
      </c>
      <c r="E662" s="232"/>
      <c r="F662" s="232"/>
      <c r="G662" s="233">
        <v>18430</v>
      </c>
      <c r="H662" s="243" t="s">
        <v>230</v>
      </c>
    </row>
    <row r="663" spans="1:8" x14ac:dyDescent="0.25">
      <c r="A663" s="47" t="s">
        <v>230</v>
      </c>
      <c r="B663" s="213" t="s">
        <v>230</v>
      </c>
      <c r="C663" t="s">
        <v>230</v>
      </c>
      <c r="D663" t="s">
        <v>230</v>
      </c>
      <c r="E663" s="228"/>
      <c r="F663" s="228"/>
      <c r="G663" s="229"/>
      <c r="H663" s="46" t="s">
        <v>230</v>
      </c>
    </row>
    <row r="664" spans="1:8" x14ac:dyDescent="0.25">
      <c r="A664" s="257" t="s">
        <v>230</v>
      </c>
      <c r="B664" s="224" t="s">
        <v>588</v>
      </c>
      <c r="C664" s="48" t="s">
        <v>230</v>
      </c>
      <c r="D664" s="48" t="s">
        <v>230</v>
      </c>
      <c r="E664" s="226"/>
      <c r="F664" s="226"/>
      <c r="G664" s="227"/>
      <c r="H664" s="225" t="s">
        <v>230</v>
      </c>
    </row>
    <row r="665" spans="1:8" x14ac:dyDescent="0.25">
      <c r="A665" s="47">
        <v>40695</v>
      </c>
      <c r="B665" s="213" t="s">
        <v>168</v>
      </c>
      <c r="C665" t="s">
        <v>404</v>
      </c>
      <c r="D665" t="s">
        <v>405</v>
      </c>
      <c r="E665" s="228">
        <v>15300</v>
      </c>
      <c r="F665" s="228">
        <v>2.4900000000000002</v>
      </c>
      <c r="G665" s="229">
        <v>38097</v>
      </c>
      <c r="H665" s="46">
        <v>161</v>
      </c>
    </row>
    <row r="666" spans="1:8" x14ac:dyDescent="0.25">
      <c r="A666" s="47">
        <v>40728</v>
      </c>
      <c r="B666" s="213" t="s">
        <v>379</v>
      </c>
      <c r="C666" t="s">
        <v>375</v>
      </c>
      <c r="D666" t="s">
        <v>19</v>
      </c>
      <c r="E666" s="228">
        <v>1</v>
      </c>
      <c r="F666" s="228">
        <v>255</v>
      </c>
      <c r="G666" s="229">
        <v>255</v>
      </c>
      <c r="H666" s="46">
        <v>161</v>
      </c>
    </row>
    <row r="667" spans="1:8" x14ac:dyDescent="0.25">
      <c r="A667" s="47">
        <v>40728</v>
      </c>
      <c r="B667" s="213" t="s">
        <v>386</v>
      </c>
      <c r="C667" t="s">
        <v>387</v>
      </c>
      <c r="D667" t="s">
        <v>19</v>
      </c>
      <c r="E667" s="228">
        <v>1</v>
      </c>
      <c r="F667" s="228">
        <v>385</v>
      </c>
      <c r="G667" s="229">
        <v>385</v>
      </c>
      <c r="H667" s="46">
        <v>161</v>
      </c>
    </row>
    <row r="668" spans="1:8" x14ac:dyDescent="0.25">
      <c r="A668" s="47">
        <v>40728</v>
      </c>
      <c r="B668" s="213" t="s">
        <v>378</v>
      </c>
      <c r="C668" t="s">
        <v>538</v>
      </c>
      <c r="D668" t="s">
        <v>19</v>
      </c>
      <c r="E668" s="228">
        <v>10</v>
      </c>
      <c r="F668" s="228">
        <v>38</v>
      </c>
      <c r="G668" s="229">
        <v>380</v>
      </c>
      <c r="H668" s="46">
        <v>161</v>
      </c>
    </row>
    <row r="669" spans="1:8" x14ac:dyDescent="0.25">
      <c r="A669" s="47">
        <v>40728</v>
      </c>
      <c r="B669" s="213" t="s">
        <v>5</v>
      </c>
      <c r="C669" t="s">
        <v>535</v>
      </c>
      <c r="D669" t="s">
        <v>19</v>
      </c>
      <c r="E669" s="228">
        <v>10</v>
      </c>
      <c r="F669" s="228">
        <v>32.200000000000003</v>
      </c>
      <c r="G669" s="229">
        <v>322</v>
      </c>
      <c r="H669" s="46">
        <v>161</v>
      </c>
    </row>
    <row r="670" spans="1:8" x14ac:dyDescent="0.25">
      <c r="A670" s="47">
        <v>40728</v>
      </c>
      <c r="B670" s="213" t="s">
        <v>359</v>
      </c>
      <c r="C670" t="s">
        <v>535</v>
      </c>
      <c r="D670" t="s">
        <v>19</v>
      </c>
      <c r="E670" s="228">
        <v>10</v>
      </c>
      <c r="F670" s="228">
        <v>41.83</v>
      </c>
      <c r="G670" s="229">
        <v>418.3</v>
      </c>
      <c r="H670" s="46">
        <v>161</v>
      </c>
    </row>
    <row r="671" spans="1:8" x14ac:dyDescent="0.25">
      <c r="A671" s="47">
        <v>40728</v>
      </c>
      <c r="B671" s="213" t="s">
        <v>5</v>
      </c>
      <c r="C671" t="s">
        <v>536</v>
      </c>
      <c r="D671" t="s">
        <v>19</v>
      </c>
      <c r="E671" s="228">
        <v>10</v>
      </c>
      <c r="F671" s="228">
        <v>32.200000000000003</v>
      </c>
      <c r="G671" s="229">
        <v>322</v>
      </c>
      <c r="H671" s="46">
        <v>161</v>
      </c>
    </row>
    <row r="672" spans="1:8" x14ac:dyDescent="0.25">
      <c r="A672" s="47">
        <v>40728</v>
      </c>
      <c r="B672" s="213" t="s">
        <v>372</v>
      </c>
      <c r="C672" t="s">
        <v>367</v>
      </c>
      <c r="D672" t="s">
        <v>57</v>
      </c>
      <c r="E672" s="228">
        <v>1</v>
      </c>
      <c r="F672" s="228">
        <v>365</v>
      </c>
      <c r="G672" s="229">
        <v>365</v>
      </c>
      <c r="H672" s="46">
        <v>161</v>
      </c>
    </row>
    <row r="673" spans="1:8" x14ac:dyDescent="0.25">
      <c r="A673" s="47">
        <v>40729</v>
      </c>
      <c r="B673" s="213" t="s">
        <v>5</v>
      </c>
      <c r="C673" t="s">
        <v>536</v>
      </c>
      <c r="D673" t="s">
        <v>19</v>
      </c>
      <c r="E673" s="228">
        <v>5</v>
      </c>
      <c r="F673" s="228">
        <v>32.200000000000003</v>
      </c>
      <c r="G673" s="229">
        <v>161</v>
      </c>
      <c r="H673" s="46">
        <v>161</v>
      </c>
    </row>
    <row r="674" spans="1:8" x14ac:dyDescent="0.25">
      <c r="A674" s="47">
        <v>40729</v>
      </c>
      <c r="B674" s="213" t="s">
        <v>359</v>
      </c>
      <c r="C674" t="s">
        <v>535</v>
      </c>
      <c r="D674" t="s">
        <v>19</v>
      </c>
      <c r="E674" s="228">
        <v>5</v>
      </c>
      <c r="F674" s="228">
        <v>41.83</v>
      </c>
      <c r="G674" s="229">
        <v>209.15</v>
      </c>
      <c r="H674" s="46">
        <v>161</v>
      </c>
    </row>
    <row r="675" spans="1:8" x14ac:dyDescent="0.25">
      <c r="A675" s="47">
        <v>40729</v>
      </c>
      <c r="B675" s="213" t="s">
        <v>386</v>
      </c>
      <c r="C675" t="s">
        <v>387</v>
      </c>
      <c r="D675" t="s">
        <v>19</v>
      </c>
      <c r="E675" s="228">
        <v>0.5</v>
      </c>
      <c r="F675" s="228">
        <v>385</v>
      </c>
      <c r="G675" s="229">
        <v>192.5</v>
      </c>
      <c r="H675" s="46">
        <v>161</v>
      </c>
    </row>
    <row r="676" spans="1:8" x14ac:dyDescent="0.25">
      <c r="A676" s="47">
        <v>40729</v>
      </c>
      <c r="B676" s="213" t="s">
        <v>5</v>
      </c>
      <c r="C676" t="s">
        <v>535</v>
      </c>
      <c r="D676" t="s">
        <v>19</v>
      </c>
      <c r="E676" s="228">
        <v>5</v>
      </c>
      <c r="F676" s="228">
        <v>32.200000000000003</v>
      </c>
      <c r="G676" s="229">
        <v>161</v>
      </c>
      <c r="H676" s="46">
        <v>161</v>
      </c>
    </row>
    <row r="677" spans="1:8" x14ac:dyDescent="0.25">
      <c r="A677" s="47">
        <v>40729</v>
      </c>
      <c r="B677" s="213" t="s">
        <v>379</v>
      </c>
      <c r="C677" t="s">
        <v>375</v>
      </c>
      <c r="D677" t="s">
        <v>19</v>
      </c>
      <c r="E677" s="228">
        <v>0.5</v>
      </c>
      <c r="F677" s="228">
        <v>255</v>
      </c>
      <c r="G677" s="229">
        <v>127.5</v>
      </c>
      <c r="H677" s="46">
        <v>161</v>
      </c>
    </row>
    <row r="678" spans="1:8" x14ac:dyDescent="0.25">
      <c r="A678" s="47">
        <v>40730</v>
      </c>
      <c r="B678" s="213" t="s">
        <v>363</v>
      </c>
      <c r="C678" t="s">
        <v>536</v>
      </c>
      <c r="D678" t="s">
        <v>19</v>
      </c>
      <c r="E678" s="228">
        <v>5</v>
      </c>
      <c r="F678" s="228">
        <v>43.4</v>
      </c>
      <c r="G678" s="229">
        <v>217</v>
      </c>
      <c r="H678" s="46">
        <v>161</v>
      </c>
    </row>
    <row r="679" spans="1:8" x14ac:dyDescent="0.25">
      <c r="A679" s="47">
        <v>40730</v>
      </c>
      <c r="B679" s="213" t="s">
        <v>5</v>
      </c>
      <c r="C679" t="s">
        <v>536</v>
      </c>
      <c r="D679" t="s">
        <v>19</v>
      </c>
      <c r="E679" s="228">
        <v>5</v>
      </c>
      <c r="F679" s="228">
        <v>32.200000000000003</v>
      </c>
      <c r="G679" s="229">
        <v>161</v>
      </c>
      <c r="H679" s="46">
        <v>161</v>
      </c>
    </row>
    <row r="680" spans="1:8" x14ac:dyDescent="0.25">
      <c r="A680" s="47">
        <v>40730</v>
      </c>
      <c r="B680" s="213" t="s">
        <v>386</v>
      </c>
      <c r="C680" t="s">
        <v>387</v>
      </c>
      <c r="D680" t="s">
        <v>19</v>
      </c>
      <c r="E680" s="228">
        <v>0.5</v>
      </c>
      <c r="F680" s="228">
        <v>385</v>
      </c>
      <c r="G680" s="229">
        <v>192.5</v>
      </c>
      <c r="H680" s="46">
        <v>161</v>
      </c>
    </row>
    <row r="681" spans="1:8" x14ac:dyDescent="0.25">
      <c r="A681" s="47">
        <v>40730</v>
      </c>
      <c r="B681" s="213" t="s">
        <v>5</v>
      </c>
      <c r="C681" t="s">
        <v>535</v>
      </c>
      <c r="D681" t="s">
        <v>19</v>
      </c>
      <c r="E681" s="228">
        <v>5</v>
      </c>
      <c r="F681" s="228">
        <v>32.200000000000003</v>
      </c>
      <c r="G681" s="229">
        <v>161</v>
      </c>
      <c r="H681" s="46">
        <v>161</v>
      </c>
    </row>
    <row r="682" spans="1:8" x14ac:dyDescent="0.25">
      <c r="A682" s="47">
        <v>40730</v>
      </c>
      <c r="B682" s="213" t="s">
        <v>379</v>
      </c>
      <c r="C682" t="s">
        <v>375</v>
      </c>
      <c r="D682" t="s">
        <v>19</v>
      </c>
      <c r="E682" s="228">
        <v>0.5</v>
      </c>
      <c r="F682" s="228">
        <v>255</v>
      </c>
      <c r="G682" s="229">
        <v>127.5</v>
      </c>
      <c r="H682" s="46">
        <v>161</v>
      </c>
    </row>
    <row r="683" spans="1:8" x14ac:dyDescent="0.25">
      <c r="A683" s="47">
        <v>40730</v>
      </c>
      <c r="B683" s="213" t="s">
        <v>372</v>
      </c>
      <c r="C683" t="s">
        <v>367</v>
      </c>
      <c r="D683" t="s">
        <v>57</v>
      </c>
      <c r="E683" s="228">
        <v>0.5</v>
      </c>
      <c r="F683" s="228">
        <v>365</v>
      </c>
      <c r="G683" s="229">
        <v>182.5</v>
      </c>
      <c r="H683" s="46">
        <v>161</v>
      </c>
    </row>
    <row r="684" spans="1:8" x14ac:dyDescent="0.25">
      <c r="A684" s="47">
        <v>40730</v>
      </c>
      <c r="B684" s="213" t="s">
        <v>359</v>
      </c>
      <c r="C684" t="s">
        <v>535</v>
      </c>
      <c r="D684" t="s">
        <v>19</v>
      </c>
      <c r="E684" s="228">
        <v>5</v>
      </c>
      <c r="F684" s="228">
        <v>41.83</v>
      </c>
      <c r="G684" s="229">
        <v>209.15</v>
      </c>
      <c r="H684" s="46">
        <v>161</v>
      </c>
    </row>
    <row r="685" spans="1:8" x14ac:dyDescent="0.25">
      <c r="A685" s="47">
        <v>40731</v>
      </c>
      <c r="B685" s="213" t="s">
        <v>363</v>
      </c>
      <c r="C685" t="s">
        <v>536</v>
      </c>
      <c r="D685" t="s">
        <v>19</v>
      </c>
      <c r="E685" s="228">
        <v>10.5</v>
      </c>
      <c r="F685" s="228">
        <v>43.4</v>
      </c>
      <c r="G685" s="229">
        <v>455.7</v>
      </c>
      <c r="H685" s="46">
        <v>161</v>
      </c>
    </row>
    <row r="686" spans="1:8" x14ac:dyDescent="0.25">
      <c r="A686" s="47">
        <v>40731</v>
      </c>
      <c r="B686" s="213" t="s">
        <v>350</v>
      </c>
      <c r="C686" t="s">
        <v>351</v>
      </c>
      <c r="D686" t="s">
        <v>19</v>
      </c>
      <c r="E686" s="228">
        <v>5</v>
      </c>
      <c r="F686" s="228">
        <v>95</v>
      </c>
      <c r="G686" s="229">
        <v>475</v>
      </c>
      <c r="H686" s="46">
        <v>161</v>
      </c>
    </row>
    <row r="687" spans="1:8" x14ac:dyDescent="0.25">
      <c r="A687" s="47">
        <v>40731</v>
      </c>
      <c r="B687" s="213" t="s">
        <v>378</v>
      </c>
      <c r="C687" t="s">
        <v>538</v>
      </c>
      <c r="D687" t="s">
        <v>19</v>
      </c>
      <c r="E687" s="228">
        <v>10.5</v>
      </c>
      <c r="F687" s="228">
        <v>38</v>
      </c>
      <c r="G687" s="229">
        <v>399</v>
      </c>
      <c r="H687" s="46">
        <v>161</v>
      </c>
    </row>
    <row r="688" spans="1:8" x14ac:dyDescent="0.25">
      <c r="A688" s="47">
        <v>40731</v>
      </c>
      <c r="B688" s="213" t="s">
        <v>372</v>
      </c>
      <c r="C688" t="s">
        <v>367</v>
      </c>
      <c r="D688" t="s">
        <v>57</v>
      </c>
      <c r="E688" s="228">
        <v>1</v>
      </c>
      <c r="F688" s="228">
        <v>365</v>
      </c>
      <c r="G688" s="229">
        <v>365</v>
      </c>
      <c r="H688" s="46">
        <v>161</v>
      </c>
    </row>
    <row r="689" spans="1:8" x14ac:dyDescent="0.25">
      <c r="A689" s="47">
        <v>40731</v>
      </c>
      <c r="B689" s="213" t="s">
        <v>359</v>
      </c>
      <c r="C689" t="s">
        <v>535</v>
      </c>
      <c r="D689" t="s">
        <v>19</v>
      </c>
      <c r="E689" s="228">
        <v>10.5</v>
      </c>
      <c r="F689" s="228">
        <v>41.83</v>
      </c>
      <c r="G689" s="229">
        <v>439.21499999999997</v>
      </c>
      <c r="H689" s="46">
        <v>161</v>
      </c>
    </row>
    <row r="690" spans="1:8" x14ac:dyDescent="0.25">
      <c r="A690" s="47">
        <v>40731</v>
      </c>
      <c r="B690" s="213" t="s">
        <v>5</v>
      </c>
      <c r="C690" t="s">
        <v>536</v>
      </c>
      <c r="D690" t="s">
        <v>19</v>
      </c>
      <c r="E690" s="228">
        <v>11</v>
      </c>
      <c r="F690" s="228">
        <v>32.200000000000003</v>
      </c>
      <c r="G690" s="229">
        <v>354.2</v>
      </c>
      <c r="H690" s="46">
        <v>161</v>
      </c>
    </row>
    <row r="691" spans="1:8" x14ac:dyDescent="0.25">
      <c r="A691" s="47">
        <v>40731</v>
      </c>
      <c r="B691" s="213" t="s">
        <v>5</v>
      </c>
      <c r="C691" t="s">
        <v>535</v>
      </c>
      <c r="D691" t="s">
        <v>19</v>
      </c>
      <c r="E691" s="228">
        <v>10.5</v>
      </c>
      <c r="F691" s="228">
        <v>32.200000000000003</v>
      </c>
      <c r="G691" s="229">
        <v>338.1</v>
      </c>
      <c r="H691" s="46">
        <v>161</v>
      </c>
    </row>
    <row r="692" spans="1:8" x14ac:dyDescent="0.25">
      <c r="A692" s="47">
        <v>40731</v>
      </c>
      <c r="B692" s="213" t="s">
        <v>386</v>
      </c>
      <c r="C692" t="s">
        <v>387</v>
      </c>
      <c r="D692" t="s">
        <v>19</v>
      </c>
      <c r="E692" s="228">
        <v>1</v>
      </c>
      <c r="F692" s="228">
        <v>385</v>
      </c>
      <c r="G692" s="229">
        <v>385</v>
      </c>
      <c r="H692" s="46">
        <v>161</v>
      </c>
    </row>
    <row r="693" spans="1:8" x14ac:dyDescent="0.25">
      <c r="A693" s="47">
        <v>40731</v>
      </c>
      <c r="B693" s="213" t="s">
        <v>379</v>
      </c>
      <c r="C693" t="s">
        <v>375</v>
      </c>
      <c r="D693" t="s">
        <v>19</v>
      </c>
      <c r="E693" s="228">
        <v>1</v>
      </c>
      <c r="F693" s="228">
        <v>255</v>
      </c>
      <c r="G693" s="229">
        <v>255</v>
      </c>
      <c r="H693" s="46">
        <v>161</v>
      </c>
    </row>
    <row r="694" spans="1:8" x14ac:dyDescent="0.25">
      <c r="A694" s="47">
        <v>40732</v>
      </c>
      <c r="B694" s="213" t="s">
        <v>386</v>
      </c>
      <c r="C694" t="s">
        <v>387</v>
      </c>
      <c r="D694" t="s">
        <v>19</v>
      </c>
      <c r="E694" s="228">
        <v>1</v>
      </c>
      <c r="F694" s="228">
        <v>385</v>
      </c>
      <c r="G694" s="229">
        <v>385</v>
      </c>
      <c r="H694" s="46">
        <v>161</v>
      </c>
    </row>
    <row r="695" spans="1:8" x14ac:dyDescent="0.25">
      <c r="A695" s="47">
        <v>40732</v>
      </c>
      <c r="B695" s="213" t="s">
        <v>379</v>
      </c>
      <c r="C695" t="s">
        <v>375</v>
      </c>
      <c r="D695" t="s">
        <v>19</v>
      </c>
      <c r="E695" s="228">
        <v>1</v>
      </c>
      <c r="F695" s="228">
        <v>255</v>
      </c>
      <c r="G695" s="229">
        <v>255</v>
      </c>
      <c r="H695" s="46">
        <v>161</v>
      </c>
    </row>
    <row r="696" spans="1:8" x14ac:dyDescent="0.25">
      <c r="A696" s="47">
        <v>40732</v>
      </c>
      <c r="B696" s="213" t="s">
        <v>378</v>
      </c>
      <c r="C696" t="s">
        <v>538</v>
      </c>
      <c r="D696" t="s">
        <v>19</v>
      </c>
      <c r="E696" s="228">
        <v>10.5</v>
      </c>
      <c r="F696" s="228">
        <v>38</v>
      </c>
      <c r="G696" s="229">
        <v>399</v>
      </c>
      <c r="H696" s="46">
        <v>161</v>
      </c>
    </row>
    <row r="697" spans="1:8" x14ac:dyDescent="0.25">
      <c r="A697" s="47">
        <v>40732</v>
      </c>
      <c r="B697" s="213" t="s">
        <v>363</v>
      </c>
      <c r="C697" t="s">
        <v>536</v>
      </c>
      <c r="D697" t="s">
        <v>19</v>
      </c>
      <c r="E697" s="228">
        <v>10.5</v>
      </c>
      <c r="F697" s="228">
        <v>43.4</v>
      </c>
      <c r="G697" s="229">
        <v>455.7</v>
      </c>
      <c r="H697" s="46">
        <v>161</v>
      </c>
    </row>
    <row r="698" spans="1:8" x14ac:dyDescent="0.25">
      <c r="A698" s="47">
        <v>40732</v>
      </c>
      <c r="B698" s="213" t="s">
        <v>350</v>
      </c>
      <c r="C698" t="s">
        <v>351</v>
      </c>
      <c r="D698" t="s">
        <v>19</v>
      </c>
      <c r="E698" s="228">
        <v>5</v>
      </c>
      <c r="F698" s="228">
        <v>95</v>
      </c>
      <c r="G698" s="229">
        <v>475</v>
      </c>
      <c r="H698" s="46">
        <v>161</v>
      </c>
    </row>
    <row r="699" spans="1:8" x14ac:dyDescent="0.25">
      <c r="A699" s="47">
        <v>40732</v>
      </c>
      <c r="B699" s="213" t="s">
        <v>372</v>
      </c>
      <c r="C699" t="s">
        <v>367</v>
      </c>
      <c r="D699" t="s">
        <v>57</v>
      </c>
      <c r="E699" s="228">
        <v>1</v>
      </c>
      <c r="F699" s="228">
        <v>365</v>
      </c>
      <c r="G699" s="229">
        <v>365</v>
      </c>
      <c r="H699" s="46">
        <v>161</v>
      </c>
    </row>
    <row r="700" spans="1:8" x14ac:dyDescent="0.25">
      <c r="A700" s="258" t="s">
        <v>230</v>
      </c>
      <c r="B700" s="230" t="s">
        <v>406</v>
      </c>
      <c r="C700" s="231" t="s">
        <v>230</v>
      </c>
      <c r="D700" s="231" t="s">
        <v>230</v>
      </c>
      <c r="E700" s="232"/>
      <c r="F700" s="232"/>
      <c r="G700" s="233">
        <v>48447.014999999999</v>
      </c>
      <c r="H700" s="243" t="s">
        <v>230</v>
      </c>
    </row>
    <row r="701" spans="1:8" x14ac:dyDescent="0.25">
      <c r="A701" s="47" t="s">
        <v>230</v>
      </c>
      <c r="B701" s="213" t="s">
        <v>230</v>
      </c>
      <c r="C701" t="s">
        <v>230</v>
      </c>
      <c r="D701" t="s">
        <v>230</v>
      </c>
      <c r="E701" s="228"/>
      <c r="F701" s="228"/>
      <c r="G701" s="229"/>
      <c r="H701" s="46" t="s">
        <v>230</v>
      </c>
    </row>
    <row r="702" spans="1:8" x14ac:dyDescent="0.25">
      <c r="A702" s="257" t="s">
        <v>230</v>
      </c>
      <c r="B702" s="224" t="s">
        <v>589</v>
      </c>
      <c r="C702" s="48" t="s">
        <v>230</v>
      </c>
      <c r="D702" s="48" t="s">
        <v>230</v>
      </c>
      <c r="E702" s="226"/>
      <c r="F702" s="226"/>
      <c r="G702" s="227"/>
      <c r="H702" s="225" t="s">
        <v>230</v>
      </c>
    </row>
    <row r="703" spans="1:8" x14ac:dyDescent="0.25">
      <c r="A703" s="47">
        <v>40695</v>
      </c>
      <c r="B703" s="213" t="s">
        <v>167</v>
      </c>
      <c r="C703" t="s">
        <v>407</v>
      </c>
      <c r="D703" t="s">
        <v>405</v>
      </c>
      <c r="E703" s="228">
        <v>15750</v>
      </c>
      <c r="F703" s="228">
        <v>1.03</v>
      </c>
      <c r="G703" s="229">
        <v>16222.5</v>
      </c>
      <c r="H703" s="46">
        <v>162</v>
      </c>
    </row>
    <row r="704" spans="1:8" x14ac:dyDescent="0.25">
      <c r="A704" s="258" t="s">
        <v>230</v>
      </c>
      <c r="B704" s="230" t="s">
        <v>408</v>
      </c>
      <c r="C704" s="231" t="s">
        <v>230</v>
      </c>
      <c r="D704" s="231" t="s">
        <v>230</v>
      </c>
      <c r="E704" s="232"/>
      <c r="F704" s="232"/>
      <c r="G704" s="233">
        <v>16222.5</v>
      </c>
      <c r="H704" s="243" t="s">
        <v>230</v>
      </c>
    </row>
    <row r="705" spans="1:8" x14ac:dyDescent="0.25">
      <c r="A705" s="47" t="s">
        <v>230</v>
      </c>
      <c r="B705" s="213" t="s">
        <v>230</v>
      </c>
      <c r="C705" t="s">
        <v>230</v>
      </c>
      <c r="D705" t="s">
        <v>230</v>
      </c>
      <c r="E705" s="228"/>
      <c r="F705" s="228"/>
      <c r="G705" s="229"/>
      <c r="H705" s="46" t="s">
        <v>230</v>
      </c>
    </row>
    <row r="706" spans="1:8" x14ac:dyDescent="0.25">
      <c r="A706" s="257" t="s">
        <v>230</v>
      </c>
      <c r="B706" s="224" t="s">
        <v>590</v>
      </c>
      <c r="C706" s="48" t="s">
        <v>230</v>
      </c>
      <c r="D706" s="48" t="s">
        <v>230</v>
      </c>
      <c r="E706" s="226"/>
      <c r="F706" s="226"/>
      <c r="G706" s="227"/>
      <c r="H706" s="225" t="s">
        <v>230</v>
      </c>
    </row>
    <row r="707" spans="1:8" x14ac:dyDescent="0.25">
      <c r="A707" s="47">
        <v>40714</v>
      </c>
      <c r="B707" s="213" t="s">
        <v>350</v>
      </c>
      <c r="C707" t="s">
        <v>351</v>
      </c>
      <c r="D707" t="s">
        <v>19</v>
      </c>
      <c r="E707" s="228">
        <v>2</v>
      </c>
      <c r="F707" s="228">
        <v>85</v>
      </c>
      <c r="G707" s="229">
        <v>170</v>
      </c>
      <c r="H707" s="46">
        <v>191</v>
      </c>
    </row>
    <row r="708" spans="1:8" x14ac:dyDescent="0.25">
      <c r="A708" s="47">
        <v>40714</v>
      </c>
      <c r="B708" s="213" t="s">
        <v>344</v>
      </c>
      <c r="C708" t="s">
        <v>345</v>
      </c>
      <c r="D708" t="s">
        <v>19</v>
      </c>
      <c r="E708" s="228">
        <v>2</v>
      </c>
      <c r="F708" s="228">
        <v>165</v>
      </c>
      <c r="G708" s="229">
        <v>330</v>
      </c>
      <c r="H708" s="46">
        <v>191</v>
      </c>
    </row>
    <row r="709" spans="1:8" x14ac:dyDescent="0.25">
      <c r="A709" s="47">
        <v>40714</v>
      </c>
      <c r="B709" s="213" t="s">
        <v>350</v>
      </c>
      <c r="C709" t="s">
        <v>371</v>
      </c>
      <c r="D709" t="s">
        <v>19</v>
      </c>
      <c r="E709" s="228">
        <v>2</v>
      </c>
      <c r="F709" s="228">
        <v>85</v>
      </c>
      <c r="G709" s="229">
        <v>170</v>
      </c>
      <c r="H709" s="46">
        <v>191</v>
      </c>
    </row>
    <row r="710" spans="1:8" x14ac:dyDescent="0.25">
      <c r="A710" s="47">
        <v>40714</v>
      </c>
      <c r="B710" s="213" t="s">
        <v>349</v>
      </c>
      <c r="C710" t="s">
        <v>343</v>
      </c>
      <c r="D710" t="s">
        <v>19</v>
      </c>
      <c r="E710" s="228">
        <v>2</v>
      </c>
      <c r="F710" s="228">
        <v>130</v>
      </c>
      <c r="G710" s="229">
        <v>260</v>
      </c>
      <c r="H710" s="46">
        <v>191</v>
      </c>
    </row>
    <row r="711" spans="1:8" x14ac:dyDescent="0.25">
      <c r="A711" s="47">
        <v>40715</v>
      </c>
      <c r="B711" s="213" t="s">
        <v>350</v>
      </c>
      <c r="C711" t="s">
        <v>351</v>
      </c>
      <c r="D711" t="s">
        <v>19</v>
      </c>
      <c r="E711" s="228">
        <v>7</v>
      </c>
      <c r="F711" s="228">
        <v>85</v>
      </c>
      <c r="G711" s="229">
        <v>595</v>
      </c>
      <c r="H711" s="46">
        <v>191</v>
      </c>
    </row>
    <row r="712" spans="1:8" x14ac:dyDescent="0.25">
      <c r="A712" s="47">
        <v>40715</v>
      </c>
      <c r="B712" s="213" t="s">
        <v>350</v>
      </c>
      <c r="C712" t="s">
        <v>371</v>
      </c>
      <c r="D712" t="s">
        <v>19</v>
      </c>
      <c r="E712" s="228">
        <v>7</v>
      </c>
      <c r="F712" s="228">
        <v>85</v>
      </c>
      <c r="G712" s="229">
        <v>595</v>
      </c>
      <c r="H712" s="46">
        <v>191</v>
      </c>
    </row>
    <row r="713" spans="1:8" x14ac:dyDescent="0.25">
      <c r="A713" s="47">
        <v>40715</v>
      </c>
      <c r="B713" s="213" t="s">
        <v>349</v>
      </c>
      <c r="C713" t="s">
        <v>343</v>
      </c>
      <c r="D713" t="s">
        <v>19</v>
      </c>
      <c r="E713" s="228">
        <v>7</v>
      </c>
      <c r="F713" s="228">
        <v>130</v>
      </c>
      <c r="G713" s="229">
        <v>910</v>
      </c>
      <c r="H713" s="46">
        <v>191</v>
      </c>
    </row>
    <row r="714" spans="1:8" x14ac:dyDescent="0.25">
      <c r="A714" s="47">
        <v>40716</v>
      </c>
      <c r="B714" s="213" t="s">
        <v>350</v>
      </c>
      <c r="C714" t="s">
        <v>371</v>
      </c>
      <c r="D714" t="s">
        <v>19</v>
      </c>
      <c r="E714" s="228">
        <v>6</v>
      </c>
      <c r="F714" s="228">
        <v>85</v>
      </c>
      <c r="G714" s="229">
        <v>510</v>
      </c>
      <c r="H714" s="46">
        <v>191</v>
      </c>
    </row>
    <row r="715" spans="1:8" x14ac:dyDescent="0.25">
      <c r="A715" s="47">
        <v>40716</v>
      </c>
      <c r="B715" s="213" t="s">
        <v>350</v>
      </c>
      <c r="C715" t="s">
        <v>351</v>
      </c>
      <c r="D715" t="s">
        <v>19</v>
      </c>
      <c r="E715" s="228">
        <v>6</v>
      </c>
      <c r="F715" s="228">
        <v>85</v>
      </c>
      <c r="G715" s="229">
        <v>510</v>
      </c>
      <c r="H715" s="46">
        <v>191</v>
      </c>
    </row>
    <row r="716" spans="1:8" x14ac:dyDescent="0.25">
      <c r="A716" s="47">
        <v>40716</v>
      </c>
      <c r="B716" s="213" t="s">
        <v>349</v>
      </c>
      <c r="C716" t="s">
        <v>343</v>
      </c>
      <c r="D716" t="s">
        <v>19</v>
      </c>
      <c r="E716" s="228">
        <v>6</v>
      </c>
      <c r="F716" s="228">
        <v>130</v>
      </c>
      <c r="G716" s="229">
        <v>780</v>
      </c>
      <c r="H716" s="46">
        <v>191</v>
      </c>
    </row>
    <row r="717" spans="1:8" x14ac:dyDescent="0.25">
      <c r="A717" s="47">
        <v>40717</v>
      </c>
      <c r="B717" s="213" t="s">
        <v>350</v>
      </c>
      <c r="C717" t="s">
        <v>351</v>
      </c>
      <c r="D717" t="s">
        <v>19</v>
      </c>
      <c r="E717" s="228">
        <v>8</v>
      </c>
      <c r="F717" s="228">
        <v>85</v>
      </c>
      <c r="G717" s="229">
        <v>680</v>
      </c>
      <c r="H717" s="46">
        <v>191</v>
      </c>
    </row>
    <row r="718" spans="1:8" x14ac:dyDescent="0.25">
      <c r="A718" s="47">
        <v>40717</v>
      </c>
      <c r="B718" s="213" t="s">
        <v>349</v>
      </c>
      <c r="C718" t="s">
        <v>343</v>
      </c>
      <c r="D718" t="s">
        <v>19</v>
      </c>
      <c r="E718" s="228">
        <v>8</v>
      </c>
      <c r="F718" s="228">
        <v>130</v>
      </c>
      <c r="G718" s="229">
        <v>1040</v>
      </c>
      <c r="H718" s="46">
        <v>191</v>
      </c>
    </row>
    <row r="719" spans="1:8" x14ac:dyDescent="0.25">
      <c r="A719" s="47">
        <v>40717</v>
      </c>
      <c r="B719" s="213" t="s">
        <v>350</v>
      </c>
      <c r="C719" t="s">
        <v>371</v>
      </c>
      <c r="D719" t="s">
        <v>19</v>
      </c>
      <c r="E719" s="228">
        <v>8</v>
      </c>
      <c r="F719" s="228">
        <v>85</v>
      </c>
      <c r="G719" s="229">
        <v>680</v>
      </c>
      <c r="H719" s="46">
        <v>191</v>
      </c>
    </row>
    <row r="720" spans="1:8" x14ac:dyDescent="0.25">
      <c r="A720" s="258" t="s">
        <v>230</v>
      </c>
      <c r="B720" s="230" t="s">
        <v>409</v>
      </c>
      <c r="C720" s="231" t="s">
        <v>230</v>
      </c>
      <c r="D720" s="231" t="s">
        <v>230</v>
      </c>
      <c r="E720" s="232"/>
      <c r="F720" s="232"/>
      <c r="G720" s="233">
        <v>7230</v>
      </c>
      <c r="H720" s="243" t="s">
        <v>230</v>
      </c>
    </row>
    <row r="721" spans="1:8" x14ac:dyDescent="0.25">
      <c r="A721" s="47" t="s">
        <v>230</v>
      </c>
      <c r="B721" s="213" t="s">
        <v>230</v>
      </c>
      <c r="C721" t="s">
        <v>230</v>
      </c>
      <c r="D721" t="s">
        <v>230</v>
      </c>
      <c r="E721" s="228"/>
      <c r="F721" s="228"/>
      <c r="G721" s="229"/>
      <c r="H721" s="46" t="s">
        <v>230</v>
      </c>
    </row>
    <row r="722" spans="1:8" x14ac:dyDescent="0.25">
      <c r="A722" s="257" t="s">
        <v>230</v>
      </c>
      <c r="B722" s="224" t="s">
        <v>591</v>
      </c>
      <c r="C722" s="48" t="s">
        <v>230</v>
      </c>
      <c r="D722" s="48" t="s">
        <v>230</v>
      </c>
      <c r="E722" s="226"/>
      <c r="F722" s="226"/>
      <c r="G722" s="227"/>
      <c r="H722" s="225" t="s">
        <v>230</v>
      </c>
    </row>
    <row r="723" spans="1:8" x14ac:dyDescent="0.25">
      <c r="A723" s="47">
        <v>40704</v>
      </c>
      <c r="B723" s="213" t="s">
        <v>5</v>
      </c>
      <c r="C723" t="s">
        <v>535</v>
      </c>
      <c r="D723" t="s">
        <v>19</v>
      </c>
      <c r="E723" s="228">
        <v>5</v>
      </c>
      <c r="F723" s="228">
        <v>32.200000000000003</v>
      </c>
      <c r="G723" s="229">
        <v>161</v>
      </c>
      <c r="H723" s="46">
        <v>221</v>
      </c>
    </row>
    <row r="724" spans="1:8" x14ac:dyDescent="0.25">
      <c r="A724" s="47">
        <v>40704</v>
      </c>
      <c r="B724" s="213" t="s">
        <v>350</v>
      </c>
      <c r="C724" t="s">
        <v>351</v>
      </c>
      <c r="D724" t="s">
        <v>19</v>
      </c>
      <c r="E724" s="228">
        <v>5</v>
      </c>
      <c r="F724" s="228">
        <v>85</v>
      </c>
      <c r="G724" s="229">
        <v>425</v>
      </c>
      <c r="H724" s="46">
        <v>221</v>
      </c>
    </row>
    <row r="725" spans="1:8" x14ac:dyDescent="0.25">
      <c r="A725" s="47">
        <v>40704</v>
      </c>
      <c r="B725" s="213" t="s">
        <v>386</v>
      </c>
      <c r="C725" t="s">
        <v>387</v>
      </c>
      <c r="D725" t="s">
        <v>19</v>
      </c>
      <c r="E725" s="228">
        <v>1</v>
      </c>
      <c r="F725" s="228">
        <v>385</v>
      </c>
      <c r="G725" s="229">
        <v>385</v>
      </c>
      <c r="H725" s="46">
        <v>221</v>
      </c>
    </row>
    <row r="726" spans="1:8" x14ac:dyDescent="0.25">
      <c r="A726" s="47">
        <v>40704</v>
      </c>
      <c r="B726" s="213" t="s">
        <v>359</v>
      </c>
      <c r="C726" t="s">
        <v>535</v>
      </c>
      <c r="D726" t="s">
        <v>19</v>
      </c>
      <c r="E726" s="228">
        <v>5</v>
      </c>
      <c r="F726" s="228">
        <v>41.83</v>
      </c>
      <c r="G726" s="229">
        <v>209.15</v>
      </c>
      <c r="H726" s="46">
        <v>221</v>
      </c>
    </row>
    <row r="727" spans="1:8" x14ac:dyDescent="0.25">
      <c r="A727" s="258" t="s">
        <v>230</v>
      </c>
      <c r="B727" s="230" t="s">
        <v>410</v>
      </c>
      <c r="C727" s="231" t="s">
        <v>230</v>
      </c>
      <c r="D727" s="231" t="s">
        <v>230</v>
      </c>
      <c r="E727" s="232"/>
      <c r="F727" s="232"/>
      <c r="G727" s="233">
        <v>1180.1500000000001</v>
      </c>
      <c r="H727" s="243" t="s">
        <v>230</v>
      </c>
    </row>
    <row r="728" spans="1:8" x14ac:dyDescent="0.25">
      <c r="A728" s="47" t="s">
        <v>230</v>
      </c>
      <c r="B728" s="213" t="s">
        <v>230</v>
      </c>
      <c r="C728" t="s">
        <v>230</v>
      </c>
      <c r="D728" t="s">
        <v>230</v>
      </c>
      <c r="E728" s="228"/>
      <c r="F728" s="228"/>
      <c r="G728" s="229"/>
      <c r="H728" s="46" t="s">
        <v>230</v>
      </c>
    </row>
    <row r="729" spans="1:8" x14ac:dyDescent="0.25">
      <c r="A729" s="257" t="s">
        <v>230</v>
      </c>
      <c r="B729" s="224" t="s">
        <v>592</v>
      </c>
      <c r="C729" s="48" t="s">
        <v>230</v>
      </c>
      <c r="D729" s="48" t="s">
        <v>230</v>
      </c>
      <c r="E729" s="226"/>
      <c r="F729" s="226"/>
      <c r="G729" s="227"/>
      <c r="H729" s="225" t="s">
        <v>230</v>
      </c>
    </row>
    <row r="730" spans="1:8" x14ac:dyDescent="0.25">
      <c r="A730" s="47">
        <v>40681</v>
      </c>
      <c r="B730" s="213" t="s">
        <v>411</v>
      </c>
      <c r="C730" t="s">
        <v>412</v>
      </c>
      <c r="D730" t="s">
        <v>399</v>
      </c>
      <c r="E730" s="228">
        <v>1</v>
      </c>
      <c r="F730" s="228">
        <v>2052.6</v>
      </c>
      <c r="G730" s="229">
        <v>2052.6</v>
      </c>
      <c r="H730" s="46">
        <v>222</v>
      </c>
    </row>
    <row r="731" spans="1:8" x14ac:dyDescent="0.25">
      <c r="A731" s="47">
        <v>40683</v>
      </c>
      <c r="B731" s="213" t="s">
        <v>5</v>
      </c>
      <c r="C731" t="s">
        <v>535</v>
      </c>
      <c r="D731" t="s">
        <v>19</v>
      </c>
      <c r="E731" s="228">
        <v>1</v>
      </c>
      <c r="F731" s="228">
        <v>32.200000000000003</v>
      </c>
      <c r="G731" s="229">
        <v>32.200000000000003</v>
      </c>
      <c r="H731" s="46">
        <v>222</v>
      </c>
    </row>
    <row r="732" spans="1:8" x14ac:dyDescent="0.25">
      <c r="A732" s="47">
        <v>40683</v>
      </c>
      <c r="B732" s="213" t="s">
        <v>376</v>
      </c>
      <c r="C732" t="s">
        <v>377</v>
      </c>
      <c r="D732" t="s">
        <v>19</v>
      </c>
      <c r="E732" s="228">
        <v>1</v>
      </c>
      <c r="F732" s="228">
        <v>135</v>
      </c>
      <c r="G732" s="229">
        <v>135</v>
      </c>
      <c r="H732" s="46">
        <v>222</v>
      </c>
    </row>
    <row r="733" spans="1:8" x14ac:dyDescent="0.25">
      <c r="A733" s="47">
        <v>40686</v>
      </c>
      <c r="B733" s="213" t="s">
        <v>5</v>
      </c>
      <c r="C733" t="s">
        <v>535</v>
      </c>
      <c r="D733" t="s">
        <v>19</v>
      </c>
      <c r="E733" s="228">
        <v>9.5</v>
      </c>
      <c r="F733" s="228">
        <v>32.200000000000003</v>
      </c>
      <c r="G733" s="229">
        <v>305.89999999999998</v>
      </c>
      <c r="H733" s="46">
        <v>222</v>
      </c>
    </row>
    <row r="734" spans="1:8" x14ac:dyDescent="0.25">
      <c r="A734" s="47">
        <v>40686</v>
      </c>
      <c r="B734" s="213" t="s">
        <v>5</v>
      </c>
      <c r="C734" t="s">
        <v>536</v>
      </c>
      <c r="D734" t="s">
        <v>19</v>
      </c>
      <c r="E734" s="228">
        <v>9.5</v>
      </c>
      <c r="F734" s="228">
        <v>32.200000000000003</v>
      </c>
      <c r="G734" s="229">
        <v>305.89999999999998</v>
      </c>
      <c r="H734" s="46">
        <v>222</v>
      </c>
    </row>
    <row r="735" spans="1:8" x14ac:dyDescent="0.25">
      <c r="A735" s="47">
        <v>40687</v>
      </c>
      <c r="B735" s="213" t="s">
        <v>5</v>
      </c>
      <c r="C735" t="s">
        <v>536</v>
      </c>
      <c r="D735" t="s">
        <v>19</v>
      </c>
      <c r="E735" s="228">
        <v>9.5</v>
      </c>
      <c r="F735" s="228">
        <v>32.200000000000003</v>
      </c>
      <c r="G735" s="229">
        <v>305.89999999999998</v>
      </c>
      <c r="H735" s="46">
        <v>222</v>
      </c>
    </row>
    <row r="736" spans="1:8" x14ac:dyDescent="0.25">
      <c r="A736" s="47">
        <v>40687</v>
      </c>
      <c r="B736" s="213" t="s">
        <v>5</v>
      </c>
      <c r="C736" t="s">
        <v>535</v>
      </c>
      <c r="D736" t="s">
        <v>19</v>
      </c>
      <c r="E736" s="228">
        <v>9.5</v>
      </c>
      <c r="F736" s="228">
        <v>32.200000000000003</v>
      </c>
      <c r="G736" s="229">
        <v>305.89999999999998</v>
      </c>
      <c r="H736" s="46">
        <v>222</v>
      </c>
    </row>
    <row r="737" spans="1:8" x14ac:dyDescent="0.25">
      <c r="A737" s="47">
        <v>40688</v>
      </c>
      <c r="B737" s="213" t="s">
        <v>5</v>
      </c>
      <c r="C737" t="s">
        <v>535</v>
      </c>
      <c r="D737" t="s">
        <v>19</v>
      </c>
      <c r="E737" s="228">
        <v>9.5</v>
      </c>
      <c r="F737" s="228">
        <v>32.200000000000003</v>
      </c>
      <c r="G737" s="229">
        <v>305.89999999999998</v>
      </c>
      <c r="H737" s="46">
        <v>222</v>
      </c>
    </row>
    <row r="738" spans="1:8" x14ac:dyDescent="0.25">
      <c r="A738" s="47">
        <v>40688</v>
      </c>
      <c r="B738" s="213" t="s">
        <v>413</v>
      </c>
      <c r="C738" t="s">
        <v>414</v>
      </c>
      <c r="D738" t="s">
        <v>399</v>
      </c>
      <c r="E738" s="228">
        <v>1</v>
      </c>
      <c r="F738" s="228">
        <v>26553</v>
      </c>
      <c r="G738" s="229">
        <v>26553</v>
      </c>
      <c r="H738" s="46">
        <v>222</v>
      </c>
    </row>
    <row r="739" spans="1:8" x14ac:dyDescent="0.25">
      <c r="A739" s="47">
        <v>40688</v>
      </c>
      <c r="B739" s="213" t="s">
        <v>5</v>
      </c>
      <c r="C739" t="s">
        <v>536</v>
      </c>
      <c r="D739" t="s">
        <v>19</v>
      </c>
      <c r="E739" s="228">
        <v>9.5</v>
      </c>
      <c r="F739" s="228">
        <v>32.200000000000003</v>
      </c>
      <c r="G739" s="229">
        <v>305.89999999999998</v>
      </c>
      <c r="H739" s="46">
        <v>222</v>
      </c>
    </row>
    <row r="740" spans="1:8" x14ac:dyDescent="0.25">
      <c r="A740" s="47">
        <v>40695</v>
      </c>
      <c r="B740" s="213" t="s">
        <v>415</v>
      </c>
      <c r="C740" t="s">
        <v>414</v>
      </c>
      <c r="D740" t="s">
        <v>399</v>
      </c>
      <c r="E740" s="228">
        <v>1</v>
      </c>
      <c r="F740" s="228">
        <v>5000</v>
      </c>
      <c r="G740" s="229">
        <v>5000</v>
      </c>
      <c r="H740" s="46">
        <v>222</v>
      </c>
    </row>
    <row r="741" spans="1:8" x14ac:dyDescent="0.25">
      <c r="A741" s="47">
        <v>40695</v>
      </c>
      <c r="B741" s="213" t="s">
        <v>416</v>
      </c>
      <c r="C741" t="s">
        <v>417</v>
      </c>
      <c r="D741" t="s">
        <v>399</v>
      </c>
      <c r="E741" s="228">
        <v>1</v>
      </c>
      <c r="F741" s="228">
        <v>500</v>
      </c>
      <c r="G741" s="229">
        <v>500</v>
      </c>
      <c r="H741" s="46">
        <v>222</v>
      </c>
    </row>
    <row r="742" spans="1:8" x14ac:dyDescent="0.25">
      <c r="A742" s="258" t="s">
        <v>230</v>
      </c>
      <c r="B742" s="230" t="s">
        <v>418</v>
      </c>
      <c r="C742" s="231" t="s">
        <v>230</v>
      </c>
      <c r="D742" s="231" t="s">
        <v>230</v>
      </c>
      <c r="E742" s="232"/>
      <c r="F742" s="232"/>
      <c r="G742" s="233">
        <v>36108.199999999997</v>
      </c>
      <c r="H742" s="243" t="s">
        <v>230</v>
      </c>
    </row>
    <row r="743" spans="1:8" x14ac:dyDescent="0.25">
      <c r="A743" s="47" t="s">
        <v>230</v>
      </c>
      <c r="B743" s="213" t="s">
        <v>230</v>
      </c>
      <c r="C743" t="s">
        <v>230</v>
      </c>
      <c r="D743" t="s">
        <v>230</v>
      </c>
      <c r="E743" s="228"/>
      <c r="F743" s="228"/>
      <c r="G743" s="229"/>
      <c r="H743" s="46" t="s">
        <v>230</v>
      </c>
    </row>
    <row r="744" spans="1:8" x14ac:dyDescent="0.25">
      <c r="A744" s="257" t="s">
        <v>230</v>
      </c>
      <c r="B744" s="224" t="s">
        <v>593</v>
      </c>
      <c r="C744" s="48" t="s">
        <v>230</v>
      </c>
      <c r="D744" s="48" t="s">
        <v>230</v>
      </c>
      <c r="E744" s="226"/>
      <c r="F744" s="226"/>
      <c r="G744" s="227"/>
      <c r="H744" s="225" t="s">
        <v>230</v>
      </c>
    </row>
    <row r="745" spans="1:8" x14ac:dyDescent="0.25">
      <c r="A745" s="47">
        <v>40696</v>
      </c>
      <c r="B745" s="213" t="s">
        <v>419</v>
      </c>
      <c r="C745" t="s">
        <v>420</v>
      </c>
      <c r="D745" t="s">
        <v>399</v>
      </c>
      <c r="E745" s="228">
        <v>2</v>
      </c>
      <c r="F745" s="228">
        <v>90</v>
      </c>
      <c r="G745" s="229">
        <v>180</v>
      </c>
      <c r="H745" s="46">
        <v>223</v>
      </c>
    </row>
    <row r="746" spans="1:8" x14ac:dyDescent="0.25">
      <c r="A746" s="47">
        <v>40703</v>
      </c>
      <c r="B746" s="213" t="s">
        <v>5</v>
      </c>
      <c r="C746" t="s">
        <v>535</v>
      </c>
      <c r="D746" t="s">
        <v>19</v>
      </c>
      <c r="E746" s="228">
        <v>10.5</v>
      </c>
      <c r="F746" s="228">
        <v>32.200000000000003</v>
      </c>
      <c r="G746" s="229">
        <v>338.1</v>
      </c>
      <c r="H746" s="46">
        <v>223</v>
      </c>
    </row>
    <row r="747" spans="1:8" x14ac:dyDescent="0.25">
      <c r="A747" s="47">
        <v>40703</v>
      </c>
      <c r="B747" s="213" t="s">
        <v>359</v>
      </c>
      <c r="C747" t="s">
        <v>535</v>
      </c>
      <c r="D747" t="s">
        <v>19</v>
      </c>
      <c r="E747" s="228">
        <v>10</v>
      </c>
      <c r="F747" s="228">
        <v>41.83</v>
      </c>
      <c r="G747" s="229">
        <v>418.3</v>
      </c>
      <c r="H747" s="46">
        <v>223</v>
      </c>
    </row>
    <row r="748" spans="1:8" x14ac:dyDescent="0.25">
      <c r="A748" s="47">
        <v>40703</v>
      </c>
      <c r="B748" s="213" t="s">
        <v>386</v>
      </c>
      <c r="C748" t="s">
        <v>387</v>
      </c>
      <c r="D748" t="s">
        <v>19</v>
      </c>
      <c r="E748" s="228">
        <v>1</v>
      </c>
      <c r="F748" s="228">
        <v>385</v>
      </c>
      <c r="G748" s="229">
        <v>385</v>
      </c>
      <c r="H748" s="46">
        <v>223</v>
      </c>
    </row>
    <row r="749" spans="1:8" x14ac:dyDescent="0.25">
      <c r="A749" s="47">
        <v>40703</v>
      </c>
      <c r="B749" s="213" t="s">
        <v>5</v>
      </c>
      <c r="C749" t="s">
        <v>536</v>
      </c>
      <c r="D749" t="s">
        <v>19</v>
      </c>
      <c r="E749" s="228">
        <v>10.5</v>
      </c>
      <c r="F749" s="228">
        <v>32.200000000000003</v>
      </c>
      <c r="G749" s="229">
        <v>338.1</v>
      </c>
      <c r="H749" s="46">
        <v>223</v>
      </c>
    </row>
    <row r="750" spans="1:8" x14ac:dyDescent="0.25">
      <c r="A750" s="47">
        <v>40703</v>
      </c>
      <c r="B750" s="213" t="s">
        <v>363</v>
      </c>
      <c r="C750" t="s">
        <v>536</v>
      </c>
      <c r="D750" t="s">
        <v>19</v>
      </c>
      <c r="E750" s="228">
        <v>10.5</v>
      </c>
      <c r="F750" s="228">
        <v>43.4</v>
      </c>
      <c r="G750" s="229">
        <v>455.7</v>
      </c>
      <c r="H750" s="46">
        <v>223</v>
      </c>
    </row>
    <row r="751" spans="1:8" x14ac:dyDescent="0.25">
      <c r="A751" s="47">
        <v>40704</v>
      </c>
      <c r="B751" s="213" t="s">
        <v>363</v>
      </c>
      <c r="C751" t="s">
        <v>536</v>
      </c>
      <c r="D751" t="s">
        <v>19</v>
      </c>
      <c r="E751" s="228">
        <v>8</v>
      </c>
      <c r="F751" s="228">
        <v>43.4</v>
      </c>
      <c r="G751" s="229">
        <v>347.2</v>
      </c>
      <c r="H751" s="46">
        <v>223</v>
      </c>
    </row>
    <row r="752" spans="1:8" x14ac:dyDescent="0.25">
      <c r="A752" s="47">
        <v>40708</v>
      </c>
      <c r="B752" s="213" t="s">
        <v>363</v>
      </c>
      <c r="C752" t="s">
        <v>536</v>
      </c>
      <c r="D752" t="s">
        <v>19</v>
      </c>
      <c r="E752" s="228">
        <v>10</v>
      </c>
      <c r="F752" s="228">
        <v>43.4</v>
      </c>
      <c r="G752" s="229">
        <v>434</v>
      </c>
      <c r="H752" s="46">
        <v>223</v>
      </c>
    </row>
    <row r="753" spans="1:8" x14ac:dyDescent="0.25">
      <c r="A753" s="47">
        <v>40708</v>
      </c>
      <c r="B753" s="213" t="s">
        <v>5</v>
      </c>
      <c r="C753" t="s">
        <v>535</v>
      </c>
      <c r="D753" t="s">
        <v>19</v>
      </c>
      <c r="E753" s="228">
        <v>10</v>
      </c>
      <c r="F753" s="228">
        <v>32.200000000000003</v>
      </c>
      <c r="G753" s="229">
        <v>322</v>
      </c>
      <c r="H753" s="46">
        <v>223</v>
      </c>
    </row>
    <row r="754" spans="1:8" x14ac:dyDescent="0.25">
      <c r="A754" s="47">
        <v>40708</v>
      </c>
      <c r="B754" s="213" t="s">
        <v>359</v>
      </c>
      <c r="C754" t="s">
        <v>535</v>
      </c>
      <c r="D754" t="s">
        <v>19</v>
      </c>
      <c r="E754" s="228">
        <v>10</v>
      </c>
      <c r="F754" s="228">
        <v>41.83</v>
      </c>
      <c r="G754" s="229">
        <v>418.3</v>
      </c>
      <c r="H754" s="46">
        <v>223</v>
      </c>
    </row>
    <row r="755" spans="1:8" x14ac:dyDescent="0.25">
      <c r="A755" s="47">
        <v>40708</v>
      </c>
      <c r="B755" s="213" t="s">
        <v>386</v>
      </c>
      <c r="C755" t="s">
        <v>387</v>
      </c>
      <c r="D755" t="s">
        <v>19</v>
      </c>
      <c r="E755" s="228">
        <v>1</v>
      </c>
      <c r="F755" s="228">
        <v>385</v>
      </c>
      <c r="G755" s="229">
        <v>385</v>
      </c>
      <c r="H755" s="46">
        <v>223</v>
      </c>
    </row>
    <row r="756" spans="1:8" x14ac:dyDescent="0.25">
      <c r="A756" s="47">
        <v>40708</v>
      </c>
      <c r="B756" s="213" t="s">
        <v>5</v>
      </c>
      <c r="C756" t="s">
        <v>536</v>
      </c>
      <c r="D756" t="s">
        <v>19</v>
      </c>
      <c r="E756" s="228">
        <v>10</v>
      </c>
      <c r="F756" s="228">
        <v>32.200000000000003</v>
      </c>
      <c r="G756" s="229">
        <v>322</v>
      </c>
      <c r="H756" s="46">
        <v>223</v>
      </c>
    </row>
    <row r="757" spans="1:8" x14ac:dyDescent="0.25">
      <c r="A757" s="47">
        <v>40709</v>
      </c>
      <c r="B757" s="213" t="s">
        <v>359</v>
      </c>
      <c r="C757" t="s">
        <v>535</v>
      </c>
      <c r="D757" t="s">
        <v>19</v>
      </c>
      <c r="E757" s="228">
        <v>10</v>
      </c>
      <c r="F757" s="228">
        <v>41.83</v>
      </c>
      <c r="G757" s="229">
        <v>418.3</v>
      </c>
      <c r="H757" s="46">
        <v>223</v>
      </c>
    </row>
    <row r="758" spans="1:8" x14ac:dyDescent="0.25">
      <c r="A758" s="47">
        <v>40709</v>
      </c>
      <c r="B758" s="213" t="s">
        <v>5</v>
      </c>
      <c r="C758" t="s">
        <v>536</v>
      </c>
      <c r="D758" t="s">
        <v>19</v>
      </c>
      <c r="E758" s="228">
        <v>10</v>
      </c>
      <c r="F758" s="228">
        <v>32.200000000000003</v>
      </c>
      <c r="G758" s="229">
        <v>322</v>
      </c>
      <c r="H758" s="46">
        <v>223</v>
      </c>
    </row>
    <row r="759" spans="1:8" x14ac:dyDescent="0.25">
      <c r="A759" s="47">
        <v>40709</v>
      </c>
      <c r="B759" s="213" t="s">
        <v>5</v>
      </c>
      <c r="C759" t="s">
        <v>535</v>
      </c>
      <c r="D759" t="s">
        <v>19</v>
      </c>
      <c r="E759" s="228">
        <v>10</v>
      </c>
      <c r="F759" s="228">
        <v>32.200000000000003</v>
      </c>
      <c r="G759" s="229">
        <v>322</v>
      </c>
      <c r="H759" s="46">
        <v>223</v>
      </c>
    </row>
    <row r="760" spans="1:8" x14ac:dyDescent="0.25">
      <c r="A760" s="47">
        <v>40709</v>
      </c>
      <c r="B760" s="213" t="s">
        <v>379</v>
      </c>
      <c r="C760" t="s">
        <v>375</v>
      </c>
      <c r="D760" t="s">
        <v>19</v>
      </c>
      <c r="E760" s="228">
        <v>1</v>
      </c>
      <c r="F760" s="228">
        <v>255</v>
      </c>
      <c r="G760" s="229">
        <v>255</v>
      </c>
      <c r="H760" s="46">
        <v>223</v>
      </c>
    </row>
    <row r="761" spans="1:8" x14ac:dyDescent="0.25">
      <c r="A761" s="47">
        <v>40709</v>
      </c>
      <c r="B761" s="213" t="s">
        <v>386</v>
      </c>
      <c r="C761" t="s">
        <v>387</v>
      </c>
      <c r="D761" t="s">
        <v>19</v>
      </c>
      <c r="E761" s="228">
        <v>1</v>
      </c>
      <c r="F761" s="228">
        <v>385</v>
      </c>
      <c r="G761" s="229">
        <v>385</v>
      </c>
      <c r="H761" s="46">
        <v>223</v>
      </c>
    </row>
    <row r="762" spans="1:8" x14ac:dyDescent="0.25">
      <c r="A762" s="47">
        <v>40709</v>
      </c>
      <c r="B762" s="213" t="s">
        <v>363</v>
      </c>
      <c r="C762" t="s">
        <v>536</v>
      </c>
      <c r="D762" t="s">
        <v>19</v>
      </c>
      <c r="E762" s="228">
        <v>10</v>
      </c>
      <c r="F762" s="228">
        <v>43.4</v>
      </c>
      <c r="G762" s="229">
        <v>434</v>
      </c>
      <c r="H762" s="46">
        <v>223</v>
      </c>
    </row>
    <row r="763" spans="1:8" x14ac:dyDescent="0.25">
      <c r="A763" s="47">
        <v>40710</v>
      </c>
      <c r="B763" s="213" t="s">
        <v>379</v>
      </c>
      <c r="C763" t="s">
        <v>375</v>
      </c>
      <c r="D763" t="s">
        <v>19</v>
      </c>
      <c r="E763" s="228">
        <v>1</v>
      </c>
      <c r="F763" s="228">
        <v>255</v>
      </c>
      <c r="G763" s="229">
        <v>255</v>
      </c>
      <c r="H763" s="46">
        <v>223</v>
      </c>
    </row>
    <row r="764" spans="1:8" x14ac:dyDescent="0.25">
      <c r="A764" s="47">
        <v>40710</v>
      </c>
      <c r="B764" s="213" t="s">
        <v>386</v>
      </c>
      <c r="C764" t="s">
        <v>387</v>
      </c>
      <c r="D764" t="s">
        <v>19</v>
      </c>
      <c r="E764" s="228">
        <v>1</v>
      </c>
      <c r="F764" s="228">
        <v>385</v>
      </c>
      <c r="G764" s="229">
        <v>385</v>
      </c>
      <c r="H764" s="46">
        <v>223</v>
      </c>
    </row>
    <row r="765" spans="1:8" x14ac:dyDescent="0.25">
      <c r="A765" s="47">
        <v>40710</v>
      </c>
      <c r="B765" s="213" t="s">
        <v>363</v>
      </c>
      <c r="C765" t="s">
        <v>536</v>
      </c>
      <c r="D765" t="s">
        <v>19</v>
      </c>
      <c r="E765" s="228">
        <v>10</v>
      </c>
      <c r="F765" s="228">
        <v>43.4</v>
      </c>
      <c r="G765" s="229">
        <v>434</v>
      </c>
      <c r="H765" s="46">
        <v>223</v>
      </c>
    </row>
    <row r="766" spans="1:8" x14ac:dyDescent="0.25">
      <c r="A766" s="47">
        <v>40710</v>
      </c>
      <c r="B766" s="213" t="s">
        <v>359</v>
      </c>
      <c r="C766" t="s">
        <v>535</v>
      </c>
      <c r="D766" t="s">
        <v>19</v>
      </c>
      <c r="E766" s="228">
        <v>10</v>
      </c>
      <c r="F766" s="228">
        <v>41.83</v>
      </c>
      <c r="G766" s="229">
        <v>418.3</v>
      </c>
      <c r="H766" s="46">
        <v>223</v>
      </c>
    </row>
    <row r="767" spans="1:8" x14ac:dyDescent="0.25">
      <c r="A767" s="47">
        <v>40710</v>
      </c>
      <c r="B767" s="213" t="s">
        <v>5</v>
      </c>
      <c r="C767" t="s">
        <v>535</v>
      </c>
      <c r="D767" t="s">
        <v>19</v>
      </c>
      <c r="E767" s="228">
        <v>10</v>
      </c>
      <c r="F767" s="228">
        <v>32.200000000000003</v>
      </c>
      <c r="G767" s="229">
        <v>322</v>
      </c>
      <c r="H767" s="46">
        <v>223</v>
      </c>
    </row>
    <row r="768" spans="1:8" x14ac:dyDescent="0.25">
      <c r="A768" s="47">
        <v>40710</v>
      </c>
      <c r="B768" s="213" t="s">
        <v>5</v>
      </c>
      <c r="C768" t="s">
        <v>536</v>
      </c>
      <c r="D768" t="s">
        <v>19</v>
      </c>
      <c r="E768" s="228">
        <v>10</v>
      </c>
      <c r="F768" s="228">
        <v>32.200000000000003</v>
      </c>
      <c r="G768" s="229">
        <v>322</v>
      </c>
      <c r="H768" s="46">
        <v>223</v>
      </c>
    </row>
    <row r="769" spans="1:8" x14ac:dyDescent="0.25">
      <c r="A769" s="47">
        <v>40711</v>
      </c>
      <c r="B769" s="213" t="s">
        <v>359</v>
      </c>
      <c r="C769" t="s">
        <v>535</v>
      </c>
      <c r="D769" t="s">
        <v>19</v>
      </c>
      <c r="E769" s="228">
        <v>8</v>
      </c>
      <c r="F769" s="228">
        <v>41.83</v>
      </c>
      <c r="G769" s="229">
        <v>334.64</v>
      </c>
      <c r="H769" s="46">
        <v>223</v>
      </c>
    </row>
    <row r="770" spans="1:8" x14ac:dyDescent="0.25">
      <c r="A770" s="47">
        <v>40711</v>
      </c>
      <c r="B770" s="213" t="s">
        <v>379</v>
      </c>
      <c r="C770" t="s">
        <v>375</v>
      </c>
      <c r="D770" t="s">
        <v>19</v>
      </c>
      <c r="E770" s="228">
        <v>1</v>
      </c>
      <c r="F770" s="228">
        <v>255</v>
      </c>
      <c r="G770" s="229">
        <v>255</v>
      </c>
      <c r="H770" s="46">
        <v>223</v>
      </c>
    </row>
    <row r="771" spans="1:8" x14ac:dyDescent="0.25">
      <c r="A771" s="47">
        <v>40711</v>
      </c>
      <c r="B771" s="213" t="s">
        <v>386</v>
      </c>
      <c r="C771" t="s">
        <v>387</v>
      </c>
      <c r="D771" t="s">
        <v>19</v>
      </c>
      <c r="E771" s="228">
        <v>1</v>
      </c>
      <c r="F771" s="228">
        <v>385</v>
      </c>
      <c r="G771" s="229">
        <v>385</v>
      </c>
      <c r="H771" s="46">
        <v>223</v>
      </c>
    </row>
    <row r="772" spans="1:8" x14ac:dyDescent="0.25">
      <c r="A772" s="47">
        <v>40711</v>
      </c>
      <c r="B772" s="213" t="s">
        <v>363</v>
      </c>
      <c r="C772" t="s">
        <v>536</v>
      </c>
      <c r="D772" t="s">
        <v>19</v>
      </c>
      <c r="E772" s="228">
        <v>8</v>
      </c>
      <c r="F772" s="228">
        <v>43.4</v>
      </c>
      <c r="G772" s="229">
        <v>347.2</v>
      </c>
      <c r="H772" s="46">
        <v>223</v>
      </c>
    </row>
    <row r="773" spans="1:8" x14ac:dyDescent="0.25">
      <c r="A773" s="47">
        <v>40711</v>
      </c>
      <c r="B773" s="213" t="s">
        <v>5</v>
      </c>
      <c r="C773" t="s">
        <v>535</v>
      </c>
      <c r="D773" t="s">
        <v>19</v>
      </c>
      <c r="E773" s="228">
        <v>8</v>
      </c>
      <c r="F773" s="228">
        <v>32.200000000000003</v>
      </c>
      <c r="G773" s="229">
        <v>257.60000000000002</v>
      </c>
      <c r="H773" s="46">
        <v>223</v>
      </c>
    </row>
    <row r="774" spans="1:8" x14ac:dyDescent="0.25">
      <c r="A774" s="47">
        <v>40711</v>
      </c>
      <c r="B774" s="213" t="s">
        <v>5</v>
      </c>
      <c r="C774" t="s">
        <v>536</v>
      </c>
      <c r="D774" t="s">
        <v>19</v>
      </c>
      <c r="E774" s="228">
        <v>8</v>
      </c>
      <c r="F774" s="228">
        <v>32.200000000000003</v>
      </c>
      <c r="G774" s="229">
        <v>257.60000000000002</v>
      </c>
      <c r="H774" s="46">
        <v>223</v>
      </c>
    </row>
    <row r="775" spans="1:8" x14ac:dyDescent="0.25">
      <c r="A775" s="47">
        <v>40712</v>
      </c>
      <c r="B775" s="213" t="s">
        <v>349</v>
      </c>
      <c r="C775" t="s">
        <v>343</v>
      </c>
      <c r="D775" t="s">
        <v>19</v>
      </c>
      <c r="E775" s="228">
        <v>2</v>
      </c>
      <c r="F775" s="228">
        <v>130</v>
      </c>
      <c r="G775" s="229">
        <v>260</v>
      </c>
      <c r="H775" s="46">
        <v>223</v>
      </c>
    </row>
    <row r="776" spans="1:8" x14ac:dyDescent="0.25">
      <c r="A776" s="47">
        <v>40712</v>
      </c>
      <c r="B776" s="213" t="s">
        <v>363</v>
      </c>
      <c r="C776" t="s">
        <v>536</v>
      </c>
      <c r="D776" t="s">
        <v>19</v>
      </c>
      <c r="E776" s="228">
        <v>2</v>
      </c>
      <c r="F776" s="228">
        <v>43.4</v>
      </c>
      <c r="G776" s="229">
        <v>86.8</v>
      </c>
      <c r="H776" s="46">
        <v>223</v>
      </c>
    </row>
    <row r="777" spans="1:8" x14ac:dyDescent="0.25">
      <c r="A777" s="47">
        <v>40712</v>
      </c>
      <c r="B777" s="213" t="s">
        <v>350</v>
      </c>
      <c r="C777" t="s">
        <v>371</v>
      </c>
      <c r="D777" t="s">
        <v>19</v>
      </c>
      <c r="E777" s="228">
        <v>2</v>
      </c>
      <c r="F777" s="228">
        <v>85</v>
      </c>
      <c r="G777" s="229">
        <v>170</v>
      </c>
      <c r="H777" s="46">
        <v>223</v>
      </c>
    </row>
    <row r="778" spans="1:8" x14ac:dyDescent="0.25">
      <c r="A778" s="47">
        <v>40712</v>
      </c>
      <c r="B778" s="213" t="s">
        <v>350</v>
      </c>
      <c r="C778" t="s">
        <v>351</v>
      </c>
      <c r="D778" t="s">
        <v>19</v>
      </c>
      <c r="E778" s="228">
        <v>2</v>
      </c>
      <c r="F778" s="228">
        <v>85</v>
      </c>
      <c r="G778" s="229">
        <v>170</v>
      </c>
      <c r="H778" s="46">
        <v>223</v>
      </c>
    </row>
    <row r="779" spans="1:8" x14ac:dyDescent="0.25">
      <c r="A779" s="47">
        <v>40712</v>
      </c>
      <c r="B779" s="213" t="s">
        <v>5</v>
      </c>
      <c r="C779" t="s">
        <v>536</v>
      </c>
      <c r="D779" t="s">
        <v>19</v>
      </c>
      <c r="E779" s="228">
        <v>6</v>
      </c>
      <c r="F779" s="228">
        <v>32.200000000000003</v>
      </c>
      <c r="G779" s="229">
        <v>193.2</v>
      </c>
      <c r="H779" s="46">
        <v>223</v>
      </c>
    </row>
    <row r="780" spans="1:8" x14ac:dyDescent="0.25">
      <c r="A780" s="47">
        <v>40712</v>
      </c>
      <c r="B780" s="213" t="s">
        <v>359</v>
      </c>
      <c r="C780" t="s">
        <v>535</v>
      </c>
      <c r="D780" t="s">
        <v>19</v>
      </c>
      <c r="E780" s="228">
        <v>6</v>
      </c>
      <c r="F780" s="228">
        <v>41.83</v>
      </c>
      <c r="G780" s="229">
        <v>250.98</v>
      </c>
      <c r="H780" s="46">
        <v>223</v>
      </c>
    </row>
    <row r="781" spans="1:8" x14ac:dyDescent="0.25">
      <c r="A781" s="47">
        <v>40712</v>
      </c>
      <c r="B781" s="213" t="s">
        <v>386</v>
      </c>
      <c r="C781" t="s">
        <v>387</v>
      </c>
      <c r="D781" t="s">
        <v>19</v>
      </c>
      <c r="E781" s="228">
        <v>1</v>
      </c>
      <c r="F781" s="228">
        <v>385</v>
      </c>
      <c r="G781" s="229">
        <v>385</v>
      </c>
      <c r="H781" s="46">
        <v>223</v>
      </c>
    </row>
    <row r="782" spans="1:8" x14ac:dyDescent="0.25">
      <c r="A782" s="47">
        <v>40714</v>
      </c>
      <c r="B782" s="213" t="s">
        <v>359</v>
      </c>
      <c r="C782" t="s">
        <v>535</v>
      </c>
      <c r="D782" t="s">
        <v>19</v>
      </c>
      <c r="E782" s="228">
        <v>10</v>
      </c>
      <c r="F782" s="228">
        <v>41.83</v>
      </c>
      <c r="G782" s="229">
        <v>418.3</v>
      </c>
      <c r="H782" s="46">
        <v>223</v>
      </c>
    </row>
    <row r="783" spans="1:8" x14ac:dyDescent="0.25">
      <c r="A783" s="47">
        <v>40714</v>
      </c>
      <c r="B783" s="213" t="s">
        <v>379</v>
      </c>
      <c r="C783" t="s">
        <v>375</v>
      </c>
      <c r="D783" t="s">
        <v>19</v>
      </c>
      <c r="E783" s="228">
        <v>1</v>
      </c>
      <c r="F783" s="228">
        <v>255</v>
      </c>
      <c r="G783" s="229">
        <v>255</v>
      </c>
      <c r="H783" s="46">
        <v>223</v>
      </c>
    </row>
    <row r="784" spans="1:8" x14ac:dyDescent="0.25">
      <c r="A784" s="47">
        <v>40714</v>
      </c>
      <c r="B784" s="213" t="s">
        <v>5</v>
      </c>
      <c r="C784" t="s">
        <v>535</v>
      </c>
      <c r="D784" t="s">
        <v>19</v>
      </c>
      <c r="E784" s="228">
        <v>10</v>
      </c>
      <c r="F784" s="228">
        <v>32.200000000000003</v>
      </c>
      <c r="G784" s="229">
        <v>322</v>
      </c>
      <c r="H784" s="46">
        <v>223</v>
      </c>
    </row>
    <row r="785" spans="1:8" x14ac:dyDescent="0.25">
      <c r="A785" s="47">
        <v>40714</v>
      </c>
      <c r="B785" s="213" t="s">
        <v>5</v>
      </c>
      <c r="C785" t="s">
        <v>536</v>
      </c>
      <c r="D785" t="s">
        <v>19</v>
      </c>
      <c r="E785" s="228">
        <v>10</v>
      </c>
      <c r="F785" s="228">
        <v>32.200000000000003</v>
      </c>
      <c r="G785" s="229">
        <v>322</v>
      </c>
      <c r="H785" s="46">
        <v>223</v>
      </c>
    </row>
    <row r="786" spans="1:8" x14ac:dyDescent="0.25">
      <c r="A786" s="47">
        <v>40714</v>
      </c>
      <c r="B786" s="213" t="s">
        <v>386</v>
      </c>
      <c r="C786" t="s">
        <v>387</v>
      </c>
      <c r="D786" t="s">
        <v>19</v>
      </c>
      <c r="E786" s="228">
        <v>1</v>
      </c>
      <c r="F786" s="228">
        <v>385</v>
      </c>
      <c r="G786" s="229">
        <v>385</v>
      </c>
      <c r="H786" s="46">
        <v>223</v>
      </c>
    </row>
    <row r="787" spans="1:8" x14ac:dyDescent="0.25">
      <c r="A787" s="47">
        <v>40714</v>
      </c>
      <c r="B787" s="213" t="s">
        <v>363</v>
      </c>
      <c r="C787" t="s">
        <v>536</v>
      </c>
      <c r="D787" t="s">
        <v>19</v>
      </c>
      <c r="E787" s="228">
        <v>10</v>
      </c>
      <c r="F787" s="228">
        <v>43.4</v>
      </c>
      <c r="G787" s="229">
        <v>434</v>
      </c>
      <c r="H787" s="46">
        <v>223</v>
      </c>
    </row>
    <row r="788" spans="1:8" x14ac:dyDescent="0.25">
      <c r="A788" s="47">
        <v>40715</v>
      </c>
      <c r="B788" s="213" t="s">
        <v>359</v>
      </c>
      <c r="C788" t="s">
        <v>535</v>
      </c>
      <c r="D788" t="s">
        <v>19</v>
      </c>
      <c r="E788" s="228">
        <v>10</v>
      </c>
      <c r="F788" s="228">
        <v>41.83</v>
      </c>
      <c r="G788" s="229">
        <v>418.3</v>
      </c>
      <c r="H788" s="46">
        <v>223</v>
      </c>
    </row>
    <row r="789" spans="1:8" x14ac:dyDescent="0.25">
      <c r="A789" s="47">
        <v>40715</v>
      </c>
      <c r="B789" s="213" t="s">
        <v>5</v>
      </c>
      <c r="C789" t="s">
        <v>535</v>
      </c>
      <c r="D789" t="s">
        <v>19</v>
      </c>
      <c r="E789" s="228">
        <v>10</v>
      </c>
      <c r="F789" s="228">
        <v>32.200000000000003</v>
      </c>
      <c r="G789" s="229">
        <v>322</v>
      </c>
      <c r="H789" s="46">
        <v>223</v>
      </c>
    </row>
    <row r="790" spans="1:8" x14ac:dyDescent="0.25">
      <c r="A790" s="47">
        <v>40715</v>
      </c>
      <c r="B790" s="213" t="s">
        <v>5</v>
      </c>
      <c r="C790" t="s">
        <v>536</v>
      </c>
      <c r="D790" t="s">
        <v>19</v>
      </c>
      <c r="E790" s="228">
        <v>10</v>
      </c>
      <c r="F790" s="228">
        <v>32.200000000000003</v>
      </c>
      <c r="G790" s="229">
        <v>322</v>
      </c>
      <c r="H790" s="46">
        <v>223</v>
      </c>
    </row>
    <row r="791" spans="1:8" x14ac:dyDescent="0.25">
      <c r="A791" s="47">
        <v>40715</v>
      </c>
      <c r="B791" s="213" t="s">
        <v>379</v>
      </c>
      <c r="C791" t="s">
        <v>375</v>
      </c>
      <c r="D791" t="s">
        <v>19</v>
      </c>
      <c r="E791" s="228">
        <v>1</v>
      </c>
      <c r="F791" s="228">
        <v>255</v>
      </c>
      <c r="G791" s="229">
        <v>255</v>
      </c>
      <c r="H791" s="46">
        <v>223</v>
      </c>
    </row>
    <row r="792" spans="1:8" x14ac:dyDescent="0.25">
      <c r="A792" s="47">
        <v>40715</v>
      </c>
      <c r="B792" s="213" t="s">
        <v>386</v>
      </c>
      <c r="C792" t="s">
        <v>387</v>
      </c>
      <c r="D792" t="s">
        <v>19</v>
      </c>
      <c r="E792" s="228">
        <v>1</v>
      </c>
      <c r="F792" s="228">
        <v>385</v>
      </c>
      <c r="G792" s="229">
        <v>385</v>
      </c>
      <c r="H792" s="46">
        <v>223</v>
      </c>
    </row>
    <row r="793" spans="1:8" x14ac:dyDescent="0.25">
      <c r="A793" s="47">
        <v>40715</v>
      </c>
      <c r="B793" s="213" t="s">
        <v>363</v>
      </c>
      <c r="C793" t="s">
        <v>536</v>
      </c>
      <c r="D793" t="s">
        <v>19</v>
      </c>
      <c r="E793" s="228">
        <v>10</v>
      </c>
      <c r="F793" s="228">
        <v>43.4</v>
      </c>
      <c r="G793" s="229">
        <v>434</v>
      </c>
      <c r="H793" s="46">
        <v>223</v>
      </c>
    </row>
    <row r="794" spans="1:8" x14ac:dyDescent="0.25">
      <c r="A794" s="47">
        <v>40716</v>
      </c>
      <c r="B794" s="213" t="s">
        <v>363</v>
      </c>
      <c r="C794" t="s">
        <v>536</v>
      </c>
      <c r="D794" t="s">
        <v>19</v>
      </c>
      <c r="E794" s="228">
        <v>10</v>
      </c>
      <c r="F794" s="228">
        <v>43.4</v>
      </c>
      <c r="G794" s="229">
        <v>434</v>
      </c>
      <c r="H794" s="46">
        <v>223</v>
      </c>
    </row>
    <row r="795" spans="1:8" x14ac:dyDescent="0.25">
      <c r="A795" s="47">
        <v>40716</v>
      </c>
      <c r="B795" s="213" t="s">
        <v>378</v>
      </c>
      <c r="C795" t="s">
        <v>538</v>
      </c>
      <c r="D795" t="s">
        <v>19</v>
      </c>
      <c r="E795" s="228">
        <v>5</v>
      </c>
      <c r="F795" s="228">
        <v>38</v>
      </c>
      <c r="G795" s="229">
        <v>190</v>
      </c>
      <c r="H795" s="46">
        <v>223</v>
      </c>
    </row>
    <row r="796" spans="1:8" x14ac:dyDescent="0.25">
      <c r="A796" s="47">
        <v>40716</v>
      </c>
      <c r="B796" s="213" t="s">
        <v>372</v>
      </c>
      <c r="C796" t="s">
        <v>367</v>
      </c>
      <c r="D796" t="s">
        <v>57</v>
      </c>
      <c r="E796" s="228">
        <v>0.5</v>
      </c>
      <c r="F796" s="228">
        <v>365</v>
      </c>
      <c r="G796" s="229">
        <v>182.5</v>
      </c>
      <c r="H796" s="46">
        <v>223</v>
      </c>
    </row>
    <row r="797" spans="1:8" x14ac:dyDescent="0.25">
      <c r="A797" s="47">
        <v>40716</v>
      </c>
      <c r="B797" s="213" t="s">
        <v>359</v>
      </c>
      <c r="C797" t="s">
        <v>535</v>
      </c>
      <c r="D797" t="s">
        <v>19</v>
      </c>
      <c r="E797" s="228">
        <v>10</v>
      </c>
      <c r="F797" s="228">
        <v>41.83</v>
      </c>
      <c r="G797" s="229">
        <v>418.3</v>
      </c>
      <c r="H797" s="46">
        <v>223</v>
      </c>
    </row>
    <row r="798" spans="1:8" x14ac:dyDescent="0.25">
      <c r="A798" s="47">
        <v>40716</v>
      </c>
      <c r="B798" s="213" t="s">
        <v>379</v>
      </c>
      <c r="C798" t="s">
        <v>375</v>
      </c>
      <c r="D798" t="s">
        <v>19</v>
      </c>
      <c r="E798" s="228">
        <v>1</v>
      </c>
      <c r="F798" s="228">
        <v>255</v>
      </c>
      <c r="G798" s="229">
        <v>255</v>
      </c>
      <c r="H798" s="46">
        <v>223</v>
      </c>
    </row>
    <row r="799" spans="1:8" x14ac:dyDescent="0.25">
      <c r="A799" s="47">
        <v>40716</v>
      </c>
      <c r="B799" s="213" t="s">
        <v>386</v>
      </c>
      <c r="C799" t="s">
        <v>387</v>
      </c>
      <c r="D799" t="s">
        <v>19</v>
      </c>
      <c r="E799" s="228">
        <v>1</v>
      </c>
      <c r="F799" s="228">
        <v>385</v>
      </c>
      <c r="G799" s="229">
        <v>385</v>
      </c>
      <c r="H799" s="46">
        <v>223</v>
      </c>
    </row>
    <row r="800" spans="1:8" x14ac:dyDescent="0.25">
      <c r="A800" s="47">
        <v>40716</v>
      </c>
      <c r="B800" s="213" t="s">
        <v>5</v>
      </c>
      <c r="C800" t="s">
        <v>535</v>
      </c>
      <c r="D800" t="s">
        <v>19</v>
      </c>
      <c r="E800" s="228">
        <v>10</v>
      </c>
      <c r="F800" s="228">
        <v>32.200000000000003</v>
      </c>
      <c r="G800" s="229">
        <v>322</v>
      </c>
      <c r="H800" s="46">
        <v>223</v>
      </c>
    </row>
    <row r="801" spans="1:8" x14ac:dyDescent="0.25">
      <c r="A801" s="47">
        <v>40716</v>
      </c>
      <c r="B801" s="213" t="s">
        <v>5</v>
      </c>
      <c r="C801" t="s">
        <v>536</v>
      </c>
      <c r="D801" t="s">
        <v>19</v>
      </c>
      <c r="E801" s="228">
        <v>10</v>
      </c>
      <c r="F801" s="228">
        <v>32.200000000000003</v>
      </c>
      <c r="G801" s="229">
        <v>322</v>
      </c>
      <c r="H801" s="46">
        <v>223</v>
      </c>
    </row>
    <row r="802" spans="1:8" x14ac:dyDescent="0.25">
      <c r="A802" s="47">
        <v>40718</v>
      </c>
      <c r="B802" s="213" t="s">
        <v>5</v>
      </c>
      <c r="C802" t="s">
        <v>536</v>
      </c>
      <c r="D802" t="s">
        <v>19</v>
      </c>
      <c r="E802" s="228">
        <v>9.5</v>
      </c>
      <c r="F802" s="228">
        <v>32.200000000000003</v>
      </c>
      <c r="G802" s="229">
        <v>305.89999999999998</v>
      </c>
      <c r="H802" s="46">
        <v>223</v>
      </c>
    </row>
    <row r="803" spans="1:8" x14ac:dyDescent="0.25">
      <c r="A803" s="47">
        <v>40718</v>
      </c>
      <c r="B803" s="213" t="s">
        <v>5</v>
      </c>
      <c r="C803" t="s">
        <v>535</v>
      </c>
      <c r="D803" t="s">
        <v>19</v>
      </c>
      <c r="E803" s="228">
        <v>8</v>
      </c>
      <c r="F803" s="228">
        <v>32.200000000000003</v>
      </c>
      <c r="G803" s="229">
        <v>257.60000000000002</v>
      </c>
      <c r="H803" s="46">
        <v>223</v>
      </c>
    </row>
    <row r="804" spans="1:8" x14ac:dyDescent="0.25">
      <c r="A804" s="47">
        <v>40718</v>
      </c>
      <c r="B804" s="213" t="s">
        <v>363</v>
      </c>
      <c r="C804" t="s">
        <v>536</v>
      </c>
      <c r="D804" t="s">
        <v>19</v>
      </c>
      <c r="E804" s="228">
        <v>10</v>
      </c>
      <c r="F804" s="228">
        <v>43.4</v>
      </c>
      <c r="G804" s="229">
        <v>434</v>
      </c>
      <c r="H804" s="46">
        <v>223</v>
      </c>
    </row>
    <row r="805" spans="1:8" x14ac:dyDescent="0.25">
      <c r="A805" s="47">
        <v>40718</v>
      </c>
      <c r="B805" s="213" t="s">
        <v>359</v>
      </c>
      <c r="C805" t="s">
        <v>535</v>
      </c>
      <c r="D805" t="s">
        <v>19</v>
      </c>
      <c r="E805" s="228">
        <v>8</v>
      </c>
      <c r="F805" s="228">
        <v>41.83</v>
      </c>
      <c r="G805" s="229">
        <v>334.64</v>
      </c>
      <c r="H805" s="46">
        <v>223</v>
      </c>
    </row>
    <row r="806" spans="1:8" x14ac:dyDescent="0.25">
      <c r="A806" s="47">
        <v>40718</v>
      </c>
      <c r="B806" s="213" t="s">
        <v>378</v>
      </c>
      <c r="C806" t="s">
        <v>538</v>
      </c>
      <c r="D806" t="s">
        <v>19</v>
      </c>
      <c r="E806" s="228">
        <v>3</v>
      </c>
      <c r="F806" s="228">
        <v>38</v>
      </c>
      <c r="G806" s="229">
        <v>114</v>
      </c>
      <c r="H806" s="46">
        <v>223</v>
      </c>
    </row>
    <row r="807" spans="1:8" x14ac:dyDescent="0.25">
      <c r="A807" s="47">
        <v>40718</v>
      </c>
      <c r="B807" s="213" t="s">
        <v>386</v>
      </c>
      <c r="C807" t="s">
        <v>387</v>
      </c>
      <c r="D807" t="s">
        <v>19</v>
      </c>
      <c r="E807" s="228">
        <v>1</v>
      </c>
      <c r="F807" s="228">
        <v>385</v>
      </c>
      <c r="G807" s="229">
        <v>385</v>
      </c>
      <c r="H807" s="46">
        <v>223</v>
      </c>
    </row>
    <row r="808" spans="1:8" x14ac:dyDescent="0.25">
      <c r="A808" s="47">
        <v>40718</v>
      </c>
      <c r="B808" s="213" t="s">
        <v>379</v>
      </c>
      <c r="C808" t="s">
        <v>375</v>
      </c>
      <c r="D808" t="s">
        <v>19</v>
      </c>
      <c r="E808" s="228">
        <v>1</v>
      </c>
      <c r="F808" s="228">
        <v>255</v>
      </c>
      <c r="G808" s="229">
        <v>255</v>
      </c>
      <c r="H808" s="46">
        <v>223</v>
      </c>
    </row>
    <row r="809" spans="1:8" x14ac:dyDescent="0.25">
      <c r="A809" s="47">
        <v>40721</v>
      </c>
      <c r="B809" s="213" t="s">
        <v>363</v>
      </c>
      <c r="C809" t="s">
        <v>536</v>
      </c>
      <c r="D809" t="s">
        <v>19</v>
      </c>
      <c r="E809" s="228">
        <v>10</v>
      </c>
      <c r="F809" s="228">
        <v>43.4</v>
      </c>
      <c r="G809" s="229">
        <v>434</v>
      </c>
      <c r="H809" s="46">
        <v>223</v>
      </c>
    </row>
    <row r="810" spans="1:8" x14ac:dyDescent="0.25">
      <c r="A810" s="47">
        <v>40721</v>
      </c>
      <c r="B810" s="213" t="s">
        <v>379</v>
      </c>
      <c r="C810" t="s">
        <v>375</v>
      </c>
      <c r="D810" t="s">
        <v>19</v>
      </c>
      <c r="E810" s="228">
        <v>1</v>
      </c>
      <c r="F810" s="228">
        <v>255</v>
      </c>
      <c r="G810" s="229">
        <v>255</v>
      </c>
      <c r="H810" s="46">
        <v>223</v>
      </c>
    </row>
    <row r="811" spans="1:8" x14ac:dyDescent="0.25">
      <c r="A811" s="47">
        <v>40721</v>
      </c>
      <c r="B811" s="213" t="s">
        <v>386</v>
      </c>
      <c r="C811" t="s">
        <v>387</v>
      </c>
      <c r="D811" t="s">
        <v>19</v>
      </c>
      <c r="E811" s="228">
        <v>1</v>
      </c>
      <c r="F811" s="228">
        <v>385</v>
      </c>
      <c r="G811" s="229">
        <v>385</v>
      </c>
      <c r="H811" s="46">
        <v>223</v>
      </c>
    </row>
    <row r="812" spans="1:8" x14ac:dyDescent="0.25">
      <c r="A812" s="47">
        <v>40721</v>
      </c>
      <c r="B812" s="213" t="s">
        <v>378</v>
      </c>
      <c r="C812" t="s">
        <v>538</v>
      </c>
      <c r="D812" t="s">
        <v>19</v>
      </c>
      <c r="E812" s="228">
        <v>8</v>
      </c>
      <c r="F812" s="228">
        <v>38</v>
      </c>
      <c r="G812" s="229">
        <v>304</v>
      </c>
      <c r="H812" s="46">
        <v>223</v>
      </c>
    </row>
    <row r="813" spans="1:8" x14ac:dyDescent="0.25">
      <c r="A813" s="47">
        <v>40721</v>
      </c>
      <c r="B813" s="213" t="s">
        <v>359</v>
      </c>
      <c r="C813" t="s">
        <v>535</v>
      </c>
      <c r="D813" t="s">
        <v>19</v>
      </c>
      <c r="E813" s="228">
        <v>10</v>
      </c>
      <c r="F813" s="228">
        <v>41.83</v>
      </c>
      <c r="G813" s="229">
        <v>418.3</v>
      </c>
      <c r="H813" s="46">
        <v>223</v>
      </c>
    </row>
    <row r="814" spans="1:8" x14ac:dyDescent="0.25">
      <c r="A814" s="47">
        <v>40721</v>
      </c>
      <c r="B814" s="213" t="s">
        <v>5</v>
      </c>
      <c r="C814" t="s">
        <v>536</v>
      </c>
      <c r="D814" t="s">
        <v>19</v>
      </c>
      <c r="E814" s="228">
        <v>10</v>
      </c>
      <c r="F814" s="228">
        <v>32.200000000000003</v>
      </c>
      <c r="G814" s="229">
        <v>322</v>
      </c>
      <c r="H814" s="46">
        <v>223</v>
      </c>
    </row>
    <row r="815" spans="1:8" x14ac:dyDescent="0.25">
      <c r="A815" s="47">
        <v>40721</v>
      </c>
      <c r="B815" s="213" t="s">
        <v>5</v>
      </c>
      <c r="C815" t="s">
        <v>535</v>
      </c>
      <c r="D815" t="s">
        <v>19</v>
      </c>
      <c r="E815" s="228">
        <v>10</v>
      </c>
      <c r="F815" s="228">
        <v>32.200000000000003</v>
      </c>
      <c r="G815" s="229">
        <v>322</v>
      </c>
      <c r="H815" s="46">
        <v>223</v>
      </c>
    </row>
    <row r="816" spans="1:8" x14ac:dyDescent="0.25">
      <c r="A816" s="47">
        <v>40722</v>
      </c>
      <c r="B816" s="213" t="s">
        <v>359</v>
      </c>
      <c r="C816" t="s">
        <v>535</v>
      </c>
      <c r="D816" t="s">
        <v>19</v>
      </c>
      <c r="E816" s="228">
        <v>10</v>
      </c>
      <c r="F816" s="228">
        <v>41.83</v>
      </c>
      <c r="G816" s="229">
        <v>418.3</v>
      </c>
      <c r="H816" s="46">
        <v>223</v>
      </c>
    </row>
    <row r="817" spans="1:8" x14ac:dyDescent="0.25">
      <c r="A817" s="47">
        <v>40722</v>
      </c>
      <c r="B817" s="213" t="s">
        <v>378</v>
      </c>
      <c r="C817" t="s">
        <v>538</v>
      </c>
      <c r="D817" t="s">
        <v>19</v>
      </c>
      <c r="E817" s="228">
        <v>8</v>
      </c>
      <c r="F817" s="228">
        <v>38</v>
      </c>
      <c r="G817" s="229">
        <v>304</v>
      </c>
      <c r="H817" s="46">
        <v>223</v>
      </c>
    </row>
    <row r="818" spans="1:8" x14ac:dyDescent="0.25">
      <c r="A818" s="47">
        <v>40722</v>
      </c>
      <c r="B818" s="213" t="s">
        <v>5</v>
      </c>
      <c r="C818" t="s">
        <v>535</v>
      </c>
      <c r="D818" t="s">
        <v>19</v>
      </c>
      <c r="E818" s="228">
        <v>10</v>
      </c>
      <c r="F818" s="228">
        <v>32.200000000000003</v>
      </c>
      <c r="G818" s="229">
        <v>322</v>
      </c>
      <c r="H818" s="46">
        <v>223</v>
      </c>
    </row>
    <row r="819" spans="1:8" x14ac:dyDescent="0.25">
      <c r="A819" s="47">
        <v>40722</v>
      </c>
      <c r="B819" s="213" t="s">
        <v>5</v>
      </c>
      <c r="C819" t="s">
        <v>536</v>
      </c>
      <c r="D819" t="s">
        <v>19</v>
      </c>
      <c r="E819" s="228">
        <v>10</v>
      </c>
      <c r="F819" s="228">
        <v>32.200000000000003</v>
      </c>
      <c r="G819" s="229">
        <v>322</v>
      </c>
      <c r="H819" s="46">
        <v>223</v>
      </c>
    </row>
    <row r="820" spans="1:8" x14ac:dyDescent="0.25">
      <c r="A820" s="47">
        <v>40722</v>
      </c>
      <c r="B820" s="213" t="s">
        <v>350</v>
      </c>
      <c r="C820" t="s">
        <v>351</v>
      </c>
      <c r="D820" t="s">
        <v>19</v>
      </c>
      <c r="E820" s="228">
        <v>4</v>
      </c>
      <c r="F820" s="228">
        <v>85</v>
      </c>
      <c r="G820" s="229">
        <v>340</v>
      </c>
      <c r="H820" s="46">
        <v>223</v>
      </c>
    </row>
    <row r="821" spans="1:8" x14ac:dyDescent="0.25">
      <c r="A821" s="47">
        <v>40722</v>
      </c>
      <c r="B821" s="213" t="s">
        <v>363</v>
      </c>
      <c r="C821" t="s">
        <v>536</v>
      </c>
      <c r="D821" t="s">
        <v>19</v>
      </c>
      <c r="E821" s="228">
        <v>10</v>
      </c>
      <c r="F821" s="228">
        <v>43.4</v>
      </c>
      <c r="G821" s="229">
        <v>434</v>
      </c>
      <c r="H821" s="46">
        <v>223</v>
      </c>
    </row>
    <row r="822" spans="1:8" x14ac:dyDescent="0.25">
      <c r="A822" s="47">
        <v>40722</v>
      </c>
      <c r="B822" s="213" t="s">
        <v>379</v>
      </c>
      <c r="C822" t="s">
        <v>375</v>
      </c>
      <c r="D822" t="s">
        <v>19</v>
      </c>
      <c r="E822" s="228">
        <v>1</v>
      </c>
      <c r="F822" s="228">
        <v>255</v>
      </c>
      <c r="G822" s="229">
        <v>255</v>
      </c>
      <c r="H822" s="46">
        <v>223</v>
      </c>
    </row>
    <row r="823" spans="1:8" x14ac:dyDescent="0.25">
      <c r="A823" s="47">
        <v>40722</v>
      </c>
      <c r="B823" s="213" t="s">
        <v>386</v>
      </c>
      <c r="C823" t="s">
        <v>387</v>
      </c>
      <c r="D823" t="s">
        <v>19</v>
      </c>
      <c r="E823" s="228">
        <v>1</v>
      </c>
      <c r="F823" s="228">
        <v>385</v>
      </c>
      <c r="G823" s="229">
        <v>385</v>
      </c>
      <c r="H823" s="46">
        <v>223</v>
      </c>
    </row>
    <row r="824" spans="1:8" x14ac:dyDescent="0.25">
      <c r="A824" s="47">
        <v>40722</v>
      </c>
      <c r="B824" s="213" t="s">
        <v>350</v>
      </c>
      <c r="C824" t="s">
        <v>371</v>
      </c>
      <c r="D824" t="s">
        <v>19</v>
      </c>
      <c r="E824" s="228">
        <v>4</v>
      </c>
      <c r="F824" s="228">
        <v>85</v>
      </c>
      <c r="G824" s="229">
        <v>340</v>
      </c>
      <c r="H824" s="46">
        <v>223</v>
      </c>
    </row>
    <row r="825" spans="1:8" x14ac:dyDescent="0.25">
      <c r="A825" s="47">
        <v>40723</v>
      </c>
      <c r="B825" s="213" t="s">
        <v>386</v>
      </c>
      <c r="C825" t="s">
        <v>387</v>
      </c>
      <c r="D825" t="s">
        <v>19</v>
      </c>
      <c r="E825" s="228">
        <v>1</v>
      </c>
      <c r="F825" s="228">
        <v>385</v>
      </c>
      <c r="G825" s="229">
        <v>385</v>
      </c>
      <c r="H825" s="46">
        <v>223</v>
      </c>
    </row>
    <row r="826" spans="1:8" x14ac:dyDescent="0.25">
      <c r="A826" s="47">
        <v>40723</v>
      </c>
      <c r="B826" s="213" t="s">
        <v>5</v>
      </c>
      <c r="C826" t="s">
        <v>535</v>
      </c>
      <c r="D826" t="s">
        <v>19</v>
      </c>
      <c r="E826" s="228">
        <v>10</v>
      </c>
      <c r="F826" s="228">
        <v>32.200000000000003</v>
      </c>
      <c r="G826" s="229">
        <v>322</v>
      </c>
      <c r="H826" s="46">
        <v>223</v>
      </c>
    </row>
    <row r="827" spans="1:8" x14ac:dyDescent="0.25">
      <c r="A827" s="47">
        <v>40723</v>
      </c>
      <c r="B827" s="213" t="s">
        <v>378</v>
      </c>
      <c r="C827" t="s">
        <v>538</v>
      </c>
      <c r="D827" t="s">
        <v>19</v>
      </c>
      <c r="E827" s="228">
        <v>8</v>
      </c>
      <c r="F827" s="228">
        <v>38</v>
      </c>
      <c r="G827" s="229">
        <v>304</v>
      </c>
      <c r="H827" s="46">
        <v>223</v>
      </c>
    </row>
    <row r="828" spans="1:8" x14ac:dyDescent="0.25">
      <c r="A828" s="47">
        <v>40723</v>
      </c>
      <c r="B828" s="213" t="s">
        <v>379</v>
      </c>
      <c r="C828" t="s">
        <v>375</v>
      </c>
      <c r="D828" t="s">
        <v>19</v>
      </c>
      <c r="E828" s="228">
        <v>1</v>
      </c>
      <c r="F828" s="228">
        <v>255</v>
      </c>
      <c r="G828" s="229">
        <v>255</v>
      </c>
      <c r="H828" s="46">
        <v>223</v>
      </c>
    </row>
    <row r="829" spans="1:8" x14ac:dyDescent="0.25">
      <c r="A829" s="47">
        <v>40723</v>
      </c>
      <c r="B829" s="213" t="s">
        <v>359</v>
      </c>
      <c r="C829" t="s">
        <v>535</v>
      </c>
      <c r="D829" t="s">
        <v>19</v>
      </c>
      <c r="E829" s="228">
        <v>10</v>
      </c>
      <c r="F829" s="228">
        <v>41.83</v>
      </c>
      <c r="G829" s="229">
        <v>418.3</v>
      </c>
      <c r="H829" s="46">
        <v>223</v>
      </c>
    </row>
    <row r="830" spans="1:8" x14ac:dyDescent="0.25">
      <c r="A830" s="47">
        <v>40723</v>
      </c>
      <c r="B830" s="213" t="s">
        <v>5</v>
      </c>
      <c r="C830" t="s">
        <v>536</v>
      </c>
      <c r="D830" t="s">
        <v>19</v>
      </c>
      <c r="E830" s="228">
        <v>10</v>
      </c>
      <c r="F830" s="228">
        <v>32.200000000000003</v>
      </c>
      <c r="G830" s="229">
        <v>322</v>
      </c>
      <c r="H830" s="46">
        <v>223</v>
      </c>
    </row>
    <row r="831" spans="1:8" x14ac:dyDescent="0.25">
      <c r="A831" s="47">
        <v>40729</v>
      </c>
      <c r="B831" s="213" t="s">
        <v>5</v>
      </c>
      <c r="C831" t="s">
        <v>536</v>
      </c>
      <c r="D831" t="s">
        <v>19</v>
      </c>
      <c r="E831" s="228">
        <v>5</v>
      </c>
      <c r="F831" s="228">
        <v>32.200000000000003</v>
      </c>
      <c r="G831" s="229">
        <v>161</v>
      </c>
      <c r="H831" s="46">
        <v>223</v>
      </c>
    </row>
    <row r="832" spans="1:8" x14ac:dyDescent="0.25">
      <c r="A832" s="47">
        <v>40729</v>
      </c>
      <c r="B832" s="213" t="s">
        <v>359</v>
      </c>
      <c r="C832" t="s">
        <v>535</v>
      </c>
      <c r="D832" t="s">
        <v>19</v>
      </c>
      <c r="E832" s="228">
        <v>5</v>
      </c>
      <c r="F832" s="228">
        <v>41.83</v>
      </c>
      <c r="G832" s="229">
        <v>209.15</v>
      </c>
      <c r="H832" s="46">
        <v>223</v>
      </c>
    </row>
    <row r="833" spans="1:8" x14ac:dyDescent="0.25">
      <c r="A833" s="47">
        <v>40729</v>
      </c>
      <c r="B833" s="213" t="s">
        <v>386</v>
      </c>
      <c r="C833" t="s">
        <v>387</v>
      </c>
      <c r="D833" t="s">
        <v>19</v>
      </c>
      <c r="E833" s="228">
        <v>0.5</v>
      </c>
      <c r="F833" s="228">
        <v>115</v>
      </c>
      <c r="G833" s="229">
        <v>57.5</v>
      </c>
      <c r="H833" s="46">
        <v>223</v>
      </c>
    </row>
    <row r="834" spans="1:8" x14ac:dyDescent="0.25">
      <c r="A834" s="47">
        <v>40729</v>
      </c>
      <c r="B834" s="213" t="s">
        <v>379</v>
      </c>
      <c r="C834" t="s">
        <v>375</v>
      </c>
      <c r="D834" t="s">
        <v>19</v>
      </c>
      <c r="E834" s="228">
        <v>0.5</v>
      </c>
      <c r="F834" s="228">
        <v>255</v>
      </c>
      <c r="G834" s="229">
        <v>127.5</v>
      </c>
      <c r="H834" s="46">
        <v>223</v>
      </c>
    </row>
    <row r="835" spans="1:8" x14ac:dyDescent="0.25">
      <c r="A835" s="47">
        <v>40729</v>
      </c>
      <c r="B835" s="213" t="s">
        <v>5</v>
      </c>
      <c r="C835" t="s">
        <v>535</v>
      </c>
      <c r="D835" t="s">
        <v>19</v>
      </c>
      <c r="E835" s="228">
        <v>5</v>
      </c>
      <c r="F835" s="228">
        <v>32.200000000000003</v>
      </c>
      <c r="G835" s="229">
        <v>161</v>
      </c>
      <c r="H835" s="46">
        <v>223</v>
      </c>
    </row>
    <row r="836" spans="1:8" x14ac:dyDescent="0.25">
      <c r="A836" s="47">
        <v>40730</v>
      </c>
      <c r="B836" s="213" t="s">
        <v>386</v>
      </c>
      <c r="C836" t="s">
        <v>387</v>
      </c>
      <c r="D836" t="s">
        <v>19</v>
      </c>
      <c r="E836" s="228">
        <v>0.5</v>
      </c>
      <c r="F836" s="228">
        <v>115</v>
      </c>
      <c r="G836" s="229">
        <v>57.5</v>
      </c>
      <c r="H836" s="46">
        <v>223</v>
      </c>
    </row>
    <row r="837" spans="1:8" x14ac:dyDescent="0.25">
      <c r="A837" s="47">
        <v>40730</v>
      </c>
      <c r="B837" s="213" t="s">
        <v>5</v>
      </c>
      <c r="C837" t="s">
        <v>535</v>
      </c>
      <c r="D837" t="s">
        <v>19</v>
      </c>
      <c r="E837" s="228">
        <v>5</v>
      </c>
      <c r="F837" s="228">
        <v>32.200000000000003</v>
      </c>
      <c r="G837" s="229">
        <v>161</v>
      </c>
      <c r="H837" s="46">
        <v>223</v>
      </c>
    </row>
    <row r="838" spans="1:8" x14ac:dyDescent="0.25">
      <c r="A838" s="47">
        <v>40730</v>
      </c>
      <c r="B838" s="213" t="s">
        <v>379</v>
      </c>
      <c r="C838" t="s">
        <v>375</v>
      </c>
      <c r="D838" t="s">
        <v>19</v>
      </c>
      <c r="E838" s="228">
        <v>0.5</v>
      </c>
      <c r="F838" s="228">
        <v>255</v>
      </c>
      <c r="G838" s="229">
        <v>127.5</v>
      </c>
      <c r="H838" s="46">
        <v>223</v>
      </c>
    </row>
    <row r="839" spans="1:8" x14ac:dyDescent="0.25">
      <c r="A839" s="47">
        <v>40730</v>
      </c>
      <c r="B839" s="213" t="s">
        <v>359</v>
      </c>
      <c r="C839" t="s">
        <v>535</v>
      </c>
      <c r="D839" t="s">
        <v>19</v>
      </c>
      <c r="E839" s="228">
        <v>5</v>
      </c>
      <c r="F839" s="228">
        <v>41.83</v>
      </c>
      <c r="G839" s="229">
        <v>209.15</v>
      </c>
      <c r="H839" s="46">
        <v>223</v>
      </c>
    </row>
    <row r="840" spans="1:8" x14ac:dyDescent="0.25">
      <c r="A840" s="47">
        <v>40730</v>
      </c>
      <c r="B840" s="213" t="s">
        <v>5</v>
      </c>
      <c r="C840" t="s">
        <v>536</v>
      </c>
      <c r="D840" t="s">
        <v>19</v>
      </c>
      <c r="E840" s="228">
        <v>5</v>
      </c>
      <c r="F840" s="228">
        <v>32.200000000000003</v>
      </c>
      <c r="G840" s="229">
        <v>161</v>
      </c>
      <c r="H840" s="46">
        <v>223</v>
      </c>
    </row>
    <row r="841" spans="1:8" x14ac:dyDescent="0.25">
      <c r="A841" s="47">
        <v>40730</v>
      </c>
      <c r="B841" s="213" t="s">
        <v>372</v>
      </c>
      <c r="C841" t="s">
        <v>367</v>
      </c>
      <c r="D841" t="s">
        <v>57</v>
      </c>
      <c r="E841" s="228">
        <v>0.5</v>
      </c>
      <c r="F841" s="228">
        <v>365</v>
      </c>
      <c r="G841" s="229">
        <v>182.5</v>
      </c>
      <c r="H841" s="46">
        <v>223</v>
      </c>
    </row>
    <row r="842" spans="1:8" x14ac:dyDescent="0.25">
      <c r="A842" s="47">
        <v>40730</v>
      </c>
      <c r="B842" s="213" t="s">
        <v>363</v>
      </c>
      <c r="C842" t="s">
        <v>536</v>
      </c>
      <c r="D842" t="s">
        <v>19</v>
      </c>
      <c r="E842" s="228">
        <v>5</v>
      </c>
      <c r="F842" s="228">
        <v>43.4</v>
      </c>
      <c r="G842" s="229">
        <v>217</v>
      </c>
      <c r="H842" s="46">
        <v>223</v>
      </c>
    </row>
    <row r="843" spans="1:8" x14ac:dyDescent="0.25">
      <c r="A843" s="47">
        <v>40730</v>
      </c>
      <c r="B843" s="213" t="s">
        <v>378</v>
      </c>
      <c r="C843" t="s">
        <v>538</v>
      </c>
      <c r="D843" t="s">
        <v>19</v>
      </c>
      <c r="E843" s="228">
        <v>5</v>
      </c>
      <c r="F843" s="228">
        <v>38</v>
      </c>
      <c r="G843" s="229">
        <v>190</v>
      </c>
      <c r="H843" s="46">
        <v>223</v>
      </c>
    </row>
    <row r="844" spans="1:8" x14ac:dyDescent="0.25">
      <c r="A844" s="47">
        <v>40731</v>
      </c>
      <c r="B844" s="213" t="s">
        <v>421</v>
      </c>
      <c r="C844" t="s">
        <v>422</v>
      </c>
      <c r="D844" t="s">
        <v>405</v>
      </c>
      <c r="E844" s="228">
        <v>4200</v>
      </c>
      <c r="F844" s="228">
        <v>1.03</v>
      </c>
      <c r="G844" s="229">
        <v>4326</v>
      </c>
      <c r="H844" s="46">
        <v>223</v>
      </c>
    </row>
    <row r="845" spans="1:8" x14ac:dyDescent="0.25">
      <c r="A845" s="47">
        <v>40732</v>
      </c>
      <c r="B845" s="213" t="s">
        <v>423</v>
      </c>
      <c r="C845" t="s">
        <v>420</v>
      </c>
      <c r="D845" t="s">
        <v>424</v>
      </c>
      <c r="E845" s="228">
        <v>20</v>
      </c>
      <c r="F845" s="228">
        <v>25</v>
      </c>
      <c r="G845" s="229">
        <v>500</v>
      </c>
      <c r="H845" s="46">
        <v>223</v>
      </c>
    </row>
    <row r="846" spans="1:8" x14ac:dyDescent="0.25">
      <c r="A846" s="47">
        <v>40732</v>
      </c>
      <c r="B846" s="213" t="s">
        <v>425</v>
      </c>
      <c r="C846" t="s">
        <v>420</v>
      </c>
      <c r="D846" t="s">
        <v>424</v>
      </c>
      <c r="E846" s="228">
        <v>20</v>
      </c>
      <c r="F846" s="228">
        <v>25</v>
      </c>
      <c r="G846" s="229">
        <v>500</v>
      </c>
      <c r="H846" s="46">
        <v>223</v>
      </c>
    </row>
    <row r="847" spans="1:8" x14ac:dyDescent="0.25">
      <c r="A847" s="47">
        <v>40732</v>
      </c>
      <c r="B847" s="213" t="s">
        <v>426</v>
      </c>
      <c r="C847" t="s">
        <v>420</v>
      </c>
      <c r="D847" t="s">
        <v>405</v>
      </c>
      <c r="E847" s="228">
        <v>16450</v>
      </c>
      <c r="F847" s="228">
        <v>6.45</v>
      </c>
      <c r="G847" s="229">
        <v>106102.5</v>
      </c>
      <c r="H847" s="46">
        <v>223</v>
      </c>
    </row>
    <row r="848" spans="1:8" x14ac:dyDescent="0.25">
      <c r="A848" s="47">
        <v>40732</v>
      </c>
      <c r="B848" s="213" t="s">
        <v>427</v>
      </c>
      <c r="C848" t="s">
        <v>420</v>
      </c>
      <c r="D848" t="s">
        <v>428</v>
      </c>
      <c r="E848" s="228">
        <v>200</v>
      </c>
      <c r="F848" s="228">
        <v>25</v>
      </c>
      <c r="G848" s="229">
        <v>5000</v>
      </c>
      <c r="H848" s="46">
        <v>223</v>
      </c>
    </row>
    <row r="849" spans="1:8" x14ac:dyDescent="0.25">
      <c r="A849" s="47">
        <v>40755</v>
      </c>
      <c r="B849" s="213" t="s">
        <v>429</v>
      </c>
      <c r="C849" t="s">
        <v>420</v>
      </c>
      <c r="D849" t="s">
        <v>399</v>
      </c>
      <c r="E849" s="228">
        <v>1</v>
      </c>
      <c r="F849" s="228">
        <v>-4891.8100000000004</v>
      </c>
      <c r="G849" s="229">
        <v>-4891.8100000000004</v>
      </c>
      <c r="H849" s="46">
        <v>223</v>
      </c>
    </row>
    <row r="850" spans="1:8" x14ac:dyDescent="0.25">
      <c r="A850" s="258" t="s">
        <v>230</v>
      </c>
      <c r="B850" s="230" t="s">
        <v>430</v>
      </c>
      <c r="C850" s="231" t="s">
        <v>230</v>
      </c>
      <c r="D850" s="231" t="s">
        <v>230</v>
      </c>
      <c r="E850" s="232"/>
      <c r="F850" s="232"/>
      <c r="G850" s="233">
        <v>141962.25</v>
      </c>
      <c r="H850" s="243" t="s">
        <v>230</v>
      </c>
    </row>
    <row r="851" spans="1:8" x14ac:dyDescent="0.25">
      <c r="A851" s="47" t="s">
        <v>230</v>
      </c>
      <c r="B851" s="213" t="s">
        <v>230</v>
      </c>
      <c r="C851" t="s">
        <v>230</v>
      </c>
      <c r="D851" t="s">
        <v>230</v>
      </c>
      <c r="E851" s="228"/>
      <c r="F851" s="228"/>
      <c r="G851" s="229"/>
      <c r="H851" s="46" t="s">
        <v>230</v>
      </c>
    </row>
    <row r="852" spans="1:8" x14ac:dyDescent="0.25">
      <c r="A852" s="257" t="s">
        <v>230</v>
      </c>
      <c r="B852" s="224" t="s">
        <v>594</v>
      </c>
      <c r="C852" s="48" t="s">
        <v>230</v>
      </c>
      <c r="D852" s="48" t="s">
        <v>230</v>
      </c>
      <c r="E852" s="226"/>
      <c r="F852" s="226"/>
      <c r="G852" s="227"/>
      <c r="H852" s="225" t="s">
        <v>230</v>
      </c>
    </row>
    <row r="853" spans="1:8" x14ac:dyDescent="0.25">
      <c r="A853" s="47">
        <v>40710</v>
      </c>
      <c r="B853" s="213" t="s">
        <v>350</v>
      </c>
      <c r="C853" t="s">
        <v>371</v>
      </c>
      <c r="D853" t="s">
        <v>19</v>
      </c>
      <c r="E853" s="228">
        <v>2</v>
      </c>
      <c r="F853" s="228">
        <v>85</v>
      </c>
      <c r="G853" s="229">
        <v>170</v>
      </c>
      <c r="H853" s="46">
        <v>224</v>
      </c>
    </row>
    <row r="854" spans="1:8" x14ac:dyDescent="0.25">
      <c r="A854" s="47">
        <v>40710</v>
      </c>
      <c r="B854" s="213" t="s">
        <v>350</v>
      </c>
      <c r="C854" t="s">
        <v>373</v>
      </c>
      <c r="D854" t="s">
        <v>19</v>
      </c>
      <c r="E854" s="228">
        <v>2</v>
      </c>
      <c r="F854" s="228">
        <v>80</v>
      </c>
      <c r="G854" s="229">
        <v>160</v>
      </c>
      <c r="H854" s="46">
        <v>224</v>
      </c>
    </row>
    <row r="855" spans="1:8" x14ac:dyDescent="0.25">
      <c r="A855" s="47">
        <v>40710</v>
      </c>
      <c r="B855" s="213" t="s">
        <v>350</v>
      </c>
      <c r="C855" t="s">
        <v>351</v>
      </c>
      <c r="D855" t="s">
        <v>19</v>
      </c>
      <c r="E855" s="228">
        <v>2</v>
      </c>
      <c r="F855" s="228">
        <v>85</v>
      </c>
      <c r="G855" s="229">
        <v>170</v>
      </c>
      <c r="H855" s="46">
        <v>224</v>
      </c>
    </row>
    <row r="856" spans="1:8" x14ac:dyDescent="0.25">
      <c r="A856" s="47">
        <v>40710</v>
      </c>
      <c r="B856" s="213" t="s">
        <v>349</v>
      </c>
      <c r="C856" t="s">
        <v>343</v>
      </c>
      <c r="D856" t="s">
        <v>19</v>
      </c>
      <c r="E856" s="228">
        <v>2</v>
      </c>
      <c r="F856" s="228">
        <v>130</v>
      </c>
      <c r="G856" s="229">
        <v>260</v>
      </c>
      <c r="H856" s="46">
        <v>224</v>
      </c>
    </row>
    <row r="857" spans="1:8" x14ac:dyDescent="0.25">
      <c r="A857" s="47">
        <v>40711</v>
      </c>
      <c r="B857" s="213" t="s">
        <v>350</v>
      </c>
      <c r="C857" t="s">
        <v>373</v>
      </c>
      <c r="D857" t="s">
        <v>19</v>
      </c>
      <c r="E857" s="228">
        <v>1.75</v>
      </c>
      <c r="F857" s="228">
        <v>80</v>
      </c>
      <c r="G857" s="229">
        <v>140</v>
      </c>
      <c r="H857" s="46">
        <v>224</v>
      </c>
    </row>
    <row r="858" spans="1:8" x14ac:dyDescent="0.25">
      <c r="A858" s="47">
        <v>40711</v>
      </c>
      <c r="B858" s="213" t="s">
        <v>350</v>
      </c>
      <c r="C858" t="s">
        <v>371</v>
      </c>
      <c r="D858" t="s">
        <v>19</v>
      </c>
      <c r="E858" s="228">
        <v>2</v>
      </c>
      <c r="F858" s="228">
        <v>85</v>
      </c>
      <c r="G858" s="229">
        <v>170</v>
      </c>
      <c r="H858" s="46">
        <v>224</v>
      </c>
    </row>
    <row r="859" spans="1:8" x14ac:dyDescent="0.25">
      <c r="A859" s="47">
        <v>40711</v>
      </c>
      <c r="B859" s="213" t="s">
        <v>350</v>
      </c>
      <c r="C859" t="s">
        <v>351</v>
      </c>
      <c r="D859" t="s">
        <v>19</v>
      </c>
      <c r="E859" s="228">
        <v>2</v>
      </c>
      <c r="F859" s="228">
        <v>85</v>
      </c>
      <c r="G859" s="229">
        <v>170</v>
      </c>
      <c r="H859" s="46">
        <v>224</v>
      </c>
    </row>
    <row r="860" spans="1:8" x14ac:dyDescent="0.25">
      <c r="A860" s="47">
        <v>40711</v>
      </c>
      <c r="B860" s="213" t="s">
        <v>349</v>
      </c>
      <c r="C860" t="s">
        <v>343</v>
      </c>
      <c r="D860" t="s">
        <v>19</v>
      </c>
      <c r="E860" s="228">
        <v>2</v>
      </c>
      <c r="F860" s="228">
        <v>130</v>
      </c>
      <c r="G860" s="229">
        <v>260</v>
      </c>
      <c r="H860" s="46">
        <v>224</v>
      </c>
    </row>
    <row r="861" spans="1:8" x14ac:dyDescent="0.25">
      <c r="A861" s="47">
        <v>40715</v>
      </c>
      <c r="B861" s="213" t="s">
        <v>350</v>
      </c>
      <c r="C861" t="s">
        <v>371</v>
      </c>
      <c r="D861" t="s">
        <v>19</v>
      </c>
      <c r="E861" s="228">
        <v>3</v>
      </c>
      <c r="F861" s="228">
        <v>85</v>
      </c>
      <c r="G861" s="229">
        <v>255</v>
      </c>
      <c r="H861" s="46">
        <v>224</v>
      </c>
    </row>
    <row r="862" spans="1:8" x14ac:dyDescent="0.25">
      <c r="A862" s="47">
        <v>40715</v>
      </c>
      <c r="B862" s="213" t="s">
        <v>350</v>
      </c>
      <c r="C862" t="s">
        <v>351</v>
      </c>
      <c r="D862" t="s">
        <v>19</v>
      </c>
      <c r="E862" s="228">
        <v>3</v>
      </c>
      <c r="F862" s="228">
        <v>85</v>
      </c>
      <c r="G862" s="229">
        <v>255</v>
      </c>
      <c r="H862" s="46">
        <v>224</v>
      </c>
    </row>
    <row r="863" spans="1:8" x14ac:dyDescent="0.25">
      <c r="A863" s="47">
        <v>40715</v>
      </c>
      <c r="B863" s="213" t="s">
        <v>349</v>
      </c>
      <c r="C863" t="s">
        <v>343</v>
      </c>
      <c r="D863" t="s">
        <v>19</v>
      </c>
      <c r="E863" s="228">
        <v>3</v>
      </c>
      <c r="F863" s="228">
        <v>130</v>
      </c>
      <c r="G863" s="229">
        <v>390</v>
      </c>
      <c r="H863" s="46">
        <v>224</v>
      </c>
    </row>
    <row r="864" spans="1:8" x14ac:dyDescent="0.25">
      <c r="A864" s="47">
        <v>40716</v>
      </c>
      <c r="B864" s="213" t="s">
        <v>350</v>
      </c>
      <c r="C864" t="s">
        <v>371</v>
      </c>
      <c r="D864" t="s">
        <v>19</v>
      </c>
      <c r="E864" s="228">
        <v>2</v>
      </c>
      <c r="F864" s="228">
        <v>85</v>
      </c>
      <c r="G864" s="229">
        <v>170</v>
      </c>
      <c r="H864" s="46">
        <v>224</v>
      </c>
    </row>
    <row r="865" spans="1:8" x14ac:dyDescent="0.25">
      <c r="A865" s="47">
        <v>40716</v>
      </c>
      <c r="B865" s="213" t="s">
        <v>349</v>
      </c>
      <c r="C865" t="s">
        <v>343</v>
      </c>
      <c r="D865" t="s">
        <v>19</v>
      </c>
      <c r="E865" s="228">
        <v>2</v>
      </c>
      <c r="F865" s="228">
        <v>130</v>
      </c>
      <c r="G865" s="229">
        <v>260</v>
      </c>
      <c r="H865" s="46">
        <v>224</v>
      </c>
    </row>
    <row r="866" spans="1:8" x14ac:dyDescent="0.25">
      <c r="A866" s="47">
        <v>40716</v>
      </c>
      <c r="B866" s="213" t="s">
        <v>350</v>
      </c>
      <c r="C866" t="s">
        <v>351</v>
      </c>
      <c r="D866" t="s">
        <v>19</v>
      </c>
      <c r="E866" s="228">
        <v>2</v>
      </c>
      <c r="F866" s="228">
        <v>85</v>
      </c>
      <c r="G866" s="229">
        <v>170</v>
      </c>
      <c r="H866" s="46">
        <v>224</v>
      </c>
    </row>
    <row r="867" spans="1:8" x14ac:dyDescent="0.25">
      <c r="A867" s="47">
        <v>40717</v>
      </c>
      <c r="B867" s="213" t="s">
        <v>349</v>
      </c>
      <c r="C867" t="s">
        <v>343</v>
      </c>
      <c r="D867" t="s">
        <v>19</v>
      </c>
      <c r="E867" s="228">
        <v>2</v>
      </c>
      <c r="F867" s="228">
        <v>130</v>
      </c>
      <c r="G867" s="229">
        <v>260</v>
      </c>
      <c r="H867" s="46">
        <v>224</v>
      </c>
    </row>
    <row r="868" spans="1:8" x14ac:dyDescent="0.25">
      <c r="A868" s="47">
        <v>40717</v>
      </c>
      <c r="B868" s="213" t="s">
        <v>350</v>
      </c>
      <c r="C868" t="s">
        <v>351</v>
      </c>
      <c r="D868" t="s">
        <v>19</v>
      </c>
      <c r="E868" s="228">
        <v>2</v>
      </c>
      <c r="F868" s="228">
        <v>85</v>
      </c>
      <c r="G868" s="229">
        <v>170</v>
      </c>
      <c r="H868" s="46">
        <v>224</v>
      </c>
    </row>
    <row r="869" spans="1:8" x14ac:dyDescent="0.25">
      <c r="A869" s="47">
        <v>40717</v>
      </c>
      <c r="B869" s="213" t="s">
        <v>379</v>
      </c>
      <c r="C869" t="s">
        <v>375</v>
      </c>
      <c r="D869" t="s">
        <v>19</v>
      </c>
      <c r="E869" s="228">
        <v>1</v>
      </c>
      <c r="F869" s="228">
        <v>255</v>
      </c>
      <c r="G869" s="229">
        <v>255</v>
      </c>
      <c r="H869" s="46">
        <v>224</v>
      </c>
    </row>
    <row r="870" spans="1:8" x14ac:dyDescent="0.25">
      <c r="A870" s="47">
        <v>40717</v>
      </c>
      <c r="B870" s="213" t="s">
        <v>350</v>
      </c>
      <c r="C870" t="s">
        <v>371</v>
      </c>
      <c r="D870" t="s">
        <v>19</v>
      </c>
      <c r="E870" s="228">
        <v>1</v>
      </c>
      <c r="F870" s="228">
        <v>85</v>
      </c>
      <c r="G870" s="229">
        <v>85</v>
      </c>
      <c r="H870" s="46">
        <v>224</v>
      </c>
    </row>
    <row r="871" spans="1:8" x14ac:dyDescent="0.25">
      <c r="A871" s="47">
        <v>40717</v>
      </c>
      <c r="B871" s="213" t="s">
        <v>363</v>
      </c>
      <c r="C871" t="s">
        <v>536</v>
      </c>
      <c r="D871" t="s">
        <v>19</v>
      </c>
      <c r="E871" s="228">
        <v>10</v>
      </c>
      <c r="F871" s="228">
        <v>43.4</v>
      </c>
      <c r="G871" s="229">
        <v>434</v>
      </c>
      <c r="H871" s="46">
        <v>224</v>
      </c>
    </row>
    <row r="872" spans="1:8" x14ac:dyDescent="0.25">
      <c r="A872" s="47">
        <v>40717</v>
      </c>
      <c r="B872" s="213" t="s">
        <v>5</v>
      </c>
      <c r="C872" t="s">
        <v>536</v>
      </c>
      <c r="D872" t="s">
        <v>19</v>
      </c>
      <c r="E872" s="228">
        <v>10</v>
      </c>
      <c r="F872" s="228">
        <v>32.200000000000003</v>
      </c>
      <c r="G872" s="229">
        <v>322</v>
      </c>
      <c r="H872" s="46">
        <v>224</v>
      </c>
    </row>
    <row r="873" spans="1:8" x14ac:dyDescent="0.25">
      <c r="A873" s="47">
        <v>40723</v>
      </c>
      <c r="B873" s="213" t="s">
        <v>350</v>
      </c>
      <c r="C873" t="s">
        <v>371</v>
      </c>
      <c r="D873" t="s">
        <v>19</v>
      </c>
      <c r="E873" s="228">
        <v>5</v>
      </c>
      <c r="F873" s="228">
        <v>85</v>
      </c>
      <c r="G873" s="229">
        <v>425</v>
      </c>
      <c r="H873" s="46">
        <v>224</v>
      </c>
    </row>
    <row r="874" spans="1:8" x14ac:dyDescent="0.25">
      <c r="A874" s="47">
        <v>40723</v>
      </c>
      <c r="B874" s="213" t="s">
        <v>350</v>
      </c>
      <c r="C874" t="s">
        <v>351</v>
      </c>
      <c r="D874" t="s">
        <v>19</v>
      </c>
      <c r="E874" s="228">
        <v>7</v>
      </c>
      <c r="F874" s="228">
        <v>85</v>
      </c>
      <c r="G874" s="229">
        <v>595</v>
      </c>
      <c r="H874" s="46">
        <v>224</v>
      </c>
    </row>
    <row r="875" spans="1:8" x14ac:dyDescent="0.25">
      <c r="A875" s="47">
        <v>40724</v>
      </c>
      <c r="B875" s="213" t="s">
        <v>350</v>
      </c>
      <c r="C875" t="s">
        <v>351</v>
      </c>
      <c r="D875" t="s">
        <v>19</v>
      </c>
      <c r="E875" s="228">
        <v>5</v>
      </c>
      <c r="F875" s="228">
        <v>85</v>
      </c>
      <c r="G875" s="229">
        <v>425</v>
      </c>
      <c r="H875" s="46">
        <v>224</v>
      </c>
    </row>
    <row r="876" spans="1:8" x14ac:dyDescent="0.25">
      <c r="A876" s="47">
        <v>40724</v>
      </c>
      <c r="B876" s="213" t="s">
        <v>5</v>
      </c>
      <c r="C876" t="s">
        <v>535</v>
      </c>
      <c r="D876" t="s">
        <v>19</v>
      </c>
      <c r="E876" s="228">
        <v>5</v>
      </c>
      <c r="F876" s="228">
        <v>32.200000000000003</v>
      </c>
      <c r="G876" s="229">
        <v>161</v>
      </c>
      <c r="H876" s="46">
        <v>224</v>
      </c>
    </row>
    <row r="877" spans="1:8" x14ac:dyDescent="0.25">
      <c r="A877" s="47">
        <v>40725</v>
      </c>
      <c r="B877" s="213" t="s">
        <v>350</v>
      </c>
      <c r="C877" t="s">
        <v>351</v>
      </c>
      <c r="D877" t="s">
        <v>19</v>
      </c>
      <c r="E877" s="228">
        <v>4</v>
      </c>
      <c r="F877" s="228">
        <v>45</v>
      </c>
      <c r="G877" s="229">
        <v>180</v>
      </c>
      <c r="H877" s="46">
        <v>224</v>
      </c>
    </row>
    <row r="878" spans="1:8" x14ac:dyDescent="0.25">
      <c r="A878" s="47">
        <v>40725</v>
      </c>
      <c r="B878" s="213" t="s">
        <v>392</v>
      </c>
      <c r="C878" t="s">
        <v>387</v>
      </c>
      <c r="D878" t="s">
        <v>19</v>
      </c>
      <c r="E878" s="228">
        <v>0.5</v>
      </c>
      <c r="F878" s="228">
        <v>385</v>
      </c>
      <c r="G878" s="229">
        <v>192.5</v>
      </c>
      <c r="H878" s="46">
        <v>224</v>
      </c>
    </row>
    <row r="879" spans="1:8" x14ac:dyDescent="0.25">
      <c r="A879" s="47">
        <v>40725</v>
      </c>
      <c r="B879" s="213" t="s">
        <v>376</v>
      </c>
      <c r="C879" t="s">
        <v>377</v>
      </c>
      <c r="D879" t="s">
        <v>19</v>
      </c>
      <c r="E879" s="228">
        <v>4</v>
      </c>
      <c r="F879" s="228">
        <v>135</v>
      </c>
      <c r="G879" s="229">
        <v>540</v>
      </c>
      <c r="H879" s="46">
        <v>224</v>
      </c>
    </row>
    <row r="880" spans="1:8" x14ac:dyDescent="0.25">
      <c r="A880" s="47">
        <v>40725</v>
      </c>
      <c r="B880" s="213" t="s">
        <v>349</v>
      </c>
      <c r="C880" t="s">
        <v>343</v>
      </c>
      <c r="D880" t="s">
        <v>19</v>
      </c>
      <c r="E880" s="228">
        <v>4</v>
      </c>
      <c r="F880" s="228">
        <v>130</v>
      </c>
      <c r="G880" s="229">
        <v>520</v>
      </c>
      <c r="H880" s="46">
        <v>224</v>
      </c>
    </row>
    <row r="881" spans="1:8" x14ac:dyDescent="0.25">
      <c r="A881" s="47">
        <v>40725</v>
      </c>
      <c r="B881" s="213" t="s">
        <v>378</v>
      </c>
      <c r="C881" t="s">
        <v>538</v>
      </c>
      <c r="D881" t="s">
        <v>19</v>
      </c>
      <c r="E881" s="228">
        <v>4</v>
      </c>
      <c r="F881" s="228">
        <v>38</v>
      </c>
      <c r="G881" s="229">
        <v>152</v>
      </c>
      <c r="H881" s="46">
        <v>224</v>
      </c>
    </row>
    <row r="882" spans="1:8" x14ac:dyDescent="0.25">
      <c r="A882" s="47">
        <v>40730</v>
      </c>
      <c r="B882" s="213" t="s">
        <v>378</v>
      </c>
      <c r="C882" t="s">
        <v>538</v>
      </c>
      <c r="D882" t="s">
        <v>19</v>
      </c>
      <c r="E882" s="228">
        <v>5</v>
      </c>
      <c r="F882" s="228">
        <v>38</v>
      </c>
      <c r="G882" s="229">
        <v>190</v>
      </c>
      <c r="H882" s="46">
        <v>224</v>
      </c>
    </row>
    <row r="883" spans="1:8" x14ac:dyDescent="0.25">
      <c r="A883" s="47">
        <v>40730</v>
      </c>
      <c r="B883" s="213" t="s">
        <v>349</v>
      </c>
      <c r="C883" t="s">
        <v>343</v>
      </c>
      <c r="D883" t="s">
        <v>19</v>
      </c>
      <c r="E883" s="228">
        <v>6</v>
      </c>
      <c r="F883" s="228">
        <v>130</v>
      </c>
      <c r="G883" s="229">
        <v>780</v>
      </c>
      <c r="H883" s="46">
        <v>224</v>
      </c>
    </row>
    <row r="884" spans="1:8" x14ac:dyDescent="0.25">
      <c r="A884" s="47">
        <v>40730</v>
      </c>
      <c r="B884" s="213" t="s">
        <v>350</v>
      </c>
      <c r="C884" t="s">
        <v>351</v>
      </c>
      <c r="D884" t="s">
        <v>19</v>
      </c>
      <c r="E884" s="228">
        <v>6</v>
      </c>
      <c r="F884" s="228">
        <v>95</v>
      </c>
      <c r="G884" s="229">
        <v>570</v>
      </c>
      <c r="H884" s="46">
        <v>224</v>
      </c>
    </row>
    <row r="885" spans="1:8" x14ac:dyDescent="0.25">
      <c r="A885" s="47">
        <v>40731</v>
      </c>
      <c r="B885" s="213" t="s">
        <v>350</v>
      </c>
      <c r="C885" t="s">
        <v>351</v>
      </c>
      <c r="D885" t="s">
        <v>19</v>
      </c>
      <c r="E885" s="228">
        <v>6.5</v>
      </c>
      <c r="F885" s="228">
        <v>85</v>
      </c>
      <c r="G885" s="229">
        <v>552.5</v>
      </c>
      <c r="H885" s="46">
        <v>224</v>
      </c>
    </row>
    <row r="886" spans="1:8" x14ac:dyDescent="0.25">
      <c r="A886" s="47">
        <v>40731</v>
      </c>
      <c r="B886" s="213" t="s">
        <v>349</v>
      </c>
      <c r="C886" t="s">
        <v>343</v>
      </c>
      <c r="D886" t="s">
        <v>19</v>
      </c>
      <c r="E886" s="228">
        <v>5.5</v>
      </c>
      <c r="F886" s="228">
        <v>130</v>
      </c>
      <c r="G886" s="229">
        <v>715</v>
      </c>
      <c r="H886" s="46">
        <v>224</v>
      </c>
    </row>
    <row r="887" spans="1:8" x14ac:dyDescent="0.25">
      <c r="A887" s="47">
        <v>40732</v>
      </c>
      <c r="B887" s="213" t="s">
        <v>349</v>
      </c>
      <c r="C887" t="s">
        <v>343</v>
      </c>
      <c r="D887" t="s">
        <v>19</v>
      </c>
      <c r="E887" s="228">
        <v>5.5</v>
      </c>
      <c r="F887" s="228">
        <v>130</v>
      </c>
      <c r="G887" s="229">
        <v>715</v>
      </c>
      <c r="H887" s="46">
        <v>224</v>
      </c>
    </row>
    <row r="888" spans="1:8" x14ac:dyDescent="0.25">
      <c r="A888" s="47">
        <v>40732</v>
      </c>
      <c r="B888" s="213" t="s">
        <v>350</v>
      </c>
      <c r="C888" t="s">
        <v>351</v>
      </c>
      <c r="D888" t="s">
        <v>19</v>
      </c>
      <c r="E888" s="228">
        <v>6.5</v>
      </c>
      <c r="F888" s="228">
        <v>85</v>
      </c>
      <c r="G888" s="229">
        <v>552.5</v>
      </c>
      <c r="H888" s="46">
        <v>224</v>
      </c>
    </row>
    <row r="889" spans="1:8" x14ac:dyDescent="0.25">
      <c r="A889" s="258" t="s">
        <v>230</v>
      </c>
      <c r="B889" s="230" t="s">
        <v>431</v>
      </c>
      <c r="C889" s="231" t="s">
        <v>230</v>
      </c>
      <c r="D889" s="231" t="s">
        <v>230</v>
      </c>
      <c r="E889" s="232"/>
      <c r="F889" s="232"/>
      <c r="G889" s="233">
        <v>11791.5</v>
      </c>
      <c r="H889" s="243" t="s">
        <v>230</v>
      </c>
    </row>
    <row r="890" spans="1:8" x14ac:dyDescent="0.25">
      <c r="A890" s="47" t="s">
        <v>230</v>
      </c>
      <c r="B890" s="213" t="s">
        <v>230</v>
      </c>
      <c r="C890" t="s">
        <v>230</v>
      </c>
      <c r="D890" t="s">
        <v>230</v>
      </c>
      <c r="E890" s="228"/>
      <c r="F890" s="228"/>
      <c r="G890" s="229"/>
      <c r="H890" s="46" t="s">
        <v>230</v>
      </c>
    </row>
    <row r="891" spans="1:8" x14ac:dyDescent="0.25">
      <c r="A891" s="257" t="s">
        <v>230</v>
      </c>
      <c r="B891" s="224" t="s">
        <v>595</v>
      </c>
      <c r="C891" s="48" t="s">
        <v>230</v>
      </c>
      <c r="D891" s="48" t="s">
        <v>230</v>
      </c>
      <c r="E891" s="226"/>
      <c r="F891" s="226"/>
      <c r="G891" s="227"/>
      <c r="H891" s="225" t="s">
        <v>230</v>
      </c>
    </row>
    <row r="892" spans="1:8" x14ac:dyDescent="0.25">
      <c r="A892" s="47">
        <v>40604</v>
      </c>
      <c r="B892" t="s">
        <v>432</v>
      </c>
      <c r="C892" t="s">
        <v>432</v>
      </c>
      <c r="D892" t="s">
        <v>19</v>
      </c>
      <c r="E892" s="228">
        <v>3</v>
      </c>
      <c r="F892" s="228">
        <v>36.020000000000003</v>
      </c>
      <c r="G892" s="229">
        <v>108.06</v>
      </c>
      <c r="H892" s="46">
        <v>901</v>
      </c>
    </row>
    <row r="893" spans="1:8" x14ac:dyDescent="0.25">
      <c r="A893" s="47">
        <v>40616</v>
      </c>
      <c r="B893" t="s">
        <v>432</v>
      </c>
      <c r="C893" t="s">
        <v>432</v>
      </c>
      <c r="D893" t="s">
        <v>19</v>
      </c>
      <c r="E893" s="228">
        <v>5.5</v>
      </c>
      <c r="F893" s="228">
        <v>36.020000000000003</v>
      </c>
      <c r="G893" s="229">
        <v>198.11</v>
      </c>
      <c r="H893" s="46">
        <v>901</v>
      </c>
    </row>
    <row r="894" spans="1:8" x14ac:dyDescent="0.25">
      <c r="A894" s="47">
        <v>40617</v>
      </c>
      <c r="B894" t="s">
        <v>432</v>
      </c>
      <c r="C894" t="s">
        <v>432</v>
      </c>
      <c r="D894" t="s">
        <v>19</v>
      </c>
      <c r="E894" s="228">
        <v>5.5</v>
      </c>
      <c r="F894" s="228">
        <v>36.020000000000003</v>
      </c>
      <c r="G894" s="229">
        <v>198.11</v>
      </c>
      <c r="H894" s="46">
        <v>901</v>
      </c>
    </row>
    <row r="895" spans="1:8" x14ac:dyDescent="0.25">
      <c r="A895" s="47">
        <v>40626</v>
      </c>
      <c r="B895" t="s">
        <v>432</v>
      </c>
      <c r="C895" t="s">
        <v>432</v>
      </c>
      <c r="D895" t="s">
        <v>19</v>
      </c>
      <c r="E895" s="228">
        <v>2.5</v>
      </c>
      <c r="F895" s="228">
        <v>36.020000000000003</v>
      </c>
      <c r="G895" s="229">
        <v>90.05</v>
      </c>
      <c r="H895" s="46">
        <v>901</v>
      </c>
    </row>
    <row r="896" spans="1:8" x14ac:dyDescent="0.25">
      <c r="A896" s="47">
        <v>40654</v>
      </c>
      <c r="B896" s="213" t="s">
        <v>434</v>
      </c>
      <c r="C896" t="s">
        <v>433</v>
      </c>
      <c r="D896" t="s">
        <v>22</v>
      </c>
      <c r="E896" s="228">
        <v>8</v>
      </c>
      <c r="F896" s="228">
        <v>45</v>
      </c>
      <c r="G896" s="229">
        <v>360</v>
      </c>
      <c r="H896" s="46">
        <v>901</v>
      </c>
    </row>
    <row r="897" spans="1:8" x14ac:dyDescent="0.25">
      <c r="A897" s="47">
        <v>40696</v>
      </c>
      <c r="B897" s="213" t="s">
        <v>434</v>
      </c>
      <c r="C897" t="s">
        <v>433</v>
      </c>
      <c r="D897" t="s">
        <v>22</v>
      </c>
      <c r="E897" s="228">
        <v>7</v>
      </c>
      <c r="F897" s="228">
        <v>45</v>
      </c>
      <c r="G897" s="229">
        <v>315</v>
      </c>
      <c r="H897" s="46">
        <v>901</v>
      </c>
    </row>
    <row r="898" spans="1:8" x14ac:dyDescent="0.25">
      <c r="A898" s="47">
        <v>40711</v>
      </c>
      <c r="B898" s="213" t="s">
        <v>434</v>
      </c>
      <c r="C898" t="s">
        <v>433</v>
      </c>
      <c r="D898" t="s">
        <v>22</v>
      </c>
      <c r="E898" s="228">
        <v>2</v>
      </c>
      <c r="F898" s="228">
        <v>45</v>
      </c>
      <c r="G898" s="229">
        <v>90</v>
      </c>
      <c r="H898" s="46">
        <v>901</v>
      </c>
    </row>
    <row r="899" spans="1:8" x14ac:dyDescent="0.25">
      <c r="A899" s="258" t="s">
        <v>230</v>
      </c>
      <c r="B899" s="230" t="s">
        <v>435</v>
      </c>
      <c r="C899" s="231" t="s">
        <v>230</v>
      </c>
      <c r="D899" s="231" t="s">
        <v>230</v>
      </c>
      <c r="E899" s="232"/>
      <c r="F899" s="232"/>
      <c r="G899" s="233">
        <v>1359.33</v>
      </c>
      <c r="H899" s="243" t="s">
        <v>230</v>
      </c>
    </row>
    <row r="900" spans="1:8" x14ac:dyDescent="0.25">
      <c r="A900" s="47" t="s">
        <v>230</v>
      </c>
      <c r="B900" s="213" t="s">
        <v>230</v>
      </c>
      <c r="C900" t="s">
        <v>230</v>
      </c>
      <c r="D900" t="s">
        <v>230</v>
      </c>
      <c r="E900" s="228"/>
      <c r="F900" s="228"/>
      <c r="G900" s="229"/>
      <c r="H900" s="46" t="s">
        <v>230</v>
      </c>
    </row>
    <row r="901" spans="1:8" x14ac:dyDescent="0.25">
      <c r="A901" s="257" t="s">
        <v>230</v>
      </c>
      <c r="B901" s="224" t="s">
        <v>596</v>
      </c>
      <c r="C901" s="48" t="s">
        <v>230</v>
      </c>
      <c r="D901" s="48" t="s">
        <v>230</v>
      </c>
      <c r="E901" s="226"/>
      <c r="F901" s="226"/>
      <c r="G901" s="227"/>
      <c r="H901" s="225" t="s">
        <v>230</v>
      </c>
    </row>
    <row r="902" spans="1:8" x14ac:dyDescent="0.25">
      <c r="A902" s="47">
        <v>40640</v>
      </c>
      <c r="B902" s="213" t="s">
        <v>28</v>
      </c>
      <c r="C902" t="s">
        <v>436</v>
      </c>
      <c r="D902" t="s">
        <v>19</v>
      </c>
      <c r="E902" s="228">
        <v>9.5</v>
      </c>
      <c r="F902" s="228">
        <v>68.989999999999995</v>
      </c>
      <c r="G902" s="229">
        <v>655.40499999999997</v>
      </c>
      <c r="H902" s="46">
        <v>902</v>
      </c>
    </row>
    <row r="903" spans="1:8" x14ac:dyDescent="0.25">
      <c r="A903" s="47">
        <v>40644</v>
      </c>
      <c r="B903" s="213" t="s">
        <v>28</v>
      </c>
      <c r="C903" t="s">
        <v>436</v>
      </c>
      <c r="D903" t="s">
        <v>19</v>
      </c>
      <c r="E903" s="228">
        <v>9.5</v>
      </c>
      <c r="F903" s="228">
        <v>68.989999999999995</v>
      </c>
      <c r="G903" s="229">
        <v>655.40499999999997</v>
      </c>
      <c r="H903" s="46">
        <v>902</v>
      </c>
    </row>
    <row r="904" spans="1:8" x14ac:dyDescent="0.25">
      <c r="A904" s="47">
        <v>40645</v>
      </c>
      <c r="B904" s="213" t="s">
        <v>28</v>
      </c>
      <c r="C904" t="s">
        <v>436</v>
      </c>
      <c r="D904" t="s">
        <v>19</v>
      </c>
      <c r="E904" s="228">
        <v>12</v>
      </c>
      <c r="F904" s="228">
        <v>68.989999999999995</v>
      </c>
      <c r="G904" s="229">
        <v>827.88</v>
      </c>
      <c r="H904" s="46">
        <v>902</v>
      </c>
    </row>
    <row r="905" spans="1:8" x14ac:dyDescent="0.25">
      <c r="A905" s="47">
        <v>40646</v>
      </c>
      <c r="B905" s="213" t="s">
        <v>28</v>
      </c>
      <c r="C905" t="s">
        <v>436</v>
      </c>
      <c r="D905" t="s">
        <v>19</v>
      </c>
      <c r="E905" s="228">
        <v>10</v>
      </c>
      <c r="F905" s="228">
        <v>68.989999999999995</v>
      </c>
      <c r="G905" s="229">
        <v>689.9</v>
      </c>
      <c r="H905" s="46">
        <v>902</v>
      </c>
    </row>
    <row r="906" spans="1:8" x14ac:dyDescent="0.25">
      <c r="A906" s="47">
        <v>40647</v>
      </c>
      <c r="B906" s="213" t="s">
        <v>28</v>
      </c>
      <c r="C906" t="s">
        <v>436</v>
      </c>
      <c r="D906" t="s">
        <v>19</v>
      </c>
      <c r="E906" s="228">
        <v>9.5</v>
      </c>
      <c r="F906" s="228">
        <v>68.989999999999995</v>
      </c>
      <c r="G906" s="229">
        <v>655.40499999999997</v>
      </c>
      <c r="H906" s="46">
        <v>902</v>
      </c>
    </row>
    <row r="907" spans="1:8" x14ac:dyDescent="0.25">
      <c r="A907" s="47">
        <v>40648</v>
      </c>
      <c r="B907" s="213" t="s">
        <v>28</v>
      </c>
      <c r="C907" t="s">
        <v>436</v>
      </c>
      <c r="D907" t="s">
        <v>19</v>
      </c>
      <c r="E907" s="228">
        <v>8</v>
      </c>
      <c r="F907" s="228">
        <v>68.989999999999995</v>
      </c>
      <c r="G907" s="229">
        <v>551.91999999999996</v>
      </c>
      <c r="H907" s="46">
        <v>902</v>
      </c>
    </row>
    <row r="908" spans="1:8" x14ac:dyDescent="0.25">
      <c r="A908" s="47">
        <v>40651</v>
      </c>
      <c r="B908" s="213" t="s">
        <v>28</v>
      </c>
      <c r="C908" t="s">
        <v>436</v>
      </c>
      <c r="D908" t="s">
        <v>19</v>
      </c>
      <c r="E908" s="228">
        <v>9.5</v>
      </c>
      <c r="F908" s="228">
        <v>68.989999999999995</v>
      </c>
      <c r="G908" s="229">
        <v>655.40499999999997</v>
      </c>
      <c r="H908" s="46">
        <v>902</v>
      </c>
    </row>
    <row r="909" spans="1:8" x14ac:dyDescent="0.25">
      <c r="A909" s="47">
        <v>40652</v>
      </c>
      <c r="B909" s="213" t="s">
        <v>28</v>
      </c>
      <c r="C909" t="s">
        <v>436</v>
      </c>
      <c r="D909" t="s">
        <v>19</v>
      </c>
      <c r="E909" s="228">
        <v>9.5</v>
      </c>
      <c r="F909" s="228">
        <v>68.989999999999995</v>
      </c>
      <c r="G909" s="229">
        <v>655.40499999999997</v>
      </c>
      <c r="H909" s="46">
        <v>902</v>
      </c>
    </row>
    <row r="910" spans="1:8" x14ac:dyDescent="0.25">
      <c r="A910" s="47">
        <v>40653</v>
      </c>
      <c r="B910" s="213" t="s">
        <v>28</v>
      </c>
      <c r="C910" t="s">
        <v>436</v>
      </c>
      <c r="D910" t="s">
        <v>19</v>
      </c>
      <c r="E910" s="228">
        <v>10</v>
      </c>
      <c r="F910" s="228">
        <v>68.989999999999995</v>
      </c>
      <c r="G910" s="229">
        <v>689.9</v>
      </c>
      <c r="H910" s="46">
        <v>902</v>
      </c>
    </row>
    <row r="911" spans="1:8" x14ac:dyDescent="0.25">
      <c r="A911" s="47">
        <v>40654</v>
      </c>
      <c r="B911" s="213" t="s">
        <v>28</v>
      </c>
      <c r="C911" t="s">
        <v>436</v>
      </c>
      <c r="D911" t="s">
        <v>19</v>
      </c>
      <c r="E911" s="228">
        <v>8.5</v>
      </c>
      <c r="F911" s="228">
        <v>68.989999999999995</v>
      </c>
      <c r="G911" s="229">
        <v>586.41499999999996</v>
      </c>
      <c r="H911" s="46">
        <v>902</v>
      </c>
    </row>
    <row r="912" spans="1:8" x14ac:dyDescent="0.25">
      <c r="A912" s="47">
        <v>40660</v>
      </c>
      <c r="B912" s="213" t="s">
        <v>28</v>
      </c>
      <c r="C912" t="s">
        <v>436</v>
      </c>
      <c r="D912" t="s">
        <v>19</v>
      </c>
      <c r="E912" s="228">
        <v>9.5</v>
      </c>
      <c r="F912" s="228">
        <v>68.989999999999995</v>
      </c>
      <c r="G912" s="229">
        <v>655.40499999999997</v>
      </c>
      <c r="H912" s="46">
        <v>902</v>
      </c>
    </row>
    <row r="913" spans="1:8" x14ac:dyDescent="0.25">
      <c r="A913" s="47">
        <v>40661</v>
      </c>
      <c r="B913" s="213" t="s">
        <v>28</v>
      </c>
      <c r="C913" t="s">
        <v>436</v>
      </c>
      <c r="D913" t="s">
        <v>19</v>
      </c>
      <c r="E913" s="228">
        <v>10</v>
      </c>
      <c r="F913" s="228">
        <v>68.989999999999995</v>
      </c>
      <c r="G913" s="229">
        <v>689.9</v>
      </c>
      <c r="H913" s="46">
        <v>902</v>
      </c>
    </row>
    <row r="914" spans="1:8" x14ac:dyDescent="0.25">
      <c r="A914" s="47">
        <v>40662</v>
      </c>
      <c r="B914" s="213" t="s">
        <v>28</v>
      </c>
      <c r="C914" t="s">
        <v>436</v>
      </c>
      <c r="D914" t="s">
        <v>19</v>
      </c>
      <c r="E914" s="228">
        <v>8.5</v>
      </c>
      <c r="F914" s="228">
        <v>68.989999999999995</v>
      </c>
      <c r="G914" s="229">
        <v>586.41499999999996</v>
      </c>
      <c r="H914" s="46">
        <v>902</v>
      </c>
    </row>
    <row r="915" spans="1:8" x14ac:dyDescent="0.25">
      <c r="A915" s="47">
        <v>40666</v>
      </c>
      <c r="B915" s="213" t="s">
        <v>28</v>
      </c>
      <c r="C915" t="s">
        <v>436</v>
      </c>
      <c r="D915" t="s">
        <v>19</v>
      </c>
      <c r="E915" s="228">
        <v>10</v>
      </c>
      <c r="F915" s="228">
        <v>68.989999999999995</v>
      </c>
      <c r="G915" s="229">
        <v>689.9</v>
      </c>
      <c r="H915" s="46">
        <v>902</v>
      </c>
    </row>
    <row r="916" spans="1:8" x14ac:dyDescent="0.25">
      <c r="A916" s="47">
        <v>40667</v>
      </c>
      <c r="B916" s="213" t="s">
        <v>28</v>
      </c>
      <c r="C916" t="s">
        <v>436</v>
      </c>
      <c r="D916" t="s">
        <v>19</v>
      </c>
      <c r="E916" s="228">
        <v>11</v>
      </c>
      <c r="F916" s="228">
        <v>68.989999999999995</v>
      </c>
      <c r="G916" s="229">
        <v>758.89</v>
      </c>
      <c r="H916" s="46">
        <v>902</v>
      </c>
    </row>
    <row r="917" spans="1:8" x14ac:dyDescent="0.25">
      <c r="A917" s="47">
        <v>40668</v>
      </c>
      <c r="B917" s="213" t="s">
        <v>28</v>
      </c>
      <c r="C917" t="s">
        <v>436</v>
      </c>
      <c r="D917" t="s">
        <v>19</v>
      </c>
      <c r="E917" s="228">
        <v>11</v>
      </c>
      <c r="F917" s="228">
        <v>68.989999999999995</v>
      </c>
      <c r="G917" s="229">
        <v>758.89</v>
      </c>
      <c r="H917" s="46">
        <v>902</v>
      </c>
    </row>
    <row r="918" spans="1:8" x14ac:dyDescent="0.25">
      <c r="A918" s="47">
        <v>40669</v>
      </c>
      <c r="B918" s="213" t="s">
        <v>28</v>
      </c>
      <c r="C918" t="s">
        <v>436</v>
      </c>
      <c r="D918" t="s">
        <v>19</v>
      </c>
      <c r="E918" s="228">
        <v>8.5</v>
      </c>
      <c r="F918" s="228">
        <v>68.989999999999995</v>
      </c>
      <c r="G918" s="229">
        <v>586.41499999999996</v>
      </c>
      <c r="H918" s="46">
        <v>902</v>
      </c>
    </row>
    <row r="919" spans="1:8" x14ac:dyDescent="0.25">
      <c r="A919" s="47">
        <v>40672</v>
      </c>
      <c r="B919" s="213" t="s">
        <v>28</v>
      </c>
      <c r="C919" t="s">
        <v>436</v>
      </c>
      <c r="D919" t="s">
        <v>19</v>
      </c>
      <c r="E919" s="228">
        <v>10</v>
      </c>
      <c r="F919" s="228">
        <v>68.989999999999995</v>
      </c>
      <c r="G919" s="229">
        <v>689.9</v>
      </c>
      <c r="H919" s="46">
        <v>902</v>
      </c>
    </row>
    <row r="920" spans="1:8" x14ac:dyDescent="0.25">
      <c r="A920" s="47">
        <v>40673</v>
      </c>
      <c r="B920" s="213" t="s">
        <v>28</v>
      </c>
      <c r="C920" t="s">
        <v>436</v>
      </c>
      <c r="D920" t="s">
        <v>19</v>
      </c>
      <c r="E920" s="228">
        <v>10</v>
      </c>
      <c r="F920" s="228">
        <v>68.989999999999995</v>
      </c>
      <c r="G920" s="229">
        <v>689.9</v>
      </c>
      <c r="H920" s="46">
        <v>902</v>
      </c>
    </row>
    <row r="921" spans="1:8" x14ac:dyDescent="0.25">
      <c r="A921" s="47">
        <v>40674</v>
      </c>
      <c r="B921" s="213" t="s">
        <v>28</v>
      </c>
      <c r="C921" t="s">
        <v>436</v>
      </c>
      <c r="D921" t="s">
        <v>19</v>
      </c>
      <c r="E921" s="228">
        <v>10.5</v>
      </c>
      <c r="F921" s="228">
        <v>68.989999999999995</v>
      </c>
      <c r="G921" s="229">
        <v>724.39499999999998</v>
      </c>
      <c r="H921" s="46">
        <v>902</v>
      </c>
    </row>
    <row r="922" spans="1:8" x14ac:dyDescent="0.25">
      <c r="A922" s="47">
        <v>40675</v>
      </c>
      <c r="B922" s="213" t="s">
        <v>28</v>
      </c>
      <c r="C922" t="s">
        <v>436</v>
      </c>
      <c r="D922" t="s">
        <v>19</v>
      </c>
      <c r="E922" s="228">
        <v>11</v>
      </c>
      <c r="F922" s="228">
        <v>68.989999999999995</v>
      </c>
      <c r="G922" s="229">
        <v>758.89</v>
      </c>
      <c r="H922" s="46">
        <v>902</v>
      </c>
    </row>
    <row r="923" spans="1:8" x14ac:dyDescent="0.25">
      <c r="A923" s="47">
        <v>40676</v>
      </c>
      <c r="B923" s="213" t="s">
        <v>28</v>
      </c>
      <c r="C923" t="s">
        <v>436</v>
      </c>
      <c r="D923" t="s">
        <v>19</v>
      </c>
      <c r="E923" s="228">
        <v>9</v>
      </c>
      <c r="F923" s="228">
        <v>68.989999999999995</v>
      </c>
      <c r="G923" s="229">
        <v>620.91</v>
      </c>
      <c r="H923" s="46">
        <v>902</v>
      </c>
    </row>
    <row r="924" spans="1:8" x14ac:dyDescent="0.25">
      <c r="A924" s="47">
        <v>40677</v>
      </c>
      <c r="B924" s="213" t="s">
        <v>28</v>
      </c>
      <c r="C924" t="s">
        <v>436</v>
      </c>
      <c r="D924" t="s">
        <v>19</v>
      </c>
      <c r="E924" s="228"/>
      <c r="F924" s="228">
        <v>68.989999999999995</v>
      </c>
      <c r="G924" s="229"/>
      <c r="H924" s="46">
        <v>902</v>
      </c>
    </row>
    <row r="925" spans="1:8" x14ac:dyDescent="0.25">
      <c r="A925" s="47">
        <v>40679</v>
      </c>
      <c r="B925" s="213" t="s">
        <v>28</v>
      </c>
      <c r="C925" t="s">
        <v>436</v>
      </c>
      <c r="D925" t="s">
        <v>19</v>
      </c>
      <c r="E925" s="228">
        <v>10</v>
      </c>
      <c r="F925" s="228">
        <v>68.989999999999995</v>
      </c>
      <c r="G925" s="229">
        <v>689.9</v>
      </c>
      <c r="H925" s="46">
        <v>902</v>
      </c>
    </row>
    <row r="926" spans="1:8" x14ac:dyDescent="0.25">
      <c r="A926" s="47">
        <v>40680</v>
      </c>
      <c r="B926" s="213" t="s">
        <v>28</v>
      </c>
      <c r="C926" t="s">
        <v>436</v>
      </c>
      <c r="D926" t="s">
        <v>19</v>
      </c>
      <c r="E926" s="228">
        <v>10.5</v>
      </c>
      <c r="F926" s="228">
        <v>68.989999999999995</v>
      </c>
      <c r="G926" s="229">
        <v>724.39499999999998</v>
      </c>
      <c r="H926" s="46">
        <v>902</v>
      </c>
    </row>
    <row r="927" spans="1:8" x14ac:dyDescent="0.25">
      <c r="A927" s="47">
        <v>40681</v>
      </c>
      <c r="B927" s="213" t="s">
        <v>28</v>
      </c>
      <c r="C927" t="s">
        <v>436</v>
      </c>
      <c r="D927" t="s">
        <v>19</v>
      </c>
      <c r="E927" s="228">
        <v>10.5</v>
      </c>
      <c r="F927" s="228">
        <v>68.989999999999995</v>
      </c>
      <c r="G927" s="229">
        <v>724.39499999999998</v>
      </c>
      <c r="H927" s="46">
        <v>902</v>
      </c>
    </row>
    <row r="928" spans="1:8" x14ac:dyDescent="0.25">
      <c r="A928" s="47">
        <v>40682</v>
      </c>
      <c r="B928" s="213" t="s">
        <v>28</v>
      </c>
      <c r="C928" t="s">
        <v>436</v>
      </c>
      <c r="D928" t="s">
        <v>19</v>
      </c>
      <c r="E928" s="228">
        <v>10.5</v>
      </c>
      <c r="F928" s="228">
        <v>68.989999999999995</v>
      </c>
      <c r="G928" s="229">
        <v>724.39499999999998</v>
      </c>
      <c r="H928" s="46">
        <v>902</v>
      </c>
    </row>
    <row r="929" spans="1:8" x14ac:dyDescent="0.25">
      <c r="A929" s="47">
        <v>40683</v>
      </c>
      <c r="B929" s="213" t="s">
        <v>28</v>
      </c>
      <c r="C929" t="s">
        <v>436</v>
      </c>
      <c r="D929" t="s">
        <v>19</v>
      </c>
      <c r="E929" s="228">
        <v>9.5</v>
      </c>
      <c r="F929" s="228">
        <v>68.989999999999995</v>
      </c>
      <c r="G929" s="229">
        <v>655.40499999999997</v>
      </c>
      <c r="H929" s="46">
        <v>902</v>
      </c>
    </row>
    <row r="930" spans="1:8" x14ac:dyDescent="0.25">
      <c r="A930" s="47">
        <v>40686</v>
      </c>
      <c r="B930" s="213" t="s">
        <v>28</v>
      </c>
      <c r="C930" t="s">
        <v>436</v>
      </c>
      <c r="D930" t="s">
        <v>19</v>
      </c>
      <c r="E930" s="228">
        <v>10</v>
      </c>
      <c r="F930" s="228">
        <v>68.989999999999995</v>
      </c>
      <c r="G930" s="229">
        <v>689.9</v>
      </c>
      <c r="H930" s="46">
        <v>902</v>
      </c>
    </row>
    <row r="931" spans="1:8" x14ac:dyDescent="0.25">
      <c r="A931" s="47">
        <v>40687</v>
      </c>
      <c r="B931" s="213" t="s">
        <v>28</v>
      </c>
      <c r="C931" t="s">
        <v>436</v>
      </c>
      <c r="D931" t="s">
        <v>19</v>
      </c>
      <c r="E931" s="228">
        <v>11</v>
      </c>
      <c r="F931" s="228">
        <v>68.989999999999995</v>
      </c>
      <c r="G931" s="229">
        <v>758.89</v>
      </c>
      <c r="H931" s="46">
        <v>902</v>
      </c>
    </row>
    <row r="932" spans="1:8" x14ac:dyDescent="0.25">
      <c r="A932" s="47">
        <v>40688</v>
      </c>
      <c r="B932" s="213" t="s">
        <v>28</v>
      </c>
      <c r="C932" t="s">
        <v>436</v>
      </c>
      <c r="D932" t="s">
        <v>19</v>
      </c>
      <c r="E932" s="228">
        <v>10</v>
      </c>
      <c r="F932" s="228">
        <v>68.989999999999995</v>
      </c>
      <c r="G932" s="229">
        <v>689.9</v>
      </c>
      <c r="H932" s="46">
        <v>902</v>
      </c>
    </row>
    <row r="933" spans="1:8" x14ac:dyDescent="0.25">
      <c r="A933" s="47">
        <v>40689</v>
      </c>
      <c r="B933" s="213" t="s">
        <v>28</v>
      </c>
      <c r="C933" t="s">
        <v>436</v>
      </c>
      <c r="D933" t="s">
        <v>19</v>
      </c>
      <c r="E933" s="228">
        <v>10.5</v>
      </c>
      <c r="F933" s="228">
        <v>68.989999999999995</v>
      </c>
      <c r="G933" s="229">
        <v>724.39499999999998</v>
      </c>
      <c r="H933" s="46">
        <v>902</v>
      </c>
    </row>
    <row r="934" spans="1:8" x14ac:dyDescent="0.25">
      <c r="A934" s="47">
        <v>40690</v>
      </c>
      <c r="B934" s="213" t="s">
        <v>28</v>
      </c>
      <c r="C934" t="s">
        <v>436</v>
      </c>
      <c r="D934" t="s">
        <v>19</v>
      </c>
      <c r="E934" s="228">
        <v>9</v>
      </c>
      <c r="F934" s="228">
        <v>68.989999999999995</v>
      </c>
      <c r="G934" s="229">
        <v>620.91</v>
      </c>
      <c r="H934" s="46">
        <v>902</v>
      </c>
    </row>
    <row r="935" spans="1:8" x14ac:dyDescent="0.25">
      <c r="A935" s="47">
        <v>40694</v>
      </c>
      <c r="B935" s="213" t="s">
        <v>28</v>
      </c>
      <c r="C935" t="s">
        <v>436</v>
      </c>
      <c r="D935" t="s">
        <v>19</v>
      </c>
      <c r="E935" s="228">
        <v>11</v>
      </c>
      <c r="F935" s="228">
        <v>68.989999999999995</v>
      </c>
      <c r="G935" s="229">
        <v>758.89</v>
      </c>
      <c r="H935" s="46">
        <v>902</v>
      </c>
    </row>
    <row r="936" spans="1:8" x14ac:dyDescent="0.25">
      <c r="A936" s="47">
        <v>40695</v>
      </c>
      <c r="B936" s="213" t="s">
        <v>28</v>
      </c>
      <c r="C936" t="s">
        <v>436</v>
      </c>
      <c r="D936" t="s">
        <v>19</v>
      </c>
      <c r="E936" s="228">
        <v>11</v>
      </c>
      <c r="F936" s="228">
        <v>68.989999999999995</v>
      </c>
      <c r="G936" s="229">
        <v>758.89</v>
      </c>
      <c r="H936" s="46">
        <v>902</v>
      </c>
    </row>
    <row r="937" spans="1:8" x14ac:dyDescent="0.25">
      <c r="A937" s="47">
        <v>40696</v>
      </c>
      <c r="B937" s="213" t="s">
        <v>28</v>
      </c>
      <c r="C937" t="s">
        <v>436</v>
      </c>
      <c r="D937" t="s">
        <v>19</v>
      </c>
      <c r="E937" s="228">
        <v>11</v>
      </c>
      <c r="F937" s="228">
        <v>68.989999999999995</v>
      </c>
      <c r="G937" s="229">
        <v>758.89</v>
      </c>
      <c r="H937" s="46">
        <v>902</v>
      </c>
    </row>
    <row r="938" spans="1:8" x14ac:dyDescent="0.25">
      <c r="A938" s="47">
        <v>40697</v>
      </c>
      <c r="B938" s="213" t="s">
        <v>28</v>
      </c>
      <c r="C938" t="s">
        <v>436</v>
      </c>
      <c r="D938" t="s">
        <v>19</v>
      </c>
      <c r="E938" s="228">
        <v>11</v>
      </c>
      <c r="F938" s="228">
        <v>68.989999999999995</v>
      </c>
      <c r="G938" s="229">
        <v>758.89</v>
      </c>
      <c r="H938" s="46">
        <v>902</v>
      </c>
    </row>
    <row r="939" spans="1:8" x14ac:dyDescent="0.25">
      <c r="A939" s="47">
        <v>40700</v>
      </c>
      <c r="B939" s="213" t="s">
        <v>28</v>
      </c>
      <c r="C939" t="s">
        <v>436</v>
      </c>
      <c r="D939" t="s">
        <v>19</v>
      </c>
      <c r="E939" s="228">
        <v>10.5</v>
      </c>
      <c r="F939" s="228">
        <v>68.989999999999995</v>
      </c>
      <c r="G939" s="229">
        <v>724.39499999999998</v>
      </c>
      <c r="H939" s="46">
        <v>902</v>
      </c>
    </row>
    <row r="940" spans="1:8" x14ac:dyDescent="0.25">
      <c r="A940" s="47">
        <v>40701</v>
      </c>
      <c r="B940" s="213" t="s">
        <v>28</v>
      </c>
      <c r="C940" t="s">
        <v>436</v>
      </c>
      <c r="D940" t="s">
        <v>19</v>
      </c>
      <c r="E940" s="228">
        <v>10.5</v>
      </c>
      <c r="F940" s="228">
        <v>68.989999999999995</v>
      </c>
      <c r="G940" s="229">
        <v>724.39499999999998</v>
      </c>
      <c r="H940" s="46">
        <v>902</v>
      </c>
    </row>
    <row r="941" spans="1:8" x14ac:dyDescent="0.25">
      <c r="A941" s="47">
        <v>40702</v>
      </c>
      <c r="B941" s="213" t="s">
        <v>28</v>
      </c>
      <c r="C941" t="s">
        <v>436</v>
      </c>
      <c r="D941" t="s">
        <v>19</v>
      </c>
      <c r="E941" s="228">
        <v>11</v>
      </c>
      <c r="F941" s="228">
        <v>68.989999999999995</v>
      </c>
      <c r="G941" s="229">
        <v>758.89</v>
      </c>
      <c r="H941" s="46">
        <v>902</v>
      </c>
    </row>
    <row r="942" spans="1:8" x14ac:dyDescent="0.25">
      <c r="A942" s="47">
        <v>40703</v>
      </c>
      <c r="B942" s="213" t="s">
        <v>28</v>
      </c>
      <c r="C942" t="s">
        <v>436</v>
      </c>
      <c r="D942" t="s">
        <v>19</v>
      </c>
      <c r="E942" s="228">
        <v>11</v>
      </c>
      <c r="F942" s="228">
        <v>68.989999999999995</v>
      </c>
      <c r="G942" s="229">
        <v>758.89</v>
      </c>
      <c r="H942" s="46">
        <v>902</v>
      </c>
    </row>
    <row r="943" spans="1:8" x14ac:dyDescent="0.25">
      <c r="A943" s="47">
        <v>40704</v>
      </c>
      <c r="B943" s="213" t="s">
        <v>28</v>
      </c>
      <c r="C943" t="s">
        <v>436</v>
      </c>
      <c r="D943" t="s">
        <v>19</v>
      </c>
      <c r="E943" s="228">
        <v>9</v>
      </c>
      <c r="F943" s="228">
        <v>68.989999999999995</v>
      </c>
      <c r="G943" s="229">
        <v>620.91</v>
      </c>
      <c r="H943" s="46">
        <v>902</v>
      </c>
    </row>
    <row r="944" spans="1:8" x14ac:dyDescent="0.25">
      <c r="A944" s="47">
        <v>40708</v>
      </c>
      <c r="B944" s="213" t="s">
        <v>28</v>
      </c>
      <c r="C944" t="s">
        <v>436</v>
      </c>
      <c r="D944" t="s">
        <v>19</v>
      </c>
      <c r="E944" s="228">
        <v>10.5</v>
      </c>
      <c r="F944" s="228">
        <v>68.989999999999995</v>
      </c>
      <c r="G944" s="229">
        <v>724.39499999999998</v>
      </c>
      <c r="H944" s="46">
        <v>902</v>
      </c>
    </row>
    <row r="945" spans="1:8" x14ac:dyDescent="0.25">
      <c r="A945" s="47">
        <v>40709</v>
      </c>
      <c r="B945" s="213" t="s">
        <v>28</v>
      </c>
      <c r="C945" t="s">
        <v>436</v>
      </c>
      <c r="D945" t="s">
        <v>19</v>
      </c>
      <c r="E945" s="228">
        <v>10.5</v>
      </c>
      <c r="F945" s="228">
        <v>68.989999999999995</v>
      </c>
      <c r="G945" s="229">
        <v>724.39499999999998</v>
      </c>
      <c r="H945" s="46">
        <v>902</v>
      </c>
    </row>
    <row r="946" spans="1:8" x14ac:dyDescent="0.25">
      <c r="A946" s="47">
        <v>40710</v>
      </c>
      <c r="B946" s="213" t="s">
        <v>28</v>
      </c>
      <c r="C946" t="s">
        <v>436</v>
      </c>
      <c r="D946" t="s">
        <v>19</v>
      </c>
      <c r="E946" s="228">
        <v>11</v>
      </c>
      <c r="F946" s="228">
        <v>68.989999999999995</v>
      </c>
      <c r="G946" s="229">
        <v>758.89</v>
      </c>
      <c r="H946" s="46">
        <v>902</v>
      </c>
    </row>
    <row r="947" spans="1:8" x14ac:dyDescent="0.25">
      <c r="A947" s="47">
        <v>40711</v>
      </c>
      <c r="B947" s="213" t="s">
        <v>28</v>
      </c>
      <c r="C947" t="s">
        <v>436</v>
      </c>
      <c r="D947" t="s">
        <v>19</v>
      </c>
      <c r="E947" s="228">
        <v>9</v>
      </c>
      <c r="F947" s="228">
        <v>68.989999999999995</v>
      </c>
      <c r="G947" s="229">
        <v>620.91</v>
      </c>
      <c r="H947" s="46">
        <v>902</v>
      </c>
    </row>
    <row r="948" spans="1:8" x14ac:dyDescent="0.25">
      <c r="A948" s="47">
        <v>40714</v>
      </c>
      <c r="B948" s="213" t="s">
        <v>28</v>
      </c>
      <c r="C948" t="s">
        <v>436</v>
      </c>
      <c r="D948" t="s">
        <v>19</v>
      </c>
      <c r="E948" s="228">
        <v>11</v>
      </c>
      <c r="F948" s="228">
        <v>68.989999999999995</v>
      </c>
      <c r="G948" s="229">
        <v>758.89</v>
      </c>
      <c r="H948" s="46">
        <v>902</v>
      </c>
    </row>
    <row r="949" spans="1:8" x14ac:dyDescent="0.25">
      <c r="A949" s="47">
        <v>40715</v>
      </c>
      <c r="B949" s="213" t="s">
        <v>28</v>
      </c>
      <c r="C949" t="s">
        <v>436</v>
      </c>
      <c r="D949" t="s">
        <v>19</v>
      </c>
      <c r="E949" s="228">
        <v>11</v>
      </c>
      <c r="F949" s="228">
        <v>68.989999999999995</v>
      </c>
      <c r="G949" s="229">
        <v>758.89</v>
      </c>
      <c r="H949" s="46">
        <v>902</v>
      </c>
    </row>
    <row r="950" spans="1:8" x14ac:dyDescent="0.25">
      <c r="A950" s="47">
        <v>40716</v>
      </c>
      <c r="B950" s="213" t="s">
        <v>28</v>
      </c>
      <c r="C950" t="s">
        <v>436</v>
      </c>
      <c r="D950" t="s">
        <v>19</v>
      </c>
      <c r="E950" s="228">
        <v>11</v>
      </c>
      <c r="F950" s="228">
        <v>68.989999999999995</v>
      </c>
      <c r="G950" s="229">
        <v>758.89</v>
      </c>
      <c r="H950" s="46">
        <v>902</v>
      </c>
    </row>
    <row r="951" spans="1:8" x14ac:dyDescent="0.25">
      <c r="A951" s="47">
        <v>40717</v>
      </c>
      <c r="B951" s="213" t="s">
        <v>28</v>
      </c>
      <c r="C951" t="s">
        <v>436</v>
      </c>
      <c r="D951" t="s">
        <v>19</v>
      </c>
      <c r="E951" s="228">
        <v>11</v>
      </c>
      <c r="F951" s="228">
        <v>68.989999999999995</v>
      </c>
      <c r="G951" s="229">
        <v>758.89</v>
      </c>
      <c r="H951" s="46">
        <v>902</v>
      </c>
    </row>
    <row r="952" spans="1:8" x14ac:dyDescent="0.25">
      <c r="A952" s="47">
        <v>40718</v>
      </c>
      <c r="B952" s="213" t="s">
        <v>28</v>
      </c>
      <c r="C952" t="s">
        <v>436</v>
      </c>
      <c r="D952" t="s">
        <v>19</v>
      </c>
      <c r="E952" s="228">
        <v>9</v>
      </c>
      <c r="F952" s="228">
        <v>68.989999999999995</v>
      </c>
      <c r="G952" s="229">
        <v>620.91</v>
      </c>
      <c r="H952" s="46">
        <v>902</v>
      </c>
    </row>
    <row r="953" spans="1:8" x14ac:dyDescent="0.25">
      <c r="A953" s="47">
        <v>40721</v>
      </c>
      <c r="B953" s="213" t="s">
        <v>28</v>
      </c>
      <c r="C953" t="s">
        <v>436</v>
      </c>
      <c r="D953" t="s">
        <v>19</v>
      </c>
      <c r="E953" s="228">
        <v>11</v>
      </c>
      <c r="F953" s="228">
        <v>68.989999999999995</v>
      </c>
      <c r="G953" s="229">
        <v>758.89</v>
      </c>
      <c r="H953" s="46">
        <v>902</v>
      </c>
    </row>
    <row r="954" spans="1:8" x14ac:dyDescent="0.25">
      <c r="A954" s="47">
        <v>40722</v>
      </c>
      <c r="B954" s="213" t="s">
        <v>28</v>
      </c>
      <c r="C954" t="s">
        <v>436</v>
      </c>
      <c r="D954" t="s">
        <v>19</v>
      </c>
      <c r="E954" s="228">
        <v>11</v>
      </c>
      <c r="F954" s="228">
        <v>68.989999999999995</v>
      </c>
      <c r="G954" s="229">
        <v>758.89</v>
      </c>
      <c r="H954" s="46">
        <v>902</v>
      </c>
    </row>
    <row r="955" spans="1:8" x14ac:dyDescent="0.25">
      <c r="A955" s="47">
        <v>40723</v>
      </c>
      <c r="B955" s="213" t="s">
        <v>28</v>
      </c>
      <c r="C955" t="s">
        <v>436</v>
      </c>
      <c r="D955" t="s">
        <v>19</v>
      </c>
      <c r="E955" s="228">
        <v>11</v>
      </c>
      <c r="F955" s="228">
        <v>68.989999999999995</v>
      </c>
      <c r="G955" s="229">
        <v>758.89</v>
      </c>
      <c r="H955" s="46">
        <v>902</v>
      </c>
    </row>
    <row r="956" spans="1:8" x14ac:dyDescent="0.25">
      <c r="A956" s="47">
        <v>40724</v>
      </c>
      <c r="B956" s="213" t="s">
        <v>28</v>
      </c>
      <c r="C956" t="s">
        <v>436</v>
      </c>
      <c r="D956" t="s">
        <v>19</v>
      </c>
      <c r="E956" s="228">
        <v>11</v>
      </c>
      <c r="F956" s="228">
        <v>68.989999999999995</v>
      </c>
      <c r="G956" s="229">
        <v>758.89</v>
      </c>
      <c r="H956" s="46">
        <v>902</v>
      </c>
    </row>
    <row r="957" spans="1:8" x14ac:dyDescent="0.25">
      <c r="A957" s="47">
        <v>40725</v>
      </c>
      <c r="B957" s="213" t="s">
        <v>28</v>
      </c>
      <c r="C957" t="s">
        <v>436</v>
      </c>
      <c r="D957" t="s">
        <v>19</v>
      </c>
      <c r="E957" s="228">
        <v>9</v>
      </c>
      <c r="F957" s="228">
        <v>68.989999999999995</v>
      </c>
      <c r="G957" s="229">
        <v>620.91</v>
      </c>
      <c r="H957" s="46">
        <v>902</v>
      </c>
    </row>
    <row r="958" spans="1:8" x14ac:dyDescent="0.25">
      <c r="A958" s="47">
        <v>40728</v>
      </c>
      <c r="B958" s="213" t="s">
        <v>28</v>
      </c>
      <c r="C958" t="s">
        <v>436</v>
      </c>
      <c r="D958" t="s">
        <v>19</v>
      </c>
      <c r="E958" s="228">
        <v>11</v>
      </c>
      <c r="F958" s="228">
        <v>68.989999999999995</v>
      </c>
      <c r="G958" s="229">
        <v>758.89</v>
      </c>
      <c r="H958" s="46">
        <v>902</v>
      </c>
    </row>
    <row r="959" spans="1:8" x14ac:dyDescent="0.25">
      <c r="A959" s="47">
        <v>40729</v>
      </c>
      <c r="B959" s="213" t="s">
        <v>28</v>
      </c>
      <c r="C959" t="s">
        <v>436</v>
      </c>
      <c r="D959" t="s">
        <v>19</v>
      </c>
      <c r="E959" s="228">
        <v>11</v>
      </c>
      <c r="F959" s="228">
        <v>68.989999999999995</v>
      </c>
      <c r="G959" s="229">
        <v>758.89</v>
      </c>
      <c r="H959" s="46">
        <v>902</v>
      </c>
    </row>
    <row r="960" spans="1:8" x14ac:dyDescent="0.25">
      <c r="A960" s="47">
        <v>40730</v>
      </c>
      <c r="B960" s="213" t="s">
        <v>28</v>
      </c>
      <c r="C960" t="s">
        <v>436</v>
      </c>
      <c r="D960" t="s">
        <v>19</v>
      </c>
      <c r="E960" s="228">
        <v>11</v>
      </c>
      <c r="F960" s="228">
        <v>68.989999999999995</v>
      </c>
      <c r="G960" s="229">
        <v>758.89</v>
      </c>
      <c r="H960" s="46">
        <v>902</v>
      </c>
    </row>
    <row r="961" spans="1:8" x14ac:dyDescent="0.25">
      <c r="A961" s="47">
        <v>40731</v>
      </c>
      <c r="B961" s="213" t="s">
        <v>28</v>
      </c>
      <c r="C961" t="s">
        <v>436</v>
      </c>
      <c r="D961" t="s">
        <v>19</v>
      </c>
      <c r="E961" s="228">
        <v>11.5</v>
      </c>
      <c r="F961" s="228">
        <v>68.989999999999995</v>
      </c>
      <c r="G961" s="229">
        <v>793.38499999999999</v>
      </c>
      <c r="H961" s="46">
        <v>902</v>
      </c>
    </row>
    <row r="962" spans="1:8" x14ac:dyDescent="0.25">
      <c r="A962" s="47">
        <v>40732</v>
      </c>
      <c r="B962" s="213" t="s">
        <v>28</v>
      </c>
      <c r="C962" t="s">
        <v>436</v>
      </c>
      <c r="D962" t="s">
        <v>19</v>
      </c>
      <c r="E962" s="228">
        <v>5</v>
      </c>
      <c r="F962" s="228">
        <v>68.989999999999995</v>
      </c>
      <c r="G962" s="229">
        <v>344.95</v>
      </c>
      <c r="H962" s="46">
        <v>902</v>
      </c>
    </row>
    <row r="963" spans="1:8" x14ac:dyDescent="0.25">
      <c r="A963" s="258" t="s">
        <v>230</v>
      </c>
      <c r="B963" s="230" t="s">
        <v>437</v>
      </c>
      <c r="C963" s="231" t="s">
        <v>230</v>
      </c>
      <c r="D963" s="231" t="s">
        <v>230</v>
      </c>
      <c r="E963" s="232"/>
      <c r="F963" s="232"/>
      <c r="G963" s="233">
        <v>42014.91</v>
      </c>
      <c r="H963" s="243" t="s">
        <v>230</v>
      </c>
    </row>
    <row r="964" spans="1:8" x14ac:dyDescent="0.25">
      <c r="A964" s="47" t="s">
        <v>230</v>
      </c>
      <c r="B964" s="213" t="s">
        <v>230</v>
      </c>
      <c r="C964" t="s">
        <v>230</v>
      </c>
      <c r="D964" t="s">
        <v>230</v>
      </c>
      <c r="E964" s="228"/>
      <c r="F964" s="228"/>
      <c r="G964" s="229"/>
      <c r="H964" s="46" t="s">
        <v>230</v>
      </c>
    </row>
    <row r="965" spans="1:8" x14ac:dyDescent="0.25">
      <c r="A965" s="257" t="s">
        <v>230</v>
      </c>
      <c r="B965" s="224" t="s">
        <v>597</v>
      </c>
      <c r="C965" s="48" t="s">
        <v>230</v>
      </c>
      <c r="D965" s="48" t="s">
        <v>230</v>
      </c>
      <c r="E965" s="226"/>
      <c r="F965" s="226"/>
      <c r="G965" s="227"/>
      <c r="H965" s="225" t="s">
        <v>230</v>
      </c>
    </row>
    <row r="966" spans="1:8" x14ac:dyDescent="0.25">
      <c r="A966" s="47">
        <v>40648</v>
      </c>
      <c r="B966" s="213" t="s">
        <v>438</v>
      </c>
      <c r="C966" t="s">
        <v>439</v>
      </c>
      <c r="D966" t="s">
        <v>399</v>
      </c>
      <c r="E966" s="228">
        <v>1</v>
      </c>
      <c r="F966" s="228">
        <v>649.63</v>
      </c>
      <c r="G966" s="229">
        <v>649.63</v>
      </c>
      <c r="H966" s="46">
        <v>903</v>
      </c>
    </row>
    <row r="967" spans="1:8" x14ac:dyDescent="0.25">
      <c r="A967" s="47">
        <v>40651</v>
      </c>
      <c r="B967" s="213" t="s">
        <v>440</v>
      </c>
      <c r="C967" t="s">
        <v>441</v>
      </c>
      <c r="D967" t="s">
        <v>399</v>
      </c>
      <c r="E967" s="228">
        <v>1</v>
      </c>
      <c r="F967" s="228">
        <v>89.13</v>
      </c>
      <c r="G967" s="229">
        <v>89.13</v>
      </c>
      <c r="H967" s="46">
        <v>903</v>
      </c>
    </row>
    <row r="968" spans="1:8" ht="30" x14ac:dyDescent="0.25">
      <c r="A968" s="47">
        <v>40663</v>
      </c>
      <c r="B968" s="213" t="s">
        <v>442</v>
      </c>
      <c r="C968" t="s">
        <v>443</v>
      </c>
      <c r="D968" t="s">
        <v>399</v>
      </c>
      <c r="E968" s="228">
        <v>1</v>
      </c>
      <c r="F968" s="228">
        <v>435</v>
      </c>
      <c r="G968" s="229">
        <v>435</v>
      </c>
      <c r="H968" s="46">
        <v>903</v>
      </c>
    </row>
    <row r="969" spans="1:8" x14ac:dyDescent="0.25">
      <c r="A969" s="47">
        <v>40663</v>
      </c>
      <c r="B969" s="213" t="s">
        <v>444</v>
      </c>
      <c r="C969" t="s">
        <v>445</v>
      </c>
      <c r="D969" t="s">
        <v>399</v>
      </c>
      <c r="E969" s="228">
        <v>1</v>
      </c>
      <c r="F969" s="228">
        <v>1701.28</v>
      </c>
      <c r="G969" s="229">
        <v>1701.28</v>
      </c>
      <c r="H969" s="46">
        <v>903</v>
      </c>
    </row>
    <row r="970" spans="1:8" x14ac:dyDescent="0.25">
      <c r="A970" s="47">
        <v>40667</v>
      </c>
      <c r="B970" s="213" t="s">
        <v>446</v>
      </c>
      <c r="C970" t="s">
        <v>402</v>
      </c>
      <c r="D970" t="s">
        <v>399</v>
      </c>
      <c r="E970" s="228">
        <v>1</v>
      </c>
      <c r="F970" s="228">
        <v>1931</v>
      </c>
      <c r="G970" s="229">
        <v>1931</v>
      </c>
      <c r="H970" s="46">
        <v>903</v>
      </c>
    </row>
    <row r="971" spans="1:8" x14ac:dyDescent="0.25">
      <c r="A971" s="47">
        <v>40672</v>
      </c>
      <c r="B971" s="213" t="s">
        <v>447</v>
      </c>
      <c r="C971" t="s">
        <v>448</v>
      </c>
      <c r="D971" t="s">
        <v>399</v>
      </c>
      <c r="E971" s="228">
        <v>1</v>
      </c>
      <c r="F971" s="228">
        <v>3200</v>
      </c>
      <c r="G971" s="229">
        <v>3200</v>
      </c>
      <c r="H971" s="46">
        <v>903</v>
      </c>
    </row>
    <row r="972" spans="1:8" x14ac:dyDescent="0.25">
      <c r="A972" s="47">
        <v>40724</v>
      </c>
      <c r="B972" s="213" t="s">
        <v>449</v>
      </c>
      <c r="C972" t="s">
        <v>445</v>
      </c>
      <c r="D972" t="s">
        <v>450</v>
      </c>
      <c r="E972" s="228">
        <v>1</v>
      </c>
      <c r="F972" s="228">
        <v>2249.52</v>
      </c>
      <c r="G972" s="229">
        <v>2249.52</v>
      </c>
      <c r="H972" s="46">
        <v>903</v>
      </c>
    </row>
    <row r="973" spans="1:8" ht="30" x14ac:dyDescent="0.25">
      <c r="A973" s="47">
        <v>40724</v>
      </c>
      <c r="B973" s="213" t="s">
        <v>451</v>
      </c>
      <c r="C973" t="s">
        <v>443</v>
      </c>
      <c r="D973" t="s">
        <v>22</v>
      </c>
      <c r="E973" s="228">
        <v>1</v>
      </c>
      <c r="F973" s="228">
        <v>900</v>
      </c>
      <c r="G973" s="229">
        <v>900</v>
      </c>
      <c r="H973" s="46">
        <v>903</v>
      </c>
    </row>
    <row r="974" spans="1:8" x14ac:dyDescent="0.25">
      <c r="A974" s="47">
        <v>40730</v>
      </c>
      <c r="B974" s="213" t="s">
        <v>452</v>
      </c>
      <c r="C974" t="s">
        <v>453</v>
      </c>
      <c r="D974" t="s">
        <v>399</v>
      </c>
      <c r="E974" s="228">
        <v>1</v>
      </c>
      <c r="F974" s="228">
        <v>113.64</v>
      </c>
      <c r="G974" s="229">
        <v>113.64</v>
      </c>
      <c r="H974" s="46">
        <v>903</v>
      </c>
    </row>
    <row r="975" spans="1:8" x14ac:dyDescent="0.25">
      <c r="A975" s="47">
        <v>40731</v>
      </c>
      <c r="B975" s="213" t="s">
        <v>454</v>
      </c>
      <c r="C975" t="s">
        <v>455</v>
      </c>
      <c r="D975" t="s">
        <v>399</v>
      </c>
      <c r="E975" s="228">
        <v>1</v>
      </c>
      <c r="F975" s="228">
        <v>430</v>
      </c>
      <c r="G975" s="229">
        <v>430</v>
      </c>
      <c r="H975" s="46">
        <v>903</v>
      </c>
    </row>
    <row r="976" spans="1:8" x14ac:dyDescent="0.25">
      <c r="A976" s="47">
        <v>40737</v>
      </c>
      <c r="B976" s="213" t="s">
        <v>456</v>
      </c>
      <c r="C976" t="s">
        <v>445</v>
      </c>
      <c r="D976" t="s">
        <v>22</v>
      </c>
      <c r="E976" s="228">
        <v>1</v>
      </c>
      <c r="F976" s="228">
        <v>537.6</v>
      </c>
      <c r="G976" s="229">
        <v>537.6</v>
      </c>
      <c r="H976" s="46">
        <v>903</v>
      </c>
    </row>
    <row r="977" spans="1:8" x14ac:dyDescent="0.25">
      <c r="A977" s="47">
        <v>40742</v>
      </c>
      <c r="B977" s="213" t="s">
        <v>457</v>
      </c>
      <c r="C977" t="s">
        <v>443</v>
      </c>
      <c r="D977" t="s">
        <v>22</v>
      </c>
      <c r="E977" s="228">
        <v>1</v>
      </c>
      <c r="F977" s="228">
        <v>570</v>
      </c>
      <c r="G977" s="229">
        <v>570</v>
      </c>
      <c r="H977" s="46">
        <v>903</v>
      </c>
    </row>
    <row r="978" spans="1:8" x14ac:dyDescent="0.25">
      <c r="A978" s="47">
        <v>40746</v>
      </c>
      <c r="B978" s="213" t="s">
        <v>458</v>
      </c>
      <c r="C978" t="s">
        <v>402</v>
      </c>
      <c r="D978" t="s">
        <v>399</v>
      </c>
      <c r="E978" s="228">
        <v>3</v>
      </c>
      <c r="F978" s="228">
        <v>25</v>
      </c>
      <c r="G978" s="229">
        <v>75</v>
      </c>
      <c r="H978" s="46">
        <v>903</v>
      </c>
    </row>
    <row r="979" spans="1:8" x14ac:dyDescent="0.25">
      <c r="A979" s="258" t="s">
        <v>230</v>
      </c>
      <c r="B979" s="230" t="s">
        <v>459</v>
      </c>
      <c r="C979" s="231" t="s">
        <v>230</v>
      </c>
      <c r="D979" s="231" t="s">
        <v>230</v>
      </c>
      <c r="E979" s="232"/>
      <c r="F979" s="232"/>
      <c r="G979" s="233">
        <v>12881.8</v>
      </c>
      <c r="H979" s="243" t="s">
        <v>230</v>
      </c>
    </row>
    <row r="980" spans="1:8" x14ac:dyDescent="0.25">
      <c r="A980" s="47" t="s">
        <v>230</v>
      </c>
      <c r="B980" s="213" t="s">
        <v>230</v>
      </c>
      <c r="C980" t="s">
        <v>230</v>
      </c>
      <c r="D980" t="s">
        <v>230</v>
      </c>
      <c r="E980" s="228"/>
      <c r="F980" s="228"/>
      <c r="G980" s="229"/>
      <c r="H980" s="46" t="s">
        <v>230</v>
      </c>
    </row>
    <row r="981" spans="1:8" x14ac:dyDescent="0.25">
      <c r="A981" s="257" t="s">
        <v>230</v>
      </c>
      <c r="B981" s="224" t="s">
        <v>598</v>
      </c>
      <c r="C981" s="48" t="s">
        <v>230</v>
      </c>
      <c r="D981" s="48" t="s">
        <v>230</v>
      </c>
      <c r="E981" s="226"/>
      <c r="F981" s="226"/>
      <c r="G981" s="227"/>
      <c r="H981" s="225" t="s">
        <v>230</v>
      </c>
    </row>
    <row r="982" spans="1:8" x14ac:dyDescent="0.25">
      <c r="A982" s="47">
        <v>40647</v>
      </c>
      <c r="B982" s="213" t="s">
        <v>460</v>
      </c>
      <c r="C982" t="s">
        <v>461</v>
      </c>
      <c r="D982" t="s">
        <v>33</v>
      </c>
      <c r="E982" s="228">
        <v>1</v>
      </c>
      <c r="F982" s="228">
        <v>4246.75</v>
      </c>
      <c r="G982" s="229">
        <v>4246.75</v>
      </c>
      <c r="H982" s="46">
        <v>904</v>
      </c>
    </row>
    <row r="983" spans="1:8" x14ac:dyDescent="0.25">
      <c r="A983" s="47">
        <v>40663</v>
      </c>
      <c r="B983" s="213" t="s">
        <v>462</v>
      </c>
      <c r="C983" t="s">
        <v>463</v>
      </c>
      <c r="D983" t="s">
        <v>33</v>
      </c>
      <c r="E983" s="228">
        <v>1</v>
      </c>
      <c r="F983" s="228">
        <v>151.41</v>
      </c>
      <c r="G983" s="229">
        <v>151.41</v>
      </c>
      <c r="H983" s="46">
        <v>904</v>
      </c>
    </row>
    <row r="984" spans="1:8" ht="30" x14ac:dyDescent="0.25">
      <c r="A984" s="47">
        <v>40663</v>
      </c>
      <c r="B984" s="213" t="s">
        <v>464</v>
      </c>
      <c r="C984" t="s">
        <v>463</v>
      </c>
      <c r="D984" t="s">
        <v>33</v>
      </c>
      <c r="E984" s="228">
        <v>1</v>
      </c>
      <c r="F984" s="228">
        <v>54.38</v>
      </c>
      <c r="G984" s="229">
        <v>54.38</v>
      </c>
      <c r="H984" s="46">
        <v>904</v>
      </c>
    </row>
    <row r="985" spans="1:8" x14ac:dyDescent="0.25">
      <c r="A985" s="47">
        <v>40663</v>
      </c>
      <c r="B985" s="213" t="s">
        <v>465</v>
      </c>
      <c r="C985" t="s">
        <v>463</v>
      </c>
      <c r="D985" t="s">
        <v>33</v>
      </c>
      <c r="E985" s="228">
        <v>1</v>
      </c>
      <c r="F985" s="228">
        <v>283.5</v>
      </c>
      <c r="G985" s="229">
        <v>283.5</v>
      </c>
      <c r="H985" s="46">
        <v>904</v>
      </c>
    </row>
    <row r="986" spans="1:8" x14ac:dyDescent="0.25">
      <c r="A986" s="47">
        <v>40724</v>
      </c>
      <c r="B986" s="213" t="s">
        <v>466</v>
      </c>
      <c r="C986" t="s">
        <v>463</v>
      </c>
      <c r="D986" t="s">
        <v>33</v>
      </c>
      <c r="E986" s="228">
        <v>1</v>
      </c>
      <c r="F986" s="228">
        <v>281.19</v>
      </c>
      <c r="G986" s="229">
        <v>281.19</v>
      </c>
      <c r="H986" s="46">
        <v>904</v>
      </c>
    </row>
    <row r="987" spans="1:8" x14ac:dyDescent="0.25">
      <c r="A987" s="47">
        <v>40724</v>
      </c>
      <c r="B987" s="213" t="s">
        <v>467</v>
      </c>
      <c r="C987" t="s">
        <v>463</v>
      </c>
      <c r="D987" t="s">
        <v>33</v>
      </c>
      <c r="E987" s="228">
        <v>1</v>
      </c>
      <c r="F987" s="228">
        <v>112.5</v>
      </c>
      <c r="G987" s="229">
        <v>112.5</v>
      </c>
      <c r="H987" s="46">
        <v>904</v>
      </c>
    </row>
    <row r="988" spans="1:8" x14ac:dyDescent="0.25">
      <c r="A988" s="47">
        <v>40737</v>
      </c>
      <c r="B988" s="213" t="s">
        <v>468</v>
      </c>
      <c r="C988" t="s">
        <v>463</v>
      </c>
      <c r="D988" t="s">
        <v>33</v>
      </c>
      <c r="E988" s="228">
        <v>1</v>
      </c>
      <c r="F988" s="228">
        <v>141.75</v>
      </c>
      <c r="G988" s="229">
        <v>141.75</v>
      </c>
      <c r="H988" s="46">
        <v>904</v>
      </c>
    </row>
    <row r="989" spans="1:8" x14ac:dyDescent="0.25">
      <c r="A989" s="47">
        <v>40737</v>
      </c>
      <c r="B989" s="213" t="s">
        <v>469</v>
      </c>
      <c r="C989" t="s">
        <v>463</v>
      </c>
      <c r="D989" t="s">
        <v>33</v>
      </c>
      <c r="E989" s="228">
        <v>1</v>
      </c>
      <c r="F989" s="228">
        <v>54.08</v>
      </c>
      <c r="G989" s="229">
        <v>54.08</v>
      </c>
      <c r="H989" s="46">
        <v>904</v>
      </c>
    </row>
    <row r="990" spans="1:8" x14ac:dyDescent="0.25">
      <c r="A990" s="47">
        <v>40742</v>
      </c>
      <c r="B990" s="213" t="s">
        <v>470</v>
      </c>
      <c r="C990" t="s">
        <v>463</v>
      </c>
      <c r="D990" t="s">
        <v>33</v>
      </c>
      <c r="E990" s="228">
        <v>1</v>
      </c>
      <c r="F990" s="228">
        <v>26.26</v>
      </c>
      <c r="G990" s="229">
        <v>26.26</v>
      </c>
      <c r="H990" s="46">
        <v>904</v>
      </c>
    </row>
    <row r="991" spans="1:8" x14ac:dyDescent="0.25">
      <c r="A991" s="47">
        <v>40755</v>
      </c>
      <c r="B991" s="213" t="s">
        <v>471</v>
      </c>
      <c r="C991" t="s">
        <v>463</v>
      </c>
      <c r="D991" t="s">
        <v>33</v>
      </c>
      <c r="E991" s="228">
        <v>1</v>
      </c>
      <c r="F991" s="228">
        <v>159.38</v>
      </c>
      <c r="G991" s="229">
        <v>159.38</v>
      </c>
      <c r="H991" s="46">
        <v>904</v>
      </c>
    </row>
    <row r="992" spans="1:8" x14ac:dyDescent="0.25">
      <c r="A992" s="47">
        <v>40755</v>
      </c>
      <c r="B992" s="213" t="s">
        <v>472</v>
      </c>
      <c r="C992" t="s">
        <v>463</v>
      </c>
      <c r="D992" t="s">
        <v>33</v>
      </c>
      <c r="E992" s="228">
        <v>1</v>
      </c>
      <c r="F992" s="228">
        <v>1470</v>
      </c>
      <c r="G992" s="229">
        <v>1470</v>
      </c>
      <c r="H992" s="46">
        <v>904</v>
      </c>
    </row>
    <row r="993" spans="1:8" x14ac:dyDescent="0.25">
      <c r="A993" s="258" t="s">
        <v>230</v>
      </c>
      <c r="B993" s="230" t="s">
        <v>473</v>
      </c>
      <c r="C993" s="231" t="s">
        <v>230</v>
      </c>
      <c r="D993" s="231" t="s">
        <v>230</v>
      </c>
      <c r="E993" s="232"/>
      <c r="F993" s="232"/>
      <c r="G993" s="233">
        <v>6981.2</v>
      </c>
      <c r="H993" s="243" t="s">
        <v>230</v>
      </c>
    </row>
    <row r="994" spans="1:8" x14ac:dyDescent="0.25">
      <c r="A994" s="47" t="s">
        <v>230</v>
      </c>
      <c r="B994" s="213" t="s">
        <v>230</v>
      </c>
      <c r="C994" t="s">
        <v>230</v>
      </c>
      <c r="D994" t="s">
        <v>230</v>
      </c>
      <c r="E994" s="228"/>
      <c r="F994" s="228"/>
      <c r="G994" s="229"/>
      <c r="H994" s="46" t="s">
        <v>230</v>
      </c>
    </row>
    <row r="995" spans="1:8" x14ac:dyDescent="0.25">
      <c r="A995" s="257" t="s">
        <v>230</v>
      </c>
      <c r="B995" s="224" t="s">
        <v>599</v>
      </c>
      <c r="C995" s="48" t="s">
        <v>230</v>
      </c>
      <c r="D995" s="48" t="s">
        <v>230</v>
      </c>
      <c r="E995" s="226"/>
      <c r="F995" s="226"/>
      <c r="G995" s="227"/>
      <c r="H995" s="225" t="s">
        <v>230</v>
      </c>
    </row>
    <row r="996" spans="1:8" x14ac:dyDescent="0.25">
      <c r="A996" s="47">
        <v>40644</v>
      </c>
      <c r="B996" s="213" t="s">
        <v>474</v>
      </c>
      <c r="C996" t="s">
        <v>475</v>
      </c>
      <c r="D996" t="s">
        <v>399</v>
      </c>
      <c r="E996" s="228">
        <v>1</v>
      </c>
      <c r="F996" s="228">
        <v>25.45</v>
      </c>
      <c r="G996" s="229">
        <v>25.45</v>
      </c>
      <c r="H996" s="46">
        <v>905</v>
      </c>
    </row>
    <row r="997" spans="1:8" x14ac:dyDescent="0.25">
      <c r="A997" s="47">
        <v>40648</v>
      </c>
      <c r="B997" s="213" t="s">
        <v>476</v>
      </c>
      <c r="C997" t="s">
        <v>475</v>
      </c>
      <c r="D997" t="s">
        <v>399</v>
      </c>
      <c r="E997" s="228">
        <v>1</v>
      </c>
      <c r="F997" s="228">
        <v>42.95</v>
      </c>
      <c r="G997" s="229">
        <v>42.95</v>
      </c>
      <c r="H997" s="46">
        <v>905</v>
      </c>
    </row>
    <row r="998" spans="1:8" x14ac:dyDescent="0.25">
      <c r="A998" s="47">
        <v>40681</v>
      </c>
      <c r="B998" s="213" t="s">
        <v>477</v>
      </c>
      <c r="C998" t="s">
        <v>475</v>
      </c>
      <c r="D998" t="s">
        <v>399</v>
      </c>
      <c r="E998" s="228">
        <v>1</v>
      </c>
      <c r="F998" s="228">
        <v>53.59</v>
      </c>
      <c r="G998" s="229">
        <v>53.59</v>
      </c>
      <c r="H998" s="46">
        <v>905</v>
      </c>
    </row>
    <row r="999" spans="1:8" x14ac:dyDescent="0.25">
      <c r="A999" s="47">
        <v>40694</v>
      </c>
      <c r="B999" s="213" t="s">
        <v>478</v>
      </c>
      <c r="C999" t="s">
        <v>475</v>
      </c>
      <c r="D999" t="s">
        <v>399</v>
      </c>
      <c r="E999" s="228">
        <v>1</v>
      </c>
      <c r="F999" s="228">
        <v>227.83</v>
      </c>
      <c r="G999" s="229">
        <v>227.83</v>
      </c>
      <c r="H999" s="46">
        <v>905</v>
      </c>
    </row>
    <row r="1000" spans="1:8" x14ac:dyDescent="0.25">
      <c r="A1000" s="47">
        <v>40695</v>
      </c>
      <c r="B1000" s="213" t="s">
        <v>479</v>
      </c>
      <c r="C1000" t="s">
        <v>475</v>
      </c>
      <c r="D1000" t="s">
        <v>399</v>
      </c>
      <c r="E1000" s="228">
        <v>1</v>
      </c>
      <c r="F1000" s="228">
        <v>112.73</v>
      </c>
      <c r="G1000" s="229">
        <v>112.73</v>
      </c>
      <c r="H1000" s="46">
        <v>905</v>
      </c>
    </row>
    <row r="1001" spans="1:8" x14ac:dyDescent="0.25">
      <c r="A1001" s="47">
        <v>40696</v>
      </c>
      <c r="B1001" s="213" t="s">
        <v>480</v>
      </c>
      <c r="C1001" t="s">
        <v>475</v>
      </c>
      <c r="D1001" t="s">
        <v>399</v>
      </c>
      <c r="E1001" s="228">
        <v>1</v>
      </c>
      <c r="F1001" s="228">
        <v>18.04</v>
      </c>
      <c r="G1001" s="229">
        <v>18.04</v>
      </c>
      <c r="H1001" s="46">
        <v>905</v>
      </c>
    </row>
    <row r="1002" spans="1:8" x14ac:dyDescent="0.25">
      <c r="A1002" s="47">
        <v>40702</v>
      </c>
      <c r="B1002" s="213" t="s">
        <v>481</v>
      </c>
      <c r="C1002" t="s">
        <v>475</v>
      </c>
      <c r="D1002" t="s">
        <v>399</v>
      </c>
      <c r="E1002" s="228">
        <v>1</v>
      </c>
      <c r="F1002" s="228">
        <v>134.31</v>
      </c>
      <c r="G1002" s="229">
        <v>134.31</v>
      </c>
      <c r="H1002" s="46">
        <v>905</v>
      </c>
    </row>
    <row r="1003" spans="1:8" x14ac:dyDescent="0.25">
      <c r="A1003" s="258" t="s">
        <v>230</v>
      </c>
      <c r="B1003" s="230" t="s">
        <v>482</v>
      </c>
      <c r="C1003" s="231" t="s">
        <v>230</v>
      </c>
      <c r="D1003" s="231" t="s">
        <v>230</v>
      </c>
      <c r="E1003" s="232"/>
      <c r="F1003" s="232"/>
      <c r="G1003" s="233">
        <v>614.9</v>
      </c>
      <c r="H1003" s="243" t="s">
        <v>230</v>
      </c>
    </row>
    <row r="1004" spans="1:8" x14ac:dyDescent="0.25">
      <c r="A1004" s="47" t="s">
        <v>230</v>
      </c>
      <c r="B1004" s="213" t="s">
        <v>230</v>
      </c>
      <c r="C1004" t="s">
        <v>230</v>
      </c>
      <c r="D1004" t="s">
        <v>230</v>
      </c>
      <c r="E1004" s="228"/>
      <c r="F1004" s="228"/>
      <c r="G1004" s="229"/>
      <c r="H1004" s="46" t="s">
        <v>230</v>
      </c>
    </row>
    <row r="1005" spans="1:8" x14ac:dyDescent="0.25">
      <c r="A1005" s="257" t="s">
        <v>230</v>
      </c>
      <c r="B1005" s="224" t="s">
        <v>600</v>
      </c>
      <c r="C1005" s="48" t="s">
        <v>230</v>
      </c>
      <c r="D1005" s="48" t="s">
        <v>230</v>
      </c>
      <c r="E1005" s="226"/>
      <c r="F1005" s="226"/>
      <c r="G1005" s="227"/>
      <c r="H1005" s="225" t="s">
        <v>230</v>
      </c>
    </row>
    <row r="1006" spans="1:8" x14ac:dyDescent="0.25">
      <c r="A1006" s="47">
        <v>40644</v>
      </c>
      <c r="B1006" s="213" t="s">
        <v>483</v>
      </c>
      <c r="C1006" t="s">
        <v>417</v>
      </c>
      <c r="D1006" t="s">
        <v>399</v>
      </c>
      <c r="E1006" s="228">
        <v>1</v>
      </c>
      <c r="F1006" s="228">
        <v>106.83</v>
      </c>
      <c r="G1006" s="229">
        <v>106.83</v>
      </c>
      <c r="H1006" s="46">
        <v>907</v>
      </c>
    </row>
    <row r="1007" spans="1:8" x14ac:dyDescent="0.25">
      <c r="A1007" s="47">
        <v>40644</v>
      </c>
      <c r="B1007" s="213" t="s">
        <v>344</v>
      </c>
      <c r="C1007" t="s">
        <v>345</v>
      </c>
      <c r="D1007" t="s">
        <v>19</v>
      </c>
      <c r="E1007" s="228">
        <v>4</v>
      </c>
      <c r="F1007" s="228">
        <v>165</v>
      </c>
      <c r="G1007" s="229">
        <v>660</v>
      </c>
      <c r="H1007" s="46">
        <v>907</v>
      </c>
    </row>
    <row r="1008" spans="1:8" x14ac:dyDescent="0.25">
      <c r="A1008" s="47">
        <v>40645</v>
      </c>
      <c r="B1008" s="213" t="s">
        <v>344</v>
      </c>
      <c r="C1008" t="s">
        <v>345</v>
      </c>
      <c r="D1008" t="s">
        <v>19</v>
      </c>
      <c r="E1008" s="228">
        <v>8</v>
      </c>
      <c r="F1008" s="228">
        <v>165</v>
      </c>
      <c r="G1008" s="229">
        <v>1320</v>
      </c>
      <c r="H1008" s="46">
        <v>907</v>
      </c>
    </row>
    <row r="1009" spans="1:8" x14ac:dyDescent="0.25">
      <c r="A1009" s="47">
        <v>40645</v>
      </c>
      <c r="B1009" s="213" t="s">
        <v>484</v>
      </c>
      <c r="C1009" t="s">
        <v>485</v>
      </c>
      <c r="D1009" t="s">
        <v>399</v>
      </c>
      <c r="E1009" s="228">
        <v>1</v>
      </c>
      <c r="F1009" s="228">
        <v>2400</v>
      </c>
      <c r="G1009" s="229">
        <v>2400</v>
      </c>
      <c r="H1009" s="46">
        <v>907</v>
      </c>
    </row>
    <row r="1010" spans="1:8" x14ac:dyDescent="0.25">
      <c r="A1010" s="47">
        <v>40646</v>
      </c>
      <c r="B1010" s="213" t="s">
        <v>486</v>
      </c>
      <c r="C1010" t="s">
        <v>345</v>
      </c>
      <c r="D1010" t="s">
        <v>399</v>
      </c>
      <c r="E1010" s="228">
        <v>1</v>
      </c>
      <c r="F1010" s="228">
        <v>700</v>
      </c>
      <c r="G1010" s="229">
        <v>700</v>
      </c>
      <c r="H1010" s="46">
        <v>907</v>
      </c>
    </row>
    <row r="1011" spans="1:8" x14ac:dyDescent="0.25">
      <c r="A1011" s="47">
        <v>40651</v>
      </c>
      <c r="B1011" s="213" t="s">
        <v>487</v>
      </c>
      <c r="C1011" t="s">
        <v>417</v>
      </c>
      <c r="D1011" t="s">
        <v>399</v>
      </c>
      <c r="E1011" s="228">
        <v>1</v>
      </c>
      <c r="F1011" s="228">
        <v>125.79</v>
      </c>
      <c r="G1011" s="229">
        <v>125.79</v>
      </c>
      <c r="H1011" s="46">
        <v>907</v>
      </c>
    </row>
    <row r="1012" spans="1:8" ht="30" x14ac:dyDescent="0.25">
      <c r="A1012" s="47">
        <v>40652</v>
      </c>
      <c r="B1012" s="213" t="s">
        <v>488</v>
      </c>
      <c r="C1012" t="s">
        <v>475</v>
      </c>
      <c r="D1012" t="s">
        <v>399</v>
      </c>
      <c r="E1012" s="228">
        <v>1</v>
      </c>
      <c r="F1012" s="228">
        <v>152.38</v>
      </c>
      <c r="G1012" s="229">
        <v>152.38</v>
      </c>
      <c r="H1012" s="46">
        <v>907</v>
      </c>
    </row>
    <row r="1013" spans="1:8" x14ac:dyDescent="0.25">
      <c r="A1013" s="47">
        <v>40653</v>
      </c>
      <c r="B1013" s="213" t="s">
        <v>489</v>
      </c>
      <c r="C1013" t="s">
        <v>475</v>
      </c>
      <c r="D1013" t="s">
        <v>399</v>
      </c>
      <c r="E1013" s="228">
        <v>1</v>
      </c>
      <c r="F1013" s="228">
        <v>25.92</v>
      </c>
      <c r="G1013" s="229">
        <v>25.92</v>
      </c>
      <c r="H1013" s="46">
        <v>907</v>
      </c>
    </row>
    <row r="1014" spans="1:8" x14ac:dyDescent="0.25">
      <c r="A1014" s="47">
        <v>40653</v>
      </c>
      <c r="B1014" s="213" t="s">
        <v>490</v>
      </c>
      <c r="C1014" t="s">
        <v>475</v>
      </c>
      <c r="D1014" t="s">
        <v>399</v>
      </c>
      <c r="E1014" s="228">
        <v>1</v>
      </c>
      <c r="F1014" s="228">
        <v>176.43</v>
      </c>
      <c r="G1014" s="229">
        <v>176.43</v>
      </c>
      <c r="H1014" s="46">
        <v>907</v>
      </c>
    </row>
    <row r="1015" spans="1:8" x14ac:dyDescent="0.25">
      <c r="A1015" s="47">
        <v>40660</v>
      </c>
      <c r="B1015" s="213" t="s">
        <v>491</v>
      </c>
      <c r="C1015" t="s">
        <v>475</v>
      </c>
      <c r="D1015" t="s">
        <v>399</v>
      </c>
      <c r="E1015" s="228">
        <v>1</v>
      </c>
      <c r="F1015" s="228">
        <v>149.66999999999999</v>
      </c>
      <c r="G1015" s="229">
        <v>149.66999999999999</v>
      </c>
      <c r="H1015" s="46">
        <v>907</v>
      </c>
    </row>
    <row r="1016" spans="1:8" x14ac:dyDescent="0.25">
      <c r="A1016" s="47">
        <v>40660</v>
      </c>
      <c r="B1016" s="213" t="s">
        <v>357</v>
      </c>
      <c r="C1016" t="s">
        <v>358</v>
      </c>
      <c r="D1016" t="s">
        <v>19</v>
      </c>
      <c r="E1016" s="228">
        <v>2.5</v>
      </c>
      <c r="F1016" s="228">
        <v>42.79</v>
      </c>
      <c r="G1016" s="229">
        <v>106.97499999999999</v>
      </c>
      <c r="H1016" s="46">
        <v>907</v>
      </c>
    </row>
    <row r="1017" spans="1:8" x14ac:dyDescent="0.25">
      <c r="A1017" s="47">
        <v>40660</v>
      </c>
      <c r="B1017" s="213" t="s">
        <v>359</v>
      </c>
      <c r="C1017" t="s">
        <v>537</v>
      </c>
      <c r="D1017" t="s">
        <v>19</v>
      </c>
      <c r="E1017" s="228">
        <v>2.5</v>
      </c>
      <c r="F1017" s="228">
        <v>39.18</v>
      </c>
      <c r="G1017" s="229">
        <v>97.95</v>
      </c>
      <c r="H1017" s="46">
        <v>907</v>
      </c>
    </row>
    <row r="1018" spans="1:8" x14ac:dyDescent="0.25">
      <c r="A1018" s="47">
        <v>40661</v>
      </c>
      <c r="B1018" s="213" t="s">
        <v>492</v>
      </c>
      <c r="C1018" t="s">
        <v>475</v>
      </c>
      <c r="D1018" t="s">
        <v>399</v>
      </c>
      <c r="E1018" s="228">
        <v>1</v>
      </c>
      <c r="F1018" s="228">
        <v>68.709999999999994</v>
      </c>
      <c r="G1018" s="229">
        <v>68.709999999999994</v>
      </c>
      <c r="H1018" s="46">
        <v>907</v>
      </c>
    </row>
    <row r="1019" spans="1:8" x14ac:dyDescent="0.25">
      <c r="A1019" s="47">
        <v>40661</v>
      </c>
      <c r="B1019" s="213" t="s">
        <v>347</v>
      </c>
      <c r="C1019" t="s">
        <v>348</v>
      </c>
      <c r="D1019" t="s">
        <v>19</v>
      </c>
      <c r="E1019" s="228">
        <v>4</v>
      </c>
      <c r="F1019" s="228">
        <v>65</v>
      </c>
      <c r="G1019" s="229">
        <v>260</v>
      </c>
      <c r="H1019" s="46">
        <v>907</v>
      </c>
    </row>
    <row r="1020" spans="1:8" x14ac:dyDescent="0.25">
      <c r="A1020" s="47">
        <v>40663</v>
      </c>
      <c r="B1020" s="213" t="s">
        <v>493</v>
      </c>
      <c r="C1020" t="s">
        <v>485</v>
      </c>
      <c r="D1020" t="s">
        <v>399</v>
      </c>
      <c r="E1020" s="228">
        <v>1</v>
      </c>
      <c r="F1020" s="228">
        <v>980</v>
      </c>
      <c r="G1020" s="229">
        <v>980</v>
      </c>
      <c r="H1020" s="46">
        <v>907</v>
      </c>
    </row>
    <row r="1021" spans="1:8" x14ac:dyDescent="0.25">
      <c r="A1021" s="47">
        <v>40663</v>
      </c>
      <c r="B1021" s="213" t="s">
        <v>494</v>
      </c>
      <c r="C1021" t="s">
        <v>485</v>
      </c>
      <c r="D1021" t="s">
        <v>14</v>
      </c>
      <c r="E1021" s="228">
        <v>1</v>
      </c>
      <c r="F1021" s="228">
        <v>1000</v>
      </c>
      <c r="G1021" s="229">
        <v>1000</v>
      </c>
      <c r="H1021" s="46">
        <v>907</v>
      </c>
    </row>
    <row r="1022" spans="1:8" x14ac:dyDescent="0.25">
      <c r="A1022" s="47">
        <v>40665</v>
      </c>
      <c r="B1022" s="213" t="s">
        <v>495</v>
      </c>
      <c r="C1022" t="s">
        <v>485</v>
      </c>
      <c r="D1022" t="s">
        <v>399</v>
      </c>
      <c r="E1022" s="228">
        <v>1</v>
      </c>
      <c r="F1022" s="228">
        <v>460</v>
      </c>
      <c r="G1022" s="229">
        <v>460</v>
      </c>
      <c r="H1022" s="46">
        <v>907</v>
      </c>
    </row>
    <row r="1023" spans="1:8" x14ac:dyDescent="0.25">
      <c r="A1023" s="47">
        <v>40675</v>
      </c>
      <c r="B1023" s="213" t="s">
        <v>496</v>
      </c>
      <c r="C1023" t="s">
        <v>497</v>
      </c>
      <c r="D1023" t="s">
        <v>399</v>
      </c>
      <c r="E1023" s="228">
        <v>1</v>
      </c>
      <c r="F1023" s="228">
        <v>13995</v>
      </c>
      <c r="G1023" s="229">
        <v>13995</v>
      </c>
      <c r="H1023" s="46">
        <v>907</v>
      </c>
    </row>
    <row r="1024" spans="1:8" x14ac:dyDescent="0.25">
      <c r="A1024" s="47">
        <v>40679</v>
      </c>
      <c r="B1024" s="213" t="s">
        <v>498</v>
      </c>
      <c r="C1024" t="s">
        <v>417</v>
      </c>
      <c r="D1024" t="s">
        <v>399</v>
      </c>
      <c r="E1024" s="228">
        <v>1</v>
      </c>
      <c r="F1024" s="228">
        <v>39.299999999999997</v>
      </c>
      <c r="G1024" s="229">
        <v>39.299999999999997</v>
      </c>
      <c r="H1024" s="46">
        <v>907</v>
      </c>
    </row>
    <row r="1025" spans="1:8" x14ac:dyDescent="0.25">
      <c r="A1025" s="47">
        <v>40682</v>
      </c>
      <c r="B1025" s="213" t="s">
        <v>499</v>
      </c>
      <c r="C1025" t="s">
        <v>417</v>
      </c>
      <c r="D1025" t="s">
        <v>399</v>
      </c>
      <c r="E1025" s="228">
        <v>1</v>
      </c>
      <c r="F1025" s="228">
        <v>58.42</v>
      </c>
      <c r="G1025" s="229">
        <v>58.42</v>
      </c>
      <c r="H1025" s="46">
        <v>907</v>
      </c>
    </row>
    <row r="1026" spans="1:8" x14ac:dyDescent="0.25">
      <c r="A1026" s="47">
        <v>40687</v>
      </c>
      <c r="B1026" s="213" t="s">
        <v>500</v>
      </c>
      <c r="C1026" t="s">
        <v>485</v>
      </c>
      <c r="D1026" t="s">
        <v>399</v>
      </c>
      <c r="E1026" s="228">
        <v>1</v>
      </c>
      <c r="F1026" s="228">
        <v>500</v>
      </c>
      <c r="G1026" s="229">
        <v>500</v>
      </c>
      <c r="H1026" s="46">
        <v>907</v>
      </c>
    </row>
    <row r="1027" spans="1:8" x14ac:dyDescent="0.25">
      <c r="A1027" s="47">
        <v>40695</v>
      </c>
      <c r="B1027" s="213" t="s">
        <v>501</v>
      </c>
      <c r="C1027" t="s">
        <v>417</v>
      </c>
      <c r="D1027" t="s">
        <v>399</v>
      </c>
      <c r="E1027" s="228">
        <v>1</v>
      </c>
      <c r="F1027" s="228">
        <v>55.58</v>
      </c>
      <c r="G1027" s="229">
        <v>55.58</v>
      </c>
      <c r="H1027" s="46">
        <v>907</v>
      </c>
    </row>
    <row r="1028" spans="1:8" x14ac:dyDescent="0.25">
      <c r="A1028" s="47">
        <v>40702</v>
      </c>
      <c r="B1028" s="213" t="s">
        <v>357</v>
      </c>
      <c r="C1028" t="s">
        <v>358</v>
      </c>
      <c r="D1028" t="s">
        <v>19</v>
      </c>
      <c r="E1028" s="228">
        <v>18.5</v>
      </c>
      <c r="F1028" s="228">
        <v>42.79</v>
      </c>
      <c r="G1028" s="229">
        <v>791.61500000000001</v>
      </c>
      <c r="H1028" s="46">
        <v>907</v>
      </c>
    </row>
    <row r="1029" spans="1:8" x14ac:dyDescent="0.25">
      <c r="A1029" s="47">
        <v>40702</v>
      </c>
      <c r="B1029" s="213" t="s">
        <v>230</v>
      </c>
      <c r="C1029" t="s">
        <v>502</v>
      </c>
      <c r="D1029" t="s">
        <v>19</v>
      </c>
      <c r="E1029" s="228">
        <v>18.5</v>
      </c>
      <c r="F1029" s="228">
        <v>7</v>
      </c>
      <c r="G1029" s="229">
        <v>129.5</v>
      </c>
      <c r="H1029" s="46">
        <v>907</v>
      </c>
    </row>
    <row r="1030" spans="1:8" x14ac:dyDescent="0.25">
      <c r="A1030" s="47">
        <v>40702</v>
      </c>
      <c r="B1030" s="213" t="s">
        <v>359</v>
      </c>
      <c r="C1030" t="s">
        <v>537</v>
      </c>
      <c r="D1030" t="s">
        <v>19</v>
      </c>
      <c r="E1030" s="228">
        <v>18.5</v>
      </c>
      <c r="F1030" s="228">
        <v>39.18</v>
      </c>
      <c r="G1030" s="229">
        <v>724.83</v>
      </c>
      <c r="H1030" s="46">
        <v>907</v>
      </c>
    </row>
    <row r="1031" spans="1:8" x14ac:dyDescent="0.25">
      <c r="A1031" s="47">
        <v>40711</v>
      </c>
      <c r="B1031" s="213" t="s">
        <v>503</v>
      </c>
      <c r="C1031" t="s">
        <v>417</v>
      </c>
      <c r="D1031" t="s">
        <v>399</v>
      </c>
      <c r="E1031" s="228">
        <v>1</v>
      </c>
      <c r="F1031" s="228">
        <v>93.59</v>
      </c>
      <c r="G1031" s="229">
        <v>93.59</v>
      </c>
      <c r="H1031" s="46">
        <v>907</v>
      </c>
    </row>
    <row r="1032" spans="1:8" x14ac:dyDescent="0.25">
      <c r="A1032" s="47">
        <v>40731</v>
      </c>
      <c r="B1032" s="213" t="s">
        <v>504</v>
      </c>
      <c r="C1032" t="s">
        <v>485</v>
      </c>
      <c r="D1032" t="s">
        <v>399</v>
      </c>
      <c r="E1032" s="228">
        <v>1</v>
      </c>
      <c r="F1032" s="228">
        <v>1800</v>
      </c>
      <c r="G1032" s="229">
        <v>1800</v>
      </c>
      <c r="H1032" s="46">
        <v>907</v>
      </c>
    </row>
    <row r="1033" spans="1:8" ht="30" x14ac:dyDescent="0.25">
      <c r="A1033" s="47">
        <v>40732</v>
      </c>
      <c r="B1033" s="213" t="s">
        <v>505</v>
      </c>
      <c r="C1033" t="s">
        <v>485</v>
      </c>
      <c r="D1033" t="s">
        <v>399</v>
      </c>
      <c r="E1033" s="228">
        <v>1</v>
      </c>
      <c r="F1033" s="228">
        <v>681.82</v>
      </c>
      <c r="G1033" s="229">
        <v>681.82</v>
      </c>
      <c r="H1033" s="46">
        <v>907</v>
      </c>
    </row>
    <row r="1034" spans="1:8" x14ac:dyDescent="0.25">
      <c r="A1034" s="258" t="s">
        <v>230</v>
      </c>
      <c r="B1034" s="230" t="s">
        <v>506</v>
      </c>
      <c r="C1034" s="231" t="s">
        <v>230</v>
      </c>
      <c r="D1034" s="231" t="s">
        <v>230</v>
      </c>
      <c r="E1034" s="232"/>
      <c r="F1034" s="232"/>
      <c r="G1034" s="233">
        <v>27660.31</v>
      </c>
      <c r="H1034" s="243" t="s">
        <v>230</v>
      </c>
    </row>
    <row r="1035" spans="1:8" x14ac:dyDescent="0.25">
      <c r="A1035" s="47" t="s">
        <v>230</v>
      </c>
      <c r="B1035" s="213" t="s">
        <v>230</v>
      </c>
      <c r="C1035" t="s">
        <v>230</v>
      </c>
      <c r="D1035" t="s">
        <v>230</v>
      </c>
      <c r="E1035" s="228"/>
      <c r="F1035" s="228"/>
      <c r="G1035" s="229"/>
      <c r="H1035" s="46" t="s">
        <v>230</v>
      </c>
    </row>
    <row r="1036" spans="1:8" x14ac:dyDescent="0.25">
      <c r="A1036" s="257" t="s">
        <v>230</v>
      </c>
      <c r="B1036" s="224" t="s">
        <v>601</v>
      </c>
      <c r="C1036" s="48" t="s">
        <v>230</v>
      </c>
      <c r="D1036" s="48" t="s">
        <v>230</v>
      </c>
      <c r="E1036" s="226"/>
      <c r="F1036" s="226"/>
      <c r="G1036" s="227"/>
      <c r="H1036" s="225" t="s">
        <v>230</v>
      </c>
    </row>
    <row r="1037" spans="1:8" x14ac:dyDescent="0.25">
      <c r="A1037" s="47">
        <v>40732</v>
      </c>
      <c r="B1037" s="213" t="s">
        <v>5</v>
      </c>
      <c r="C1037" t="s">
        <v>536</v>
      </c>
      <c r="D1037" t="s">
        <v>19</v>
      </c>
      <c r="E1037" s="228">
        <v>4</v>
      </c>
      <c r="F1037" s="228">
        <v>32.200000000000003</v>
      </c>
      <c r="G1037" s="229">
        <v>128.80000000000001</v>
      </c>
      <c r="H1037" s="46">
        <v>910</v>
      </c>
    </row>
    <row r="1038" spans="1:8" x14ac:dyDescent="0.25">
      <c r="A1038" s="47">
        <v>40732</v>
      </c>
      <c r="B1038" s="213" t="s">
        <v>5</v>
      </c>
      <c r="C1038" t="s">
        <v>535</v>
      </c>
      <c r="D1038" t="s">
        <v>19</v>
      </c>
      <c r="E1038" s="228">
        <v>4</v>
      </c>
      <c r="F1038" s="228">
        <v>32.200000000000003</v>
      </c>
      <c r="G1038" s="229">
        <v>128.80000000000001</v>
      </c>
      <c r="H1038" s="46">
        <v>910</v>
      </c>
    </row>
    <row r="1039" spans="1:8" x14ac:dyDescent="0.25">
      <c r="A1039" s="47">
        <v>40737</v>
      </c>
      <c r="B1039" s="213" t="s">
        <v>507</v>
      </c>
      <c r="C1039" t="s">
        <v>485</v>
      </c>
      <c r="D1039" t="s">
        <v>399</v>
      </c>
      <c r="E1039" s="228">
        <v>1</v>
      </c>
      <c r="F1039" s="228">
        <v>520</v>
      </c>
      <c r="G1039" s="229">
        <v>520</v>
      </c>
      <c r="H1039" s="46">
        <v>910</v>
      </c>
    </row>
    <row r="1040" spans="1:8" x14ac:dyDescent="0.25">
      <c r="A1040" s="47">
        <v>40742</v>
      </c>
      <c r="B1040" s="213" t="s">
        <v>508</v>
      </c>
      <c r="C1040" t="s">
        <v>485</v>
      </c>
      <c r="D1040" t="s">
        <v>399</v>
      </c>
      <c r="E1040" s="228">
        <v>1</v>
      </c>
      <c r="F1040" s="228">
        <v>980</v>
      </c>
      <c r="G1040" s="229">
        <v>980</v>
      </c>
      <c r="H1040" s="46">
        <v>910</v>
      </c>
    </row>
    <row r="1041" spans="1:8" x14ac:dyDescent="0.25">
      <c r="A1041" s="47">
        <v>40755</v>
      </c>
      <c r="B1041" s="213" t="s">
        <v>509</v>
      </c>
      <c r="C1041" t="s">
        <v>485</v>
      </c>
      <c r="D1041" t="s">
        <v>399</v>
      </c>
      <c r="E1041" s="228">
        <v>1</v>
      </c>
      <c r="F1041" s="228">
        <v>360</v>
      </c>
      <c r="G1041" s="229">
        <v>360</v>
      </c>
      <c r="H1041" s="46">
        <v>910</v>
      </c>
    </row>
    <row r="1042" spans="1:8" x14ac:dyDescent="0.25">
      <c r="A1042" s="258" t="s">
        <v>230</v>
      </c>
      <c r="B1042" s="230" t="s">
        <v>510</v>
      </c>
      <c r="C1042" s="231" t="s">
        <v>230</v>
      </c>
      <c r="D1042" s="231" t="s">
        <v>230</v>
      </c>
      <c r="E1042" s="232"/>
      <c r="F1042" s="232"/>
      <c r="G1042" s="233">
        <v>2117.6</v>
      </c>
      <c r="H1042" s="243" t="s">
        <v>230</v>
      </c>
    </row>
    <row r="1043" spans="1:8" x14ac:dyDescent="0.25">
      <c r="A1043" s="47" t="s">
        <v>230</v>
      </c>
      <c r="B1043" s="213" t="s">
        <v>230</v>
      </c>
      <c r="C1043" t="s">
        <v>230</v>
      </c>
      <c r="D1043" t="s">
        <v>230</v>
      </c>
      <c r="E1043" s="228"/>
      <c r="F1043" s="228"/>
      <c r="G1043" s="229"/>
      <c r="H1043" s="46" t="s">
        <v>230</v>
      </c>
    </row>
    <row r="1044" spans="1:8" x14ac:dyDescent="0.25">
      <c r="A1044" s="257" t="s">
        <v>230</v>
      </c>
      <c r="B1044" s="224" t="s">
        <v>602</v>
      </c>
      <c r="C1044" s="48" t="s">
        <v>230</v>
      </c>
      <c r="D1044" s="48" t="s">
        <v>230</v>
      </c>
      <c r="E1044" s="226"/>
      <c r="F1044" s="226"/>
      <c r="G1044" s="227"/>
      <c r="H1044" s="225" t="s">
        <v>230</v>
      </c>
    </row>
    <row r="1045" spans="1:8" x14ac:dyDescent="0.25">
      <c r="A1045" s="47">
        <v>40651</v>
      </c>
      <c r="B1045" s="213" t="s">
        <v>539</v>
      </c>
      <c r="C1045" t="s">
        <v>511</v>
      </c>
      <c r="D1045" t="s">
        <v>22</v>
      </c>
      <c r="E1045" s="228">
        <v>2</v>
      </c>
      <c r="F1045" s="228">
        <v>220</v>
      </c>
      <c r="G1045" s="229">
        <v>440</v>
      </c>
      <c r="H1045" s="46">
        <v>911</v>
      </c>
    </row>
    <row r="1046" spans="1:8" x14ac:dyDescent="0.25">
      <c r="A1046" s="47">
        <v>40653</v>
      </c>
      <c r="B1046" s="213" t="s">
        <v>512</v>
      </c>
      <c r="C1046" t="s">
        <v>511</v>
      </c>
      <c r="D1046" t="s">
        <v>22</v>
      </c>
      <c r="E1046" s="228">
        <v>2</v>
      </c>
      <c r="F1046" s="228">
        <v>300</v>
      </c>
      <c r="G1046" s="229">
        <v>600</v>
      </c>
      <c r="H1046" s="46">
        <v>911</v>
      </c>
    </row>
    <row r="1047" spans="1:8" x14ac:dyDescent="0.25">
      <c r="A1047" s="47">
        <v>40672</v>
      </c>
      <c r="B1047" s="213" t="s">
        <v>539</v>
      </c>
      <c r="C1047" t="s">
        <v>511</v>
      </c>
      <c r="D1047" t="s">
        <v>22</v>
      </c>
      <c r="E1047" s="228">
        <v>2</v>
      </c>
      <c r="F1047" s="228">
        <v>220</v>
      </c>
      <c r="G1047" s="229">
        <v>440</v>
      </c>
      <c r="H1047" s="46">
        <v>911</v>
      </c>
    </row>
    <row r="1048" spans="1:8" x14ac:dyDescent="0.25">
      <c r="A1048" s="47">
        <v>40672</v>
      </c>
      <c r="B1048" s="213" t="s">
        <v>513</v>
      </c>
      <c r="C1048" t="s">
        <v>511</v>
      </c>
      <c r="D1048" t="s">
        <v>22</v>
      </c>
      <c r="E1048" s="228">
        <v>2</v>
      </c>
      <c r="F1048" s="228">
        <v>300</v>
      </c>
      <c r="G1048" s="229">
        <v>600</v>
      </c>
      <c r="H1048" s="46">
        <v>911</v>
      </c>
    </row>
    <row r="1049" spans="1:8" x14ac:dyDescent="0.25">
      <c r="A1049" s="47">
        <v>40674</v>
      </c>
      <c r="B1049" s="213" t="s">
        <v>514</v>
      </c>
      <c r="C1049" t="s">
        <v>511</v>
      </c>
      <c r="D1049" t="s">
        <v>399</v>
      </c>
      <c r="E1049" s="228">
        <v>1</v>
      </c>
      <c r="F1049" s="228">
        <v>71.239999999999995</v>
      </c>
      <c r="G1049" s="229">
        <v>71.239999999999995</v>
      </c>
      <c r="H1049" s="46">
        <v>911</v>
      </c>
    </row>
    <row r="1050" spans="1:8" x14ac:dyDescent="0.25">
      <c r="A1050" s="47">
        <v>40686</v>
      </c>
      <c r="B1050" s="213" t="s">
        <v>515</v>
      </c>
      <c r="C1050" t="s">
        <v>511</v>
      </c>
      <c r="D1050" t="s">
        <v>22</v>
      </c>
      <c r="E1050" s="228">
        <v>2</v>
      </c>
      <c r="F1050" s="228">
        <v>300</v>
      </c>
      <c r="G1050" s="229">
        <v>600</v>
      </c>
      <c r="H1050" s="46">
        <v>911</v>
      </c>
    </row>
    <row r="1051" spans="1:8" x14ac:dyDescent="0.25">
      <c r="A1051" s="47">
        <v>40686</v>
      </c>
      <c r="B1051" s="213" t="s">
        <v>539</v>
      </c>
      <c r="C1051" t="s">
        <v>511</v>
      </c>
      <c r="D1051" t="s">
        <v>22</v>
      </c>
      <c r="E1051" s="228">
        <v>2</v>
      </c>
      <c r="F1051" s="228">
        <v>220</v>
      </c>
      <c r="G1051" s="229">
        <v>440</v>
      </c>
      <c r="H1051" s="46">
        <v>911</v>
      </c>
    </row>
    <row r="1052" spans="1:8" x14ac:dyDescent="0.25">
      <c r="A1052" s="47">
        <v>40700</v>
      </c>
      <c r="B1052" s="213" t="s">
        <v>512</v>
      </c>
      <c r="C1052" t="s">
        <v>511</v>
      </c>
      <c r="D1052" t="s">
        <v>22</v>
      </c>
      <c r="E1052" s="228">
        <v>2</v>
      </c>
      <c r="F1052" s="228">
        <v>300</v>
      </c>
      <c r="G1052" s="229">
        <v>600</v>
      </c>
      <c r="H1052" s="46">
        <v>911</v>
      </c>
    </row>
    <row r="1053" spans="1:8" x14ac:dyDescent="0.25">
      <c r="A1053" s="47">
        <v>40700</v>
      </c>
      <c r="B1053" s="213" t="s">
        <v>539</v>
      </c>
      <c r="C1053" t="s">
        <v>511</v>
      </c>
      <c r="D1053" t="s">
        <v>22</v>
      </c>
      <c r="E1053" s="228">
        <v>2</v>
      </c>
      <c r="F1053" s="228">
        <v>220</v>
      </c>
      <c r="G1053" s="229">
        <v>440</v>
      </c>
      <c r="H1053" s="46">
        <v>911</v>
      </c>
    </row>
    <row r="1054" spans="1:8" x14ac:dyDescent="0.25">
      <c r="A1054" s="47">
        <v>40730</v>
      </c>
      <c r="B1054" s="213" t="s">
        <v>516</v>
      </c>
      <c r="C1054" t="s">
        <v>511</v>
      </c>
      <c r="D1054" t="s">
        <v>22</v>
      </c>
      <c r="E1054" s="228">
        <v>1</v>
      </c>
      <c r="F1054" s="228">
        <v>128.57</v>
      </c>
      <c r="G1054" s="229">
        <v>128.57</v>
      </c>
      <c r="H1054" s="46">
        <v>911</v>
      </c>
    </row>
    <row r="1055" spans="1:8" x14ac:dyDescent="0.25">
      <c r="A1055" s="47">
        <v>40730</v>
      </c>
      <c r="B1055" s="213" t="s">
        <v>517</v>
      </c>
      <c r="C1055" t="s">
        <v>511</v>
      </c>
      <c r="D1055" t="s">
        <v>22</v>
      </c>
      <c r="E1055" s="228">
        <v>1</v>
      </c>
      <c r="F1055" s="228">
        <v>220</v>
      </c>
      <c r="G1055" s="229">
        <v>220</v>
      </c>
      <c r="H1055" s="46">
        <v>911</v>
      </c>
    </row>
    <row r="1056" spans="1:8" x14ac:dyDescent="0.25">
      <c r="A1056" s="258" t="s">
        <v>230</v>
      </c>
      <c r="B1056" s="230" t="s">
        <v>518</v>
      </c>
      <c r="C1056" s="231" t="s">
        <v>230</v>
      </c>
      <c r="D1056" s="231" t="s">
        <v>230</v>
      </c>
      <c r="E1056" s="232"/>
      <c r="F1056" s="232"/>
      <c r="G1056" s="233">
        <v>4579.8100000000004</v>
      </c>
      <c r="H1056" s="243" t="s">
        <v>230</v>
      </c>
    </row>
    <row r="1057" spans="1:8" x14ac:dyDescent="0.25">
      <c r="A1057" s="47" t="s">
        <v>230</v>
      </c>
      <c r="B1057" s="213" t="s">
        <v>230</v>
      </c>
      <c r="C1057" t="s">
        <v>230</v>
      </c>
      <c r="D1057" t="s">
        <v>230</v>
      </c>
      <c r="E1057" s="228"/>
      <c r="F1057" s="228"/>
      <c r="G1057" s="229"/>
      <c r="H1057" s="46" t="s">
        <v>230</v>
      </c>
    </row>
    <row r="1058" spans="1:8" x14ac:dyDescent="0.25">
      <c r="A1058" s="257" t="s">
        <v>230</v>
      </c>
      <c r="B1058" s="224" t="s">
        <v>603</v>
      </c>
      <c r="C1058" s="48" t="s">
        <v>230</v>
      </c>
      <c r="D1058" s="48" t="s">
        <v>230</v>
      </c>
      <c r="E1058" s="226"/>
      <c r="F1058" s="226"/>
      <c r="G1058" s="227"/>
      <c r="H1058" s="225" t="s">
        <v>230</v>
      </c>
    </row>
    <row r="1059" spans="1:8" x14ac:dyDescent="0.25">
      <c r="A1059" s="47">
        <v>40724</v>
      </c>
      <c r="B1059" s="213" t="s">
        <v>519</v>
      </c>
      <c r="C1059" t="s">
        <v>520</v>
      </c>
      <c r="D1059" t="s">
        <v>107</v>
      </c>
      <c r="E1059" s="228">
        <v>641.44000000000005</v>
      </c>
      <c r="F1059" s="228">
        <v>15.5</v>
      </c>
      <c r="G1059" s="229">
        <v>9942.32</v>
      </c>
      <c r="H1059" s="46" t="s">
        <v>231</v>
      </c>
    </row>
    <row r="1060" spans="1:8" x14ac:dyDescent="0.25">
      <c r="A1060" s="47">
        <v>40724</v>
      </c>
      <c r="B1060" s="213" t="s">
        <v>519</v>
      </c>
      <c r="C1060" t="s">
        <v>521</v>
      </c>
      <c r="D1060" t="s">
        <v>107</v>
      </c>
      <c r="E1060" s="228">
        <v>641.44000000000005</v>
      </c>
      <c r="F1060" s="228">
        <v>7.5</v>
      </c>
      <c r="G1060" s="229">
        <v>4810.8</v>
      </c>
      <c r="H1060" s="46" t="s">
        <v>231</v>
      </c>
    </row>
    <row r="1061" spans="1:8" x14ac:dyDescent="0.25">
      <c r="A1061" s="258" t="s">
        <v>230</v>
      </c>
      <c r="B1061" s="230" t="s">
        <v>522</v>
      </c>
      <c r="C1061" s="231" t="s">
        <v>230</v>
      </c>
      <c r="D1061" s="231" t="s">
        <v>230</v>
      </c>
      <c r="E1061" s="232"/>
      <c r="F1061" s="232"/>
      <c r="G1061" s="233">
        <v>14753.12</v>
      </c>
      <c r="H1061" s="243" t="s">
        <v>230</v>
      </c>
    </row>
    <row r="1062" spans="1:8" x14ac:dyDescent="0.25">
      <c r="A1062" s="47" t="s">
        <v>230</v>
      </c>
      <c r="B1062" s="213" t="s">
        <v>230</v>
      </c>
      <c r="C1062" t="s">
        <v>230</v>
      </c>
      <c r="D1062" t="s">
        <v>230</v>
      </c>
      <c r="E1062" s="228"/>
      <c r="F1062" s="228"/>
      <c r="G1062" s="229"/>
      <c r="H1062" s="46" t="s">
        <v>230</v>
      </c>
    </row>
    <row r="1063" spans="1:8" x14ac:dyDescent="0.25">
      <c r="A1063" s="257" t="s">
        <v>230</v>
      </c>
      <c r="B1063" s="224" t="s">
        <v>604</v>
      </c>
      <c r="C1063" s="48" t="s">
        <v>230</v>
      </c>
      <c r="D1063" s="48" t="s">
        <v>230</v>
      </c>
      <c r="E1063" s="226"/>
      <c r="F1063" s="226"/>
      <c r="G1063" s="227"/>
      <c r="H1063" s="225" t="s">
        <v>230</v>
      </c>
    </row>
    <row r="1064" spans="1:8" x14ac:dyDescent="0.25">
      <c r="A1064" s="47">
        <v>40724</v>
      </c>
      <c r="B1064" s="213" t="s">
        <v>519</v>
      </c>
      <c r="C1064" t="s">
        <v>523</v>
      </c>
      <c r="D1064" t="s">
        <v>107</v>
      </c>
      <c r="E1064" s="228">
        <v>594.05999999999995</v>
      </c>
      <c r="F1064" s="228">
        <v>26</v>
      </c>
      <c r="G1064" s="229">
        <v>15445.56</v>
      </c>
      <c r="H1064" s="46" t="s">
        <v>232</v>
      </c>
    </row>
    <row r="1065" spans="1:8" x14ac:dyDescent="0.25">
      <c r="A1065" s="47">
        <v>40724</v>
      </c>
      <c r="B1065" s="213" t="s">
        <v>519</v>
      </c>
      <c r="C1065" t="s">
        <v>524</v>
      </c>
      <c r="D1065" t="s">
        <v>107</v>
      </c>
      <c r="E1065" s="228">
        <v>4719.58</v>
      </c>
      <c r="F1065" s="228">
        <v>20</v>
      </c>
      <c r="G1065" s="229">
        <v>94391.6</v>
      </c>
      <c r="H1065" s="46" t="s">
        <v>232</v>
      </c>
    </row>
    <row r="1066" spans="1:8" x14ac:dyDescent="0.25">
      <c r="A1066" s="47">
        <v>40724</v>
      </c>
      <c r="B1066" s="213" t="s">
        <v>519</v>
      </c>
      <c r="C1066" t="s">
        <v>521</v>
      </c>
      <c r="D1066" t="s">
        <v>107</v>
      </c>
      <c r="E1066" s="228">
        <v>594.05999999999995</v>
      </c>
      <c r="F1066" s="228">
        <v>7.5</v>
      </c>
      <c r="G1066" s="229">
        <v>4455.45</v>
      </c>
      <c r="H1066" s="46" t="s">
        <v>232</v>
      </c>
    </row>
    <row r="1067" spans="1:8" x14ac:dyDescent="0.25">
      <c r="A1067" s="47">
        <v>40724</v>
      </c>
      <c r="B1067" s="213" t="s">
        <v>519</v>
      </c>
      <c r="C1067" t="s">
        <v>521</v>
      </c>
      <c r="D1067" t="s">
        <v>107</v>
      </c>
      <c r="E1067" s="228">
        <v>62.18</v>
      </c>
      <c r="F1067" s="228">
        <v>7.5</v>
      </c>
      <c r="G1067" s="229">
        <v>466.35</v>
      </c>
      <c r="H1067" s="46" t="s">
        <v>232</v>
      </c>
    </row>
    <row r="1068" spans="1:8" x14ac:dyDescent="0.25">
      <c r="A1068" s="47">
        <v>40724</v>
      </c>
      <c r="B1068" s="213" t="s">
        <v>525</v>
      </c>
      <c r="C1068" t="s">
        <v>521</v>
      </c>
      <c r="D1068" t="s">
        <v>107</v>
      </c>
      <c r="E1068" s="228">
        <v>4719.58</v>
      </c>
      <c r="F1068" s="228">
        <v>7.5</v>
      </c>
      <c r="G1068" s="229">
        <v>35396.85</v>
      </c>
      <c r="H1068" s="46" t="s">
        <v>232</v>
      </c>
    </row>
    <row r="1069" spans="1:8" x14ac:dyDescent="0.25">
      <c r="A1069" s="47">
        <v>40753</v>
      </c>
      <c r="B1069" s="213" t="s">
        <v>526</v>
      </c>
      <c r="C1069" t="s">
        <v>524</v>
      </c>
      <c r="D1069" t="s">
        <v>107</v>
      </c>
      <c r="E1069" s="228">
        <v>1343.06</v>
      </c>
      <c r="F1069" s="228">
        <v>20</v>
      </c>
      <c r="G1069" s="229">
        <v>26861.200000000001</v>
      </c>
      <c r="H1069" s="46" t="s">
        <v>232</v>
      </c>
    </row>
    <row r="1070" spans="1:8" x14ac:dyDescent="0.25">
      <c r="A1070" s="47">
        <v>40753</v>
      </c>
      <c r="B1070" s="213" t="s">
        <v>527</v>
      </c>
      <c r="C1070" t="s">
        <v>521</v>
      </c>
      <c r="D1070" t="s">
        <v>107</v>
      </c>
      <c r="E1070" s="228">
        <v>1343.06</v>
      </c>
      <c r="F1070" s="228">
        <v>7.5</v>
      </c>
      <c r="G1070" s="229">
        <v>10072.950000000001</v>
      </c>
      <c r="H1070" s="46" t="s">
        <v>232</v>
      </c>
    </row>
    <row r="1071" spans="1:8" x14ac:dyDescent="0.25">
      <c r="A1071" s="258" t="s">
        <v>230</v>
      </c>
      <c r="B1071" s="230" t="s">
        <v>528</v>
      </c>
      <c r="C1071" s="231" t="s">
        <v>230</v>
      </c>
      <c r="D1071" s="231" t="s">
        <v>230</v>
      </c>
      <c r="E1071" s="232"/>
      <c r="F1071" s="232"/>
      <c r="G1071" s="233">
        <v>187089.96</v>
      </c>
      <c r="H1071" s="243" t="s">
        <v>230</v>
      </c>
    </row>
    <row r="1072" spans="1:8" x14ac:dyDescent="0.25">
      <c r="A1072" s="47" t="s">
        <v>230</v>
      </c>
      <c r="B1072" s="213" t="s">
        <v>230</v>
      </c>
      <c r="C1072" t="s">
        <v>230</v>
      </c>
      <c r="D1072" t="s">
        <v>230</v>
      </c>
      <c r="E1072" s="228"/>
      <c r="F1072" s="228"/>
      <c r="G1072" s="229"/>
      <c r="H1072" s="46" t="s">
        <v>230</v>
      </c>
    </row>
    <row r="1073" spans="1:8" x14ac:dyDescent="0.25">
      <c r="A1073" s="257" t="s">
        <v>230</v>
      </c>
      <c r="B1073" s="224" t="s">
        <v>605</v>
      </c>
      <c r="C1073" s="48" t="s">
        <v>230</v>
      </c>
      <c r="D1073" s="48" t="s">
        <v>230</v>
      </c>
      <c r="E1073" s="226"/>
      <c r="F1073" s="226"/>
      <c r="G1073" s="227"/>
      <c r="H1073" s="225" t="s">
        <v>230</v>
      </c>
    </row>
    <row r="1074" spans="1:8" x14ac:dyDescent="0.25">
      <c r="A1074" s="47">
        <v>40724</v>
      </c>
      <c r="B1074" s="213" t="s">
        <v>519</v>
      </c>
      <c r="C1074" t="s">
        <v>529</v>
      </c>
      <c r="D1074" t="s">
        <v>107</v>
      </c>
      <c r="E1074" s="228">
        <v>62.18</v>
      </c>
      <c r="F1074" s="228">
        <v>28</v>
      </c>
      <c r="G1074" s="229">
        <v>1741.04</v>
      </c>
      <c r="H1074" s="46" t="s">
        <v>233</v>
      </c>
    </row>
    <row r="1075" spans="1:8" x14ac:dyDescent="0.25">
      <c r="A1075" s="258" t="s">
        <v>230</v>
      </c>
      <c r="B1075" s="230" t="s">
        <v>530</v>
      </c>
      <c r="C1075" s="231" t="s">
        <v>230</v>
      </c>
      <c r="D1075" s="231" t="s">
        <v>230</v>
      </c>
      <c r="E1075" s="232"/>
      <c r="F1075" s="232"/>
      <c r="G1075" s="233">
        <v>1741.04</v>
      </c>
      <c r="H1075" s="243" t="s">
        <v>230</v>
      </c>
    </row>
    <row r="1076" spans="1:8" x14ac:dyDescent="0.25">
      <c r="A1076" s="47" t="s">
        <v>230</v>
      </c>
      <c r="B1076" s="213" t="s">
        <v>230</v>
      </c>
      <c r="C1076" t="s">
        <v>230</v>
      </c>
      <c r="D1076" t="s">
        <v>230</v>
      </c>
      <c r="E1076" s="228"/>
      <c r="F1076" s="228"/>
      <c r="G1076" s="229"/>
      <c r="H1076" s="46" t="s">
        <v>230</v>
      </c>
    </row>
    <row r="1077" spans="1:8" x14ac:dyDescent="0.25">
      <c r="A1077" s="257" t="s">
        <v>230</v>
      </c>
      <c r="B1077" s="224" t="s">
        <v>606</v>
      </c>
      <c r="C1077" s="48" t="s">
        <v>230</v>
      </c>
      <c r="D1077" s="48" t="s">
        <v>230</v>
      </c>
      <c r="E1077" s="226"/>
      <c r="F1077" s="226"/>
      <c r="G1077" s="227"/>
      <c r="H1077" s="225" t="s">
        <v>230</v>
      </c>
    </row>
    <row r="1078" spans="1:8" x14ac:dyDescent="0.25">
      <c r="A1078" s="47">
        <v>40682</v>
      </c>
      <c r="B1078" s="213" t="s">
        <v>531</v>
      </c>
      <c r="C1078" t="s">
        <v>532</v>
      </c>
      <c r="D1078" t="s">
        <v>399</v>
      </c>
      <c r="E1078" s="228">
        <v>1</v>
      </c>
      <c r="F1078" s="228">
        <v>23479.5</v>
      </c>
      <c r="G1078" s="229">
        <v>23479.5</v>
      </c>
      <c r="H1078" s="46" t="s">
        <v>234</v>
      </c>
    </row>
    <row r="1079" spans="1:8" x14ac:dyDescent="0.25">
      <c r="A1079" s="258" t="s">
        <v>230</v>
      </c>
      <c r="B1079" s="230" t="s">
        <v>533</v>
      </c>
      <c r="C1079" s="231" t="s">
        <v>230</v>
      </c>
      <c r="D1079" s="231" t="s">
        <v>230</v>
      </c>
      <c r="E1079" s="232"/>
      <c r="F1079" s="232"/>
      <c r="G1079" s="233">
        <v>23479.5</v>
      </c>
      <c r="H1079" s="243" t="s">
        <v>230</v>
      </c>
    </row>
    <row r="1080" spans="1:8" x14ac:dyDescent="0.25">
      <c r="A1080" s="47" t="s">
        <v>230</v>
      </c>
      <c r="B1080" s="213" t="s">
        <v>230</v>
      </c>
      <c r="C1080" t="s">
        <v>230</v>
      </c>
      <c r="D1080" t="s">
        <v>230</v>
      </c>
      <c r="E1080" s="228"/>
      <c r="F1080" s="228"/>
      <c r="G1080" s="229"/>
      <c r="H1080" s="46" t="s">
        <v>230</v>
      </c>
    </row>
    <row r="1081" spans="1:8" x14ac:dyDescent="0.25">
      <c r="A1081" s="259" t="s">
        <v>230</v>
      </c>
      <c r="B1081" s="234" t="s">
        <v>534</v>
      </c>
      <c r="C1081" s="235" t="s">
        <v>230</v>
      </c>
      <c r="D1081" s="235" t="s">
        <v>230</v>
      </c>
      <c r="E1081" s="236"/>
      <c r="F1081" s="236"/>
      <c r="G1081" s="237">
        <v>1084980.08</v>
      </c>
      <c r="H1081" s="244" t="s">
        <v>230</v>
      </c>
    </row>
    <row r="1082" spans="1:8" x14ac:dyDescent="0.25">
      <c r="A1082" s="47"/>
      <c r="B1082" s="213"/>
      <c r="H1082" s="4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Estimate</vt:lpstr>
      <vt:lpstr>Resources</vt:lpstr>
      <vt:lpstr>Model Inputs</vt:lpstr>
      <vt:lpstr>Non-Work Days</vt:lpstr>
      <vt:lpstr>Program Links</vt:lpstr>
      <vt:lpstr>Budget &amp; Revenue</vt:lpstr>
      <vt:lpstr>Portfolio WBS</vt:lpstr>
      <vt:lpstr>Actual Costs</vt:lpstr>
      <vt:lpstr>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Thiele</dc:creator>
  <cp:lastModifiedBy>Abdulhaseeb Mohammed</cp:lastModifiedBy>
  <dcterms:created xsi:type="dcterms:W3CDTF">2018-05-07T03:36:01Z</dcterms:created>
  <dcterms:modified xsi:type="dcterms:W3CDTF">2024-06-28T23:49:51Z</dcterms:modified>
</cp:coreProperties>
</file>