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C:\Users\abdul\Downloads\"/>
    </mc:Choice>
  </mc:AlternateContent>
  <xr:revisionPtr revIDLastSave="0" documentId="13_ncr:1_{7147A69A-4E7A-43A8-82A3-9419E2EC909B}" xr6:coauthVersionLast="47" xr6:coauthVersionMax="47" xr10:uidLastSave="{00000000-0000-0000-0000-000000000000}"/>
  <bookViews>
    <workbookView xWindow="-120" yWindow="-120" windowWidth="19440" windowHeight="11520" firstSheet="4" activeTab="7" xr2:uid="{00000000-000D-0000-FFFF-FFFF00000000}"/>
  </bookViews>
  <sheets>
    <sheet name="Estimate" sheetId="1" r:id="rId1"/>
    <sheet name="Resources" sheetId="2" r:id="rId2"/>
    <sheet name="Model Inputs" sheetId="3" r:id="rId3"/>
    <sheet name="Non-Work Calendar" sheetId="5" r:id="rId4"/>
    <sheet name="Program Links" sheetId="6" r:id="rId5"/>
    <sheet name="Budget &amp; Revenue" sheetId="7" r:id="rId6"/>
    <sheet name="Portfolio WBS" sheetId="8" r:id="rId7"/>
    <sheet name="Actual Costs" sheetId="9" r:id="rId8"/>
  </sheets>
  <definedNames>
    <definedName name="Workhrs">'Non-Work Calendar'!$B$71</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6" l="1"/>
  <c r="I6" i="6"/>
  <c r="J6" i="6"/>
  <c r="K6" i="6"/>
  <c r="L6" i="6"/>
  <c r="M6" i="6"/>
  <c r="N6" i="6"/>
  <c r="O6" i="6"/>
  <c r="P6" i="6"/>
  <c r="Q6" i="6"/>
  <c r="R6" i="6"/>
  <c r="S6" i="6"/>
  <c r="H7" i="6"/>
  <c r="I7" i="6"/>
  <c r="J7" i="6"/>
  <c r="K7" i="6"/>
  <c r="L7" i="6"/>
  <c r="M7" i="6"/>
  <c r="N7" i="6"/>
  <c r="O7" i="6"/>
  <c r="P7" i="6"/>
  <c r="Q7" i="6"/>
  <c r="R7" i="6"/>
  <c r="S7" i="6"/>
  <c r="H8" i="6"/>
  <c r="I8" i="6"/>
  <c r="J8" i="6"/>
  <c r="K8" i="6"/>
  <c r="L8" i="6"/>
  <c r="M8" i="6"/>
  <c r="N8" i="6"/>
  <c r="O8" i="6"/>
  <c r="P8" i="6"/>
  <c r="Q8" i="6"/>
  <c r="R8" i="6"/>
  <c r="S8" i="6"/>
  <c r="H9" i="6"/>
  <c r="I9" i="6"/>
  <c r="J9" i="6"/>
  <c r="K9" i="6"/>
  <c r="L9" i="6"/>
  <c r="M9" i="6"/>
  <c r="N9" i="6"/>
  <c r="O9" i="6"/>
  <c r="P9" i="6"/>
  <c r="Q9" i="6"/>
  <c r="R9" i="6"/>
  <c r="S9" i="6"/>
  <c r="H10" i="6"/>
  <c r="I10" i="6"/>
  <c r="J10" i="6"/>
  <c r="K10" i="6"/>
  <c r="L10" i="6"/>
  <c r="M10" i="6"/>
  <c r="N10" i="6"/>
  <c r="O10" i="6"/>
  <c r="P10" i="6"/>
  <c r="Q10" i="6"/>
  <c r="R10" i="6"/>
  <c r="S10" i="6"/>
  <c r="H11" i="6"/>
  <c r="I11" i="6"/>
  <c r="J11" i="6"/>
  <c r="K11" i="6"/>
  <c r="L11" i="6"/>
  <c r="M11" i="6"/>
  <c r="N11" i="6"/>
  <c r="O11" i="6"/>
  <c r="P11" i="6"/>
  <c r="Q11" i="6"/>
  <c r="R11" i="6"/>
  <c r="S11" i="6"/>
  <c r="H12" i="6"/>
  <c r="I12" i="6"/>
  <c r="J12" i="6"/>
  <c r="K12" i="6"/>
  <c r="L12" i="6"/>
  <c r="M12" i="6"/>
  <c r="N12" i="6"/>
  <c r="O12" i="6"/>
  <c r="P12" i="6"/>
  <c r="Q12" i="6"/>
  <c r="R12" i="6"/>
  <c r="S12" i="6"/>
  <c r="H13" i="6"/>
  <c r="I13" i="6"/>
  <c r="J13" i="6"/>
  <c r="K13" i="6"/>
  <c r="L13" i="6"/>
  <c r="M13" i="6"/>
  <c r="N13" i="6"/>
  <c r="O13" i="6"/>
  <c r="P13" i="6"/>
  <c r="Q13" i="6"/>
  <c r="R13" i="6"/>
  <c r="S13" i="6"/>
  <c r="H14" i="6"/>
  <c r="I14" i="6"/>
  <c r="J14" i="6"/>
  <c r="K14" i="6"/>
  <c r="L14" i="6"/>
  <c r="M14" i="6"/>
  <c r="N14" i="6"/>
  <c r="O14" i="6"/>
  <c r="P14" i="6"/>
  <c r="Q14" i="6"/>
  <c r="R14" i="6"/>
  <c r="S14" i="6"/>
  <c r="H15" i="6"/>
  <c r="I15" i="6"/>
  <c r="J15" i="6"/>
  <c r="K15" i="6"/>
  <c r="L15" i="6"/>
  <c r="M15" i="6"/>
  <c r="N15" i="6"/>
  <c r="O15" i="6"/>
  <c r="P15" i="6"/>
  <c r="Q15" i="6"/>
  <c r="R15" i="6"/>
  <c r="S15" i="6"/>
  <c r="H16" i="6"/>
  <c r="I16" i="6"/>
  <c r="J16" i="6"/>
  <c r="K16" i="6"/>
  <c r="L16" i="6"/>
  <c r="M16" i="6"/>
  <c r="N16" i="6"/>
  <c r="O16" i="6"/>
  <c r="P16" i="6"/>
  <c r="Q16" i="6"/>
  <c r="R16" i="6"/>
  <c r="S16" i="6"/>
  <c r="H17" i="6"/>
  <c r="I17" i="6"/>
  <c r="J17" i="6"/>
  <c r="K17" i="6"/>
  <c r="L17" i="6"/>
  <c r="M17" i="6"/>
  <c r="N17" i="6"/>
  <c r="O17" i="6"/>
  <c r="P17" i="6"/>
  <c r="Q17" i="6"/>
  <c r="R17" i="6"/>
  <c r="S17" i="6"/>
  <c r="H18" i="6"/>
  <c r="I18" i="6"/>
  <c r="J18" i="6"/>
  <c r="K18" i="6"/>
  <c r="L18" i="6"/>
  <c r="M18" i="6"/>
  <c r="N18" i="6"/>
  <c r="O18" i="6"/>
  <c r="P18" i="6"/>
  <c r="Q18" i="6"/>
  <c r="R18" i="6"/>
  <c r="S18" i="6"/>
  <c r="H19" i="6"/>
  <c r="I19" i="6"/>
  <c r="J19" i="6"/>
  <c r="K19" i="6"/>
  <c r="L19" i="6"/>
  <c r="M19" i="6"/>
  <c r="N19" i="6"/>
  <c r="O19" i="6"/>
  <c r="P19" i="6"/>
  <c r="Q19" i="6"/>
  <c r="R19" i="6"/>
  <c r="S19" i="6"/>
  <c r="H20" i="6"/>
  <c r="I20" i="6"/>
  <c r="J20" i="6"/>
  <c r="K20" i="6"/>
  <c r="L20" i="6"/>
  <c r="M20" i="6"/>
  <c r="N20" i="6"/>
  <c r="O20" i="6"/>
  <c r="P20" i="6"/>
  <c r="Q20" i="6"/>
  <c r="R20" i="6"/>
  <c r="S20" i="6"/>
  <c r="H21" i="6"/>
  <c r="I21" i="6"/>
  <c r="J21" i="6"/>
  <c r="K21" i="6"/>
  <c r="L21" i="6"/>
  <c r="M21" i="6"/>
  <c r="N21" i="6"/>
  <c r="O21" i="6"/>
  <c r="P21" i="6"/>
  <c r="Q21" i="6"/>
  <c r="R21" i="6"/>
  <c r="S21" i="6"/>
  <c r="H22" i="6"/>
  <c r="I22" i="6"/>
  <c r="J22" i="6"/>
  <c r="K22" i="6"/>
  <c r="L22" i="6"/>
  <c r="M22" i="6"/>
  <c r="N22" i="6"/>
  <c r="O22" i="6"/>
  <c r="P22" i="6"/>
  <c r="Q22" i="6"/>
  <c r="R22" i="6"/>
  <c r="S22" i="6"/>
  <c r="H23" i="6"/>
  <c r="I23" i="6"/>
  <c r="J23" i="6"/>
  <c r="K23" i="6"/>
  <c r="L23" i="6"/>
  <c r="M23" i="6"/>
  <c r="N23" i="6"/>
  <c r="O23" i="6"/>
  <c r="P23" i="6"/>
  <c r="Q23" i="6"/>
  <c r="R23" i="6"/>
  <c r="S23" i="6"/>
  <c r="H24" i="6"/>
  <c r="I24" i="6"/>
  <c r="J24" i="6"/>
  <c r="K24" i="6"/>
  <c r="L24" i="6"/>
  <c r="M24" i="6"/>
  <c r="N24" i="6"/>
  <c r="O24" i="6"/>
  <c r="P24" i="6"/>
  <c r="Q24" i="6"/>
  <c r="R24" i="6"/>
  <c r="S24" i="6"/>
  <c r="H25" i="6"/>
  <c r="I25" i="6"/>
  <c r="J25" i="6"/>
  <c r="K25" i="6"/>
  <c r="L25" i="6"/>
  <c r="M25" i="6"/>
  <c r="N25" i="6"/>
  <c r="O25" i="6"/>
  <c r="P25" i="6"/>
  <c r="Q25" i="6"/>
  <c r="R25" i="6"/>
  <c r="S25" i="6"/>
  <c r="H26" i="6"/>
  <c r="I26" i="6"/>
  <c r="J26" i="6"/>
  <c r="K26" i="6"/>
  <c r="L26" i="6"/>
  <c r="M26" i="6"/>
  <c r="N26" i="6"/>
  <c r="O26" i="6"/>
  <c r="P26" i="6"/>
  <c r="Q26" i="6"/>
  <c r="R26" i="6"/>
  <c r="S26" i="6"/>
  <c r="H27" i="6"/>
  <c r="I27" i="6"/>
  <c r="J27" i="6"/>
  <c r="K27" i="6"/>
  <c r="L27" i="6"/>
  <c r="M27" i="6"/>
  <c r="N27" i="6"/>
  <c r="O27" i="6"/>
  <c r="P27" i="6"/>
  <c r="Q27" i="6"/>
  <c r="R27" i="6"/>
  <c r="S27" i="6"/>
  <c r="H28" i="6"/>
  <c r="I28" i="6"/>
  <c r="J28" i="6"/>
  <c r="K28" i="6"/>
  <c r="L28" i="6"/>
  <c r="M28" i="6"/>
  <c r="N28" i="6"/>
  <c r="O28" i="6"/>
  <c r="P28" i="6"/>
  <c r="Q28" i="6"/>
  <c r="R28" i="6"/>
  <c r="S28" i="6"/>
  <c r="H29" i="6"/>
  <c r="I29" i="6"/>
  <c r="J29" i="6"/>
  <c r="K29" i="6"/>
  <c r="L29" i="6"/>
  <c r="M29" i="6"/>
  <c r="N29" i="6"/>
  <c r="O29" i="6"/>
  <c r="P29" i="6"/>
  <c r="Q29" i="6"/>
  <c r="R29" i="6"/>
  <c r="S29" i="6"/>
  <c r="H30" i="6"/>
  <c r="I30" i="6"/>
  <c r="J30" i="6"/>
  <c r="K30" i="6"/>
  <c r="L30" i="6"/>
  <c r="M30" i="6"/>
  <c r="N30" i="6"/>
  <c r="O30" i="6"/>
  <c r="P30" i="6"/>
  <c r="Q30" i="6"/>
  <c r="R30" i="6"/>
  <c r="S30" i="6"/>
  <c r="H31" i="6"/>
  <c r="I31" i="6"/>
  <c r="J31" i="6"/>
  <c r="K31" i="6"/>
  <c r="L31" i="6"/>
  <c r="M31" i="6"/>
  <c r="N31" i="6"/>
  <c r="O31" i="6"/>
  <c r="P31" i="6"/>
  <c r="Q31" i="6"/>
  <c r="R31" i="6"/>
  <c r="S31" i="6"/>
  <c r="H32" i="6"/>
  <c r="I32" i="6"/>
  <c r="J32" i="6"/>
  <c r="K32" i="6"/>
  <c r="L32" i="6"/>
  <c r="M32" i="6"/>
  <c r="N32" i="6"/>
  <c r="O32" i="6"/>
  <c r="P32" i="6"/>
  <c r="Q32" i="6"/>
  <c r="R32" i="6"/>
  <c r="S32" i="6"/>
  <c r="H33" i="6"/>
  <c r="I33" i="6"/>
  <c r="J33" i="6"/>
  <c r="K33" i="6"/>
  <c r="L33" i="6"/>
  <c r="M33" i="6"/>
  <c r="N33" i="6"/>
  <c r="O33" i="6"/>
  <c r="P33" i="6"/>
  <c r="Q33" i="6"/>
  <c r="R33" i="6"/>
  <c r="S33" i="6"/>
  <c r="H34" i="6"/>
  <c r="I34" i="6"/>
  <c r="J34" i="6"/>
  <c r="K34" i="6"/>
  <c r="L34" i="6"/>
  <c r="M34" i="6"/>
  <c r="N34" i="6"/>
  <c r="O34" i="6"/>
  <c r="P34" i="6"/>
  <c r="Q34" i="6"/>
  <c r="R34" i="6"/>
  <c r="S34" i="6"/>
  <c r="H35" i="6"/>
  <c r="I35" i="6"/>
  <c r="J35" i="6"/>
  <c r="K35" i="6"/>
  <c r="L35" i="6"/>
  <c r="M35" i="6"/>
  <c r="N35" i="6"/>
  <c r="O35" i="6"/>
  <c r="P35" i="6"/>
  <c r="Q35" i="6"/>
  <c r="R35" i="6"/>
  <c r="S35" i="6"/>
  <c r="H36" i="6"/>
  <c r="I36" i="6"/>
  <c r="J36" i="6"/>
  <c r="K36" i="6"/>
  <c r="L36" i="6"/>
  <c r="M36" i="6"/>
  <c r="N36" i="6"/>
  <c r="O36" i="6"/>
  <c r="P36" i="6"/>
  <c r="Q36" i="6"/>
  <c r="R36" i="6"/>
  <c r="S36" i="6"/>
  <c r="H37" i="6"/>
  <c r="I37" i="6"/>
  <c r="J37" i="6"/>
  <c r="K37" i="6"/>
  <c r="L37" i="6"/>
  <c r="M37" i="6"/>
  <c r="N37" i="6"/>
  <c r="O37" i="6"/>
  <c r="P37" i="6"/>
  <c r="Q37" i="6"/>
  <c r="R37" i="6"/>
  <c r="S37" i="6"/>
  <c r="H38" i="6"/>
  <c r="I38" i="6"/>
  <c r="J38" i="6"/>
  <c r="K38" i="6"/>
  <c r="L38" i="6"/>
  <c r="M38" i="6"/>
  <c r="N38" i="6"/>
  <c r="O38" i="6"/>
  <c r="P38" i="6"/>
  <c r="Q38" i="6"/>
  <c r="R38" i="6"/>
  <c r="S38" i="6"/>
  <c r="H39" i="6"/>
  <c r="I39" i="6"/>
  <c r="J39" i="6"/>
  <c r="K39" i="6"/>
  <c r="L39" i="6"/>
  <c r="M39" i="6"/>
  <c r="N39" i="6"/>
  <c r="O39" i="6"/>
  <c r="P39" i="6"/>
  <c r="Q39" i="6"/>
  <c r="R39" i="6"/>
  <c r="S39" i="6"/>
  <c r="H40" i="6"/>
  <c r="I40" i="6"/>
  <c r="J40" i="6"/>
  <c r="K40" i="6"/>
  <c r="L40" i="6"/>
  <c r="M40" i="6"/>
  <c r="N40" i="6"/>
  <c r="O40" i="6"/>
  <c r="P40" i="6"/>
  <c r="Q40" i="6"/>
  <c r="R40" i="6"/>
  <c r="S40" i="6"/>
  <c r="H41" i="6"/>
  <c r="I41" i="6"/>
  <c r="J41" i="6"/>
  <c r="K41" i="6"/>
  <c r="L41" i="6"/>
  <c r="M41" i="6"/>
  <c r="N41" i="6"/>
  <c r="O41" i="6"/>
  <c r="P41" i="6"/>
  <c r="Q41" i="6"/>
  <c r="R41" i="6"/>
  <c r="S41" i="6"/>
  <c r="H42" i="6"/>
  <c r="I42" i="6"/>
  <c r="J42" i="6"/>
  <c r="K42" i="6"/>
  <c r="L42" i="6"/>
  <c r="M42" i="6"/>
  <c r="N42" i="6"/>
  <c r="O42" i="6"/>
  <c r="P42" i="6"/>
  <c r="Q42" i="6"/>
  <c r="R42" i="6"/>
  <c r="S42" i="6"/>
  <c r="H43" i="6"/>
  <c r="I43" i="6"/>
  <c r="J43" i="6"/>
  <c r="K43" i="6"/>
  <c r="L43" i="6"/>
  <c r="M43" i="6"/>
  <c r="N43" i="6"/>
  <c r="O43" i="6"/>
  <c r="P43" i="6"/>
  <c r="Q43" i="6"/>
  <c r="R43" i="6"/>
  <c r="S43" i="6"/>
  <c r="H44" i="6"/>
  <c r="I44" i="6"/>
  <c r="J44" i="6"/>
  <c r="K44" i="6"/>
  <c r="L44" i="6"/>
  <c r="M44" i="6"/>
  <c r="N44" i="6"/>
  <c r="O44" i="6"/>
  <c r="P44" i="6"/>
  <c r="Q44" i="6"/>
  <c r="R44" i="6"/>
  <c r="S44" i="6"/>
  <c r="H45" i="6"/>
  <c r="I45" i="6"/>
  <c r="J45" i="6"/>
  <c r="K45" i="6"/>
  <c r="L45" i="6"/>
  <c r="M45" i="6"/>
  <c r="N45" i="6"/>
  <c r="O45" i="6"/>
  <c r="P45" i="6"/>
  <c r="Q45" i="6"/>
  <c r="R45" i="6"/>
  <c r="S45" i="6"/>
  <c r="H46" i="6"/>
  <c r="I46" i="6"/>
  <c r="J46" i="6"/>
  <c r="K46" i="6"/>
  <c r="L46" i="6"/>
  <c r="M46" i="6"/>
  <c r="N46" i="6"/>
  <c r="O46" i="6"/>
  <c r="P46" i="6"/>
  <c r="Q46" i="6"/>
  <c r="R46" i="6"/>
  <c r="S46" i="6"/>
  <c r="H47" i="6"/>
  <c r="I47" i="6"/>
  <c r="J47" i="6"/>
  <c r="K47" i="6"/>
  <c r="L47" i="6"/>
  <c r="M47" i="6"/>
  <c r="N47" i="6"/>
  <c r="O47" i="6"/>
  <c r="P47" i="6"/>
  <c r="Q47" i="6"/>
  <c r="R47" i="6"/>
  <c r="S47" i="6"/>
  <c r="H48" i="6"/>
  <c r="I48" i="6"/>
  <c r="J48" i="6"/>
  <c r="K48" i="6"/>
  <c r="L48" i="6"/>
  <c r="M48" i="6"/>
  <c r="N48" i="6"/>
  <c r="O48" i="6"/>
  <c r="P48" i="6"/>
  <c r="Q48" i="6"/>
  <c r="R48" i="6"/>
  <c r="S48" i="6"/>
  <c r="H49" i="6"/>
  <c r="I49" i="6"/>
  <c r="J49" i="6"/>
  <c r="K49" i="6"/>
  <c r="L49" i="6"/>
  <c r="M49" i="6"/>
  <c r="N49" i="6"/>
  <c r="O49" i="6"/>
  <c r="P49" i="6"/>
  <c r="Q49" i="6"/>
  <c r="R49" i="6"/>
  <c r="S49" i="6"/>
  <c r="H50" i="6"/>
  <c r="I50" i="6"/>
  <c r="J50" i="6"/>
  <c r="K50" i="6"/>
  <c r="L50" i="6"/>
  <c r="M50" i="6"/>
  <c r="N50" i="6"/>
  <c r="O50" i="6"/>
  <c r="P50" i="6"/>
  <c r="Q50" i="6"/>
  <c r="R50" i="6"/>
  <c r="S50" i="6"/>
  <c r="H51" i="6"/>
  <c r="I51" i="6"/>
  <c r="J51" i="6"/>
  <c r="K51" i="6"/>
  <c r="L51" i="6"/>
  <c r="M51" i="6"/>
  <c r="N51" i="6"/>
  <c r="O51" i="6"/>
  <c r="P51" i="6"/>
  <c r="Q51" i="6"/>
  <c r="R51" i="6"/>
  <c r="S51" i="6"/>
  <c r="H52" i="6"/>
  <c r="I52" i="6"/>
  <c r="J52" i="6"/>
  <c r="K52" i="6"/>
  <c r="L52" i="6"/>
  <c r="M52" i="6"/>
  <c r="N52" i="6"/>
  <c r="O52" i="6"/>
  <c r="P52" i="6"/>
  <c r="Q52" i="6"/>
  <c r="R52" i="6"/>
  <c r="S52" i="6"/>
  <c r="H53" i="6"/>
  <c r="I53" i="6"/>
  <c r="J53" i="6"/>
  <c r="K53" i="6"/>
  <c r="L53" i="6"/>
  <c r="M53" i="6"/>
  <c r="N53" i="6"/>
  <c r="O53" i="6"/>
  <c r="P53" i="6"/>
  <c r="Q53" i="6"/>
  <c r="R53" i="6"/>
  <c r="S53" i="6"/>
  <c r="H54" i="6"/>
  <c r="I54" i="6"/>
  <c r="J54" i="6"/>
  <c r="K54" i="6"/>
  <c r="L54" i="6"/>
  <c r="M54" i="6"/>
  <c r="N54" i="6"/>
  <c r="O54" i="6"/>
  <c r="P54" i="6"/>
  <c r="Q54" i="6"/>
  <c r="R54" i="6"/>
  <c r="S54" i="6"/>
  <c r="H55" i="6"/>
  <c r="I55" i="6"/>
  <c r="J55" i="6"/>
  <c r="K55" i="6"/>
  <c r="L55" i="6"/>
  <c r="M55" i="6"/>
  <c r="N55" i="6"/>
  <c r="O55" i="6"/>
  <c r="P55" i="6"/>
  <c r="Q55" i="6"/>
  <c r="R55" i="6"/>
  <c r="S55" i="6"/>
  <c r="H56" i="6"/>
  <c r="I56" i="6"/>
  <c r="J56" i="6"/>
  <c r="K56" i="6"/>
  <c r="L56" i="6"/>
  <c r="M56" i="6"/>
  <c r="N56" i="6"/>
  <c r="O56" i="6"/>
  <c r="P56" i="6"/>
  <c r="Q56" i="6"/>
  <c r="R56" i="6"/>
  <c r="S56" i="6"/>
  <c r="H57" i="6"/>
  <c r="I57" i="6"/>
  <c r="J57" i="6"/>
  <c r="K57" i="6"/>
  <c r="L57" i="6"/>
  <c r="M57" i="6"/>
  <c r="N57" i="6"/>
  <c r="O57" i="6"/>
  <c r="P57" i="6"/>
  <c r="Q57" i="6"/>
  <c r="R57" i="6"/>
  <c r="S57" i="6"/>
  <c r="H58" i="6"/>
  <c r="I58" i="6"/>
  <c r="J58" i="6"/>
  <c r="K58" i="6"/>
  <c r="L58" i="6"/>
  <c r="M58" i="6"/>
  <c r="N58" i="6"/>
  <c r="O58" i="6"/>
  <c r="P58" i="6"/>
  <c r="Q58" i="6"/>
  <c r="R58" i="6"/>
  <c r="S58" i="6"/>
  <c r="H59" i="6"/>
  <c r="I59" i="6"/>
  <c r="J59" i="6"/>
  <c r="K59" i="6"/>
  <c r="L59" i="6"/>
  <c r="M59" i="6"/>
  <c r="N59" i="6"/>
  <c r="O59" i="6"/>
  <c r="P59" i="6"/>
  <c r="Q59" i="6"/>
  <c r="R59" i="6"/>
  <c r="S59" i="6"/>
  <c r="H60" i="6"/>
  <c r="I60" i="6"/>
  <c r="J60" i="6"/>
  <c r="K60" i="6"/>
  <c r="L60" i="6"/>
  <c r="M60" i="6"/>
  <c r="N60" i="6"/>
  <c r="O60" i="6"/>
  <c r="P60" i="6"/>
  <c r="Q60" i="6"/>
  <c r="R60" i="6"/>
  <c r="S60" i="6"/>
  <c r="H61" i="6"/>
  <c r="I61" i="6"/>
  <c r="J61" i="6"/>
  <c r="K61" i="6"/>
  <c r="L61" i="6"/>
  <c r="M61" i="6"/>
  <c r="N61" i="6"/>
  <c r="O61" i="6"/>
  <c r="P61" i="6"/>
  <c r="Q61" i="6"/>
  <c r="R61" i="6"/>
  <c r="S61" i="6"/>
  <c r="H62" i="6"/>
  <c r="I62" i="6"/>
  <c r="J62" i="6"/>
  <c r="K62" i="6"/>
  <c r="L62" i="6"/>
  <c r="M62" i="6"/>
  <c r="N62" i="6"/>
  <c r="O62" i="6"/>
  <c r="P62" i="6"/>
  <c r="Q62" i="6"/>
  <c r="R62" i="6"/>
  <c r="S62" i="6"/>
  <c r="H63" i="6"/>
  <c r="I63" i="6"/>
  <c r="J63" i="6"/>
  <c r="K63" i="6"/>
  <c r="L63" i="6"/>
  <c r="M63" i="6"/>
  <c r="N63" i="6"/>
  <c r="O63" i="6"/>
  <c r="P63" i="6"/>
  <c r="Q63" i="6"/>
  <c r="R63" i="6"/>
  <c r="S63" i="6"/>
  <c r="H64" i="6"/>
  <c r="I64" i="6"/>
  <c r="J64" i="6"/>
  <c r="K64" i="6"/>
  <c r="L64" i="6"/>
  <c r="M64" i="6"/>
  <c r="N64" i="6"/>
  <c r="O64" i="6"/>
  <c r="P64" i="6"/>
  <c r="Q64" i="6"/>
  <c r="R64" i="6"/>
  <c r="S64" i="6"/>
  <c r="H65" i="6"/>
  <c r="I65" i="6"/>
  <c r="J65" i="6"/>
  <c r="K65" i="6"/>
  <c r="L65" i="6"/>
  <c r="M65" i="6"/>
  <c r="N65" i="6"/>
  <c r="O65" i="6"/>
  <c r="P65" i="6"/>
  <c r="Q65" i="6"/>
  <c r="R65" i="6"/>
  <c r="S65" i="6"/>
  <c r="H66" i="6"/>
  <c r="I66" i="6"/>
  <c r="J66" i="6"/>
  <c r="K66" i="6"/>
  <c r="L66" i="6"/>
  <c r="M66" i="6"/>
  <c r="N66" i="6"/>
  <c r="O66" i="6"/>
  <c r="P66" i="6"/>
  <c r="Q66" i="6"/>
  <c r="R66" i="6"/>
  <c r="S66" i="6"/>
  <c r="H67" i="6"/>
  <c r="I67" i="6"/>
  <c r="J67" i="6"/>
  <c r="K67" i="6"/>
  <c r="L67" i="6"/>
  <c r="M67" i="6"/>
  <c r="N67" i="6"/>
  <c r="O67" i="6"/>
  <c r="P67" i="6"/>
  <c r="Q67" i="6"/>
  <c r="R67" i="6"/>
  <c r="S67" i="6"/>
  <c r="H68" i="6"/>
  <c r="I68" i="6"/>
  <c r="J68" i="6"/>
  <c r="K68" i="6"/>
  <c r="L68" i="6"/>
  <c r="M68" i="6"/>
  <c r="N68" i="6"/>
  <c r="O68" i="6"/>
  <c r="P68" i="6"/>
  <c r="Q68" i="6"/>
  <c r="R68" i="6"/>
  <c r="S68" i="6"/>
  <c r="H69" i="6"/>
  <c r="I69" i="6"/>
  <c r="J69" i="6"/>
  <c r="K69" i="6"/>
  <c r="L69" i="6"/>
  <c r="M69" i="6"/>
  <c r="N69" i="6"/>
  <c r="O69" i="6"/>
  <c r="P69" i="6"/>
  <c r="Q69" i="6"/>
  <c r="R69" i="6"/>
  <c r="S69" i="6"/>
  <c r="H70" i="6"/>
  <c r="I70" i="6"/>
  <c r="J70" i="6"/>
  <c r="K70" i="6"/>
  <c r="L70" i="6"/>
  <c r="M70" i="6"/>
  <c r="N70" i="6"/>
  <c r="O70" i="6"/>
  <c r="P70" i="6"/>
  <c r="Q70" i="6"/>
  <c r="R70" i="6"/>
  <c r="S70" i="6"/>
  <c r="H71" i="6"/>
  <c r="I71" i="6"/>
  <c r="J71" i="6"/>
  <c r="K71" i="6"/>
  <c r="L71" i="6"/>
  <c r="M71" i="6"/>
  <c r="N71" i="6"/>
  <c r="O71" i="6"/>
  <c r="P71" i="6"/>
  <c r="Q71" i="6"/>
  <c r="R71" i="6"/>
  <c r="S71" i="6"/>
  <c r="H72" i="6"/>
  <c r="I72" i="6"/>
  <c r="J72" i="6"/>
  <c r="K72" i="6"/>
  <c r="L72" i="6"/>
  <c r="M72" i="6"/>
  <c r="N72" i="6"/>
  <c r="O72" i="6"/>
  <c r="P72" i="6"/>
  <c r="Q72" i="6"/>
  <c r="R72" i="6"/>
  <c r="S72" i="6"/>
  <c r="H73" i="6"/>
  <c r="I73" i="6"/>
  <c r="J73" i="6"/>
  <c r="K73" i="6"/>
  <c r="L73" i="6"/>
  <c r="M73" i="6"/>
  <c r="N73" i="6"/>
  <c r="O73" i="6"/>
  <c r="P73" i="6"/>
  <c r="Q73" i="6"/>
  <c r="R73" i="6"/>
  <c r="S73" i="6"/>
  <c r="H74" i="6"/>
  <c r="I74" i="6"/>
  <c r="J74" i="6"/>
  <c r="K74" i="6"/>
  <c r="L74" i="6"/>
  <c r="M74" i="6"/>
  <c r="N74" i="6"/>
  <c r="O74" i="6"/>
  <c r="P74" i="6"/>
  <c r="Q74" i="6"/>
  <c r="R74" i="6"/>
  <c r="S74" i="6"/>
  <c r="H75" i="6"/>
  <c r="I75" i="6"/>
  <c r="J75" i="6"/>
  <c r="K75" i="6"/>
  <c r="L75" i="6"/>
  <c r="M75" i="6"/>
  <c r="N75" i="6"/>
  <c r="O75" i="6"/>
  <c r="P75" i="6"/>
  <c r="Q75" i="6"/>
  <c r="R75" i="6"/>
  <c r="S75" i="6"/>
  <c r="H76" i="6"/>
  <c r="I76" i="6"/>
  <c r="J76" i="6"/>
  <c r="K76" i="6"/>
  <c r="L76" i="6"/>
  <c r="M76" i="6"/>
  <c r="N76" i="6"/>
  <c r="O76" i="6"/>
  <c r="P76" i="6"/>
  <c r="Q76" i="6"/>
  <c r="R76" i="6"/>
  <c r="S76" i="6"/>
  <c r="H77" i="6"/>
  <c r="I77" i="6"/>
  <c r="J77" i="6"/>
  <c r="K77" i="6"/>
  <c r="L77" i="6"/>
  <c r="M77" i="6"/>
  <c r="N77" i="6"/>
  <c r="O77" i="6"/>
  <c r="P77" i="6"/>
  <c r="Q77" i="6"/>
  <c r="R77" i="6"/>
  <c r="S77" i="6"/>
  <c r="H78" i="6"/>
  <c r="I78" i="6"/>
  <c r="J78" i="6"/>
  <c r="K78" i="6"/>
  <c r="L78" i="6"/>
  <c r="M78" i="6"/>
  <c r="N78" i="6"/>
  <c r="O78" i="6"/>
  <c r="P78" i="6"/>
  <c r="Q78" i="6"/>
  <c r="R78" i="6"/>
  <c r="S78" i="6"/>
  <c r="H79" i="6"/>
  <c r="I79" i="6"/>
  <c r="J79" i="6"/>
  <c r="K79" i="6"/>
  <c r="L79" i="6"/>
  <c r="M79" i="6"/>
  <c r="N79" i="6"/>
  <c r="O79" i="6"/>
  <c r="P79" i="6"/>
  <c r="Q79" i="6"/>
  <c r="R79" i="6"/>
  <c r="S79" i="6"/>
  <c r="H80" i="6"/>
  <c r="I80" i="6"/>
  <c r="J80" i="6"/>
  <c r="K80" i="6"/>
  <c r="L80" i="6"/>
  <c r="M80" i="6"/>
  <c r="N80" i="6"/>
  <c r="O80" i="6"/>
  <c r="P80" i="6"/>
  <c r="Q80" i="6"/>
  <c r="R80" i="6"/>
  <c r="S80" i="6"/>
  <c r="H81" i="6"/>
  <c r="I81" i="6"/>
  <c r="J81" i="6"/>
  <c r="K81" i="6"/>
  <c r="L81" i="6"/>
  <c r="M81" i="6"/>
  <c r="N81" i="6"/>
  <c r="O81" i="6"/>
  <c r="P81" i="6"/>
  <c r="Q81" i="6"/>
  <c r="R81" i="6"/>
  <c r="S81" i="6"/>
  <c r="H82" i="6"/>
  <c r="I82" i="6"/>
  <c r="J82" i="6"/>
  <c r="K82" i="6"/>
  <c r="L82" i="6"/>
  <c r="M82" i="6"/>
  <c r="N82" i="6"/>
  <c r="O82" i="6"/>
  <c r="P82" i="6"/>
  <c r="Q82" i="6"/>
  <c r="R82" i="6"/>
  <c r="S82" i="6"/>
  <c r="H83" i="6"/>
  <c r="I83" i="6"/>
  <c r="J83" i="6"/>
  <c r="K83" i="6"/>
  <c r="L83" i="6"/>
  <c r="M83" i="6"/>
  <c r="N83" i="6"/>
  <c r="O83" i="6"/>
  <c r="P83" i="6"/>
  <c r="Q83" i="6"/>
  <c r="R83" i="6"/>
  <c r="S83" i="6"/>
  <c r="H84" i="6"/>
  <c r="I84" i="6"/>
  <c r="J84" i="6"/>
  <c r="K84" i="6"/>
  <c r="L84" i="6"/>
  <c r="M84" i="6"/>
  <c r="N84" i="6"/>
  <c r="O84" i="6"/>
  <c r="P84" i="6"/>
  <c r="Q84" i="6"/>
  <c r="R84" i="6"/>
  <c r="S84" i="6"/>
  <c r="H85" i="6"/>
  <c r="I85" i="6"/>
  <c r="J85" i="6"/>
  <c r="K85" i="6"/>
  <c r="L85" i="6"/>
  <c r="M85" i="6"/>
  <c r="N85" i="6"/>
  <c r="O85" i="6"/>
  <c r="P85" i="6"/>
  <c r="Q85" i="6"/>
  <c r="R85" i="6"/>
  <c r="S85" i="6"/>
  <c r="H86" i="6"/>
  <c r="I86" i="6"/>
  <c r="J86" i="6"/>
  <c r="K86" i="6"/>
  <c r="L86" i="6"/>
  <c r="M86" i="6"/>
  <c r="N86" i="6"/>
  <c r="O86" i="6"/>
  <c r="P86" i="6"/>
  <c r="Q86" i="6"/>
  <c r="R86" i="6"/>
  <c r="S86" i="6"/>
  <c r="H87" i="6"/>
  <c r="I87" i="6"/>
  <c r="J87" i="6"/>
  <c r="K87" i="6"/>
  <c r="L87" i="6"/>
  <c r="M87" i="6"/>
  <c r="N87" i="6"/>
  <c r="O87" i="6"/>
  <c r="P87" i="6"/>
  <c r="Q87" i="6"/>
  <c r="R87" i="6"/>
  <c r="S87" i="6"/>
  <c r="H88" i="6"/>
  <c r="I88" i="6"/>
  <c r="J88" i="6"/>
  <c r="K88" i="6"/>
  <c r="L88" i="6"/>
  <c r="M88" i="6"/>
  <c r="N88" i="6"/>
  <c r="O88" i="6"/>
  <c r="P88" i="6"/>
  <c r="Q88" i="6"/>
  <c r="R88" i="6"/>
  <c r="S88" i="6"/>
  <c r="H89" i="6"/>
  <c r="I89" i="6"/>
  <c r="J89" i="6"/>
  <c r="K89" i="6"/>
  <c r="L89" i="6"/>
  <c r="M89" i="6"/>
  <c r="N89" i="6"/>
  <c r="O89" i="6"/>
  <c r="P89" i="6"/>
  <c r="Q89" i="6"/>
  <c r="R89" i="6"/>
  <c r="S89" i="6"/>
  <c r="H90" i="6"/>
  <c r="I90" i="6"/>
  <c r="J90" i="6"/>
  <c r="K90" i="6"/>
  <c r="L90" i="6"/>
  <c r="M90" i="6"/>
  <c r="N90" i="6"/>
  <c r="O90" i="6"/>
  <c r="P90" i="6"/>
  <c r="Q90" i="6"/>
  <c r="R90" i="6"/>
  <c r="S90" i="6"/>
  <c r="H91" i="6"/>
  <c r="I91" i="6"/>
  <c r="J91" i="6"/>
  <c r="K91" i="6"/>
  <c r="L91" i="6"/>
  <c r="M91" i="6"/>
  <c r="N91" i="6"/>
  <c r="O91" i="6"/>
  <c r="P91" i="6"/>
  <c r="Q91" i="6"/>
  <c r="R91" i="6"/>
  <c r="S91" i="6"/>
  <c r="H92" i="6"/>
  <c r="I92" i="6"/>
  <c r="J92" i="6"/>
  <c r="K92" i="6"/>
  <c r="L92" i="6"/>
  <c r="M92" i="6"/>
  <c r="N92" i="6"/>
  <c r="O92" i="6"/>
  <c r="P92" i="6"/>
  <c r="Q92" i="6"/>
  <c r="R92" i="6"/>
  <c r="S92" i="6"/>
  <c r="H93" i="6"/>
  <c r="I93" i="6"/>
  <c r="J93" i="6"/>
  <c r="K93" i="6"/>
  <c r="L93" i="6"/>
  <c r="M93" i="6"/>
  <c r="N93" i="6"/>
  <c r="O93" i="6"/>
  <c r="P93" i="6"/>
  <c r="Q93" i="6"/>
  <c r="R93" i="6"/>
  <c r="S93" i="6"/>
  <c r="H94" i="6"/>
  <c r="I94" i="6"/>
  <c r="J94" i="6"/>
  <c r="K94" i="6"/>
  <c r="L94" i="6"/>
  <c r="M94" i="6"/>
  <c r="N94" i="6"/>
  <c r="O94" i="6"/>
  <c r="P94" i="6"/>
  <c r="Q94" i="6"/>
  <c r="R94" i="6"/>
  <c r="S94" i="6"/>
  <c r="H95" i="6"/>
  <c r="I95" i="6"/>
  <c r="J95" i="6"/>
  <c r="K95" i="6"/>
  <c r="L95" i="6"/>
  <c r="M95" i="6"/>
  <c r="N95" i="6"/>
  <c r="O95" i="6"/>
  <c r="P95" i="6"/>
  <c r="Q95" i="6"/>
  <c r="R95" i="6"/>
  <c r="S95" i="6"/>
  <c r="H96" i="6"/>
  <c r="I96" i="6"/>
  <c r="J96" i="6"/>
  <c r="K96" i="6"/>
  <c r="L96" i="6"/>
  <c r="M96" i="6"/>
  <c r="N96" i="6"/>
  <c r="O96" i="6"/>
  <c r="P96" i="6"/>
  <c r="Q96" i="6"/>
  <c r="R96" i="6"/>
  <c r="S96" i="6"/>
  <c r="H97" i="6"/>
  <c r="I97" i="6"/>
  <c r="J97" i="6"/>
  <c r="K97" i="6"/>
  <c r="L97" i="6"/>
  <c r="M97" i="6"/>
  <c r="N97" i="6"/>
  <c r="O97" i="6"/>
  <c r="P97" i="6"/>
  <c r="Q97" i="6"/>
  <c r="R97" i="6"/>
  <c r="S97" i="6"/>
  <c r="H98" i="6"/>
  <c r="I98" i="6"/>
  <c r="J98" i="6"/>
  <c r="K98" i="6"/>
  <c r="L98" i="6"/>
  <c r="M98" i="6"/>
  <c r="N98" i="6"/>
  <c r="O98" i="6"/>
  <c r="P98" i="6"/>
  <c r="Q98" i="6"/>
  <c r="R98" i="6"/>
  <c r="S98" i="6"/>
  <c r="H99" i="6"/>
  <c r="I99" i="6"/>
  <c r="J99" i="6"/>
  <c r="K99" i="6"/>
  <c r="L99" i="6"/>
  <c r="M99" i="6"/>
  <c r="N99" i="6"/>
  <c r="O99" i="6"/>
  <c r="P99" i="6"/>
  <c r="Q99" i="6"/>
  <c r="R99" i="6"/>
  <c r="S99" i="6"/>
  <c r="H100" i="6"/>
  <c r="I100" i="6"/>
  <c r="J100" i="6"/>
  <c r="K100" i="6"/>
  <c r="L100" i="6"/>
  <c r="M100" i="6"/>
  <c r="N100" i="6"/>
  <c r="O100" i="6"/>
  <c r="P100" i="6"/>
  <c r="Q100" i="6"/>
  <c r="R100" i="6"/>
  <c r="S100" i="6"/>
  <c r="H101" i="6"/>
  <c r="I101" i="6"/>
  <c r="J101" i="6"/>
  <c r="K101" i="6"/>
  <c r="L101" i="6"/>
  <c r="M101" i="6"/>
  <c r="N101" i="6"/>
  <c r="O101" i="6"/>
  <c r="P101" i="6"/>
  <c r="Q101" i="6"/>
  <c r="R101" i="6"/>
  <c r="S101" i="6"/>
  <c r="H102" i="6"/>
  <c r="I102" i="6"/>
  <c r="J102" i="6"/>
  <c r="K102" i="6"/>
  <c r="L102" i="6"/>
  <c r="M102" i="6"/>
  <c r="N102" i="6"/>
  <c r="O102" i="6"/>
  <c r="P102" i="6"/>
  <c r="Q102" i="6"/>
  <c r="R102" i="6"/>
  <c r="S102" i="6"/>
  <c r="H103" i="6"/>
  <c r="I103" i="6"/>
  <c r="J103" i="6"/>
  <c r="K103" i="6"/>
  <c r="L103" i="6"/>
  <c r="M103" i="6"/>
  <c r="N103" i="6"/>
  <c r="O103" i="6"/>
  <c r="P103" i="6"/>
  <c r="Q103" i="6"/>
  <c r="R103" i="6"/>
  <c r="S103" i="6"/>
  <c r="H104" i="6"/>
  <c r="I104" i="6"/>
  <c r="J104" i="6"/>
  <c r="K104" i="6"/>
  <c r="L104" i="6"/>
  <c r="M104" i="6"/>
  <c r="N104" i="6"/>
  <c r="O104" i="6"/>
  <c r="P104" i="6"/>
  <c r="Q104" i="6"/>
  <c r="R104" i="6"/>
  <c r="S104" i="6"/>
  <c r="H105" i="6"/>
  <c r="I105" i="6"/>
  <c r="J105" i="6"/>
  <c r="K105" i="6"/>
  <c r="L105" i="6"/>
  <c r="M105" i="6"/>
  <c r="N105" i="6"/>
  <c r="O105" i="6"/>
  <c r="P105" i="6"/>
  <c r="Q105" i="6"/>
  <c r="R105" i="6"/>
  <c r="S105" i="6"/>
  <c r="H106" i="6"/>
  <c r="I106" i="6"/>
  <c r="J106" i="6"/>
  <c r="K106" i="6"/>
  <c r="L106" i="6"/>
  <c r="M106" i="6"/>
  <c r="N106" i="6"/>
  <c r="O106" i="6"/>
  <c r="P106" i="6"/>
  <c r="Q106" i="6"/>
  <c r="R106" i="6"/>
  <c r="S106" i="6"/>
  <c r="H107" i="6"/>
  <c r="I107" i="6"/>
  <c r="J107" i="6"/>
  <c r="K107" i="6"/>
  <c r="L107" i="6"/>
  <c r="M107" i="6"/>
  <c r="N107" i="6"/>
  <c r="O107" i="6"/>
  <c r="P107" i="6"/>
  <c r="Q107" i="6"/>
  <c r="R107" i="6"/>
  <c r="S107" i="6"/>
  <c r="H108" i="6"/>
  <c r="I108" i="6"/>
  <c r="J108" i="6"/>
  <c r="K108" i="6"/>
  <c r="L108" i="6"/>
  <c r="M108" i="6"/>
  <c r="N108" i="6"/>
  <c r="O108" i="6"/>
  <c r="P108" i="6"/>
  <c r="Q108" i="6"/>
  <c r="R108" i="6"/>
  <c r="S108" i="6"/>
  <c r="H109" i="6"/>
  <c r="I109" i="6"/>
  <c r="J109" i="6"/>
  <c r="K109" i="6"/>
  <c r="L109" i="6"/>
  <c r="M109" i="6"/>
  <c r="N109" i="6"/>
  <c r="O109" i="6"/>
  <c r="P109" i="6"/>
  <c r="Q109" i="6"/>
  <c r="R109" i="6"/>
  <c r="S109" i="6"/>
  <c r="H110" i="6"/>
  <c r="I110" i="6"/>
  <c r="J110" i="6"/>
  <c r="K110" i="6"/>
  <c r="L110" i="6"/>
  <c r="M110" i="6"/>
  <c r="N110" i="6"/>
  <c r="O110" i="6"/>
  <c r="P110" i="6"/>
  <c r="Q110" i="6"/>
  <c r="R110" i="6"/>
  <c r="S110" i="6"/>
  <c r="H111" i="6"/>
  <c r="I111" i="6"/>
  <c r="J111" i="6"/>
  <c r="K111" i="6"/>
  <c r="L111" i="6"/>
  <c r="M111" i="6"/>
  <c r="N111" i="6"/>
  <c r="O111" i="6"/>
  <c r="P111" i="6"/>
  <c r="Q111" i="6"/>
  <c r="R111" i="6"/>
  <c r="S111" i="6"/>
  <c r="H112" i="6"/>
  <c r="I112" i="6"/>
  <c r="J112" i="6"/>
  <c r="K112" i="6"/>
  <c r="L112" i="6"/>
  <c r="M112" i="6"/>
  <c r="N112" i="6"/>
  <c r="O112" i="6"/>
  <c r="P112" i="6"/>
  <c r="Q112" i="6"/>
  <c r="R112" i="6"/>
  <c r="S112" i="6"/>
  <c r="H113" i="6"/>
  <c r="I113" i="6"/>
  <c r="J113" i="6"/>
  <c r="K113" i="6"/>
  <c r="L113" i="6"/>
  <c r="M113" i="6"/>
  <c r="N113" i="6"/>
  <c r="O113" i="6"/>
  <c r="P113" i="6"/>
  <c r="Q113" i="6"/>
  <c r="R113" i="6"/>
  <c r="S113" i="6"/>
  <c r="H114" i="6"/>
  <c r="I114" i="6"/>
  <c r="J114" i="6"/>
  <c r="K114" i="6"/>
  <c r="L114" i="6"/>
  <c r="M114" i="6"/>
  <c r="N114" i="6"/>
  <c r="O114" i="6"/>
  <c r="P114" i="6"/>
  <c r="Q114" i="6"/>
  <c r="R114" i="6"/>
  <c r="S114" i="6"/>
  <c r="H115" i="6"/>
  <c r="I115" i="6"/>
  <c r="J115" i="6"/>
  <c r="K115" i="6"/>
  <c r="L115" i="6"/>
  <c r="M115" i="6"/>
  <c r="N115" i="6"/>
  <c r="O115" i="6"/>
  <c r="P115" i="6"/>
  <c r="Q115" i="6"/>
  <c r="R115" i="6"/>
  <c r="S115" i="6"/>
  <c r="H116" i="6"/>
  <c r="I116" i="6"/>
  <c r="J116" i="6"/>
  <c r="K116" i="6"/>
  <c r="L116" i="6"/>
  <c r="M116" i="6"/>
  <c r="N116" i="6"/>
  <c r="O116" i="6"/>
  <c r="P116" i="6"/>
  <c r="Q116" i="6"/>
  <c r="R116" i="6"/>
  <c r="S116" i="6"/>
  <c r="H117" i="6"/>
  <c r="I117" i="6"/>
  <c r="J117" i="6"/>
  <c r="K117" i="6"/>
  <c r="L117" i="6"/>
  <c r="M117" i="6"/>
  <c r="N117" i="6"/>
  <c r="O117" i="6"/>
  <c r="P117" i="6"/>
  <c r="Q117" i="6"/>
  <c r="R117" i="6"/>
  <c r="S117" i="6"/>
  <c r="H118" i="6"/>
  <c r="I118" i="6"/>
  <c r="J118" i="6"/>
  <c r="K118" i="6"/>
  <c r="L118" i="6"/>
  <c r="M118" i="6"/>
  <c r="N118" i="6"/>
  <c r="O118" i="6"/>
  <c r="P118" i="6"/>
  <c r="Q118" i="6"/>
  <c r="R118" i="6"/>
  <c r="S118" i="6"/>
  <c r="S5" i="6"/>
  <c r="R5" i="6"/>
  <c r="Q5" i="6"/>
  <c r="P5" i="6"/>
  <c r="O5" i="6"/>
  <c r="N5" i="6"/>
  <c r="M5" i="6"/>
  <c r="L5" i="6"/>
  <c r="K5" i="6"/>
  <c r="J5" i="6"/>
  <c r="I5" i="6"/>
  <c r="H5" i="6"/>
  <c r="AH214" i="7"/>
  <c r="AH213" i="7"/>
  <c r="AH212" i="7"/>
  <c r="AH211" i="7"/>
  <c r="AH210" i="7"/>
  <c r="AH209" i="7"/>
  <c r="AH208" i="7"/>
  <c r="AH207" i="7"/>
  <c r="AH206" i="7"/>
  <c r="AH205" i="7"/>
  <c r="AH203" i="7"/>
  <c r="AH202" i="7"/>
  <c r="AH201" i="7"/>
  <c r="AH200" i="7"/>
  <c r="AH199" i="7"/>
  <c r="AH198" i="7"/>
  <c r="AH197" i="7"/>
  <c r="AH196" i="7"/>
  <c r="AH195" i="7"/>
  <c r="AH194" i="7"/>
  <c r="AH193" i="7"/>
  <c r="AH192" i="7"/>
  <c r="AH191" i="7"/>
  <c r="AH190" i="7"/>
  <c r="AH189" i="7"/>
  <c r="AH188" i="7"/>
  <c r="AH187" i="7"/>
  <c r="AH186" i="7"/>
  <c r="AH185" i="7"/>
  <c r="AH184" i="7"/>
  <c r="AH183" i="7"/>
  <c r="AH182" i="7"/>
  <c r="AH181" i="7"/>
  <c r="AH180" i="7"/>
  <c r="AH179" i="7"/>
  <c r="AH178" i="7"/>
  <c r="AH177" i="7"/>
  <c r="AH176" i="7"/>
  <c r="AH175" i="7"/>
  <c r="AH174" i="7"/>
  <c r="AH173" i="7"/>
  <c r="AH172" i="7"/>
  <c r="AH171" i="7"/>
  <c r="AH170" i="7"/>
  <c r="AH169" i="7"/>
  <c r="AH168" i="7"/>
  <c r="AH167" i="7"/>
  <c r="AH166" i="7"/>
  <c r="AH165" i="7"/>
  <c r="AH164" i="7"/>
  <c r="AH163" i="7"/>
  <c r="AH162" i="7"/>
  <c r="AH161" i="7"/>
  <c r="AH160" i="7"/>
  <c r="AH159" i="7"/>
  <c r="AH158" i="7"/>
  <c r="AH157" i="7"/>
  <c r="AH156" i="7"/>
  <c r="AH155" i="7"/>
  <c r="AH154" i="7"/>
  <c r="AH153" i="7"/>
  <c r="AH152" i="7"/>
  <c r="AH151" i="7"/>
  <c r="AH150" i="7"/>
  <c r="AH149" i="7"/>
  <c r="AH148" i="7"/>
  <c r="AH147" i="7"/>
  <c r="AH146" i="7"/>
  <c r="AH145" i="7"/>
  <c r="AH144" i="7"/>
  <c r="AH143" i="7"/>
  <c r="AH142" i="7"/>
  <c r="AH141" i="7"/>
  <c r="AH140" i="7"/>
  <c r="AH139" i="7"/>
  <c r="AH138" i="7"/>
  <c r="AH137" i="7"/>
  <c r="AH136" i="7"/>
  <c r="AH135" i="7"/>
  <c r="AH134" i="7"/>
  <c r="AH133" i="7"/>
  <c r="AH132" i="7"/>
  <c r="AH131" i="7"/>
  <c r="AH130" i="7"/>
  <c r="AH129" i="7"/>
  <c r="AH128" i="7"/>
  <c r="AH127" i="7"/>
  <c r="AH126" i="7"/>
  <c r="AH125" i="7"/>
  <c r="AH124" i="7"/>
  <c r="AH123" i="7"/>
  <c r="AH122" i="7"/>
  <c r="AH121" i="7"/>
  <c r="AH120" i="7"/>
  <c r="AH119" i="7"/>
  <c r="AH118" i="7"/>
  <c r="AH117" i="7"/>
  <c r="AH116" i="7"/>
  <c r="AH115" i="7"/>
  <c r="AH114" i="7"/>
  <c r="AH113" i="7"/>
  <c r="AH112" i="7"/>
  <c r="AH111" i="7"/>
  <c r="AH110" i="7"/>
  <c r="AH109" i="7"/>
  <c r="AH108" i="7"/>
  <c r="AH107" i="7"/>
  <c r="AH106" i="7"/>
  <c r="AH105" i="7"/>
  <c r="AH104" i="7"/>
  <c r="AH103" i="7"/>
  <c r="AH102" i="7"/>
  <c r="AH101" i="7"/>
  <c r="AH100" i="7"/>
  <c r="AH99" i="7"/>
  <c r="AH98" i="7"/>
  <c r="AH97" i="7"/>
  <c r="AH96" i="7"/>
  <c r="AH95" i="7"/>
  <c r="AH94" i="7"/>
  <c r="AH93" i="7"/>
  <c r="AH92" i="7"/>
  <c r="AH91" i="7"/>
  <c r="AH90" i="7"/>
  <c r="AH89" i="7"/>
  <c r="AH88" i="7"/>
  <c r="AH87" i="7"/>
  <c r="AH86" i="7"/>
  <c r="AH85" i="7"/>
  <c r="AH84" i="7"/>
  <c r="AH83" i="7"/>
  <c r="AH82" i="7"/>
  <c r="AH81" i="7"/>
  <c r="AH80" i="7"/>
  <c r="AH79" i="7"/>
  <c r="AH78" i="7"/>
  <c r="AH77" i="7"/>
  <c r="AH76" i="7"/>
  <c r="AH75" i="7"/>
  <c r="AH74" i="7"/>
  <c r="AH73" i="7"/>
  <c r="AH72" i="7"/>
  <c r="AH71" i="7"/>
  <c r="AH70" i="7"/>
  <c r="AH69" i="7"/>
  <c r="AH68" i="7"/>
  <c r="AH67" i="7"/>
  <c r="AH66" i="7"/>
  <c r="AH65" i="7"/>
  <c r="AH64" i="7"/>
  <c r="AH63" i="7"/>
  <c r="AH62" i="7"/>
  <c r="AH61" i="7"/>
  <c r="AH60" i="7"/>
  <c r="AH59" i="7"/>
  <c r="AH58" i="7"/>
  <c r="AH57" i="7"/>
  <c r="AH56" i="7"/>
  <c r="AH55" i="7"/>
  <c r="AH54" i="7"/>
  <c r="AH53" i="7"/>
  <c r="AH52" i="7"/>
  <c r="AH51" i="7"/>
  <c r="AH50" i="7"/>
  <c r="AH49" i="7"/>
  <c r="AH48" i="7"/>
  <c r="AH47" i="7"/>
  <c r="AH46" i="7"/>
  <c r="AH45" i="7"/>
  <c r="AH44" i="7"/>
  <c r="AH43" i="7"/>
  <c r="AH42" i="7"/>
  <c r="AH41" i="7"/>
  <c r="AH40" i="7"/>
  <c r="AH39" i="7"/>
  <c r="AH38" i="7"/>
  <c r="AH37" i="7"/>
  <c r="AH36" i="7"/>
  <c r="AH35" i="7"/>
  <c r="AH34" i="7"/>
  <c r="AH33" i="7"/>
  <c r="AH32" i="7"/>
  <c r="AH31" i="7"/>
  <c r="AH30" i="7"/>
  <c r="AH29" i="7"/>
  <c r="AH28" i="7"/>
  <c r="AH27" i="7"/>
  <c r="AH26" i="7"/>
  <c r="AH25" i="7"/>
  <c r="AH24" i="7"/>
  <c r="AH23" i="7"/>
  <c r="AH22" i="7"/>
  <c r="AH21" i="7"/>
  <c r="AH20" i="7"/>
  <c r="AH19" i="7"/>
  <c r="AH18" i="7"/>
  <c r="AH17" i="7"/>
  <c r="AH16" i="7"/>
  <c r="AF214" i="7"/>
  <c r="AF213" i="7"/>
  <c r="AF212" i="7"/>
  <c r="AF211" i="7"/>
  <c r="AF210" i="7"/>
  <c r="AF209" i="7"/>
  <c r="AF208" i="7"/>
  <c r="AF207" i="7"/>
  <c r="AF206" i="7"/>
  <c r="AF205" i="7"/>
  <c r="AF203" i="7"/>
  <c r="AF202" i="7"/>
  <c r="AF201" i="7"/>
  <c r="AF200" i="7"/>
  <c r="AF199" i="7"/>
  <c r="AF198" i="7"/>
  <c r="AF197" i="7"/>
  <c r="AF196" i="7"/>
  <c r="AF195" i="7"/>
  <c r="AF194" i="7"/>
  <c r="AF193" i="7"/>
  <c r="AF192" i="7"/>
  <c r="AF191" i="7"/>
  <c r="AF190" i="7"/>
  <c r="AF189" i="7"/>
  <c r="AF188" i="7"/>
  <c r="AF187" i="7"/>
  <c r="AF186" i="7"/>
  <c r="AF185" i="7"/>
  <c r="AF184" i="7"/>
  <c r="AF183" i="7"/>
  <c r="AF182" i="7"/>
  <c r="AF181" i="7"/>
  <c r="AF180" i="7"/>
  <c r="AF179" i="7"/>
  <c r="AF178" i="7"/>
  <c r="AF177" i="7"/>
  <c r="AF176" i="7"/>
  <c r="AF175" i="7"/>
  <c r="AF174" i="7"/>
  <c r="AF173" i="7"/>
  <c r="AF172" i="7"/>
  <c r="AF171" i="7"/>
  <c r="AF170" i="7"/>
  <c r="AF169" i="7"/>
  <c r="AF168" i="7"/>
  <c r="AF167" i="7"/>
  <c r="AF166" i="7"/>
  <c r="AF165" i="7"/>
  <c r="AF164" i="7"/>
  <c r="AF163" i="7"/>
  <c r="AF162" i="7"/>
  <c r="AF161" i="7"/>
  <c r="AF160" i="7"/>
  <c r="AF159" i="7"/>
  <c r="AF158" i="7"/>
  <c r="AF157" i="7"/>
  <c r="AF156" i="7"/>
  <c r="AF155" i="7"/>
  <c r="AF154" i="7"/>
  <c r="AF153" i="7"/>
  <c r="AF152" i="7"/>
  <c r="AF151" i="7"/>
  <c r="AF150" i="7"/>
  <c r="AF149" i="7"/>
  <c r="AF148" i="7"/>
  <c r="AF147" i="7"/>
  <c r="AF146" i="7"/>
  <c r="AF145" i="7"/>
  <c r="AF144" i="7"/>
  <c r="AF143" i="7"/>
  <c r="AF142" i="7"/>
  <c r="AF141" i="7"/>
  <c r="AF140" i="7"/>
  <c r="AF139" i="7"/>
  <c r="AF138" i="7"/>
  <c r="AF137" i="7"/>
  <c r="AF136" i="7"/>
  <c r="AF135" i="7"/>
  <c r="AF134" i="7"/>
  <c r="AF133" i="7"/>
  <c r="AF132" i="7"/>
  <c r="AF131" i="7"/>
  <c r="AF130" i="7"/>
  <c r="AF129" i="7"/>
  <c r="AF128" i="7"/>
  <c r="AF127" i="7"/>
  <c r="AF126" i="7"/>
  <c r="AF125" i="7"/>
  <c r="AF124" i="7"/>
  <c r="AF123" i="7"/>
  <c r="AF122" i="7"/>
  <c r="AF121" i="7"/>
  <c r="AF120" i="7"/>
  <c r="AF119" i="7"/>
  <c r="AF118" i="7"/>
  <c r="AF117" i="7"/>
  <c r="AF116" i="7"/>
  <c r="AF115" i="7"/>
  <c r="AF114" i="7"/>
  <c r="AF113" i="7"/>
  <c r="AF112" i="7"/>
  <c r="AF111" i="7"/>
  <c r="AF110" i="7"/>
  <c r="AF109" i="7"/>
  <c r="AF108" i="7"/>
  <c r="AF107" i="7"/>
  <c r="AF106" i="7"/>
  <c r="AF105" i="7"/>
  <c r="AF104" i="7"/>
  <c r="AF103" i="7"/>
  <c r="AF102" i="7"/>
  <c r="AF101" i="7"/>
  <c r="AF100" i="7"/>
  <c r="AF99" i="7"/>
  <c r="AF98" i="7"/>
  <c r="AF97" i="7"/>
  <c r="AF96" i="7"/>
  <c r="AF95" i="7"/>
  <c r="AF94" i="7"/>
  <c r="AF93" i="7"/>
  <c r="AF92" i="7"/>
  <c r="AF91" i="7"/>
  <c r="AF90" i="7"/>
  <c r="AF89" i="7"/>
  <c r="AF88" i="7"/>
  <c r="AF87" i="7"/>
  <c r="AF86" i="7"/>
  <c r="AF85" i="7"/>
  <c r="AF84" i="7"/>
  <c r="AF83" i="7"/>
  <c r="AF82" i="7"/>
  <c r="AF81" i="7"/>
  <c r="AF80" i="7"/>
  <c r="AF79" i="7"/>
  <c r="AF78" i="7"/>
  <c r="AF77" i="7"/>
  <c r="AF76" i="7"/>
  <c r="AF75" i="7"/>
  <c r="AF74" i="7"/>
  <c r="AF73" i="7"/>
  <c r="AF72" i="7"/>
  <c r="AF71" i="7"/>
  <c r="AF70" i="7"/>
  <c r="AF69" i="7"/>
  <c r="AF68" i="7"/>
  <c r="AF67" i="7"/>
  <c r="AF66" i="7"/>
  <c r="AF65" i="7"/>
  <c r="AF64" i="7"/>
  <c r="AF63" i="7"/>
  <c r="AF62" i="7"/>
  <c r="AF61" i="7"/>
  <c r="AF60" i="7"/>
  <c r="AF59" i="7"/>
  <c r="AF58" i="7"/>
  <c r="AF57" i="7"/>
  <c r="AF56" i="7"/>
  <c r="AF55" i="7"/>
  <c r="AF54" i="7"/>
  <c r="AF53" i="7"/>
  <c r="AF52" i="7"/>
  <c r="AF51" i="7"/>
  <c r="AF50" i="7"/>
  <c r="AF49" i="7"/>
  <c r="AF48" i="7"/>
  <c r="AF47" i="7"/>
  <c r="AF46" i="7"/>
  <c r="AF45" i="7"/>
  <c r="AF44" i="7"/>
  <c r="AF43" i="7"/>
  <c r="AF42" i="7"/>
  <c r="AF41" i="7"/>
  <c r="AF40" i="7"/>
  <c r="AF39" i="7"/>
  <c r="AF38" i="7"/>
  <c r="AF37" i="7"/>
  <c r="AF36" i="7"/>
  <c r="AF35" i="7"/>
  <c r="AF34" i="7"/>
  <c r="AF33" i="7"/>
  <c r="AF32" i="7"/>
  <c r="AF31" i="7"/>
  <c r="AF30" i="7"/>
  <c r="AF29" i="7"/>
  <c r="AF28" i="7"/>
  <c r="AF27" i="7"/>
  <c r="AF26" i="7"/>
  <c r="AF25" i="7"/>
  <c r="AF24" i="7"/>
  <c r="AF23" i="7"/>
  <c r="AF22" i="7"/>
  <c r="AF21" i="7"/>
  <c r="AF20" i="7"/>
  <c r="AF19" i="7"/>
  <c r="AF18" i="7"/>
  <c r="AF17" i="7"/>
  <c r="AF16" i="7"/>
  <c r="AD214" i="7"/>
  <c r="AD213" i="7"/>
  <c r="AD212" i="7"/>
  <c r="AD211" i="7"/>
  <c r="AD210" i="7"/>
  <c r="AD209" i="7"/>
  <c r="AD208" i="7"/>
  <c r="AD207" i="7"/>
  <c r="AD206" i="7"/>
  <c r="AD205" i="7"/>
  <c r="AD203" i="7"/>
  <c r="AD202" i="7"/>
  <c r="AD201" i="7"/>
  <c r="AD200" i="7"/>
  <c r="AD199" i="7"/>
  <c r="AD198" i="7"/>
  <c r="AD197" i="7"/>
  <c r="AD196" i="7"/>
  <c r="AD195" i="7"/>
  <c r="AD194" i="7"/>
  <c r="AD193" i="7"/>
  <c r="AD192" i="7"/>
  <c r="AD191" i="7"/>
  <c r="AD190" i="7"/>
  <c r="AD189" i="7"/>
  <c r="AD188" i="7"/>
  <c r="AD187" i="7"/>
  <c r="AD186" i="7"/>
  <c r="AD185" i="7"/>
  <c r="AD184" i="7"/>
  <c r="AD183" i="7"/>
  <c r="AD182" i="7"/>
  <c r="AD181" i="7"/>
  <c r="AD180" i="7"/>
  <c r="AD179" i="7"/>
  <c r="AD178" i="7"/>
  <c r="AD177" i="7"/>
  <c r="AD176" i="7"/>
  <c r="AD175" i="7"/>
  <c r="AD174" i="7"/>
  <c r="AD173" i="7"/>
  <c r="AD172" i="7"/>
  <c r="AD171" i="7"/>
  <c r="AD170" i="7"/>
  <c r="AD169" i="7"/>
  <c r="AD168" i="7"/>
  <c r="AD167" i="7"/>
  <c r="AD166" i="7"/>
  <c r="AD165" i="7"/>
  <c r="AD164" i="7"/>
  <c r="AD163" i="7"/>
  <c r="AD162" i="7"/>
  <c r="AD161" i="7"/>
  <c r="AD160" i="7"/>
  <c r="AD159" i="7"/>
  <c r="AD158" i="7"/>
  <c r="AD157" i="7"/>
  <c r="AD156" i="7"/>
  <c r="AD155" i="7"/>
  <c r="AD154" i="7"/>
  <c r="AD153" i="7"/>
  <c r="AD152" i="7"/>
  <c r="AD151" i="7"/>
  <c r="AD150" i="7"/>
  <c r="AD149" i="7"/>
  <c r="AD148" i="7"/>
  <c r="AD147" i="7"/>
  <c r="AD146" i="7"/>
  <c r="AD145" i="7"/>
  <c r="AD144" i="7"/>
  <c r="AD143" i="7"/>
  <c r="AD142" i="7"/>
  <c r="AD141" i="7"/>
  <c r="AD140" i="7"/>
  <c r="AD139" i="7"/>
  <c r="AD138" i="7"/>
  <c r="AD137" i="7"/>
  <c r="AD136" i="7"/>
  <c r="AD135" i="7"/>
  <c r="AD134" i="7"/>
  <c r="AD133" i="7"/>
  <c r="AD132" i="7"/>
  <c r="AD131" i="7"/>
  <c r="AD130" i="7"/>
  <c r="AD129" i="7"/>
  <c r="AD128" i="7"/>
  <c r="AD127" i="7"/>
  <c r="AD126" i="7"/>
  <c r="AD125" i="7"/>
  <c r="AD124" i="7"/>
  <c r="AD123" i="7"/>
  <c r="AD122" i="7"/>
  <c r="AD121" i="7"/>
  <c r="AD120" i="7"/>
  <c r="AD119" i="7"/>
  <c r="AD118" i="7"/>
  <c r="AD117" i="7"/>
  <c r="AD116" i="7"/>
  <c r="AD115" i="7"/>
  <c r="AD114" i="7"/>
  <c r="AD113" i="7"/>
  <c r="AD112" i="7"/>
  <c r="AD111" i="7"/>
  <c r="AD110" i="7"/>
  <c r="AD109" i="7"/>
  <c r="AD108" i="7"/>
  <c r="AD107" i="7"/>
  <c r="AD106" i="7"/>
  <c r="AD105" i="7"/>
  <c r="AD104" i="7"/>
  <c r="AD103" i="7"/>
  <c r="AD102" i="7"/>
  <c r="AD101" i="7"/>
  <c r="AD100" i="7"/>
  <c r="AD99" i="7"/>
  <c r="AD98" i="7"/>
  <c r="AD97" i="7"/>
  <c r="AD96" i="7"/>
  <c r="AD95" i="7"/>
  <c r="AD94" i="7"/>
  <c r="AD93" i="7"/>
  <c r="AD92" i="7"/>
  <c r="AD91" i="7"/>
  <c r="AD90" i="7"/>
  <c r="AD89" i="7"/>
  <c r="AD88" i="7"/>
  <c r="AD87" i="7"/>
  <c r="AD86" i="7"/>
  <c r="AD85" i="7"/>
  <c r="AD84" i="7"/>
  <c r="AD83" i="7"/>
  <c r="AD82" i="7"/>
  <c r="AD81" i="7"/>
  <c r="AD80" i="7"/>
  <c r="AD79" i="7"/>
  <c r="AD78" i="7"/>
  <c r="AD77" i="7"/>
  <c r="AD76" i="7"/>
  <c r="AD75" i="7"/>
  <c r="AD74" i="7"/>
  <c r="AD73" i="7"/>
  <c r="AD72" i="7"/>
  <c r="AD71" i="7"/>
  <c r="AD70" i="7"/>
  <c r="AD69" i="7"/>
  <c r="AD68" i="7"/>
  <c r="AD67" i="7"/>
  <c r="AD66" i="7"/>
  <c r="AD65" i="7"/>
  <c r="AD64" i="7"/>
  <c r="AD63" i="7"/>
  <c r="AD62" i="7"/>
  <c r="AD61" i="7"/>
  <c r="AD60" i="7"/>
  <c r="AD59" i="7"/>
  <c r="AD58" i="7"/>
  <c r="AD57" i="7"/>
  <c r="AD56" i="7"/>
  <c r="AD55" i="7"/>
  <c r="AD54" i="7"/>
  <c r="AD53" i="7"/>
  <c r="AD52" i="7"/>
  <c r="AD51" i="7"/>
  <c r="AD50" i="7"/>
  <c r="AD49" i="7"/>
  <c r="AD48" i="7"/>
  <c r="AD47" i="7"/>
  <c r="AD46" i="7"/>
  <c r="AD45" i="7"/>
  <c r="AD44" i="7"/>
  <c r="AD43" i="7"/>
  <c r="AD42" i="7"/>
  <c r="AD41" i="7"/>
  <c r="AD40" i="7"/>
  <c r="AD39" i="7"/>
  <c r="AD38" i="7"/>
  <c r="AD37" i="7"/>
  <c r="AD36" i="7"/>
  <c r="AD35" i="7"/>
  <c r="AD34" i="7"/>
  <c r="AD33" i="7"/>
  <c r="AD32" i="7"/>
  <c r="AD31" i="7"/>
  <c r="AD30" i="7"/>
  <c r="AD29" i="7"/>
  <c r="AD28" i="7"/>
  <c r="AD27" i="7"/>
  <c r="AD26" i="7"/>
  <c r="AD25" i="7"/>
  <c r="AD24" i="7"/>
  <c r="AD23" i="7"/>
  <c r="AD22" i="7"/>
  <c r="AD21" i="7"/>
  <c r="AD20" i="7"/>
  <c r="AD19" i="7"/>
  <c r="AD18" i="7"/>
  <c r="AD17" i="7"/>
  <c r="AD16" i="7"/>
  <c r="AB214" i="7"/>
  <c r="AB213" i="7"/>
  <c r="AB212" i="7"/>
  <c r="AB211" i="7"/>
  <c r="AB210" i="7"/>
  <c r="AB209" i="7"/>
  <c r="AB208" i="7"/>
  <c r="AB207" i="7"/>
  <c r="AB206" i="7"/>
  <c r="AB205" i="7"/>
  <c r="AB203" i="7"/>
  <c r="AB202" i="7"/>
  <c r="AB201" i="7"/>
  <c r="AB200" i="7"/>
  <c r="AB199" i="7"/>
  <c r="AB198" i="7"/>
  <c r="AB197" i="7"/>
  <c r="AB196" i="7"/>
  <c r="AB195" i="7"/>
  <c r="AB194" i="7"/>
  <c r="AB193" i="7"/>
  <c r="AB192" i="7"/>
  <c r="AB191" i="7"/>
  <c r="AB190" i="7"/>
  <c r="AB189" i="7"/>
  <c r="AB188" i="7"/>
  <c r="AB187" i="7"/>
  <c r="AB186" i="7"/>
  <c r="AB185" i="7"/>
  <c r="AB184" i="7"/>
  <c r="AB183" i="7"/>
  <c r="AB182" i="7"/>
  <c r="AB181" i="7"/>
  <c r="AB180" i="7"/>
  <c r="AB179" i="7"/>
  <c r="AB178" i="7"/>
  <c r="AB177" i="7"/>
  <c r="AB176" i="7"/>
  <c r="AB175" i="7"/>
  <c r="AB174" i="7"/>
  <c r="AB173" i="7"/>
  <c r="AB172" i="7"/>
  <c r="AB171" i="7"/>
  <c r="AB170" i="7"/>
  <c r="AB169" i="7"/>
  <c r="AB168" i="7"/>
  <c r="AB167" i="7"/>
  <c r="AB166" i="7"/>
  <c r="AB165" i="7"/>
  <c r="AB164" i="7"/>
  <c r="AB163" i="7"/>
  <c r="AB162" i="7"/>
  <c r="AB161" i="7"/>
  <c r="AB160" i="7"/>
  <c r="AB159" i="7"/>
  <c r="AB158" i="7"/>
  <c r="AB157" i="7"/>
  <c r="AB156" i="7"/>
  <c r="AB155" i="7"/>
  <c r="AB154" i="7"/>
  <c r="AB153" i="7"/>
  <c r="AB152" i="7"/>
  <c r="AB151" i="7"/>
  <c r="AB150" i="7"/>
  <c r="AB149" i="7"/>
  <c r="AB148" i="7"/>
  <c r="AB147" i="7"/>
  <c r="AB146" i="7"/>
  <c r="AB145" i="7"/>
  <c r="AB144" i="7"/>
  <c r="AB143" i="7"/>
  <c r="AB142" i="7"/>
  <c r="AB141" i="7"/>
  <c r="AB140" i="7"/>
  <c r="AB139" i="7"/>
  <c r="AB138" i="7"/>
  <c r="AB137" i="7"/>
  <c r="AB136" i="7"/>
  <c r="AB135" i="7"/>
  <c r="AB134" i="7"/>
  <c r="AB133" i="7"/>
  <c r="AB132" i="7"/>
  <c r="AB131" i="7"/>
  <c r="AB130" i="7"/>
  <c r="AB129" i="7"/>
  <c r="AB128" i="7"/>
  <c r="AB127" i="7"/>
  <c r="AB126" i="7"/>
  <c r="AB125" i="7"/>
  <c r="AB124" i="7"/>
  <c r="AB123" i="7"/>
  <c r="AB122" i="7"/>
  <c r="AB121" i="7"/>
  <c r="AB120" i="7"/>
  <c r="AB119" i="7"/>
  <c r="AB118" i="7"/>
  <c r="AB117" i="7"/>
  <c r="AB116" i="7"/>
  <c r="AB115" i="7"/>
  <c r="AB114" i="7"/>
  <c r="AB113" i="7"/>
  <c r="AB112" i="7"/>
  <c r="AB111" i="7"/>
  <c r="AB110" i="7"/>
  <c r="AB109" i="7"/>
  <c r="AB108" i="7"/>
  <c r="AB107" i="7"/>
  <c r="AB106" i="7"/>
  <c r="AB105" i="7"/>
  <c r="AB104" i="7"/>
  <c r="AB103" i="7"/>
  <c r="AB102" i="7"/>
  <c r="AB101" i="7"/>
  <c r="AB100" i="7"/>
  <c r="AB99" i="7"/>
  <c r="AB98" i="7"/>
  <c r="AB97" i="7"/>
  <c r="AB96" i="7"/>
  <c r="AB95" i="7"/>
  <c r="AB94" i="7"/>
  <c r="AB93" i="7"/>
  <c r="AB92" i="7"/>
  <c r="AB91" i="7"/>
  <c r="AB90" i="7"/>
  <c r="AB89" i="7"/>
  <c r="AB88" i="7"/>
  <c r="AB87" i="7"/>
  <c r="AB86" i="7"/>
  <c r="AB85" i="7"/>
  <c r="AB84" i="7"/>
  <c r="AB83" i="7"/>
  <c r="AB82" i="7"/>
  <c r="AB81" i="7"/>
  <c r="AB80" i="7"/>
  <c r="AB79" i="7"/>
  <c r="AB78" i="7"/>
  <c r="AB77" i="7"/>
  <c r="AB76" i="7"/>
  <c r="AB75" i="7"/>
  <c r="AB74" i="7"/>
  <c r="AB73" i="7"/>
  <c r="AB72" i="7"/>
  <c r="AB71" i="7"/>
  <c r="AB70" i="7"/>
  <c r="AB69" i="7"/>
  <c r="AB68" i="7"/>
  <c r="AB67" i="7"/>
  <c r="AB66" i="7"/>
  <c r="AB65" i="7"/>
  <c r="AB64" i="7"/>
  <c r="AB63" i="7"/>
  <c r="AB62" i="7"/>
  <c r="AB61" i="7"/>
  <c r="AB60" i="7"/>
  <c r="AB59" i="7"/>
  <c r="AB58" i="7"/>
  <c r="AB57" i="7"/>
  <c r="AB56" i="7"/>
  <c r="AB55" i="7"/>
  <c r="AB54" i="7"/>
  <c r="AB53" i="7"/>
  <c r="AB52" i="7"/>
  <c r="AB51" i="7"/>
  <c r="AB50" i="7"/>
  <c r="AB49" i="7"/>
  <c r="AB48" i="7"/>
  <c r="AB47" i="7"/>
  <c r="AB46" i="7"/>
  <c r="AB45" i="7"/>
  <c r="AB44" i="7"/>
  <c r="AB43" i="7"/>
  <c r="AB42" i="7"/>
  <c r="AB41" i="7"/>
  <c r="AB40" i="7"/>
  <c r="AB39" i="7"/>
  <c r="AB38" i="7"/>
  <c r="AB37" i="7"/>
  <c r="AB36" i="7"/>
  <c r="AB35" i="7"/>
  <c r="AB34" i="7"/>
  <c r="AB33" i="7"/>
  <c r="AB32" i="7"/>
  <c r="AB31" i="7"/>
  <c r="AB30" i="7"/>
  <c r="AB29" i="7"/>
  <c r="AB28" i="7"/>
  <c r="AB27" i="7"/>
  <c r="AB26" i="7"/>
  <c r="AB25" i="7"/>
  <c r="AB24" i="7"/>
  <c r="AB23" i="7"/>
  <c r="AB22" i="7"/>
  <c r="AB21" i="7"/>
  <c r="AB20" i="7"/>
  <c r="AB19" i="7"/>
  <c r="AB18" i="7"/>
  <c r="AB17" i="7"/>
  <c r="AB16" i="7"/>
  <c r="Z214" i="7"/>
  <c r="Z213" i="7"/>
  <c r="Z212" i="7"/>
  <c r="Z211" i="7"/>
  <c r="Z210" i="7"/>
  <c r="Z209" i="7"/>
  <c r="Z208" i="7"/>
  <c r="Z207" i="7"/>
  <c r="Z206" i="7"/>
  <c r="Z205" i="7"/>
  <c r="Z203" i="7"/>
  <c r="Z202" i="7"/>
  <c r="Z201" i="7"/>
  <c r="Z200" i="7"/>
  <c r="Z199" i="7"/>
  <c r="Z198" i="7"/>
  <c r="Z197" i="7"/>
  <c r="Z196" i="7"/>
  <c r="Z195" i="7"/>
  <c r="Z194" i="7"/>
  <c r="Z193" i="7"/>
  <c r="Z192" i="7"/>
  <c r="Z191" i="7"/>
  <c r="Z190" i="7"/>
  <c r="Z189" i="7"/>
  <c r="Z188" i="7"/>
  <c r="Z187" i="7"/>
  <c r="Z186" i="7"/>
  <c r="Z185" i="7"/>
  <c r="Z184" i="7"/>
  <c r="Z183" i="7"/>
  <c r="Z182" i="7"/>
  <c r="Z181" i="7"/>
  <c r="Z180" i="7"/>
  <c r="Z179" i="7"/>
  <c r="Z178" i="7"/>
  <c r="Z177" i="7"/>
  <c r="Z176" i="7"/>
  <c r="Z175" i="7"/>
  <c r="Z174" i="7"/>
  <c r="Z173" i="7"/>
  <c r="Z172" i="7"/>
  <c r="Z171" i="7"/>
  <c r="Z170" i="7"/>
  <c r="Z169" i="7"/>
  <c r="Z168" i="7"/>
  <c r="Z167" i="7"/>
  <c r="Z166" i="7"/>
  <c r="Z165" i="7"/>
  <c r="Z164" i="7"/>
  <c r="Z163" i="7"/>
  <c r="Z162" i="7"/>
  <c r="Z161" i="7"/>
  <c r="Z160" i="7"/>
  <c r="Z159" i="7"/>
  <c r="Z158" i="7"/>
  <c r="Z157" i="7"/>
  <c r="Z156" i="7"/>
  <c r="Z155" i="7"/>
  <c r="Z154" i="7"/>
  <c r="Z153" i="7"/>
  <c r="Z152" i="7"/>
  <c r="Z151" i="7"/>
  <c r="Z150" i="7"/>
  <c r="Z149" i="7"/>
  <c r="Z148" i="7"/>
  <c r="Z147" i="7"/>
  <c r="Z146" i="7"/>
  <c r="Z145" i="7"/>
  <c r="Z144" i="7"/>
  <c r="Z143" i="7"/>
  <c r="Z142" i="7"/>
  <c r="Z141" i="7"/>
  <c r="Z140" i="7"/>
  <c r="Z139" i="7"/>
  <c r="Z138" i="7"/>
  <c r="Z137" i="7"/>
  <c r="Z136" i="7"/>
  <c r="Z135" i="7"/>
  <c r="Z134" i="7"/>
  <c r="Z133" i="7"/>
  <c r="Z132" i="7"/>
  <c r="Z131" i="7"/>
  <c r="Z130" i="7"/>
  <c r="Z129" i="7"/>
  <c r="Z128" i="7"/>
  <c r="Z127" i="7"/>
  <c r="Z126" i="7"/>
  <c r="Z125" i="7"/>
  <c r="Z124" i="7"/>
  <c r="Z123" i="7"/>
  <c r="Z122" i="7"/>
  <c r="Z121" i="7"/>
  <c r="Z120" i="7"/>
  <c r="Z119" i="7"/>
  <c r="Z118" i="7"/>
  <c r="Z117" i="7"/>
  <c r="Z116" i="7"/>
  <c r="Z115" i="7"/>
  <c r="Z114" i="7"/>
  <c r="Z113" i="7"/>
  <c r="Z112" i="7"/>
  <c r="Z111" i="7"/>
  <c r="Z110" i="7"/>
  <c r="Z109" i="7"/>
  <c r="Z108" i="7"/>
  <c r="Z107" i="7"/>
  <c r="Z106" i="7"/>
  <c r="Z105" i="7"/>
  <c r="Z104" i="7"/>
  <c r="Z103" i="7"/>
  <c r="Z102" i="7"/>
  <c r="Z101" i="7"/>
  <c r="Z100" i="7"/>
  <c r="Z99" i="7"/>
  <c r="Z98" i="7"/>
  <c r="Z97" i="7"/>
  <c r="Z96" i="7"/>
  <c r="Z95" i="7"/>
  <c r="Z94" i="7"/>
  <c r="Z93" i="7"/>
  <c r="Z92" i="7"/>
  <c r="Z91" i="7"/>
  <c r="Z90" i="7"/>
  <c r="Z89" i="7"/>
  <c r="Z88" i="7"/>
  <c r="Z87" i="7"/>
  <c r="Z86" i="7"/>
  <c r="Z85" i="7"/>
  <c r="Z84" i="7"/>
  <c r="Z83" i="7"/>
  <c r="Z82" i="7"/>
  <c r="Z81" i="7"/>
  <c r="Z80" i="7"/>
  <c r="Z79" i="7"/>
  <c r="Z78" i="7"/>
  <c r="Z77" i="7"/>
  <c r="Z76" i="7"/>
  <c r="Z75" i="7"/>
  <c r="Z74" i="7"/>
  <c r="Z73" i="7"/>
  <c r="Z72" i="7"/>
  <c r="Z71" i="7"/>
  <c r="Z70" i="7"/>
  <c r="Z69" i="7"/>
  <c r="Z68" i="7"/>
  <c r="Z67" i="7"/>
  <c r="Z66" i="7"/>
  <c r="Z65" i="7"/>
  <c r="Z64" i="7"/>
  <c r="Z63" i="7"/>
  <c r="Z62" i="7"/>
  <c r="Z61" i="7"/>
  <c r="Z60" i="7"/>
  <c r="Z59" i="7"/>
  <c r="Z58" i="7"/>
  <c r="Z57" i="7"/>
  <c r="Z56" i="7"/>
  <c r="Z55" i="7"/>
  <c r="Z54" i="7"/>
  <c r="Z53" i="7"/>
  <c r="Z52" i="7"/>
  <c r="Z51" i="7"/>
  <c r="Z50" i="7"/>
  <c r="Z49" i="7"/>
  <c r="Z48" i="7"/>
  <c r="Z47" i="7"/>
  <c r="Z46" i="7"/>
  <c r="Z45" i="7"/>
  <c r="Z44" i="7"/>
  <c r="Z43" i="7"/>
  <c r="Z42" i="7"/>
  <c r="Z41" i="7"/>
  <c r="Z40" i="7"/>
  <c r="Z39" i="7"/>
  <c r="Z38" i="7"/>
  <c r="Z37" i="7"/>
  <c r="Z36" i="7"/>
  <c r="Z35" i="7"/>
  <c r="Z34" i="7"/>
  <c r="Z33" i="7"/>
  <c r="Z32" i="7"/>
  <c r="Z31" i="7"/>
  <c r="Z30" i="7"/>
  <c r="Z29" i="7"/>
  <c r="Z28" i="7"/>
  <c r="Z27" i="7"/>
  <c r="Z26" i="7"/>
  <c r="Z25" i="7"/>
  <c r="Z24" i="7"/>
  <c r="Z23" i="7"/>
  <c r="Z22" i="7"/>
  <c r="Z21" i="7"/>
  <c r="Z20" i="7"/>
  <c r="Z19" i="7"/>
  <c r="Z18" i="7"/>
  <c r="Z17" i="7"/>
  <c r="Z16" i="7"/>
  <c r="X214" i="7"/>
  <c r="X213" i="7"/>
  <c r="X212" i="7"/>
  <c r="X211" i="7"/>
  <c r="X210" i="7"/>
  <c r="X209" i="7"/>
  <c r="X208" i="7"/>
  <c r="X207" i="7"/>
  <c r="X206" i="7"/>
  <c r="X205" i="7"/>
  <c r="X203" i="7"/>
  <c r="X202" i="7"/>
  <c r="X201" i="7"/>
  <c r="X200" i="7"/>
  <c r="X199" i="7"/>
  <c r="X198" i="7"/>
  <c r="X197" i="7"/>
  <c r="X196" i="7"/>
  <c r="X195" i="7"/>
  <c r="X194" i="7"/>
  <c r="X193" i="7"/>
  <c r="X192" i="7"/>
  <c r="X191" i="7"/>
  <c r="X190" i="7"/>
  <c r="X189" i="7"/>
  <c r="X188" i="7"/>
  <c r="X187" i="7"/>
  <c r="X186" i="7"/>
  <c r="X185" i="7"/>
  <c r="X184" i="7"/>
  <c r="X183" i="7"/>
  <c r="X182" i="7"/>
  <c r="X181" i="7"/>
  <c r="X180" i="7"/>
  <c r="X179" i="7"/>
  <c r="X178" i="7"/>
  <c r="X177" i="7"/>
  <c r="X176" i="7"/>
  <c r="X175" i="7"/>
  <c r="X174" i="7"/>
  <c r="X173" i="7"/>
  <c r="X172" i="7"/>
  <c r="X171" i="7"/>
  <c r="X170" i="7"/>
  <c r="X169" i="7"/>
  <c r="X168" i="7"/>
  <c r="X167" i="7"/>
  <c r="X166" i="7"/>
  <c r="X165" i="7"/>
  <c r="X164" i="7"/>
  <c r="X163" i="7"/>
  <c r="X162" i="7"/>
  <c r="X161" i="7"/>
  <c r="X160" i="7"/>
  <c r="X159" i="7"/>
  <c r="X158" i="7"/>
  <c r="X157" i="7"/>
  <c r="X156" i="7"/>
  <c r="X155" i="7"/>
  <c r="X154" i="7"/>
  <c r="X153" i="7"/>
  <c r="X152" i="7"/>
  <c r="X151" i="7"/>
  <c r="X150" i="7"/>
  <c r="X149" i="7"/>
  <c r="X148" i="7"/>
  <c r="X147" i="7"/>
  <c r="X146" i="7"/>
  <c r="X145" i="7"/>
  <c r="X144" i="7"/>
  <c r="X143" i="7"/>
  <c r="X142" i="7"/>
  <c r="X141" i="7"/>
  <c r="X140" i="7"/>
  <c r="X139" i="7"/>
  <c r="X138" i="7"/>
  <c r="X137" i="7"/>
  <c r="X136" i="7"/>
  <c r="X135" i="7"/>
  <c r="X134" i="7"/>
  <c r="X133" i="7"/>
  <c r="X132" i="7"/>
  <c r="X131" i="7"/>
  <c r="X130" i="7"/>
  <c r="X129" i="7"/>
  <c r="X128" i="7"/>
  <c r="X127" i="7"/>
  <c r="X126" i="7"/>
  <c r="X125" i="7"/>
  <c r="X124" i="7"/>
  <c r="X123" i="7"/>
  <c r="X122" i="7"/>
  <c r="X121" i="7"/>
  <c r="X120" i="7"/>
  <c r="X119" i="7"/>
  <c r="X118" i="7"/>
  <c r="X117" i="7"/>
  <c r="X116" i="7"/>
  <c r="X115" i="7"/>
  <c r="X114" i="7"/>
  <c r="X113" i="7"/>
  <c r="X112" i="7"/>
  <c r="X111" i="7"/>
  <c r="X110" i="7"/>
  <c r="X109" i="7"/>
  <c r="X108" i="7"/>
  <c r="X107" i="7"/>
  <c r="X106" i="7"/>
  <c r="X105" i="7"/>
  <c r="X104" i="7"/>
  <c r="X103" i="7"/>
  <c r="X102" i="7"/>
  <c r="X101" i="7"/>
  <c r="X100" i="7"/>
  <c r="X99" i="7"/>
  <c r="X98" i="7"/>
  <c r="X97" i="7"/>
  <c r="X96" i="7"/>
  <c r="X95" i="7"/>
  <c r="X94" i="7"/>
  <c r="X93" i="7"/>
  <c r="X92" i="7"/>
  <c r="X91" i="7"/>
  <c r="X90" i="7"/>
  <c r="X89" i="7"/>
  <c r="X88" i="7"/>
  <c r="X87" i="7"/>
  <c r="X86" i="7"/>
  <c r="X85" i="7"/>
  <c r="X84" i="7"/>
  <c r="X83" i="7"/>
  <c r="X82" i="7"/>
  <c r="X81" i="7"/>
  <c r="X80" i="7"/>
  <c r="X79" i="7"/>
  <c r="X78" i="7"/>
  <c r="X77" i="7"/>
  <c r="X76" i="7"/>
  <c r="X75" i="7"/>
  <c r="X74" i="7"/>
  <c r="X73" i="7"/>
  <c r="X72" i="7"/>
  <c r="X71" i="7"/>
  <c r="X70" i="7"/>
  <c r="X69" i="7"/>
  <c r="X68" i="7"/>
  <c r="X67" i="7"/>
  <c r="X66" i="7"/>
  <c r="X65" i="7"/>
  <c r="X64" i="7"/>
  <c r="X63" i="7"/>
  <c r="X62" i="7"/>
  <c r="X61" i="7"/>
  <c r="X60" i="7"/>
  <c r="X59" i="7"/>
  <c r="X58" i="7"/>
  <c r="X57" i="7"/>
  <c r="X56" i="7"/>
  <c r="X55" i="7"/>
  <c r="X54" i="7"/>
  <c r="X53" i="7"/>
  <c r="X52" i="7"/>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V214" i="7"/>
  <c r="V213" i="7"/>
  <c r="V212" i="7"/>
  <c r="V211" i="7"/>
  <c r="V210" i="7"/>
  <c r="V209" i="7"/>
  <c r="V208" i="7"/>
  <c r="V207" i="7"/>
  <c r="V206" i="7"/>
  <c r="V205" i="7"/>
  <c r="V203" i="7"/>
  <c r="V202" i="7"/>
  <c r="V201" i="7"/>
  <c r="V200" i="7"/>
  <c r="V199" i="7"/>
  <c r="V198" i="7"/>
  <c r="V197" i="7"/>
  <c r="V196" i="7"/>
  <c r="V195" i="7"/>
  <c r="V194" i="7"/>
  <c r="V193" i="7"/>
  <c r="V192" i="7"/>
  <c r="V191" i="7"/>
  <c r="V190" i="7"/>
  <c r="V189" i="7"/>
  <c r="V188" i="7"/>
  <c r="V187" i="7"/>
  <c r="V186" i="7"/>
  <c r="V185" i="7"/>
  <c r="V184" i="7"/>
  <c r="V183" i="7"/>
  <c r="V182" i="7"/>
  <c r="V181" i="7"/>
  <c r="V180" i="7"/>
  <c r="V179" i="7"/>
  <c r="V178" i="7"/>
  <c r="V177" i="7"/>
  <c r="V176" i="7"/>
  <c r="V175" i="7"/>
  <c r="V174" i="7"/>
  <c r="V173" i="7"/>
  <c r="V172" i="7"/>
  <c r="V171" i="7"/>
  <c r="V170" i="7"/>
  <c r="V169" i="7"/>
  <c r="V168" i="7"/>
  <c r="V167" i="7"/>
  <c r="V166" i="7"/>
  <c r="V165" i="7"/>
  <c r="V164" i="7"/>
  <c r="V163" i="7"/>
  <c r="V162" i="7"/>
  <c r="V161" i="7"/>
  <c r="V160" i="7"/>
  <c r="V159" i="7"/>
  <c r="V158" i="7"/>
  <c r="V157" i="7"/>
  <c r="V156" i="7"/>
  <c r="V155" i="7"/>
  <c r="V154" i="7"/>
  <c r="V153" i="7"/>
  <c r="V152" i="7"/>
  <c r="V151" i="7"/>
  <c r="V150" i="7"/>
  <c r="V149" i="7"/>
  <c r="V148" i="7"/>
  <c r="V147" i="7"/>
  <c r="V146" i="7"/>
  <c r="V145" i="7"/>
  <c r="V144" i="7"/>
  <c r="V143" i="7"/>
  <c r="V142" i="7"/>
  <c r="V141" i="7"/>
  <c r="V140" i="7"/>
  <c r="V139" i="7"/>
  <c r="V138" i="7"/>
  <c r="V137" i="7"/>
  <c r="V136" i="7"/>
  <c r="V135" i="7"/>
  <c r="V134" i="7"/>
  <c r="V133" i="7"/>
  <c r="V132" i="7"/>
  <c r="V131" i="7"/>
  <c r="V130" i="7"/>
  <c r="V129" i="7"/>
  <c r="V128" i="7"/>
  <c r="V127" i="7"/>
  <c r="V126" i="7"/>
  <c r="V125" i="7"/>
  <c r="V124" i="7"/>
  <c r="V123" i="7"/>
  <c r="V122" i="7"/>
  <c r="V121" i="7"/>
  <c r="V120" i="7"/>
  <c r="V119" i="7"/>
  <c r="V118" i="7"/>
  <c r="V117" i="7"/>
  <c r="V116" i="7"/>
  <c r="V115" i="7"/>
  <c r="V114" i="7"/>
  <c r="V113" i="7"/>
  <c r="V112" i="7"/>
  <c r="V111" i="7"/>
  <c r="V110" i="7"/>
  <c r="V109" i="7"/>
  <c r="V108" i="7"/>
  <c r="V107" i="7"/>
  <c r="V106" i="7"/>
  <c r="V105" i="7"/>
  <c r="V104" i="7"/>
  <c r="V103" i="7"/>
  <c r="V102" i="7"/>
  <c r="V101" i="7"/>
  <c r="V100" i="7"/>
  <c r="V99" i="7"/>
  <c r="V98" i="7"/>
  <c r="V97" i="7"/>
  <c r="V96" i="7"/>
  <c r="V95" i="7"/>
  <c r="V94" i="7"/>
  <c r="V93" i="7"/>
  <c r="V92" i="7"/>
  <c r="V91" i="7"/>
  <c r="V90" i="7"/>
  <c r="V89" i="7"/>
  <c r="V88" i="7"/>
  <c r="V87" i="7"/>
  <c r="V86" i="7"/>
  <c r="V85" i="7"/>
  <c r="V84" i="7"/>
  <c r="V83" i="7"/>
  <c r="V82" i="7"/>
  <c r="V81" i="7"/>
  <c r="V80" i="7"/>
  <c r="V79" i="7"/>
  <c r="V78" i="7"/>
  <c r="V77" i="7"/>
  <c r="V76" i="7"/>
  <c r="V75" i="7"/>
  <c r="V74" i="7"/>
  <c r="V73" i="7"/>
  <c r="V72" i="7"/>
  <c r="V71" i="7"/>
  <c r="V70" i="7"/>
  <c r="V69" i="7"/>
  <c r="V68" i="7"/>
  <c r="V67" i="7"/>
  <c r="V66" i="7"/>
  <c r="V65" i="7"/>
  <c r="V64" i="7"/>
  <c r="V63" i="7"/>
  <c r="V62" i="7"/>
  <c r="V61" i="7"/>
  <c r="V60" i="7"/>
  <c r="V59" i="7"/>
  <c r="V58" i="7"/>
  <c r="V57" i="7"/>
  <c r="V56" i="7"/>
  <c r="V55" i="7"/>
  <c r="V54" i="7"/>
  <c r="V53" i="7"/>
  <c r="V52" i="7"/>
  <c r="V51" i="7"/>
  <c r="V50" i="7"/>
  <c r="V49" i="7"/>
  <c r="V48" i="7"/>
  <c r="V47" i="7"/>
  <c r="V46" i="7"/>
  <c r="V45" i="7"/>
  <c r="V44" i="7"/>
  <c r="V43" i="7"/>
  <c r="V42" i="7"/>
  <c r="V41" i="7"/>
  <c r="V40" i="7"/>
  <c r="V39" i="7"/>
  <c r="V38" i="7"/>
  <c r="V37" i="7"/>
  <c r="V36" i="7"/>
  <c r="V35" i="7"/>
  <c r="V34" i="7"/>
  <c r="V33" i="7"/>
  <c r="V32" i="7"/>
  <c r="V31" i="7"/>
  <c r="V30" i="7"/>
  <c r="V29" i="7"/>
  <c r="V28" i="7"/>
  <c r="V27" i="7"/>
  <c r="V26" i="7"/>
  <c r="V25" i="7"/>
  <c r="V24" i="7"/>
  <c r="V23" i="7"/>
  <c r="V22" i="7"/>
  <c r="V21" i="7"/>
  <c r="V20" i="7"/>
  <c r="V19" i="7"/>
  <c r="V18" i="7"/>
  <c r="V17" i="7"/>
  <c r="V16" i="7"/>
  <c r="T214" i="7"/>
  <c r="T213" i="7"/>
  <c r="T212" i="7"/>
  <c r="T211" i="7"/>
  <c r="T210" i="7"/>
  <c r="T209" i="7"/>
  <c r="T208" i="7"/>
  <c r="T207" i="7"/>
  <c r="T206" i="7"/>
  <c r="T205" i="7"/>
  <c r="T203" i="7"/>
  <c r="T202" i="7"/>
  <c r="T201" i="7"/>
  <c r="T200" i="7"/>
  <c r="T199" i="7"/>
  <c r="T198" i="7"/>
  <c r="T197" i="7"/>
  <c r="T196" i="7"/>
  <c r="T195" i="7"/>
  <c r="T194" i="7"/>
  <c r="T193" i="7"/>
  <c r="T192" i="7"/>
  <c r="T191" i="7"/>
  <c r="T190" i="7"/>
  <c r="T189" i="7"/>
  <c r="T188" i="7"/>
  <c r="T187" i="7"/>
  <c r="T186" i="7"/>
  <c r="T185" i="7"/>
  <c r="T184" i="7"/>
  <c r="T183" i="7"/>
  <c r="T182" i="7"/>
  <c r="T181" i="7"/>
  <c r="T180" i="7"/>
  <c r="T179" i="7"/>
  <c r="T178" i="7"/>
  <c r="T177" i="7"/>
  <c r="T176" i="7"/>
  <c r="T175" i="7"/>
  <c r="T174" i="7"/>
  <c r="T173" i="7"/>
  <c r="T172" i="7"/>
  <c r="T171" i="7"/>
  <c r="T170" i="7"/>
  <c r="T169" i="7"/>
  <c r="T168" i="7"/>
  <c r="T167" i="7"/>
  <c r="T166" i="7"/>
  <c r="T165" i="7"/>
  <c r="T164" i="7"/>
  <c r="T163" i="7"/>
  <c r="T162" i="7"/>
  <c r="T161" i="7"/>
  <c r="T160" i="7"/>
  <c r="T159" i="7"/>
  <c r="T158" i="7"/>
  <c r="T157" i="7"/>
  <c r="T156" i="7"/>
  <c r="T155" i="7"/>
  <c r="T154" i="7"/>
  <c r="T153" i="7"/>
  <c r="T152" i="7"/>
  <c r="T151" i="7"/>
  <c r="T150" i="7"/>
  <c r="T149" i="7"/>
  <c r="T148" i="7"/>
  <c r="T147" i="7"/>
  <c r="T146" i="7"/>
  <c r="T145" i="7"/>
  <c r="T144" i="7"/>
  <c r="T143" i="7"/>
  <c r="T142" i="7"/>
  <c r="T141" i="7"/>
  <c r="T140" i="7"/>
  <c r="T139" i="7"/>
  <c r="T138" i="7"/>
  <c r="T137" i="7"/>
  <c r="T136" i="7"/>
  <c r="T135" i="7"/>
  <c r="T134" i="7"/>
  <c r="T133" i="7"/>
  <c r="T132" i="7"/>
  <c r="T131" i="7"/>
  <c r="T130" i="7"/>
  <c r="T129" i="7"/>
  <c r="T128" i="7"/>
  <c r="T127" i="7"/>
  <c r="T126" i="7"/>
  <c r="T125" i="7"/>
  <c r="T124" i="7"/>
  <c r="T123" i="7"/>
  <c r="T122" i="7"/>
  <c r="T121" i="7"/>
  <c r="T120" i="7"/>
  <c r="T119" i="7"/>
  <c r="T118" i="7"/>
  <c r="T117" i="7"/>
  <c r="T116" i="7"/>
  <c r="T115" i="7"/>
  <c r="T114" i="7"/>
  <c r="T113" i="7"/>
  <c r="T112" i="7"/>
  <c r="T111" i="7"/>
  <c r="T110" i="7"/>
  <c r="T109" i="7"/>
  <c r="T108" i="7"/>
  <c r="T107" i="7"/>
  <c r="T106" i="7"/>
  <c r="T105" i="7"/>
  <c r="T104" i="7"/>
  <c r="T103" i="7"/>
  <c r="T102" i="7"/>
  <c r="T101" i="7"/>
  <c r="T100" i="7"/>
  <c r="T99" i="7"/>
  <c r="T98" i="7"/>
  <c r="T97" i="7"/>
  <c r="T96" i="7"/>
  <c r="T95" i="7"/>
  <c r="T94" i="7"/>
  <c r="T93" i="7"/>
  <c r="T92" i="7"/>
  <c r="T91" i="7"/>
  <c r="T90" i="7"/>
  <c r="T89" i="7"/>
  <c r="T88" i="7"/>
  <c r="T87" i="7"/>
  <c r="T86" i="7"/>
  <c r="T85" i="7"/>
  <c r="T84" i="7"/>
  <c r="T83" i="7"/>
  <c r="T82" i="7"/>
  <c r="T81" i="7"/>
  <c r="T80" i="7"/>
  <c r="T79" i="7"/>
  <c r="T78" i="7"/>
  <c r="T77" i="7"/>
  <c r="T76" i="7"/>
  <c r="T75" i="7"/>
  <c r="T74" i="7"/>
  <c r="T73" i="7"/>
  <c r="T72" i="7"/>
  <c r="T71" i="7"/>
  <c r="T70" i="7"/>
  <c r="T69" i="7"/>
  <c r="T68" i="7"/>
  <c r="T67" i="7"/>
  <c r="T66" i="7"/>
  <c r="T65" i="7"/>
  <c r="T64" i="7"/>
  <c r="T63" i="7"/>
  <c r="T62" i="7"/>
  <c r="T61" i="7"/>
  <c r="T60" i="7"/>
  <c r="T59" i="7"/>
  <c r="T58" i="7"/>
  <c r="T57" i="7"/>
  <c r="T56" i="7"/>
  <c r="T55" i="7"/>
  <c r="T54" i="7"/>
  <c r="T53" i="7"/>
  <c r="T52" i="7"/>
  <c r="T51" i="7"/>
  <c r="T50" i="7"/>
  <c r="T49" i="7"/>
  <c r="T48" i="7"/>
  <c r="T47" i="7"/>
  <c r="T46" i="7"/>
  <c r="T45" i="7"/>
  <c r="T44" i="7"/>
  <c r="T43" i="7"/>
  <c r="T42" i="7"/>
  <c r="T41" i="7"/>
  <c r="T40" i="7"/>
  <c r="T39" i="7"/>
  <c r="T38" i="7"/>
  <c r="T37" i="7"/>
  <c r="T36" i="7"/>
  <c r="T35" i="7"/>
  <c r="T34" i="7"/>
  <c r="T33" i="7"/>
  <c r="T32" i="7"/>
  <c r="T31" i="7"/>
  <c r="T30" i="7"/>
  <c r="T29" i="7"/>
  <c r="T28" i="7"/>
  <c r="T27" i="7"/>
  <c r="T26" i="7"/>
  <c r="T25" i="7"/>
  <c r="T24" i="7"/>
  <c r="T23" i="7"/>
  <c r="T22" i="7"/>
  <c r="T21" i="7"/>
  <c r="T20" i="7"/>
  <c r="T19" i="7"/>
  <c r="T18" i="7"/>
  <c r="T17" i="7"/>
  <c r="T16" i="7"/>
  <c r="R214" i="7"/>
  <c r="R213" i="7"/>
  <c r="R212" i="7"/>
  <c r="R211" i="7"/>
  <c r="R210" i="7"/>
  <c r="R209" i="7"/>
  <c r="R208" i="7"/>
  <c r="R207" i="7"/>
  <c r="R206" i="7"/>
  <c r="R205" i="7"/>
  <c r="R203" i="7"/>
  <c r="R202" i="7"/>
  <c r="R201"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R121" i="7"/>
  <c r="R120"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P214" i="7"/>
  <c r="P213" i="7"/>
  <c r="P212" i="7"/>
  <c r="P211" i="7"/>
  <c r="P210" i="7"/>
  <c r="P209" i="7"/>
  <c r="P208" i="7"/>
  <c r="P207" i="7"/>
  <c r="P206" i="7"/>
  <c r="P205"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N214" i="7"/>
  <c r="N213" i="7"/>
  <c r="N212" i="7"/>
  <c r="N211" i="7"/>
  <c r="N210" i="7"/>
  <c r="N209" i="7"/>
  <c r="N208" i="7"/>
  <c r="N207" i="7"/>
  <c r="N206" i="7"/>
  <c r="N205" i="7"/>
  <c r="N203" i="7"/>
  <c r="N202" i="7"/>
  <c r="N201" i="7"/>
  <c r="N200" i="7"/>
  <c r="N199" i="7"/>
  <c r="N198" i="7"/>
  <c r="N197" i="7"/>
  <c r="N196" i="7"/>
  <c r="N195" i="7"/>
  <c r="N194" i="7"/>
  <c r="N193" i="7"/>
  <c r="N192" i="7"/>
  <c r="N191" i="7"/>
  <c r="N190" i="7"/>
  <c r="N189" i="7"/>
  <c r="N188" i="7"/>
  <c r="N187" i="7"/>
  <c r="N186" i="7"/>
  <c r="N185" i="7"/>
  <c r="N184" i="7"/>
  <c r="N183" i="7"/>
  <c r="N182" i="7"/>
  <c r="N181" i="7"/>
  <c r="N180" i="7"/>
  <c r="N179" i="7"/>
  <c r="N178" i="7"/>
  <c r="N177" i="7"/>
  <c r="N176" i="7"/>
  <c r="N175" i="7"/>
  <c r="N174" i="7"/>
  <c r="N173" i="7"/>
  <c r="N172" i="7"/>
  <c r="N171" i="7"/>
  <c r="N170" i="7"/>
  <c r="N169" i="7"/>
  <c r="N168" i="7"/>
  <c r="N167" i="7"/>
  <c r="N166" i="7"/>
  <c r="N165" i="7"/>
  <c r="N164" i="7"/>
  <c r="N163" i="7"/>
  <c r="N162" i="7"/>
  <c r="N161" i="7"/>
  <c r="N160" i="7"/>
  <c r="N159" i="7"/>
  <c r="N158" i="7"/>
  <c r="N157" i="7"/>
  <c r="N156" i="7"/>
  <c r="N155" i="7"/>
  <c r="N154" i="7"/>
  <c r="N153" i="7"/>
  <c r="N152" i="7"/>
  <c r="N151" i="7"/>
  <c r="N150" i="7"/>
  <c r="N149" i="7"/>
  <c r="N148" i="7"/>
  <c r="N147" i="7"/>
  <c r="N146" i="7"/>
  <c r="N145" i="7"/>
  <c r="N144" i="7"/>
  <c r="N143" i="7"/>
  <c r="N142" i="7"/>
  <c r="N141" i="7"/>
  <c r="N140" i="7"/>
  <c r="N139" i="7"/>
  <c r="N138" i="7"/>
  <c r="N137" i="7"/>
  <c r="N136" i="7"/>
  <c r="N135" i="7"/>
  <c r="N134" i="7"/>
  <c r="N133" i="7"/>
  <c r="N132" i="7"/>
  <c r="N131" i="7"/>
  <c r="N130" i="7"/>
  <c r="N129" i="7"/>
  <c r="N128" i="7"/>
  <c r="N127" i="7"/>
  <c r="N126" i="7"/>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5" i="7"/>
  <c r="L206" i="7"/>
  <c r="L207" i="7"/>
  <c r="L208" i="7"/>
  <c r="L209" i="7"/>
  <c r="L210" i="7"/>
  <c r="L211" i="7"/>
  <c r="L212" i="7"/>
  <c r="L213" i="7"/>
  <c r="L214" i="7"/>
  <c r="L17" i="7"/>
  <c r="L18" i="7"/>
  <c r="L16" i="7"/>
  <c r="E17" i="7"/>
  <c r="E18" i="7"/>
  <c r="E19" i="7"/>
  <c r="E20" i="7"/>
  <c r="E21" i="7"/>
  <c r="E22" i="7"/>
  <c r="E23" i="7"/>
  <c r="E24" i="7"/>
  <c r="E25" i="7"/>
  <c r="E26" i="7"/>
  <c r="E27" i="7"/>
  <c r="E32" i="7"/>
  <c r="E34" i="7"/>
  <c r="E36" i="7"/>
  <c r="E39" i="7"/>
  <c r="E40" i="7"/>
  <c r="E47" i="7"/>
  <c r="E49" i="7"/>
  <c r="E50" i="7"/>
  <c r="E54" i="7"/>
  <c r="E55" i="7"/>
  <c r="E57" i="7"/>
  <c r="E58" i="7"/>
  <c r="E59" i="7"/>
  <c r="E60" i="7"/>
  <c r="E61" i="7"/>
  <c r="E64" i="7"/>
  <c r="E66" i="7"/>
  <c r="E67" i="7"/>
  <c r="E71" i="7"/>
  <c r="E73" i="7"/>
  <c r="E75" i="7"/>
  <c r="E76" i="7"/>
  <c r="E77" i="7"/>
  <c r="E79" i="7"/>
  <c r="E80" i="7"/>
  <c r="E85" i="7"/>
  <c r="E86" i="7"/>
  <c r="E87" i="7"/>
  <c r="E88" i="7"/>
  <c r="E90" i="7"/>
  <c r="E92" i="7"/>
  <c r="E96" i="7"/>
  <c r="E98" i="7"/>
  <c r="E104" i="7"/>
  <c r="E106" i="7"/>
  <c r="E108" i="7"/>
  <c r="E113" i="7"/>
  <c r="E116" i="7"/>
  <c r="E124" i="7"/>
  <c r="E125" i="7"/>
  <c r="E126" i="7"/>
  <c r="E127" i="7"/>
  <c r="E129" i="7"/>
  <c r="E131" i="7"/>
  <c r="E135" i="7"/>
  <c r="E137" i="7"/>
  <c r="E139" i="7"/>
  <c r="E142" i="7"/>
  <c r="E152" i="7"/>
  <c r="E153" i="7"/>
  <c r="E154" i="7"/>
  <c r="E156" i="7"/>
  <c r="E166" i="7"/>
  <c r="E167" i="7"/>
  <c r="E172" i="7"/>
  <c r="E175" i="7"/>
  <c r="E176" i="7"/>
  <c r="E177" i="7"/>
  <c r="E178" i="7"/>
  <c r="E181" i="7"/>
  <c r="E182" i="7"/>
  <c r="E183" i="7"/>
  <c r="E186" i="7"/>
  <c r="E187" i="7"/>
  <c r="E193" i="7"/>
  <c r="E198" i="7"/>
  <c r="E199" i="7"/>
  <c r="E203" i="7"/>
  <c r="E205" i="7"/>
  <c r="E208" i="7"/>
  <c r="L548" i="1" l="1"/>
  <c r="C33" i="6" l="1"/>
  <c r="C116" i="6"/>
  <c r="C5" i="6"/>
  <c r="C96"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5" i="6"/>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2" i="3"/>
  <c r="L609" i="1" l="1"/>
  <c r="L497" i="1"/>
  <c r="L496" i="1" s="1"/>
  <c r="L303" i="1"/>
  <c r="C37" i="6" s="1"/>
  <c r="L307" i="1"/>
  <c r="C38" i="6" s="1"/>
  <c r="L310" i="1"/>
  <c r="C39" i="6" s="1"/>
  <c r="L313" i="1"/>
  <c r="C40" i="6" s="1"/>
  <c r="L317" i="1"/>
  <c r="C41" i="6" s="1"/>
  <c r="L321" i="1"/>
  <c r="C42" i="6" s="1"/>
  <c r="L324" i="1"/>
  <c r="C43" i="6" s="1"/>
  <c r="L327" i="1"/>
  <c r="C44" i="6" s="1"/>
  <c r="L330" i="1"/>
  <c r="C45" i="6" s="1"/>
  <c r="L333" i="1"/>
  <c r="C46" i="6" s="1"/>
  <c r="L337" i="1"/>
  <c r="C47" i="6" s="1"/>
  <c r="L341" i="1"/>
  <c r="C48" i="6" s="1"/>
  <c r="L365" i="1"/>
  <c r="C55" i="6" s="1"/>
  <c r="L368" i="1"/>
  <c r="C56" i="6" s="1"/>
  <c r="L374" i="1"/>
  <c r="C58" i="6" s="1"/>
  <c r="L400" i="1"/>
  <c r="C65" i="6" s="1"/>
  <c r="L403" i="1"/>
  <c r="C66" i="6" s="1"/>
  <c r="L415" i="1"/>
  <c r="C69" i="6" s="1"/>
  <c r="L418" i="1"/>
  <c r="C70" i="6" s="1"/>
  <c r="L437" i="1"/>
  <c r="C76" i="6" s="1"/>
  <c r="L434" i="1"/>
  <c r="C75" i="6" s="1"/>
  <c r="L431" i="1"/>
  <c r="C74" i="6" s="1"/>
  <c r="L300" i="1"/>
  <c r="L597" i="1"/>
  <c r="C107" i="6" s="1"/>
  <c r="L440" i="1"/>
  <c r="C77" i="6" s="1"/>
  <c r="L299" i="1" l="1"/>
  <c r="C36" i="6" s="1"/>
  <c r="L608" i="1"/>
  <c r="C110" i="6" s="1"/>
  <c r="K497" i="1"/>
  <c r="C88" i="6"/>
  <c r="L690" i="1"/>
  <c r="K690" i="1" s="1"/>
  <c r="M690" i="1"/>
  <c r="N690" i="1"/>
  <c r="P690" i="1"/>
  <c r="L691" i="1"/>
  <c r="K691" i="1" s="1"/>
  <c r="M691" i="1"/>
  <c r="N691" i="1"/>
  <c r="P691" i="1"/>
  <c r="L692" i="1"/>
  <c r="K692" i="1" s="1"/>
  <c r="M692" i="1"/>
  <c r="N692" i="1"/>
  <c r="P692" i="1"/>
  <c r="L693" i="1"/>
  <c r="K693" i="1" s="1"/>
  <c r="M693" i="1"/>
  <c r="N693" i="1"/>
  <c r="P693" i="1"/>
  <c r="L694" i="1"/>
  <c r="K694" i="1" s="1"/>
  <c r="M694" i="1"/>
  <c r="N694" i="1"/>
  <c r="P694" i="1"/>
  <c r="P689" i="1"/>
  <c r="N689" i="1"/>
  <c r="M689" i="1"/>
  <c r="L689" i="1"/>
  <c r="K689" i="1" s="1"/>
  <c r="H637" i="1"/>
  <c r="H641" i="1" s="1"/>
  <c r="O654" i="1"/>
  <c r="N654" i="1"/>
  <c r="M654" i="1"/>
  <c r="I654" i="1"/>
  <c r="P652" i="1"/>
  <c r="O652" i="1"/>
  <c r="N652" i="1"/>
  <c r="I652" i="1"/>
  <c r="P651" i="1"/>
  <c r="N651" i="1"/>
  <c r="M651" i="1"/>
  <c r="I651" i="1"/>
  <c r="G651" i="1"/>
  <c r="G652" i="1" s="1"/>
  <c r="P649" i="1"/>
  <c r="O649" i="1"/>
  <c r="M649" i="1"/>
  <c r="L649" i="1"/>
  <c r="K649" i="1"/>
  <c r="I649" i="1"/>
  <c r="J649" i="1" s="1"/>
  <c r="P648" i="1"/>
  <c r="O648" i="1"/>
  <c r="M648" i="1"/>
  <c r="L648" i="1"/>
  <c r="K648" i="1"/>
  <c r="I648" i="1"/>
  <c r="P647" i="1"/>
  <c r="O647" i="1"/>
  <c r="M647" i="1"/>
  <c r="L647" i="1"/>
  <c r="K647" i="1"/>
  <c r="I647" i="1"/>
  <c r="P646" i="1"/>
  <c r="O646" i="1"/>
  <c r="M646" i="1"/>
  <c r="L646" i="1"/>
  <c r="K646" i="1"/>
  <c r="I646" i="1"/>
  <c r="P645" i="1"/>
  <c r="O645" i="1"/>
  <c r="M645" i="1"/>
  <c r="L645" i="1"/>
  <c r="K645" i="1"/>
  <c r="I645" i="1"/>
  <c r="P644" i="1"/>
  <c r="O644" i="1"/>
  <c r="M644" i="1"/>
  <c r="L644" i="1"/>
  <c r="K644" i="1"/>
  <c r="I644" i="1"/>
  <c r="O641" i="1"/>
  <c r="N641" i="1"/>
  <c r="M641" i="1"/>
  <c r="I641" i="1"/>
  <c r="O639" i="1"/>
  <c r="N639" i="1"/>
  <c r="M639" i="1"/>
  <c r="I639" i="1"/>
  <c r="H633" i="1"/>
  <c r="H635" i="1" s="1"/>
  <c r="L635" i="1" s="1"/>
  <c r="O635" i="1"/>
  <c r="O633" i="1" s="1"/>
  <c r="N635" i="1"/>
  <c r="N633" i="1" s="1"/>
  <c r="M635" i="1"/>
  <c r="M633" i="1" s="1"/>
  <c r="I635" i="1"/>
  <c r="H664" i="1"/>
  <c r="H665" i="1" s="1"/>
  <c r="P665" i="1"/>
  <c r="P664" i="1" s="1"/>
  <c r="O665" i="1"/>
  <c r="O664" i="1" s="1"/>
  <c r="M665" i="1"/>
  <c r="M664" i="1" s="1"/>
  <c r="L665" i="1"/>
  <c r="L664" i="1" s="1"/>
  <c r="C118" i="6" s="1"/>
  <c r="K665" i="1"/>
  <c r="I665" i="1"/>
  <c r="H660" i="1"/>
  <c r="H662" i="1" s="1"/>
  <c r="H657" i="1"/>
  <c r="H658" i="1" s="1"/>
  <c r="O662" i="1"/>
  <c r="O660" i="1" s="1"/>
  <c r="N662" i="1"/>
  <c r="N660" i="1" s="1"/>
  <c r="M662" i="1"/>
  <c r="M660" i="1" s="1"/>
  <c r="I662" i="1"/>
  <c r="O658" i="1"/>
  <c r="O657" i="1" s="1"/>
  <c r="N658" i="1"/>
  <c r="N657" i="1" s="1"/>
  <c r="M658" i="1"/>
  <c r="M657" i="1" s="1"/>
  <c r="I658" i="1"/>
  <c r="G627" i="1"/>
  <c r="G631" i="1" s="1"/>
  <c r="G622" i="1"/>
  <c r="G623" i="1" s="1"/>
  <c r="H620" i="1"/>
  <c r="H622" i="1" s="1"/>
  <c r="H625" i="1" s="1"/>
  <c r="H616" i="1"/>
  <c r="H617" i="1" s="1"/>
  <c r="H618" i="1" s="1"/>
  <c r="H613" i="1"/>
  <c r="H614" i="1" s="1"/>
  <c r="L614" i="1" s="1"/>
  <c r="P623" i="1"/>
  <c r="N623" i="1"/>
  <c r="M623" i="1"/>
  <c r="I623" i="1"/>
  <c r="P622" i="1"/>
  <c r="N622" i="1"/>
  <c r="M622" i="1"/>
  <c r="I622" i="1"/>
  <c r="P631" i="1"/>
  <c r="O631" i="1"/>
  <c r="N631" i="1"/>
  <c r="I631" i="1"/>
  <c r="P630" i="1"/>
  <c r="N630" i="1"/>
  <c r="M630" i="1"/>
  <c r="I630" i="1"/>
  <c r="P629" i="1"/>
  <c r="N629" i="1"/>
  <c r="M629" i="1"/>
  <c r="I629" i="1"/>
  <c r="P628" i="1"/>
  <c r="N628" i="1"/>
  <c r="M628" i="1"/>
  <c r="I628" i="1"/>
  <c r="P627" i="1"/>
  <c r="N627" i="1"/>
  <c r="M627" i="1"/>
  <c r="I627" i="1"/>
  <c r="P625" i="1"/>
  <c r="O625" i="1"/>
  <c r="M625" i="1"/>
  <c r="L625" i="1"/>
  <c r="K625" i="1"/>
  <c r="I625" i="1"/>
  <c r="O618" i="1"/>
  <c r="N618" i="1"/>
  <c r="I618" i="1"/>
  <c r="O617" i="1"/>
  <c r="M617" i="1"/>
  <c r="I617" i="1"/>
  <c r="O614" i="1"/>
  <c r="O613" i="1" s="1"/>
  <c r="N614" i="1"/>
  <c r="N613" i="1" s="1"/>
  <c r="M614" i="1"/>
  <c r="M613" i="1" s="1"/>
  <c r="I614" i="1"/>
  <c r="H608" i="1"/>
  <c r="H609" i="1" s="1"/>
  <c r="H605" i="1"/>
  <c r="H606" i="1" s="1"/>
  <c r="H601" i="1"/>
  <c r="H603" i="1" s="1"/>
  <c r="H597" i="1"/>
  <c r="H598" i="1" s="1"/>
  <c r="K598" i="1" s="1"/>
  <c r="H590" i="1"/>
  <c r="H592" i="1" s="1"/>
  <c r="H583" i="1"/>
  <c r="H587" i="1" s="1"/>
  <c r="H580" i="1"/>
  <c r="H581" i="1" s="1"/>
  <c r="H575" i="1"/>
  <c r="H576" i="1" s="1"/>
  <c r="H572" i="1"/>
  <c r="H573" i="1" s="1"/>
  <c r="H569" i="1"/>
  <c r="H570" i="1" s="1"/>
  <c r="H566" i="1"/>
  <c r="H567" i="1" s="1"/>
  <c r="H563" i="1"/>
  <c r="H564" i="1" s="1"/>
  <c r="H560" i="1"/>
  <c r="H561" i="1" s="1"/>
  <c r="H557" i="1"/>
  <c r="H558" i="1" s="1"/>
  <c r="H548" i="1"/>
  <c r="H549" i="1" s="1"/>
  <c r="L549" i="1" s="1"/>
  <c r="K549" i="1" s="1"/>
  <c r="H545" i="1"/>
  <c r="H546" i="1" s="1"/>
  <c r="L546" i="1" s="1"/>
  <c r="H541" i="1"/>
  <c r="H542" i="1" s="1"/>
  <c r="G527" i="1"/>
  <c r="G528" i="1" s="1"/>
  <c r="H522" i="1"/>
  <c r="H517" i="1"/>
  <c r="H518" i="1" s="1"/>
  <c r="H514" i="1"/>
  <c r="H515" i="1" s="1"/>
  <c r="H511" i="1"/>
  <c r="H512" i="1" s="1"/>
  <c r="H504" i="1"/>
  <c r="H507" i="1" s="1"/>
  <c r="H499" i="1"/>
  <c r="H500" i="1" s="1"/>
  <c r="L500" i="1" s="1"/>
  <c r="H496" i="1"/>
  <c r="H493" i="1"/>
  <c r="H494" i="1" s="1"/>
  <c r="L494" i="1" s="1"/>
  <c r="H490" i="1"/>
  <c r="H491" i="1" s="1"/>
  <c r="L491" i="1" s="1"/>
  <c r="H487" i="1"/>
  <c r="H488" i="1" s="1"/>
  <c r="H480" i="1"/>
  <c r="H483" i="1" s="1"/>
  <c r="H473" i="1"/>
  <c r="H476" i="1" s="1"/>
  <c r="H466" i="1"/>
  <c r="H469" i="1" s="1"/>
  <c r="H459" i="1"/>
  <c r="H462" i="1" s="1"/>
  <c r="G454" i="1"/>
  <c r="G456" i="1" s="1"/>
  <c r="H450" i="1"/>
  <c r="H456" i="1" s="1"/>
  <c r="H446" i="1"/>
  <c r="H447" i="1" s="1"/>
  <c r="L447" i="1" s="1"/>
  <c r="H443" i="1"/>
  <c r="H444" i="1" s="1"/>
  <c r="L444" i="1" s="1"/>
  <c r="H440" i="1"/>
  <c r="H441" i="1" s="1"/>
  <c r="K441" i="1" s="1"/>
  <c r="H437" i="1"/>
  <c r="H438" i="1" s="1"/>
  <c r="K438" i="1" s="1"/>
  <c r="H434" i="1"/>
  <c r="H435" i="1" s="1"/>
  <c r="K435" i="1" s="1"/>
  <c r="H431" i="1"/>
  <c r="H432" i="1" s="1"/>
  <c r="K432" i="1" s="1"/>
  <c r="H428" i="1"/>
  <c r="H429" i="1" s="1"/>
  <c r="H425" i="1"/>
  <c r="H426" i="1" s="1"/>
  <c r="H422" i="1"/>
  <c r="H423" i="1" s="1"/>
  <c r="H418" i="1"/>
  <c r="H419" i="1" s="1"/>
  <c r="K419" i="1" s="1"/>
  <c r="H415" i="1"/>
  <c r="H416" i="1" s="1"/>
  <c r="K416" i="1" s="1"/>
  <c r="H411" i="1"/>
  <c r="H412" i="1" s="1"/>
  <c r="H407" i="1"/>
  <c r="H408" i="1" s="1"/>
  <c r="H403" i="1"/>
  <c r="H404" i="1" s="1"/>
  <c r="K404" i="1" s="1"/>
  <c r="H400" i="1"/>
  <c r="H401" i="1" s="1"/>
  <c r="K401" i="1" s="1"/>
  <c r="H397" i="1"/>
  <c r="H398" i="1" s="1"/>
  <c r="L398" i="1" s="1"/>
  <c r="H393" i="1"/>
  <c r="H394" i="1" s="1"/>
  <c r="L394" i="1" s="1"/>
  <c r="H389" i="1"/>
  <c r="H390" i="1" s="1"/>
  <c r="L390" i="1" s="1"/>
  <c r="H383" i="1"/>
  <c r="H384" i="1" s="1"/>
  <c r="H380" i="1"/>
  <c r="H381" i="1" s="1"/>
  <c r="H377" i="1"/>
  <c r="H378" i="1" s="1"/>
  <c r="H374" i="1"/>
  <c r="H375" i="1" s="1"/>
  <c r="K375" i="1" s="1"/>
  <c r="H371" i="1"/>
  <c r="H372" i="1" s="1"/>
  <c r="H368" i="1"/>
  <c r="H369" i="1" s="1"/>
  <c r="H365" i="1"/>
  <c r="H366" i="1" s="1"/>
  <c r="K366" i="1" s="1"/>
  <c r="H361" i="1"/>
  <c r="H362" i="1" s="1"/>
  <c r="H358" i="1"/>
  <c r="H359" i="1" s="1"/>
  <c r="H354" i="1"/>
  <c r="H355" i="1" s="1"/>
  <c r="L355" i="1" s="1"/>
  <c r="H351" i="1"/>
  <c r="H352" i="1" s="1"/>
  <c r="L352" i="1" s="1"/>
  <c r="H348" i="1"/>
  <c r="H349" i="1" s="1"/>
  <c r="H345" i="1"/>
  <c r="H346" i="1" s="1"/>
  <c r="H341" i="1"/>
  <c r="H342" i="1" s="1"/>
  <c r="K342" i="1" s="1"/>
  <c r="H337" i="1"/>
  <c r="H338" i="1" s="1"/>
  <c r="K338" i="1" s="1"/>
  <c r="H333" i="1"/>
  <c r="H334" i="1" s="1"/>
  <c r="K334" i="1" s="1"/>
  <c r="H330" i="1"/>
  <c r="H331" i="1" s="1"/>
  <c r="K331" i="1" s="1"/>
  <c r="H327" i="1"/>
  <c r="H328" i="1" s="1"/>
  <c r="K328" i="1" s="1"/>
  <c r="H324" i="1"/>
  <c r="H325" i="1" s="1"/>
  <c r="K325" i="1" s="1"/>
  <c r="H321" i="1"/>
  <c r="H322" i="1" s="1"/>
  <c r="K322" i="1" s="1"/>
  <c r="H317" i="1"/>
  <c r="H318" i="1" s="1"/>
  <c r="K318" i="1" s="1"/>
  <c r="H313" i="1"/>
  <c r="H314" i="1" s="1"/>
  <c r="K314" i="1" s="1"/>
  <c r="H310" i="1"/>
  <c r="H311" i="1" s="1"/>
  <c r="K311" i="1" s="1"/>
  <c r="H307" i="1"/>
  <c r="H308" i="1" s="1"/>
  <c r="K308" i="1" s="1"/>
  <c r="H303" i="1"/>
  <c r="H304" i="1" s="1"/>
  <c r="K304" i="1" s="1"/>
  <c r="H299" i="1"/>
  <c r="H300" i="1" s="1"/>
  <c r="K300" i="1" s="1"/>
  <c r="H293" i="1"/>
  <c r="H294" i="1" s="1"/>
  <c r="H290" i="1"/>
  <c r="H291" i="1" s="1"/>
  <c r="H287" i="1"/>
  <c r="H288" i="1" s="1"/>
  <c r="L288" i="1" s="1"/>
  <c r="K288" i="1" s="1"/>
  <c r="H258" i="1"/>
  <c r="H260" i="1" s="1"/>
  <c r="H253" i="1"/>
  <c r="H254" i="1" s="1"/>
  <c r="L253" i="1" s="1"/>
  <c r="C31" i="6" s="1"/>
  <c r="H249" i="1"/>
  <c r="H250" i="1" s="1"/>
  <c r="L249" i="1" s="1"/>
  <c r="C30" i="6" s="1"/>
  <c r="G243" i="1"/>
  <c r="G237" i="1"/>
  <c r="G239" i="1" s="1"/>
  <c r="H232" i="1"/>
  <c r="H243" i="1" s="1"/>
  <c r="G227" i="1"/>
  <c r="G221" i="1"/>
  <c r="G222" i="1" s="1"/>
  <c r="H216" i="1"/>
  <c r="H218" i="1" s="1"/>
  <c r="G211" i="1"/>
  <c r="G213" i="1" s="1"/>
  <c r="G205" i="1"/>
  <c r="G209" i="1" s="1"/>
  <c r="G214" i="1" s="1"/>
  <c r="H200" i="1"/>
  <c r="H202" i="1" s="1"/>
  <c r="G194" i="1"/>
  <c r="G195" i="1" s="1"/>
  <c r="H193" i="1"/>
  <c r="H196" i="1" s="1"/>
  <c r="G186" i="1"/>
  <c r="G189" i="1" s="1"/>
  <c r="H185" i="1"/>
  <c r="H188" i="1" s="1"/>
  <c r="G180" i="1"/>
  <c r="G181" i="1" s="1"/>
  <c r="H178" i="1"/>
  <c r="H180" i="1" s="1"/>
  <c r="G173" i="1"/>
  <c r="G174" i="1" s="1"/>
  <c r="G170" i="1"/>
  <c r="G171" i="1" s="1"/>
  <c r="G167" i="1"/>
  <c r="G168" i="1" s="1"/>
  <c r="H145" i="1"/>
  <c r="H173" i="1" s="1"/>
  <c r="G139" i="1"/>
  <c r="G140" i="1" s="1"/>
  <c r="H130" i="1"/>
  <c r="H139" i="1" s="1"/>
  <c r="G125" i="1"/>
  <c r="G126" i="1" s="1"/>
  <c r="H116" i="1"/>
  <c r="H128" i="1" s="1"/>
  <c r="G111" i="1"/>
  <c r="G112" i="1" s="1"/>
  <c r="H102" i="1"/>
  <c r="H112" i="1" s="1"/>
  <c r="G98" i="1"/>
  <c r="H92" i="1"/>
  <c r="H96" i="1" s="1"/>
  <c r="H88" i="1"/>
  <c r="H89" i="1" s="1"/>
  <c r="H85" i="1"/>
  <c r="H86" i="1" s="1"/>
  <c r="H82" i="1"/>
  <c r="H83" i="1" s="1"/>
  <c r="H78" i="1"/>
  <c r="H79" i="1" s="1"/>
  <c r="G76" i="1"/>
  <c r="H73" i="1"/>
  <c r="H75" i="1" s="1"/>
  <c r="G71" i="1"/>
  <c r="H68" i="1"/>
  <c r="H71" i="1" s="1"/>
  <c r="H64" i="1"/>
  <c r="H65" i="1" s="1"/>
  <c r="H61" i="1"/>
  <c r="H62" i="1" s="1"/>
  <c r="G58" i="1"/>
  <c r="H56" i="1"/>
  <c r="G51" i="1"/>
  <c r="G52" i="1" s="1"/>
  <c r="H46" i="1"/>
  <c r="H51" i="1" s="1"/>
  <c r="G41" i="1"/>
  <c r="G43" i="1" s="1"/>
  <c r="H36" i="1"/>
  <c r="H43" i="1" s="1"/>
  <c r="G32" i="1"/>
  <c r="G34" i="1" s="1"/>
  <c r="H27" i="1"/>
  <c r="H30" i="1" s="1"/>
  <c r="G23" i="1"/>
  <c r="G24" i="1" s="1"/>
  <c r="H18" i="1"/>
  <c r="H25" i="1" s="1"/>
  <c r="G14" i="1"/>
  <c r="G15" i="1" s="1"/>
  <c r="H9" i="1"/>
  <c r="H12" i="1" s="1"/>
  <c r="H4" i="1"/>
  <c r="H5" i="1" s="1"/>
  <c r="L5" i="1" s="1"/>
  <c r="K5" i="1" s="1"/>
  <c r="O686" i="1"/>
  <c r="O685" i="1" s="1"/>
  <c r="N686" i="1"/>
  <c r="N685" i="1" s="1"/>
  <c r="M686" i="1"/>
  <c r="M685" i="1" s="1"/>
  <c r="L686" i="1"/>
  <c r="P683" i="1"/>
  <c r="P682" i="1" s="1"/>
  <c r="O683" i="1"/>
  <c r="O682" i="1" s="1"/>
  <c r="M683" i="1"/>
  <c r="M682" i="1" s="1"/>
  <c r="L683" i="1"/>
  <c r="L682" i="1" s="1"/>
  <c r="K683" i="1"/>
  <c r="P680" i="1"/>
  <c r="P679" i="1" s="1"/>
  <c r="N680" i="1"/>
  <c r="N679" i="1" s="1"/>
  <c r="M680" i="1"/>
  <c r="M679" i="1" s="1"/>
  <c r="L680" i="1"/>
  <c r="P677" i="1"/>
  <c r="P676" i="1" s="1"/>
  <c r="O677" i="1"/>
  <c r="O676" i="1" s="1"/>
  <c r="N677" i="1"/>
  <c r="N676" i="1" s="1"/>
  <c r="L677" i="1"/>
  <c r="P674" i="1"/>
  <c r="P673" i="1" s="1"/>
  <c r="O674" i="1"/>
  <c r="O673" i="1" s="1"/>
  <c r="N674" i="1"/>
  <c r="N673" i="1" s="1"/>
  <c r="L674" i="1"/>
  <c r="P671" i="1"/>
  <c r="P670" i="1" s="1"/>
  <c r="O671" i="1"/>
  <c r="O670" i="1" s="1"/>
  <c r="N671" i="1"/>
  <c r="N670" i="1" s="1"/>
  <c r="L671" i="1"/>
  <c r="P609" i="1"/>
  <c r="P608" i="1" s="1"/>
  <c r="O609" i="1"/>
  <c r="O608" i="1" s="1"/>
  <c r="M609" i="1"/>
  <c r="M608" i="1" s="1"/>
  <c r="K609" i="1"/>
  <c r="O606" i="1"/>
  <c r="O605" i="1" s="1"/>
  <c r="N606" i="1"/>
  <c r="N605" i="1" s="1"/>
  <c r="M606" i="1"/>
  <c r="M605" i="1" s="1"/>
  <c r="O603" i="1"/>
  <c r="N603" i="1"/>
  <c r="M603" i="1"/>
  <c r="O602" i="1"/>
  <c r="N602" i="1"/>
  <c r="M602" i="1"/>
  <c r="O598" i="1"/>
  <c r="O597" i="1" s="1"/>
  <c r="N598" i="1"/>
  <c r="N597" i="1" s="1"/>
  <c r="M598" i="1"/>
  <c r="M597" i="1" s="1"/>
  <c r="P595" i="1"/>
  <c r="O595" i="1"/>
  <c r="M595" i="1"/>
  <c r="L595" i="1"/>
  <c r="K595" i="1"/>
  <c r="O594" i="1"/>
  <c r="N594" i="1"/>
  <c r="M594" i="1"/>
  <c r="O592" i="1"/>
  <c r="N592" i="1"/>
  <c r="M592" i="1"/>
  <c r="P588" i="1"/>
  <c r="O588" i="1"/>
  <c r="M588" i="1"/>
  <c r="L588" i="1"/>
  <c r="K588" i="1"/>
  <c r="O587" i="1"/>
  <c r="N587" i="1"/>
  <c r="M587" i="1"/>
  <c r="O585" i="1"/>
  <c r="N585" i="1"/>
  <c r="M585" i="1"/>
  <c r="O581" i="1"/>
  <c r="O580" i="1" s="1"/>
  <c r="N581" i="1"/>
  <c r="N580" i="1" s="1"/>
  <c r="M581" i="1"/>
  <c r="M580" i="1" s="1"/>
  <c r="O576" i="1"/>
  <c r="O575" i="1" s="1"/>
  <c r="N576" i="1"/>
  <c r="N575" i="1" s="1"/>
  <c r="M576" i="1"/>
  <c r="M575" i="1" s="1"/>
  <c r="O573" i="1"/>
  <c r="O572" i="1" s="1"/>
  <c r="N573" i="1"/>
  <c r="N572" i="1" s="1"/>
  <c r="M573" i="1"/>
  <c r="M572" i="1" s="1"/>
  <c r="O570" i="1"/>
  <c r="O569" i="1" s="1"/>
  <c r="N570" i="1"/>
  <c r="N569" i="1" s="1"/>
  <c r="M570" i="1"/>
  <c r="M569" i="1" s="1"/>
  <c r="O567" i="1"/>
  <c r="O566" i="1" s="1"/>
  <c r="N567" i="1"/>
  <c r="N566" i="1" s="1"/>
  <c r="M567" i="1"/>
  <c r="M566" i="1" s="1"/>
  <c r="O564" i="1"/>
  <c r="O563" i="1" s="1"/>
  <c r="N564" i="1"/>
  <c r="N563" i="1" s="1"/>
  <c r="M564" i="1"/>
  <c r="M563" i="1" s="1"/>
  <c r="O561" i="1"/>
  <c r="O560" i="1" s="1"/>
  <c r="N561" i="1"/>
  <c r="N560" i="1" s="1"/>
  <c r="M561" i="1"/>
  <c r="M560" i="1" s="1"/>
  <c r="O558" i="1"/>
  <c r="O557" i="1" s="1"/>
  <c r="N558" i="1"/>
  <c r="N557" i="1" s="1"/>
  <c r="M558" i="1"/>
  <c r="M557" i="1" s="1"/>
  <c r="O552" i="1"/>
  <c r="N552" i="1"/>
  <c r="M552" i="1"/>
  <c r="O551" i="1"/>
  <c r="N551" i="1"/>
  <c r="M551" i="1"/>
  <c r="O550" i="1"/>
  <c r="N550" i="1"/>
  <c r="M550" i="1"/>
  <c r="O549" i="1"/>
  <c r="N549" i="1"/>
  <c r="M549" i="1"/>
  <c r="O546" i="1"/>
  <c r="O545" i="1" s="1"/>
  <c r="N546" i="1"/>
  <c r="N545" i="1" s="1"/>
  <c r="M546" i="1"/>
  <c r="M545" i="1" s="1"/>
  <c r="P542" i="1"/>
  <c r="P541" i="1" s="1"/>
  <c r="O542" i="1"/>
  <c r="O541" i="1" s="1"/>
  <c r="M542" i="1"/>
  <c r="M541" i="1" s="1"/>
  <c r="L542" i="1"/>
  <c r="O539" i="1"/>
  <c r="N539" i="1"/>
  <c r="M539" i="1"/>
  <c r="P537" i="1"/>
  <c r="O537" i="1"/>
  <c r="N537" i="1"/>
  <c r="O536" i="1"/>
  <c r="N536" i="1"/>
  <c r="M536" i="1"/>
  <c r="P535" i="1"/>
  <c r="N535" i="1"/>
  <c r="M535" i="1"/>
  <c r="P533" i="1"/>
  <c r="O533" i="1"/>
  <c r="M533" i="1"/>
  <c r="L533" i="1"/>
  <c r="K533" i="1"/>
  <c r="P532" i="1"/>
  <c r="O532" i="1"/>
  <c r="M532" i="1"/>
  <c r="L532" i="1"/>
  <c r="K532" i="1"/>
  <c r="P531" i="1"/>
  <c r="O531" i="1"/>
  <c r="M531" i="1"/>
  <c r="L531" i="1"/>
  <c r="K531" i="1"/>
  <c r="P530" i="1"/>
  <c r="O530" i="1"/>
  <c r="M530" i="1"/>
  <c r="L530" i="1"/>
  <c r="K530" i="1"/>
  <c r="P528" i="1"/>
  <c r="O528" i="1"/>
  <c r="N528" i="1"/>
  <c r="P527" i="1"/>
  <c r="N527" i="1"/>
  <c r="M527" i="1"/>
  <c r="P525" i="1"/>
  <c r="O525" i="1"/>
  <c r="M525" i="1"/>
  <c r="L525" i="1"/>
  <c r="K525" i="1"/>
  <c r="P524" i="1"/>
  <c r="O524" i="1"/>
  <c r="M524" i="1"/>
  <c r="L524" i="1"/>
  <c r="K524" i="1"/>
  <c r="O518" i="1"/>
  <c r="O517" i="1" s="1"/>
  <c r="N518" i="1"/>
  <c r="N517" i="1" s="1"/>
  <c r="M518" i="1"/>
  <c r="M517" i="1" s="1"/>
  <c r="P515" i="1"/>
  <c r="P514" i="1" s="1"/>
  <c r="O515" i="1"/>
  <c r="O514" i="1" s="1"/>
  <c r="M515" i="1"/>
  <c r="M514" i="1" s="1"/>
  <c r="L515" i="1"/>
  <c r="L514" i="1" s="1"/>
  <c r="C92" i="6" s="1"/>
  <c r="K515" i="1"/>
  <c r="P512" i="1"/>
  <c r="P511" i="1" s="1"/>
  <c r="O512" i="1"/>
  <c r="O511" i="1" s="1"/>
  <c r="M512" i="1"/>
  <c r="M511" i="1" s="1"/>
  <c r="L512" i="1"/>
  <c r="L511" i="1" s="1"/>
  <c r="C91" i="6" s="1"/>
  <c r="K512" i="1"/>
  <c r="P509" i="1"/>
  <c r="O509" i="1"/>
  <c r="M509" i="1"/>
  <c r="L509" i="1"/>
  <c r="K509" i="1"/>
  <c r="P508" i="1"/>
  <c r="O508" i="1"/>
  <c r="M508" i="1"/>
  <c r="L508" i="1"/>
  <c r="K508" i="1"/>
  <c r="P507" i="1"/>
  <c r="O507" i="1"/>
  <c r="M507" i="1"/>
  <c r="L507" i="1"/>
  <c r="K507" i="1"/>
  <c r="P506" i="1"/>
  <c r="O506" i="1"/>
  <c r="M506" i="1"/>
  <c r="L506" i="1"/>
  <c r="K506" i="1"/>
  <c r="O500" i="1"/>
  <c r="O499" i="1" s="1"/>
  <c r="N500" i="1"/>
  <c r="N499" i="1" s="1"/>
  <c r="M500" i="1"/>
  <c r="M499" i="1" s="1"/>
  <c r="O497" i="1"/>
  <c r="O496" i="1" s="1"/>
  <c r="N497" i="1"/>
  <c r="N496" i="1" s="1"/>
  <c r="M497" i="1"/>
  <c r="M496" i="1" s="1"/>
  <c r="O494" i="1"/>
  <c r="O493" i="1" s="1"/>
  <c r="N494" i="1"/>
  <c r="N493" i="1" s="1"/>
  <c r="M494" i="1"/>
  <c r="M493" i="1" s="1"/>
  <c r="O491" i="1"/>
  <c r="O490" i="1" s="1"/>
  <c r="N491" i="1"/>
  <c r="N490" i="1" s="1"/>
  <c r="M491" i="1"/>
  <c r="M490" i="1" s="1"/>
  <c r="P488" i="1"/>
  <c r="P487" i="1" s="1"/>
  <c r="O488" i="1"/>
  <c r="O487" i="1" s="1"/>
  <c r="M488" i="1"/>
  <c r="M487" i="1" s="1"/>
  <c r="L488" i="1"/>
  <c r="L487" i="1" s="1"/>
  <c r="C85" i="6" s="1"/>
  <c r="K488" i="1"/>
  <c r="P485" i="1"/>
  <c r="O485" i="1"/>
  <c r="M485" i="1"/>
  <c r="L485" i="1"/>
  <c r="K485" i="1"/>
  <c r="P484" i="1"/>
  <c r="O484" i="1"/>
  <c r="M484" i="1"/>
  <c r="L484" i="1"/>
  <c r="K484" i="1"/>
  <c r="P483" i="1"/>
  <c r="O483" i="1"/>
  <c r="M483" i="1"/>
  <c r="L483" i="1"/>
  <c r="K483" i="1"/>
  <c r="P482" i="1"/>
  <c r="O482" i="1"/>
  <c r="M482" i="1"/>
  <c r="L482" i="1"/>
  <c r="K482" i="1"/>
  <c r="P478" i="1"/>
  <c r="O478" i="1"/>
  <c r="M478" i="1"/>
  <c r="L478" i="1"/>
  <c r="K478" i="1"/>
  <c r="P477" i="1"/>
  <c r="O477" i="1"/>
  <c r="M477" i="1"/>
  <c r="L477" i="1"/>
  <c r="K477" i="1"/>
  <c r="P476" i="1"/>
  <c r="O476" i="1"/>
  <c r="M476" i="1"/>
  <c r="L476" i="1"/>
  <c r="K476" i="1"/>
  <c r="P475" i="1"/>
  <c r="O475" i="1"/>
  <c r="M475" i="1"/>
  <c r="L475" i="1"/>
  <c r="K475" i="1"/>
  <c r="P471" i="1"/>
  <c r="O471" i="1"/>
  <c r="M471" i="1"/>
  <c r="L471" i="1"/>
  <c r="K471" i="1"/>
  <c r="P470" i="1"/>
  <c r="O470" i="1"/>
  <c r="M470" i="1"/>
  <c r="L470" i="1"/>
  <c r="K470" i="1"/>
  <c r="P469" i="1"/>
  <c r="O469" i="1"/>
  <c r="M469" i="1"/>
  <c r="L469" i="1"/>
  <c r="K469" i="1"/>
  <c r="P468" i="1"/>
  <c r="O468" i="1"/>
  <c r="M468" i="1"/>
  <c r="L468" i="1"/>
  <c r="K468" i="1"/>
  <c r="P464" i="1"/>
  <c r="O464" i="1"/>
  <c r="M464" i="1"/>
  <c r="L464" i="1"/>
  <c r="K464" i="1"/>
  <c r="P463" i="1"/>
  <c r="O463" i="1"/>
  <c r="M463" i="1"/>
  <c r="L463" i="1"/>
  <c r="K463" i="1"/>
  <c r="P462" i="1"/>
  <c r="O462" i="1"/>
  <c r="M462" i="1"/>
  <c r="L462" i="1"/>
  <c r="K462" i="1"/>
  <c r="P461" i="1"/>
  <c r="O461" i="1"/>
  <c r="M461" i="1"/>
  <c r="L461" i="1"/>
  <c r="K461" i="1"/>
  <c r="P456" i="1"/>
  <c r="N456" i="1"/>
  <c r="M456" i="1"/>
  <c r="P455" i="1"/>
  <c r="O455" i="1"/>
  <c r="N455" i="1"/>
  <c r="P454" i="1"/>
  <c r="N454" i="1"/>
  <c r="M454" i="1"/>
  <c r="P452" i="1"/>
  <c r="O452" i="1"/>
  <c r="M452" i="1"/>
  <c r="L452" i="1"/>
  <c r="K452" i="1"/>
  <c r="O447" i="1"/>
  <c r="O446" i="1" s="1"/>
  <c r="N447" i="1"/>
  <c r="N446" i="1" s="1"/>
  <c r="M447" i="1"/>
  <c r="M446" i="1" s="1"/>
  <c r="O444" i="1"/>
  <c r="O443" i="1" s="1"/>
  <c r="N444" i="1"/>
  <c r="N443" i="1" s="1"/>
  <c r="M444" i="1"/>
  <c r="M443" i="1" s="1"/>
  <c r="O441" i="1"/>
  <c r="O440" i="1" s="1"/>
  <c r="N441" i="1"/>
  <c r="N440" i="1" s="1"/>
  <c r="M441" i="1"/>
  <c r="M440" i="1" s="1"/>
  <c r="O438" i="1"/>
  <c r="O437" i="1" s="1"/>
  <c r="N438" i="1"/>
  <c r="N437" i="1" s="1"/>
  <c r="M438" i="1"/>
  <c r="M437" i="1" s="1"/>
  <c r="O435" i="1"/>
  <c r="O434" i="1" s="1"/>
  <c r="N435" i="1"/>
  <c r="N434" i="1" s="1"/>
  <c r="M435" i="1"/>
  <c r="M434" i="1" s="1"/>
  <c r="O432" i="1"/>
  <c r="O431" i="1" s="1"/>
  <c r="N432" i="1"/>
  <c r="N431" i="1" s="1"/>
  <c r="M432" i="1"/>
  <c r="M431" i="1" s="1"/>
  <c r="O429" i="1"/>
  <c r="O428" i="1" s="1"/>
  <c r="N429" i="1"/>
  <c r="N428" i="1" s="1"/>
  <c r="M429" i="1"/>
  <c r="M428" i="1" s="1"/>
  <c r="O426" i="1"/>
  <c r="O425" i="1" s="1"/>
  <c r="N426" i="1"/>
  <c r="N425" i="1" s="1"/>
  <c r="M426" i="1"/>
  <c r="M425" i="1" s="1"/>
  <c r="O423" i="1"/>
  <c r="O422" i="1" s="1"/>
  <c r="N423" i="1"/>
  <c r="N422" i="1" s="1"/>
  <c r="M423" i="1"/>
  <c r="M422" i="1" s="1"/>
  <c r="O419" i="1"/>
  <c r="O418" i="1" s="1"/>
  <c r="N419" i="1"/>
  <c r="N418" i="1" s="1"/>
  <c r="M419" i="1"/>
  <c r="M418" i="1" s="1"/>
  <c r="O416" i="1"/>
  <c r="O415" i="1" s="1"/>
  <c r="N416" i="1"/>
  <c r="N415" i="1" s="1"/>
  <c r="M416" i="1"/>
  <c r="M415" i="1" s="1"/>
  <c r="O412" i="1"/>
  <c r="O411" i="1" s="1"/>
  <c r="N412" i="1"/>
  <c r="N411" i="1" s="1"/>
  <c r="M412" i="1"/>
  <c r="M411" i="1" s="1"/>
  <c r="O408" i="1"/>
  <c r="O407" i="1" s="1"/>
  <c r="N408" i="1"/>
  <c r="N407" i="1" s="1"/>
  <c r="M408" i="1"/>
  <c r="M407" i="1" s="1"/>
  <c r="O404" i="1"/>
  <c r="O403" i="1" s="1"/>
  <c r="N404" i="1"/>
  <c r="N403" i="1" s="1"/>
  <c r="M404" i="1"/>
  <c r="M403" i="1" s="1"/>
  <c r="O401" i="1"/>
  <c r="O400" i="1" s="1"/>
  <c r="N401" i="1"/>
  <c r="N400" i="1" s="1"/>
  <c r="M401" i="1"/>
  <c r="M400" i="1" s="1"/>
  <c r="O398" i="1"/>
  <c r="O397" i="1" s="1"/>
  <c r="N398" i="1"/>
  <c r="N397" i="1" s="1"/>
  <c r="M398" i="1"/>
  <c r="M397" i="1" s="1"/>
  <c r="O394" i="1"/>
  <c r="O393" i="1" s="1"/>
  <c r="N394" i="1"/>
  <c r="N393" i="1" s="1"/>
  <c r="M394" i="1"/>
  <c r="M393" i="1" s="1"/>
  <c r="O390" i="1"/>
  <c r="O389" i="1" s="1"/>
  <c r="N390" i="1"/>
  <c r="N389" i="1" s="1"/>
  <c r="M390" i="1"/>
  <c r="M389" i="1" s="1"/>
  <c r="O384" i="1"/>
  <c r="O383" i="1" s="1"/>
  <c r="N384" i="1"/>
  <c r="N383" i="1" s="1"/>
  <c r="M384" i="1"/>
  <c r="M383" i="1" s="1"/>
  <c r="O381" i="1"/>
  <c r="O380" i="1" s="1"/>
  <c r="N381" i="1"/>
  <c r="N380" i="1" s="1"/>
  <c r="M381" i="1"/>
  <c r="M380" i="1" s="1"/>
  <c r="O378" i="1"/>
  <c r="O377" i="1" s="1"/>
  <c r="N378" i="1"/>
  <c r="N377" i="1" s="1"/>
  <c r="M378" i="1"/>
  <c r="M377" i="1" s="1"/>
  <c r="O375" i="1"/>
  <c r="O374" i="1" s="1"/>
  <c r="N375" i="1"/>
  <c r="N374" i="1" s="1"/>
  <c r="M375" i="1"/>
  <c r="M374" i="1" s="1"/>
  <c r="O372" i="1"/>
  <c r="O371" i="1" s="1"/>
  <c r="N372" i="1"/>
  <c r="N371" i="1" s="1"/>
  <c r="M372" i="1"/>
  <c r="M371" i="1" s="1"/>
  <c r="O369" i="1"/>
  <c r="O368" i="1" s="1"/>
  <c r="N369" i="1"/>
  <c r="N368" i="1" s="1"/>
  <c r="M369" i="1"/>
  <c r="M368" i="1" s="1"/>
  <c r="O366" i="1"/>
  <c r="O365" i="1" s="1"/>
  <c r="N366" i="1"/>
  <c r="N365" i="1" s="1"/>
  <c r="M366" i="1"/>
  <c r="M365" i="1" s="1"/>
  <c r="O362" i="1"/>
  <c r="O361" i="1" s="1"/>
  <c r="N362" i="1"/>
  <c r="N361" i="1" s="1"/>
  <c r="M362" i="1"/>
  <c r="M361" i="1" s="1"/>
  <c r="O359" i="1"/>
  <c r="O358" i="1" s="1"/>
  <c r="N359" i="1"/>
  <c r="N358" i="1" s="1"/>
  <c r="M359" i="1"/>
  <c r="M358" i="1" s="1"/>
  <c r="O355" i="1"/>
  <c r="O354" i="1" s="1"/>
  <c r="N355" i="1"/>
  <c r="N354" i="1" s="1"/>
  <c r="M355" i="1"/>
  <c r="M354" i="1" s="1"/>
  <c r="O352" i="1"/>
  <c r="O351" i="1" s="1"/>
  <c r="N352" i="1"/>
  <c r="N351" i="1" s="1"/>
  <c r="M352" i="1"/>
  <c r="M351" i="1" s="1"/>
  <c r="O349" i="1"/>
  <c r="O348" i="1" s="1"/>
  <c r="N349" i="1"/>
  <c r="N348" i="1" s="1"/>
  <c r="M349" i="1"/>
  <c r="M348" i="1" s="1"/>
  <c r="O346" i="1"/>
  <c r="O345" i="1" s="1"/>
  <c r="N346" i="1"/>
  <c r="N345" i="1" s="1"/>
  <c r="M346" i="1"/>
  <c r="M345" i="1" s="1"/>
  <c r="O342" i="1"/>
  <c r="O341" i="1" s="1"/>
  <c r="N342" i="1"/>
  <c r="N341" i="1" s="1"/>
  <c r="M342" i="1"/>
  <c r="M341" i="1" s="1"/>
  <c r="O338" i="1"/>
  <c r="O337" i="1" s="1"/>
  <c r="N338" i="1"/>
  <c r="N337" i="1" s="1"/>
  <c r="M338" i="1"/>
  <c r="M337" i="1" s="1"/>
  <c r="O334" i="1"/>
  <c r="O333" i="1" s="1"/>
  <c r="N334" i="1"/>
  <c r="N333" i="1" s="1"/>
  <c r="M334" i="1"/>
  <c r="M333" i="1" s="1"/>
  <c r="O331" i="1"/>
  <c r="O330" i="1" s="1"/>
  <c r="N331" i="1"/>
  <c r="N330" i="1" s="1"/>
  <c r="M331" i="1"/>
  <c r="M330" i="1" s="1"/>
  <c r="O328" i="1"/>
  <c r="O327" i="1" s="1"/>
  <c r="N328" i="1"/>
  <c r="N327" i="1" s="1"/>
  <c r="M328" i="1"/>
  <c r="M327" i="1" s="1"/>
  <c r="O325" i="1"/>
  <c r="O324" i="1" s="1"/>
  <c r="N325" i="1"/>
  <c r="N324" i="1" s="1"/>
  <c r="M325" i="1"/>
  <c r="M324" i="1" s="1"/>
  <c r="O322" i="1"/>
  <c r="O321" i="1" s="1"/>
  <c r="N322" i="1"/>
  <c r="N321" i="1" s="1"/>
  <c r="M322" i="1"/>
  <c r="M321" i="1" s="1"/>
  <c r="O318" i="1"/>
  <c r="O317" i="1" s="1"/>
  <c r="N318" i="1"/>
  <c r="N317" i="1" s="1"/>
  <c r="M318" i="1"/>
  <c r="M317" i="1" s="1"/>
  <c r="O314" i="1"/>
  <c r="O313" i="1" s="1"/>
  <c r="N314" i="1"/>
  <c r="N313" i="1" s="1"/>
  <c r="M314" i="1"/>
  <c r="M313" i="1" s="1"/>
  <c r="O311" i="1"/>
  <c r="O310" i="1" s="1"/>
  <c r="N311" i="1"/>
  <c r="N310" i="1" s="1"/>
  <c r="M311" i="1"/>
  <c r="M310" i="1" s="1"/>
  <c r="O308" i="1"/>
  <c r="O307" i="1" s="1"/>
  <c r="N308" i="1"/>
  <c r="N307" i="1" s="1"/>
  <c r="M308" i="1"/>
  <c r="M307" i="1" s="1"/>
  <c r="O304" i="1"/>
  <c r="O303" i="1" s="1"/>
  <c r="N304" i="1"/>
  <c r="N303" i="1" s="1"/>
  <c r="M304" i="1"/>
  <c r="M303" i="1" s="1"/>
  <c r="O300" i="1"/>
  <c r="O299" i="1" s="1"/>
  <c r="N300" i="1"/>
  <c r="N299" i="1" s="1"/>
  <c r="M300" i="1"/>
  <c r="M299" i="1" s="1"/>
  <c r="O294" i="1"/>
  <c r="O293" i="1" s="1"/>
  <c r="N294" i="1"/>
  <c r="N293" i="1" s="1"/>
  <c r="M294" i="1"/>
  <c r="M293" i="1" s="1"/>
  <c r="O291" i="1"/>
  <c r="O290" i="1" s="1"/>
  <c r="N291" i="1"/>
  <c r="N290" i="1" s="1"/>
  <c r="M291" i="1"/>
  <c r="M290" i="1" s="1"/>
  <c r="O288" i="1"/>
  <c r="O287" i="1" s="1"/>
  <c r="N288" i="1"/>
  <c r="N287" i="1" s="1"/>
  <c r="M288" i="1"/>
  <c r="M287" i="1" s="1"/>
  <c r="P285" i="1"/>
  <c r="O285" i="1"/>
  <c r="N285" i="1"/>
  <c r="L285" i="1"/>
  <c r="K285" i="1" s="1"/>
  <c r="O284" i="1"/>
  <c r="N284" i="1"/>
  <c r="M284" i="1"/>
  <c r="L284" i="1"/>
  <c r="K284" i="1" s="1"/>
  <c r="O283" i="1"/>
  <c r="N283" i="1"/>
  <c r="M283" i="1"/>
  <c r="L283" i="1"/>
  <c r="K283" i="1" s="1"/>
  <c r="O282" i="1"/>
  <c r="N282" i="1"/>
  <c r="M282" i="1"/>
  <c r="L282" i="1"/>
  <c r="K282" i="1" s="1"/>
  <c r="O281" i="1"/>
  <c r="N281" i="1"/>
  <c r="M281" i="1"/>
  <c r="L281" i="1"/>
  <c r="K281" i="1" s="1"/>
  <c r="O280" i="1"/>
  <c r="N280" i="1"/>
  <c r="M280" i="1"/>
  <c r="L280" i="1"/>
  <c r="K280" i="1" s="1"/>
  <c r="O279" i="1"/>
  <c r="N279" i="1"/>
  <c r="M279" i="1"/>
  <c r="L279" i="1"/>
  <c r="K279" i="1" s="1"/>
  <c r="O278" i="1"/>
  <c r="N278" i="1"/>
  <c r="M278" i="1"/>
  <c r="L278" i="1"/>
  <c r="K278" i="1" s="1"/>
  <c r="O277" i="1"/>
  <c r="N277" i="1"/>
  <c r="M277" i="1"/>
  <c r="L277" i="1"/>
  <c r="K277" i="1" s="1"/>
  <c r="O276" i="1"/>
  <c r="N276" i="1"/>
  <c r="M276" i="1"/>
  <c r="L276" i="1"/>
  <c r="K276" i="1" s="1"/>
  <c r="O275" i="1"/>
  <c r="N275" i="1"/>
  <c r="M275" i="1"/>
  <c r="L275" i="1"/>
  <c r="K275" i="1" s="1"/>
  <c r="O274" i="1"/>
  <c r="N274" i="1"/>
  <c r="M274" i="1"/>
  <c r="L274" i="1"/>
  <c r="K274" i="1" s="1"/>
  <c r="O273" i="1"/>
  <c r="N273" i="1"/>
  <c r="M273" i="1"/>
  <c r="L273" i="1"/>
  <c r="K273" i="1" s="1"/>
  <c r="O272" i="1"/>
  <c r="N272" i="1"/>
  <c r="M272" i="1"/>
  <c r="L272" i="1"/>
  <c r="K272" i="1" s="1"/>
  <c r="O271" i="1"/>
  <c r="N271" i="1"/>
  <c r="M271" i="1"/>
  <c r="L271" i="1"/>
  <c r="K271" i="1" s="1"/>
  <c r="O270" i="1"/>
  <c r="N270" i="1"/>
  <c r="M270" i="1"/>
  <c r="L270" i="1"/>
  <c r="K270" i="1" s="1"/>
  <c r="O269" i="1"/>
  <c r="N269" i="1"/>
  <c r="M269" i="1"/>
  <c r="L269" i="1"/>
  <c r="K269" i="1" s="1"/>
  <c r="O268" i="1"/>
  <c r="N268" i="1"/>
  <c r="M268" i="1"/>
  <c r="L268" i="1"/>
  <c r="K268" i="1" s="1"/>
  <c r="O263" i="1"/>
  <c r="N263" i="1"/>
  <c r="M263" i="1"/>
  <c r="P261" i="1"/>
  <c r="O261" i="1"/>
  <c r="M261" i="1"/>
  <c r="L261" i="1"/>
  <c r="K261" i="1"/>
  <c r="P260" i="1"/>
  <c r="O260" i="1"/>
  <c r="M260" i="1"/>
  <c r="L260" i="1"/>
  <c r="K260" i="1"/>
  <c r="O254" i="1"/>
  <c r="O253" i="1" s="1"/>
  <c r="N254" i="1"/>
  <c r="N253" i="1" s="1"/>
  <c r="M254" i="1"/>
  <c r="M253" i="1" s="1"/>
  <c r="O250" i="1"/>
  <c r="O249" i="1" s="1"/>
  <c r="N250" i="1"/>
  <c r="N249" i="1" s="1"/>
  <c r="M250" i="1"/>
  <c r="M249" i="1" s="1"/>
  <c r="P246" i="1"/>
  <c r="O246" i="1"/>
  <c r="N246" i="1"/>
  <c r="P245" i="1"/>
  <c r="N245" i="1"/>
  <c r="M245" i="1"/>
  <c r="P244" i="1"/>
  <c r="N244" i="1"/>
  <c r="M244" i="1"/>
  <c r="P243" i="1"/>
  <c r="N243" i="1"/>
  <c r="M243" i="1"/>
  <c r="P241" i="1"/>
  <c r="O241" i="1"/>
  <c r="N241" i="1"/>
  <c r="P240" i="1"/>
  <c r="N240" i="1"/>
  <c r="M240" i="1"/>
  <c r="P239" i="1"/>
  <c r="N239" i="1"/>
  <c r="M239" i="1"/>
  <c r="P238" i="1"/>
  <c r="N238" i="1"/>
  <c r="M238" i="1"/>
  <c r="P237" i="1"/>
  <c r="N237" i="1"/>
  <c r="M237" i="1"/>
  <c r="P235" i="1"/>
  <c r="O235" i="1"/>
  <c r="M235" i="1"/>
  <c r="L235" i="1"/>
  <c r="K235" i="1"/>
  <c r="P234" i="1"/>
  <c r="O234" i="1"/>
  <c r="M234" i="1"/>
  <c r="L234" i="1"/>
  <c r="K234" i="1"/>
  <c r="P230" i="1"/>
  <c r="O230" i="1"/>
  <c r="N230" i="1"/>
  <c r="P229" i="1"/>
  <c r="N229" i="1"/>
  <c r="M229" i="1"/>
  <c r="P228" i="1"/>
  <c r="N228" i="1"/>
  <c r="M228" i="1"/>
  <c r="P227" i="1"/>
  <c r="N227" i="1"/>
  <c r="M227" i="1"/>
  <c r="P225" i="1"/>
  <c r="O225" i="1"/>
  <c r="N225" i="1"/>
  <c r="P224" i="1"/>
  <c r="N224" i="1"/>
  <c r="M224" i="1"/>
  <c r="P223" i="1"/>
  <c r="N223" i="1"/>
  <c r="M223" i="1"/>
  <c r="P222" i="1"/>
  <c r="N222" i="1"/>
  <c r="M222" i="1"/>
  <c r="P221" i="1"/>
  <c r="N221" i="1"/>
  <c r="M221" i="1"/>
  <c r="P219" i="1"/>
  <c r="O219" i="1"/>
  <c r="M219" i="1"/>
  <c r="L219" i="1"/>
  <c r="K219" i="1"/>
  <c r="P218" i="1"/>
  <c r="O218" i="1"/>
  <c r="M218" i="1"/>
  <c r="L218" i="1"/>
  <c r="K218" i="1"/>
  <c r="P214" i="1"/>
  <c r="O214" i="1"/>
  <c r="N214" i="1"/>
  <c r="P213" i="1"/>
  <c r="N213" i="1"/>
  <c r="M213" i="1"/>
  <c r="P212" i="1"/>
  <c r="N212" i="1"/>
  <c r="M212" i="1"/>
  <c r="P211" i="1"/>
  <c r="N211" i="1"/>
  <c r="M211" i="1"/>
  <c r="P209" i="1"/>
  <c r="O209" i="1"/>
  <c r="N209" i="1"/>
  <c r="P208" i="1"/>
  <c r="N208" i="1"/>
  <c r="M208" i="1"/>
  <c r="P207" i="1"/>
  <c r="N207" i="1"/>
  <c r="M207" i="1"/>
  <c r="P206" i="1"/>
  <c r="N206" i="1"/>
  <c r="M206" i="1"/>
  <c r="P205" i="1"/>
  <c r="N205" i="1"/>
  <c r="M205" i="1"/>
  <c r="P203" i="1"/>
  <c r="O203" i="1"/>
  <c r="M203" i="1"/>
  <c r="L203" i="1"/>
  <c r="K203" i="1"/>
  <c r="P202" i="1"/>
  <c r="O202" i="1"/>
  <c r="M202" i="1"/>
  <c r="L202" i="1"/>
  <c r="K202" i="1"/>
  <c r="P197" i="1"/>
  <c r="O197" i="1"/>
  <c r="N197" i="1"/>
  <c r="P196" i="1"/>
  <c r="N196" i="1"/>
  <c r="M196" i="1"/>
  <c r="P195" i="1"/>
  <c r="N195" i="1"/>
  <c r="M195" i="1"/>
  <c r="P194" i="1"/>
  <c r="N194" i="1"/>
  <c r="M194" i="1"/>
  <c r="P190" i="1"/>
  <c r="O190" i="1"/>
  <c r="N190" i="1"/>
  <c r="P189" i="1"/>
  <c r="N189" i="1"/>
  <c r="M189" i="1"/>
  <c r="P188" i="1"/>
  <c r="N188" i="1"/>
  <c r="M188" i="1"/>
  <c r="P187" i="1"/>
  <c r="N187" i="1"/>
  <c r="M187" i="1"/>
  <c r="P186" i="1"/>
  <c r="N186" i="1"/>
  <c r="M186" i="1"/>
  <c r="P183" i="1"/>
  <c r="O183" i="1"/>
  <c r="N183" i="1"/>
  <c r="P182" i="1"/>
  <c r="N182" i="1"/>
  <c r="M182" i="1"/>
  <c r="P181" i="1"/>
  <c r="N181" i="1"/>
  <c r="M181" i="1"/>
  <c r="P180" i="1"/>
  <c r="N180" i="1"/>
  <c r="M180" i="1"/>
  <c r="P175" i="1"/>
  <c r="O175" i="1"/>
  <c r="N175" i="1"/>
  <c r="P174" i="1"/>
  <c r="N174" i="1"/>
  <c r="M174" i="1"/>
  <c r="P173" i="1"/>
  <c r="N173" i="1"/>
  <c r="M173" i="1"/>
  <c r="P171" i="1"/>
  <c r="O171" i="1"/>
  <c r="N171" i="1"/>
  <c r="P170" i="1"/>
  <c r="N170" i="1"/>
  <c r="M170" i="1"/>
  <c r="P168" i="1"/>
  <c r="O168" i="1"/>
  <c r="N168" i="1"/>
  <c r="P167" i="1"/>
  <c r="N167" i="1"/>
  <c r="M167" i="1"/>
  <c r="O165" i="1"/>
  <c r="N165" i="1"/>
  <c r="M165" i="1"/>
  <c r="P164" i="1"/>
  <c r="N164" i="1"/>
  <c r="M164" i="1"/>
  <c r="O163" i="1"/>
  <c r="N163" i="1"/>
  <c r="M163" i="1"/>
  <c r="O161" i="1"/>
  <c r="N161" i="1"/>
  <c r="M161" i="1"/>
  <c r="P159" i="1"/>
  <c r="O159" i="1"/>
  <c r="M159" i="1"/>
  <c r="L159" i="1"/>
  <c r="K159" i="1"/>
  <c r="P158" i="1"/>
  <c r="O158" i="1"/>
  <c r="M158" i="1"/>
  <c r="L158" i="1"/>
  <c r="K158" i="1"/>
  <c r="P157" i="1"/>
  <c r="O157" i="1"/>
  <c r="M157" i="1"/>
  <c r="L157" i="1"/>
  <c r="K157" i="1"/>
  <c r="P156" i="1"/>
  <c r="O156" i="1"/>
  <c r="M156" i="1"/>
  <c r="L156" i="1"/>
  <c r="K156" i="1"/>
  <c r="P155" i="1"/>
  <c r="O155" i="1"/>
  <c r="M155" i="1"/>
  <c r="L155" i="1"/>
  <c r="K155" i="1"/>
  <c r="P154" i="1"/>
  <c r="O154" i="1"/>
  <c r="M154" i="1"/>
  <c r="L154" i="1"/>
  <c r="K154" i="1"/>
  <c r="P153" i="1"/>
  <c r="O153" i="1"/>
  <c r="M153" i="1"/>
  <c r="L153" i="1"/>
  <c r="K153" i="1"/>
  <c r="P152" i="1"/>
  <c r="O152" i="1"/>
  <c r="M152" i="1"/>
  <c r="L152" i="1"/>
  <c r="K152" i="1"/>
  <c r="P151" i="1"/>
  <c r="O151" i="1"/>
  <c r="M151" i="1"/>
  <c r="L151" i="1"/>
  <c r="K151" i="1"/>
  <c r="P150" i="1"/>
  <c r="O150" i="1"/>
  <c r="M150" i="1"/>
  <c r="L150" i="1"/>
  <c r="K150" i="1"/>
  <c r="P149" i="1"/>
  <c r="O149" i="1"/>
  <c r="M149" i="1"/>
  <c r="L149" i="1"/>
  <c r="K149" i="1"/>
  <c r="P148" i="1"/>
  <c r="O148" i="1"/>
  <c r="M148" i="1"/>
  <c r="L148" i="1"/>
  <c r="K148" i="1"/>
  <c r="P147" i="1"/>
  <c r="O147" i="1"/>
  <c r="M147" i="1"/>
  <c r="L147" i="1"/>
  <c r="K147" i="1"/>
  <c r="O142" i="1"/>
  <c r="N142" i="1"/>
  <c r="M142" i="1"/>
  <c r="P140" i="1"/>
  <c r="O140" i="1"/>
  <c r="N140" i="1"/>
  <c r="P139" i="1"/>
  <c r="N139" i="1"/>
  <c r="M139" i="1"/>
  <c r="P137" i="1"/>
  <c r="O137" i="1"/>
  <c r="M137" i="1"/>
  <c r="L137" i="1"/>
  <c r="K137" i="1"/>
  <c r="P136" i="1"/>
  <c r="O136" i="1"/>
  <c r="M136" i="1"/>
  <c r="L136" i="1"/>
  <c r="K136" i="1"/>
  <c r="P135" i="1"/>
  <c r="O135" i="1"/>
  <c r="M135" i="1"/>
  <c r="L135" i="1"/>
  <c r="K135" i="1"/>
  <c r="P134" i="1"/>
  <c r="O134" i="1"/>
  <c r="M134" i="1"/>
  <c r="L134" i="1"/>
  <c r="K134" i="1"/>
  <c r="P133" i="1"/>
  <c r="O133" i="1"/>
  <c r="M133" i="1"/>
  <c r="L133" i="1"/>
  <c r="K133" i="1"/>
  <c r="P132" i="1"/>
  <c r="O132" i="1"/>
  <c r="M132" i="1"/>
  <c r="L132" i="1"/>
  <c r="K132" i="1"/>
  <c r="O128" i="1"/>
  <c r="N128" i="1"/>
  <c r="M128" i="1"/>
  <c r="P126" i="1"/>
  <c r="O126" i="1"/>
  <c r="N126" i="1"/>
  <c r="P125" i="1"/>
  <c r="N125" i="1"/>
  <c r="M125" i="1"/>
  <c r="P123" i="1"/>
  <c r="O123" i="1"/>
  <c r="M123" i="1"/>
  <c r="L123" i="1"/>
  <c r="K123" i="1"/>
  <c r="P122" i="1"/>
  <c r="O122" i="1"/>
  <c r="M122" i="1"/>
  <c r="L122" i="1"/>
  <c r="K122" i="1"/>
  <c r="P121" i="1"/>
  <c r="O121" i="1"/>
  <c r="M121" i="1"/>
  <c r="L121" i="1"/>
  <c r="K121" i="1"/>
  <c r="P120" i="1"/>
  <c r="O120" i="1"/>
  <c r="M120" i="1"/>
  <c r="L120" i="1"/>
  <c r="K120" i="1"/>
  <c r="P119" i="1"/>
  <c r="O119" i="1"/>
  <c r="M119" i="1"/>
  <c r="L119" i="1"/>
  <c r="K119" i="1"/>
  <c r="P118" i="1"/>
  <c r="O118" i="1"/>
  <c r="M118" i="1"/>
  <c r="L118" i="1"/>
  <c r="K118" i="1"/>
  <c r="O114" i="1"/>
  <c r="N114" i="1"/>
  <c r="M114" i="1"/>
  <c r="P112" i="1"/>
  <c r="O112" i="1"/>
  <c r="N112" i="1"/>
  <c r="P111" i="1"/>
  <c r="N111" i="1"/>
  <c r="M111" i="1"/>
  <c r="P109" i="1"/>
  <c r="O109" i="1"/>
  <c r="M109" i="1"/>
  <c r="L109" i="1"/>
  <c r="K109" i="1"/>
  <c r="P108" i="1"/>
  <c r="O108" i="1"/>
  <c r="M108" i="1"/>
  <c r="L108" i="1"/>
  <c r="K108" i="1"/>
  <c r="P107" i="1"/>
  <c r="O107" i="1"/>
  <c r="M107" i="1"/>
  <c r="L107" i="1"/>
  <c r="K107" i="1"/>
  <c r="P106" i="1"/>
  <c r="O106" i="1"/>
  <c r="M106" i="1"/>
  <c r="L106" i="1"/>
  <c r="K106" i="1"/>
  <c r="P105" i="1"/>
  <c r="O105" i="1"/>
  <c r="M105" i="1"/>
  <c r="L105" i="1"/>
  <c r="K105" i="1"/>
  <c r="P104" i="1"/>
  <c r="O104" i="1"/>
  <c r="M104" i="1"/>
  <c r="L104" i="1"/>
  <c r="K104" i="1"/>
  <c r="P99" i="1"/>
  <c r="O99" i="1"/>
  <c r="N99" i="1"/>
  <c r="P98" i="1"/>
  <c r="N98" i="1"/>
  <c r="M98" i="1"/>
  <c r="P96" i="1"/>
  <c r="O96" i="1"/>
  <c r="M96" i="1"/>
  <c r="L96" i="1"/>
  <c r="K96" i="1"/>
  <c r="P95" i="1"/>
  <c r="O95" i="1"/>
  <c r="M95" i="1"/>
  <c r="L95" i="1"/>
  <c r="K95" i="1"/>
  <c r="P94" i="1"/>
  <c r="O94" i="1"/>
  <c r="M94" i="1"/>
  <c r="L94" i="1"/>
  <c r="K94" i="1"/>
  <c r="O89" i="1"/>
  <c r="O88" i="1" s="1"/>
  <c r="N89" i="1"/>
  <c r="N88" i="1" s="1"/>
  <c r="M89" i="1"/>
  <c r="M88" i="1" s="1"/>
  <c r="O86" i="1"/>
  <c r="O85" i="1" s="1"/>
  <c r="N86" i="1"/>
  <c r="N85" i="1" s="1"/>
  <c r="M86" i="1"/>
  <c r="M85" i="1" s="1"/>
  <c r="O83" i="1"/>
  <c r="O82" i="1" s="1"/>
  <c r="N83" i="1"/>
  <c r="N82" i="1" s="1"/>
  <c r="M83" i="1"/>
  <c r="M82" i="1" s="1"/>
  <c r="O80" i="1"/>
  <c r="N80" i="1"/>
  <c r="M80" i="1"/>
  <c r="P79" i="1"/>
  <c r="O79" i="1"/>
  <c r="O78" i="1" s="1"/>
  <c r="M79" i="1"/>
  <c r="L79" i="1"/>
  <c r="K79" i="1"/>
  <c r="P76" i="1"/>
  <c r="N76" i="1"/>
  <c r="M76" i="1"/>
  <c r="O75" i="1"/>
  <c r="N75" i="1"/>
  <c r="M75" i="1"/>
  <c r="P74" i="1"/>
  <c r="O74" i="1"/>
  <c r="M74" i="1"/>
  <c r="L74" i="1"/>
  <c r="K74" i="1"/>
  <c r="P71" i="1"/>
  <c r="N71" i="1"/>
  <c r="M71" i="1"/>
  <c r="O70" i="1"/>
  <c r="N70" i="1"/>
  <c r="M70" i="1"/>
  <c r="P69" i="1"/>
  <c r="O69" i="1"/>
  <c r="M69" i="1"/>
  <c r="L69" i="1"/>
  <c r="K69" i="1"/>
  <c r="O65" i="1"/>
  <c r="O64" i="1" s="1"/>
  <c r="N65" i="1"/>
  <c r="N64" i="1" s="1"/>
  <c r="M65" i="1"/>
  <c r="M64" i="1" s="1"/>
  <c r="O62" i="1"/>
  <c r="O61" i="1" s="1"/>
  <c r="N62" i="1"/>
  <c r="N61" i="1" s="1"/>
  <c r="M62" i="1"/>
  <c r="M61" i="1" s="1"/>
  <c r="P58" i="1"/>
  <c r="O58" i="1"/>
  <c r="N58" i="1"/>
  <c r="P57" i="1"/>
  <c r="O57" i="1"/>
  <c r="M57" i="1"/>
  <c r="L57" i="1"/>
  <c r="K57" i="1"/>
  <c r="P53" i="1"/>
  <c r="N53" i="1"/>
  <c r="M53" i="1"/>
  <c r="P52" i="1"/>
  <c r="O52" i="1"/>
  <c r="N52" i="1"/>
  <c r="P51" i="1"/>
  <c r="N51" i="1"/>
  <c r="M51" i="1"/>
  <c r="P49" i="1"/>
  <c r="O49" i="1"/>
  <c r="M49" i="1"/>
  <c r="L49" i="1"/>
  <c r="K49" i="1"/>
  <c r="P48" i="1"/>
  <c r="O48" i="1"/>
  <c r="M48" i="1"/>
  <c r="L48" i="1"/>
  <c r="K48" i="1"/>
  <c r="P43" i="1"/>
  <c r="N43" i="1"/>
  <c r="M43" i="1"/>
  <c r="P42" i="1"/>
  <c r="O42" i="1"/>
  <c r="N42" i="1"/>
  <c r="P41" i="1"/>
  <c r="N41" i="1"/>
  <c r="M41" i="1"/>
  <c r="P39" i="1"/>
  <c r="O39" i="1"/>
  <c r="M39" i="1"/>
  <c r="L39" i="1"/>
  <c r="K39" i="1"/>
  <c r="P38" i="1"/>
  <c r="O38" i="1"/>
  <c r="M38" i="1"/>
  <c r="L38" i="1"/>
  <c r="K38" i="1"/>
  <c r="P34" i="1"/>
  <c r="N34" i="1"/>
  <c r="M34" i="1"/>
  <c r="P33" i="1"/>
  <c r="O33" i="1"/>
  <c r="N33" i="1"/>
  <c r="P32" i="1"/>
  <c r="N32" i="1"/>
  <c r="M32" i="1"/>
  <c r="P30" i="1"/>
  <c r="O30" i="1"/>
  <c r="M30" i="1"/>
  <c r="L30" i="1"/>
  <c r="K30" i="1"/>
  <c r="P29" i="1"/>
  <c r="O29" i="1"/>
  <c r="M29" i="1"/>
  <c r="L29" i="1"/>
  <c r="K29" i="1"/>
  <c r="P25" i="1"/>
  <c r="N25" i="1"/>
  <c r="M25" i="1"/>
  <c r="P24" i="1"/>
  <c r="O24" i="1"/>
  <c r="N24" i="1"/>
  <c r="P23" i="1"/>
  <c r="N23" i="1"/>
  <c r="M23" i="1"/>
  <c r="P21" i="1"/>
  <c r="O21" i="1"/>
  <c r="M21" i="1"/>
  <c r="L21" i="1"/>
  <c r="K21" i="1"/>
  <c r="P20" i="1"/>
  <c r="O20" i="1"/>
  <c r="M20" i="1"/>
  <c r="L20" i="1"/>
  <c r="K20" i="1"/>
  <c r="P16" i="1"/>
  <c r="N16" i="1"/>
  <c r="M16" i="1"/>
  <c r="P15" i="1"/>
  <c r="O15" i="1"/>
  <c r="N15" i="1"/>
  <c r="P14" i="1"/>
  <c r="N14" i="1"/>
  <c r="M14" i="1"/>
  <c r="P12" i="1"/>
  <c r="O12" i="1"/>
  <c r="M12" i="1"/>
  <c r="L12" i="1"/>
  <c r="K12" i="1"/>
  <c r="O5" i="1"/>
  <c r="O4" i="1" s="1"/>
  <c r="N5" i="1"/>
  <c r="N4" i="1" s="1"/>
  <c r="M5" i="1"/>
  <c r="M4" i="1" s="1"/>
  <c r="E11" i="1"/>
  <c r="M11" i="1" s="1"/>
  <c r="I694" i="1"/>
  <c r="J694" i="1" s="1"/>
  <c r="I693" i="1"/>
  <c r="J693" i="1" s="1"/>
  <c r="I692" i="1"/>
  <c r="J692" i="1" s="1"/>
  <c r="I691" i="1"/>
  <c r="J691" i="1" s="1"/>
  <c r="I690" i="1"/>
  <c r="J690" i="1" s="1"/>
  <c r="I689" i="1"/>
  <c r="J689" i="1" s="1"/>
  <c r="I686" i="1"/>
  <c r="J686" i="1" s="1"/>
  <c r="I683" i="1"/>
  <c r="J683" i="1" s="1"/>
  <c r="I680" i="1"/>
  <c r="J680" i="1" s="1"/>
  <c r="I677" i="1"/>
  <c r="J677" i="1" s="1"/>
  <c r="I674" i="1"/>
  <c r="J674" i="1" s="1"/>
  <c r="I671" i="1"/>
  <c r="J671" i="1" s="1"/>
  <c r="I609" i="1"/>
  <c r="I606" i="1"/>
  <c r="I603" i="1"/>
  <c r="I602" i="1"/>
  <c r="I598" i="1"/>
  <c r="I595" i="1"/>
  <c r="I594" i="1"/>
  <c r="I592" i="1"/>
  <c r="I588" i="1"/>
  <c r="J588" i="1" s="1"/>
  <c r="I587" i="1"/>
  <c r="I585" i="1"/>
  <c r="I581" i="1"/>
  <c r="I576" i="1"/>
  <c r="I573" i="1"/>
  <c r="I570" i="1"/>
  <c r="I567" i="1"/>
  <c r="I564" i="1"/>
  <c r="I561" i="1"/>
  <c r="I558" i="1"/>
  <c r="I552" i="1"/>
  <c r="I551" i="1"/>
  <c r="I550" i="1"/>
  <c r="I549" i="1"/>
  <c r="I546" i="1"/>
  <c r="I542" i="1"/>
  <c r="I539" i="1"/>
  <c r="I537" i="1"/>
  <c r="I536" i="1"/>
  <c r="I535" i="1"/>
  <c r="I533" i="1"/>
  <c r="I532" i="1"/>
  <c r="I531" i="1"/>
  <c r="I530" i="1"/>
  <c r="I528" i="1"/>
  <c r="I527" i="1"/>
  <c r="I525" i="1"/>
  <c r="I524" i="1"/>
  <c r="I518" i="1"/>
  <c r="I515" i="1"/>
  <c r="I512" i="1"/>
  <c r="I509" i="1"/>
  <c r="I508" i="1"/>
  <c r="J508" i="1" s="1"/>
  <c r="I507" i="1"/>
  <c r="I506" i="1"/>
  <c r="I500" i="1"/>
  <c r="I497" i="1"/>
  <c r="J497" i="1" s="1"/>
  <c r="I494" i="1"/>
  <c r="I491" i="1"/>
  <c r="I488" i="1"/>
  <c r="I485" i="1"/>
  <c r="I484" i="1"/>
  <c r="J484" i="1" s="1"/>
  <c r="I483" i="1"/>
  <c r="I482" i="1"/>
  <c r="I478" i="1"/>
  <c r="I477" i="1"/>
  <c r="J477" i="1" s="1"/>
  <c r="I476" i="1"/>
  <c r="I475" i="1"/>
  <c r="I471" i="1"/>
  <c r="I470" i="1"/>
  <c r="J470" i="1" s="1"/>
  <c r="I469" i="1"/>
  <c r="I468" i="1"/>
  <c r="I464" i="1"/>
  <c r="I463" i="1"/>
  <c r="J463" i="1" s="1"/>
  <c r="I462" i="1"/>
  <c r="I461" i="1"/>
  <c r="I456" i="1"/>
  <c r="I455" i="1"/>
  <c r="I454" i="1"/>
  <c r="I452" i="1"/>
  <c r="I447" i="1"/>
  <c r="I444" i="1"/>
  <c r="I441" i="1"/>
  <c r="I438" i="1"/>
  <c r="I435" i="1"/>
  <c r="I432" i="1"/>
  <c r="I429" i="1"/>
  <c r="I426" i="1"/>
  <c r="I423" i="1"/>
  <c r="I419" i="1"/>
  <c r="I416" i="1"/>
  <c r="I412" i="1"/>
  <c r="I408" i="1"/>
  <c r="I404" i="1"/>
  <c r="I401" i="1"/>
  <c r="I398" i="1"/>
  <c r="I394" i="1"/>
  <c r="I390" i="1"/>
  <c r="I384" i="1"/>
  <c r="I381" i="1"/>
  <c r="I378" i="1"/>
  <c r="I375" i="1"/>
  <c r="I372" i="1"/>
  <c r="I369" i="1"/>
  <c r="I366" i="1"/>
  <c r="I362" i="1"/>
  <c r="I359" i="1"/>
  <c r="I355" i="1"/>
  <c r="I352" i="1"/>
  <c r="I349" i="1"/>
  <c r="I346" i="1"/>
  <c r="I342" i="1"/>
  <c r="I338" i="1"/>
  <c r="I334" i="1"/>
  <c r="I331" i="1"/>
  <c r="I328" i="1"/>
  <c r="I325" i="1"/>
  <c r="I322" i="1"/>
  <c r="I318" i="1"/>
  <c r="I314" i="1"/>
  <c r="I311" i="1"/>
  <c r="I308" i="1"/>
  <c r="I304" i="1"/>
  <c r="I300" i="1"/>
  <c r="I294" i="1"/>
  <c r="I291" i="1"/>
  <c r="I288" i="1"/>
  <c r="I285" i="1"/>
  <c r="J285" i="1" s="1"/>
  <c r="I284" i="1"/>
  <c r="J284" i="1" s="1"/>
  <c r="I283" i="1"/>
  <c r="J283" i="1" s="1"/>
  <c r="I282" i="1"/>
  <c r="J282" i="1" s="1"/>
  <c r="I281" i="1"/>
  <c r="J281" i="1" s="1"/>
  <c r="I280" i="1"/>
  <c r="J280" i="1" s="1"/>
  <c r="I279" i="1"/>
  <c r="J279" i="1" s="1"/>
  <c r="I278" i="1"/>
  <c r="J278" i="1" s="1"/>
  <c r="I277" i="1"/>
  <c r="J277" i="1" s="1"/>
  <c r="I276" i="1"/>
  <c r="J276" i="1" s="1"/>
  <c r="I275" i="1"/>
  <c r="J275" i="1" s="1"/>
  <c r="I274" i="1"/>
  <c r="J274" i="1" s="1"/>
  <c r="I273" i="1"/>
  <c r="J273" i="1" s="1"/>
  <c r="I272" i="1"/>
  <c r="J272" i="1" s="1"/>
  <c r="I271" i="1"/>
  <c r="J271" i="1" s="1"/>
  <c r="I270" i="1"/>
  <c r="J270" i="1" s="1"/>
  <c r="I269" i="1"/>
  <c r="J269" i="1" s="1"/>
  <c r="I268" i="1"/>
  <c r="J268" i="1" s="1"/>
  <c r="I263" i="1"/>
  <c r="I261" i="1"/>
  <c r="I260" i="1"/>
  <c r="I254" i="1"/>
  <c r="I250" i="1"/>
  <c r="I246" i="1"/>
  <c r="I245" i="1"/>
  <c r="I244" i="1"/>
  <c r="I243" i="1"/>
  <c r="I241" i="1"/>
  <c r="I240" i="1"/>
  <c r="I239" i="1"/>
  <c r="I238" i="1"/>
  <c r="I237" i="1"/>
  <c r="I235" i="1"/>
  <c r="I234" i="1"/>
  <c r="I230" i="1"/>
  <c r="I229" i="1"/>
  <c r="I228" i="1"/>
  <c r="I227" i="1"/>
  <c r="I225" i="1"/>
  <c r="I224" i="1"/>
  <c r="I223" i="1"/>
  <c r="I222" i="1"/>
  <c r="I221" i="1"/>
  <c r="I219" i="1"/>
  <c r="I218" i="1"/>
  <c r="I214" i="1"/>
  <c r="I213" i="1"/>
  <c r="I212" i="1"/>
  <c r="I211" i="1"/>
  <c r="I209" i="1"/>
  <c r="I208" i="1"/>
  <c r="I207" i="1"/>
  <c r="I206" i="1"/>
  <c r="I205" i="1"/>
  <c r="I203" i="1"/>
  <c r="I202" i="1"/>
  <c r="I197" i="1"/>
  <c r="I196" i="1"/>
  <c r="I195" i="1"/>
  <c r="I194" i="1"/>
  <c r="I190" i="1"/>
  <c r="I189" i="1"/>
  <c r="I188" i="1"/>
  <c r="I187" i="1"/>
  <c r="I186" i="1"/>
  <c r="I183" i="1"/>
  <c r="I182" i="1"/>
  <c r="I181" i="1"/>
  <c r="I180" i="1"/>
  <c r="I175" i="1"/>
  <c r="I174" i="1"/>
  <c r="I173" i="1"/>
  <c r="I171" i="1"/>
  <c r="I170" i="1"/>
  <c r="I168" i="1"/>
  <c r="I167" i="1"/>
  <c r="I165" i="1"/>
  <c r="I164" i="1"/>
  <c r="I163" i="1"/>
  <c r="I161" i="1"/>
  <c r="I159" i="1"/>
  <c r="I158" i="1"/>
  <c r="I157" i="1"/>
  <c r="I156" i="1"/>
  <c r="I155" i="1"/>
  <c r="I154" i="1"/>
  <c r="I153" i="1"/>
  <c r="I152" i="1"/>
  <c r="I151" i="1"/>
  <c r="I150" i="1"/>
  <c r="I149" i="1"/>
  <c r="I148" i="1"/>
  <c r="I147" i="1"/>
  <c r="I142" i="1"/>
  <c r="I140" i="1"/>
  <c r="I139" i="1"/>
  <c r="I137" i="1"/>
  <c r="J137" i="1" s="1"/>
  <c r="I136" i="1"/>
  <c r="I135" i="1"/>
  <c r="I134" i="1"/>
  <c r="I133" i="1"/>
  <c r="I132" i="1"/>
  <c r="I128" i="1"/>
  <c r="I126" i="1"/>
  <c r="I125" i="1"/>
  <c r="I123" i="1"/>
  <c r="J123" i="1" s="1"/>
  <c r="I122" i="1"/>
  <c r="I121" i="1"/>
  <c r="I120" i="1"/>
  <c r="I119" i="1"/>
  <c r="I118" i="1"/>
  <c r="I114" i="1"/>
  <c r="I112" i="1"/>
  <c r="I111" i="1"/>
  <c r="I109" i="1"/>
  <c r="J109" i="1" s="1"/>
  <c r="I108" i="1"/>
  <c r="I107" i="1"/>
  <c r="I106" i="1"/>
  <c r="I105" i="1"/>
  <c r="I104" i="1"/>
  <c r="I99" i="1"/>
  <c r="I98" i="1"/>
  <c r="I96" i="1"/>
  <c r="I95" i="1"/>
  <c r="I94" i="1"/>
  <c r="I89" i="1"/>
  <c r="I86" i="1"/>
  <c r="I83" i="1"/>
  <c r="I80" i="1"/>
  <c r="I79" i="1"/>
  <c r="I76" i="1"/>
  <c r="I75" i="1"/>
  <c r="I74" i="1"/>
  <c r="I71" i="1"/>
  <c r="I70" i="1"/>
  <c r="I69" i="1"/>
  <c r="I65" i="1"/>
  <c r="I62" i="1"/>
  <c r="I58" i="1"/>
  <c r="I57" i="1"/>
  <c r="J57" i="1" s="1"/>
  <c r="I53" i="1"/>
  <c r="I52" i="1"/>
  <c r="I51" i="1"/>
  <c r="I49" i="1"/>
  <c r="I48" i="1"/>
  <c r="I43" i="1"/>
  <c r="I42" i="1"/>
  <c r="I41" i="1"/>
  <c r="I39" i="1"/>
  <c r="I38" i="1"/>
  <c r="I34" i="1"/>
  <c r="I33" i="1"/>
  <c r="I32" i="1"/>
  <c r="I30" i="1"/>
  <c r="I29" i="1"/>
  <c r="I25" i="1"/>
  <c r="I24" i="1"/>
  <c r="I23" i="1"/>
  <c r="I21" i="1"/>
  <c r="I20" i="1"/>
  <c r="I16" i="1"/>
  <c r="I15" i="1"/>
  <c r="I14" i="1"/>
  <c r="I12" i="1"/>
  <c r="I11" i="1"/>
  <c r="I5" i="1"/>
  <c r="N688" i="1" l="1"/>
  <c r="N109" i="1"/>
  <c r="P271" i="1"/>
  <c r="P275" i="1"/>
  <c r="Q275" i="1" s="1"/>
  <c r="P279" i="1"/>
  <c r="Q279" i="1" s="1"/>
  <c r="P283" i="1"/>
  <c r="N463" i="1"/>
  <c r="N470" i="1"/>
  <c r="Q470" i="1" s="1"/>
  <c r="N477" i="1"/>
  <c r="Q477" i="1" s="1"/>
  <c r="N484" i="1"/>
  <c r="J673" i="1"/>
  <c r="J685" i="1"/>
  <c r="O692" i="1"/>
  <c r="Q692" i="1" s="1"/>
  <c r="N123" i="1"/>
  <c r="P272" i="1"/>
  <c r="P276" i="1"/>
  <c r="P280" i="1"/>
  <c r="Q280" i="1" s="1"/>
  <c r="P284" i="1"/>
  <c r="J496" i="1"/>
  <c r="N508" i="1"/>
  <c r="Q508" i="1" s="1"/>
  <c r="J676" i="1"/>
  <c r="O693" i="1"/>
  <c r="N137" i="1"/>
  <c r="P269" i="1"/>
  <c r="Q269" i="1" s="1"/>
  <c r="P273" i="1"/>
  <c r="Q273" i="1" s="1"/>
  <c r="P277" i="1"/>
  <c r="P281" i="1"/>
  <c r="M285" i="1"/>
  <c r="M266" i="1" s="1"/>
  <c r="N588" i="1"/>
  <c r="Q588" i="1" s="1"/>
  <c r="J679" i="1"/>
  <c r="O690" i="1"/>
  <c r="O694" i="1"/>
  <c r="Q694" i="1" s="1"/>
  <c r="N649" i="1"/>
  <c r="Q649" i="1" s="1"/>
  <c r="P270" i="1"/>
  <c r="P274" i="1"/>
  <c r="P278" i="1"/>
  <c r="Q278" i="1" s="1"/>
  <c r="P282" i="1"/>
  <c r="Q282" i="1" s="1"/>
  <c r="J670" i="1"/>
  <c r="J682" i="1"/>
  <c r="O691" i="1"/>
  <c r="Q691" i="1" s="1"/>
  <c r="L389" i="1"/>
  <c r="C62" i="6" s="1"/>
  <c r="L443" i="1"/>
  <c r="C78" i="6" s="1"/>
  <c r="L499" i="1"/>
  <c r="C89" i="6" s="1"/>
  <c r="L545" i="1"/>
  <c r="C95" i="6" s="1"/>
  <c r="L351" i="1"/>
  <c r="C51" i="6" s="1"/>
  <c r="L393" i="1"/>
  <c r="C63" i="6" s="1"/>
  <c r="L446" i="1"/>
  <c r="C79" i="6" s="1"/>
  <c r="L490" i="1"/>
  <c r="C86" i="6" s="1"/>
  <c r="L613" i="1"/>
  <c r="C111" i="6" s="1"/>
  <c r="L354" i="1"/>
  <c r="C52" i="6" s="1"/>
  <c r="L397" i="1"/>
  <c r="C64" i="6" s="1"/>
  <c r="L493" i="1"/>
  <c r="C87" i="6" s="1"/>
  <c r="L633" i="1"/>
  <c r="C114" i="6" s="1"/>
  <c r="G228" i="1"/>
  <c r="G230" i="1"/>
  <c r="O266" i="1"/>
  <c r="G245" i="1"/>
  <c r="G246" i="1"/>
  <c r="M688" i="1"/>
  <c r="Q693" i="1"/>
  <c r="M590" i="1"/>
  <c r="O601" i="1"/>
  <c r="M258" i="1"/>
  <c r="P688" i="1"/>
  <c r="O616" i="1"/>
  <c r="M73" i="1"/>
  <c r="M459" i="1"/>
  <c r="M466" i="1"/>
  <c r="M473" i="1"/>
  <c r="M480" i="1"/>
  <c r="O590" i="1"/>
  <c r="O56" i="1"/>
  <c r="P92" i="1"/>
  <c r="N193" i="1"/>
  <c r="P459" i="1"/>
  <c r="P466" i="1"/>
  <c r="P450" i="1"/>
  <c r="M601" i="1"/>
  <c r="P216" i="1"/>
  <c r="N548" i="1"/>
  <c r="P27" i="1"/>
  <c r="P620" i="1"/>
  <c r="P46" i="1"/>
  <c r="P36" i="1"/>
  <c r="M78" i="1"/>
  <c r="N178" i="1"/>
  <c r="N185" i="1"/>
  <c r="P193" i="1"/>
  <c r="P232" i="1"/>
  <c r="L459" i="1"/>
  <c r="C81" i="6" s="1"/>
  <c r="L466" i="1"/>
  <c r="C82" i="6" s="1"/>
  <c r="L473" i="1"/>
  <c r="C83" i="6" s="1"/>
  <c r="L480" i="1"/>
  <c r="C84" i="6" s="1"/>
  <c r="P504" i="1"/>
  <c r="M548" i="1"/>
  <c r="M583" i="1"/>
  <c r="P178" i="1"/>
  <c r="P185" i="1"/>
  <c r="J266" i="1"/>
  <c r="J688" i="1"/>
  <c r="P18" i="1"/>
  <c r="P56" i="1"/>
  <c r="M68" i="1"/>
  <c r="P200" i="1"/>
  <c r="O258" i="1"/>
  <c r="N266" i="1"/>
  <c r="O459" i="1"/>
  <c r="O466" i="1"/>
  <c r="O473" i="1"/>
  <c r="O480" i="1"/>
  <c r="M504" i="1"/>
  <c r="O548" i="1"/>
  <c r="O583" i="1"/>
  <c r="N601" i="1"/>
  <c r="P473" i="1"/>
  <c r="P480" i="1"/>
  <c r="O504" i="1"/>
  <c r="L86" i="1"/>
  <c r="L346" i="1"/>
  <c r="L561" i="1"/>
  <c r="L688" i="1"/>
  <c r="L75" i="1"/>
  <c r="L73" i="1" s="1"/>
  <c r="C14" i="6" s="1"/>
  <c r="L384" i="1"/>
  <c r="L429" i="1"/>
  <c r="L573" i="1"/>
  <c r="L504" i="1"/>
  <c r="C90" i="6" s="1"/>
  <c r="K542" i="1"/>
  <c r="L541" i="1"/>
  <c r="C94" i="6" s="1"/>
  <c r="L65" i="1"/>
  <c r="L89" i="1"/>
  <c r="L250" i="1"/>
  <c r="L291" i="1"/>
  <c r="L349" i="1"/>
  <c r="L362" i="1"/>
  <c r="K390" i="1"/>
  <c r="K444" i="1"/>
  <c r="K500" i="1"/>
  <c r="L518" i="1"/>
  <c r="L517" i="1" s="1"/>
  <c r="K546" i="1"/>
  <c r="L564" i="1"/>
  <c r="L576" i="1"/>
  <c r="Q690" i="1"/>
  <c r="L62" i="1"/>
  <c r="L61" i="1" s="1"/>
  <c r="L372" i="1"/>
  <c r="L592" i="1"/>
  <c r="P268" i="1"/>
  <c r="Q268" i="1" s="1"/>
  <c r="K671" i="1"/>
  <c r="L670" i="1"/>
  <c r="K674" i="1"/>
  <c r="L673" i="1"/>
  <c r="K677" i="1"/>
  <c r="L676" i="1"/>
  <c r="K680" i="1"/>
  <c r="L679" i="1"/>
  <c r="L128" i="1"/>
  <c r="K128" i="1" s="1"/>
  <c r="L254" i="1"/>
  <c r="L294" i="1"/>
  <c r="K352" i="1"/>
  <c r="L378" i="1"/>
  <c r="K394" i="1"/>
  <c r="L408" i="1"/>
  <c r="L407" i="1" s="1"/>
  <c r="C67" i="6" s="1"/>
  <c r="L423" i="1"/>
  <c r="K447" i="1"/>
  <c r="K491" i="1"/>
  <c r="H535" i="1"/>
  <c r="L535" i="1" s="1"/>
  <c r="K535" i="1" s="1"/>
  <c r="L539" i="1"/>
  <c r="L567" i="1"/>
  <c r="L581" i="1"/>
  <c r="L603" i="1"/>
  <c r="K603" i="1" s="1"/>
  <c r="N57" i="1"/>
  <c r="N56" i="1" s="1"/>
  <c r="L359" i="1"/>
  <c r="K686" i="1"/>
  <c r="L685" i="1"/>
  <c r="L83" i="1"/>
  <c r="L381" i="1"/>
  <c r="K398" i="1"/>
  <c r="L412" i="1"/>
  <c r="L426" i="1"/>
  <c r="K494" i="1"/>
  <c r="L558" i="1"/>
  <c r="L570" i="1"/>
  <c r="L587" i="1"/>
  <c r="K587" i="1" s="1"/>
  <c r="L606" i="1"/>
  <c r="L662" i="1"/>
  <c r="O689" i="1"/>
  <c r="H644" i="1"/>
  <c r="H646" i="1" s="1"/>
  <c r="J646" i="1" s="1"/>
  <c r="H645" i="1"/>
  <c r="H647" i="1" s="1"/>
  <c r="J647" i="1" s="1"/>
  <c r="H639" i="1"/>
  <c r="J639" i="1" s="1"/>
  <c r="H651" i="1"/>
  <c r="H652" i="1" s="1"/>
  <c r="J652" i="1" s="1"/>
  <c r="H654" i="1"/>
  <c r="L654" i="1" s="1"/>
  <c r="K654" i="1" s="1"/>
  <c r="H648" i="1"/>
  <c r="J648" i="1" s="1"/>
  <c r="J641" i="1"/>
  <c r="L641" i="1"/>
  <c r="K641" i="1" s="1"/>
  <c r="J635" i="1"/>
  <c r="J665" i="1"/>
  <c r="H539" i="1"/>
  <c r="J662" i="1"/>
  <c r="J658" i="1"/>
  <c r="L658" i="1"/>
  <c r="J512" i="1"/>
  <c r="H452" i="1"/>
  <c r="J452" i="1" s="1"/>
  <c r="H482" i="1"/>
  <c r="H485" i="1" s="1"/>
  <c r="J485" i="1" s="1"/>
  <c r="G25" i="1"/>
  <c r="J25" i="1" s="1"/>
  <c r="H623" i="1"/>
  <c r="J623" i="1" s="1"/>
  <c r="J622" i="1"/>
  <c r="H161" i="1"/>
  <c r="J625" i="1"/>
  <c r="L622" i="1"/>
  <c r="H150" i="1"/>
  <c r="J150" i="1" s="1"/>
  <c r="G628" i="1"/>
  <c r="G629" i="1"/>
  <c r="G630" i="1"/>
  <c r="H627" i="1"/>
  <c r="H628" i="1"/>
  <c r="H629" i="1"/>
  <c r="H630" i="1"/>
  <c r="H631" i="1"/>
  <c r="K614" i="1"/>
  <c r="J606" i="1"/>
  <c r="H98" i="1"/>
  <c r="J98" i="1" s="1"/>
  <c r="H152" i="1"/>
  <c r="H153" i="1" s="1"/>
  <c r="J153" i="1" s="1"/>
  <c r="H164" i="1"/>
  <c r="L164" i="1" s="1"/>
  <c r="K164" i="1" s="1"/>
  <c r="H524" i="1"/>
  <c r="J524" i="1" s="1"/>
  <c r="H552" i="1"/>
  <c r="L552" i="1" s="1"/>
  <c r="K552" i="1" s="1"/>
  <c r="H125" i="1"/>
  <c r="J125" i="1" s="1"/>
  <c r="H155" i="1"/>
  <c r="H167" i="1" s="1"/>
  <c r="J167" i="1" s="1"/>
  <c r="H170" i="1"/>
  <c r="H171" i="1" s="1"/>
  <c r="L171" i="1" s="1"/>
  <c r="K171" i="1" s="1"/>
  <c r="H530" i="1"/>
  <c r="J530" i="1" s="1"/>
  <c r="H148" i="1"/>
  <c r="J148" i="1" s="1"/>
  <c r="H157" i="1"/>
  <c r="J157" i="1" s="1"/>
  <c r="H174" i="1"/>
  <c r="L174" i="1" s="1"/>
  <c r="K174" i="1" s="1"/>
  <c r="H468" i="1"/>
  <c r="H471" i="1" s="1"/>
  <c r="J471" i="1" s="1"/>
  <c r="H536" i="1"/>
  <c r="L536" i="1" s="1"/>
  <c r="K536" i="1" s="1"/>
  <c r="J618" i="1"/>
  <c r="J617" i="1"/>
  <c r="L618" i="1"/>
  <c r="L617" i="1"/>
  <c r="J614" i="1"/>
  <c r="G183" i="1"/>
  <c r="H261" i="1"/>
  <c r="J261" i="1" s="1"/>
  <c r="G196" i="1"/>
  <c r="J196" i="1" s="1"/>
  <c r="H119" i="1"/>
  <c r="H121" i="1" s="1"/>
  <c r="J121" i="1" s="1"/>
  <c r="H149" i="1"/>
  <c r="J149" i="1" s="1"/>
  <c r="H154" i="1"/>
  <c r="J154" i="1" s="1"/>
  <c r="H158" i="1"/>
  <c r="J158" i="1" s="1"/>
  <c r="H165" i="1"/>
  <c r="L165" i="1" s="1"/>
  <c r="K165" i="1" s="1"/>
  <c r="H175" i="1"/>
  <c r="H197" i="1"/>
  <c r="H95" i="1"/>
  <c r="J95" i="1" s="1"/>
  <c r="H147" i="1"/>
  <c r="J147" i="1" s="1"/>
  <c r="H151" i="1"/>
  <c r="J151" i="1" s="1"/>
  <c r="H156" i="1"/>
  <c r="H159" i="1" s="1"/>
  <c r="J159" i="1" s="1"/>
  <c r="H163" i="1"/>
  <c r="G212" i="1"/>
  <c r="H194" i="1"/>
  <c r="L194" i="1" s="1"/>
  <c r="H234" i="1"/>
  <c r="H239" i="1" s="1"/>
  <c r="L239" i="1" s="1"/>
  <c r="K239" i="1" s="1"/>
  <c r="G53" i="1"/>
  <c r="J515" i="1"/>
  <c r="J412" i="1"/>
  <c r="H195" i="1"/>
  <c r="J195" i="1" s="1"/>
  <c r="J83" i="1"/>
  <c r="G240" i="1"/>
  <c r="H454" i="1"/>
  <c r="J454" i="1" s="1"/>
  <c r="K355" i="1"/>
  <c r="K369" i="1"/>
  <c r="G42" i="1"/>
  <c r="H227" i="1"/>
  <c r="H230" i="1" s="1"/>
  <c r="H594" i="1"/>
  <c r="G182" i="1"/>
  <c r="G33" i="1"/>
  <c r="J355" i="1"/>
  <c r="H21" i="1"/>
  <c r="J21" i="1" s="1"/>
  <c r="H39" i="1"/>
  <c r="J39" i="1" s="1"/>
  <c r="H80" i="1"/>
  <c r="H111" i="1"/>
  <c r="L111" i="1" s="1"/>
  <c r="K111" i="1" s="1"/>
  <c r="H211" i="1"/>
  <c r="J211" i="1" s="1"/>
  <c r="H183" i="1"/>
  <c r="L180" i="1"/>
  <c r="G223" i="1"/>
  <c r="J180" i="1"/>
  <c r="H69" i="1"/>
  <c r="J69" i="1" s="1"/>
  <c r="H140" i="1"/>
  <c r="J140" i="1" s="1"/>
  <c r="H76" i="1"/>
  <c r="L76" i="1" s="1"/>
  <c r="K76" i="1" s="1"/>
  <c r="H133" i="1"/>
  <c r="H135" i="1" s="1"/>
  <c r="J135" i="1" s="1"/>
  <c r="H189" i="1"/>
  <c r="L189" i="1" s="1"/>
  <c r="K189" i="1" s="1"/>
  <c r="H34" i="1"/>
  <c r="J34" i="1" s="1"/>
  <c r="H105" i="1"/>
  <c r="H107" i="1" s="1"/>
  <c r="J107" i="1" s="1"/>
  <c r="H190" i="1"/>
  <c r="H41" i="1"/>
  <c r="L41" i="1" s="1"/>
  <c r="K41" i="1" s="1"/>
  <c r="H74" i="1"/>
  <c r="J74" i="1" s="1"/>
  <c r="H114" i="1"/>
  <c r="H136" i="1"/>
  <c r="J136" i="1" s="1"/>
  <c r="H186" i="1"/>
  <c r="L186" i="1" s="1"/>
  <c r="J173" i="1"/>
  <c r="J491" i="1"/>
  <c r="L173" i="1"/>
  <c r="K173" i="1" s="1"/>
  <c r="G190" i="1"/>
  <c r="J518" i="1"/>
  <c r="G206" i="1"/>
  <c r="G229" i="1"/>
  <c r="H15" i="1"/>
  <c r="L15" i="1" s="1"/>
  <c r="K15" i="1" s="1"/>
  <c r="H29" i="1"/>
  <c r="J29" i="1" s="1"/>
  <c r="H49" i="1"/>
  <c r="J49" i="1" s="1"/>
  <c r="H32" i="1"/>
  <c r="L32" i="1" s="1"/>
  <c r="K32" i="1" s="1"/>
  <c r="H52" i="1"/>
  <c r="L52" i="1" s="1"/>
  <c r="K52" i="1" s="1"/>
  <c r="G175" i="1"/>
  <c r="L139" i="1"/>
  <c r="K139" i="1" s="1"/>
  <c r="J609" i="1"/>
  <c r="J603" i="1"/>
  <c r="H602" i="1"/>
  <c r="L602" i="1" s="1"/>
  <c r="J598" i="1"/>
  <c r="J592" i="1"/>
  <c r="H595" i="1"/>
  <c r="J595" i="1" s="1"/>
  <c r="H585" i="1"/>
  <c r="L585" i="1" s="1"/>
  <c r="J587" i="1"/>
  <c r="J581" i="1"/>
  <c r="J576" i="1"/>
  <c r="J573" i="1"/>
  <c r="J570" i="1"/>
  <c r="J567" i="1"/>
  <c r="J564" i="1"/>
  <c r="J561" i="1"/>
  <c r="J558" i="1"/>
  <c r="H550" i="1"/>
  <c r="L550" i="1" s="1"/>
  <c r="K550" i="1" s="1"/>
  <c r="H551" i="1"/>
  <c r="L551" i="1" s="1"/>
  <c r="K551" i="1" s="1"/>
  <c r="J549" i="1"/>
  <c r="J546" i="1"/>
  <c r="J542" i="1"/>
  <c r="H525" i="1"/>
  <c r="J525" i="1" s="1"/>
  <c r="H531" i="1"/>
  <c r="J531" i="1" s="1"/>
  <c r="H537" i="1"/>
  <c r="L537" i="1" s="1"/>
  <c r="K537" i="1" s="1"/>
  <c r="H527" i="1"/>
  <c r="L527" i="1" s="1"/>
  <c r="H532" i="1"/>
  <c r="J532" i="1" s="1"/>
  <c r="H533" i="1"/>
  <c r="J533" i="1" s="1"/>
  <c r="H528" i="1"/>
  <c r="L528" i="1" s="1"/>
  <c r="K528" i="1" s="1"/>
  <c r="H506" i="1"/>
  <c r="H509" i="1" s="1"/>
  <c r="J509" i="1" s="1"/>
  <c r="J507" i="1"/>
  <c r="J500" i="1"/>
  <c r="J494" i="1"/>
  <c r="J488" i="1"/>
  <c r="J483" i="1"/>
  <c r="H475" i="1"/>
  <c r="H478" i="1" s="1"/>
  <c r="J478" i="1" s="1"/>
  <c r="J476" i="1"/>
  <c r="J469" i="1"/>
  <c r="H461" i="1"/>
  <c r="H464" i="1" s="1"/>
  <c r="J464" i="1" s="1"/>
  <c r="J462" i="1"/>
  <c r="L456" i="1"/>
  <c r="K456" i="1" s="1"/>
  <c r="H455" i="1"/>
  <c r="G455" i="1"/>
  <c r="J456" i="1"/>
  <c r="J447" i="1"/>
  <c r="J444" i="1"/>
  <c r="J441" i="1"/>
  <c r="J438" i="1"/>
  <c r="J435" i="1"/>
  <c r="J432" i="1"/>
  <c r="J429" i="1"/>
  <c r="J426" i="1"/>
  <c r="J423" i="1"/>
  <c r="J419" i="1"/>
  <c r="J416" i="1"/>
  <c r="J408" i="1"/>
  <c r="J404" i="1"/>
  <c r="J401" i="1"/>
  <c r="J398" i="1"/>
  <c r="J394" i="1"/>
  <c r="J390" i="1"/>
  <c r="J384" i="1"/>
  <c r="J381" i="1"/>
  <c r="J378" i="1"/>
  <c r="J375" i="1"/>
  <c r="J372" i="1"/>
  <c r="J369" i="1"/>
  <c r="J366" i="1"/>
  <c r="J362" i="1"/>
  <c r="J359" i="1"/>
  <c r="J352" i="1"/>
  <c r="J349" i="1"/>
  <c r="J346" i="1"/>
  <c r="J342" i="1"/>
  <c r="J338" i="1"/>
  <c r="J334" i="1"/>
  <c r="J331" i="1"/>
  <c r="J328" i="1"/>
  <c r="J325" i="1"/>
  <c r="J322" i="1"/>
  <c r="J318" i="1"/>
  <c r="J314" i="1"/>
  <c r="J311" i="1"/>
  <c r="J308" i="1"/>
  <c r="J304" i="1"/>
  <c r="J300" i="1"/>
  <c r="J294" i="1"/>
  <c r="J291" i="1"/>
  <c r="J288" i="1"/>
  <c r="H263" i="1"/>
  <c r="J260" i="1"/>
  <c r="J254" i="1"/>
  <c r="J250" i="1"/>
  <c r="G244" i="1"/>
  <c r="G241" i="1"/>
  <c r="G238" i="1"/>
  <c r="H244" i="1"/>
  <c r="H246" i="1"/>
  <c r="H245" i="1"/>
  <c r="L243" i="1"/>
  <c r="K243" i="1" s="1"/>
  <c r="J243" i="1"/>
  <c r="G224" i="1"/>
  <c r="G225" i="1"/>
  <c r="H222" i="1"/>
  <c r="L222" i="1" s="1"/>
  <c r="K222" i="1" s="1"/>
  <c r="H225" i="1"/>
  <c r="H221" i="1"/>
  <c r="L221" i="1" s="1"/>
  <c r="H224" i="1"/>
  <c r="H219" i="1"/>
  <c r="J219" i="1" s="1"/>
  <c r="H223" i="1"/>
  <c r="J218" i="1"/>
  <c r="G207" i="1"/>
  <c r="G208" i="1"/>
  <c r="H206" i="1"/>
  <c r="H209" i="1"/>
  <c r="L209" i="1" s="1"/>
  <c r="K209" i="1" s="1"/>
  <c r="H205" i="1"/>
  <c r="L205" i="1" s="1"/>
  <c r="K205" i="1" s="1"/>
  <c r="H208" i="1"/>
  <c r="H203" i="1"/>
  <c r="J203" i="1" s="1"/>
  <c r="H207" i="1"/>
  <c r="J202" i="1"/>
  <c r="G197" i="1"/>
  <c r="G187" i="1"/>
  <c r="G188" i="1"/>
  <c r="L188" i="1" s="1"/>
  <c r="K188" i="1" s="1"/>
  <c r="H187" i="1"/>
  <c r="H181" i="1"/>
  <c r="L181" i="1" s="1"/>
  <c r="K181" i="1" s="1"/>
  <c r="H182" i="1"/>
  <c r="J139" i="1"/>
  <c r="H134" i="1"/>
  <c r="J134" i="1" s="1"/>
  <c r="H142" i="1"/>
  <c r="H132" i="1"/>
  <c r="J132" i="1" s="1"/>
  <c r="J128" i="1"/>
  <c r="H118" i="1"/>
  <c r="H120" i="1" s="1"/>
  <c r="J120" i="1" s="1"/>
  <c r="H126" i="1"/>
  <c r="L126" i="1" s="1"/>
  <c r="K126" i="1" s="1"/>
  <c r="H122" i="1"/>
  <c r="J122" i="1" s="1"/>
  <c r="L112" i="1"/>
  <c r="K112" i="1" s="1"/>
  <c r="H108" i="1"/>
  <c r="J108" i="1" s="1"/>
  <c r="J112" i="1"/>
  <c r="H104" i="1"/>
  <c r="H106" i="1" s="1"/>
  <c r="J106" i="1" s="1"/>
  <c r="J96" i="1"/>
  <c r="H94" i="1"/>
  <c r="J94" i="1" s="1"/>
  <c r="H99" i="1"/>
  <c r="J89" i="1"/>
  <c r="J86" i="1"/>
  <c r="J79" i="1"/>
  <c r="J75" i="1"/>
  <c r="L71" i="1"/>
  <c r="K71" i="1" s="1"/>
  <c r="H70" i="1"/>
  <c r="J71" i="1"/>
  <c r="J65" i="1"/>
  <c r="J62" i="1"/>
  <c r="L51" i="1"/>
  <c r="K51" i="1" s="1"/>
  <c r="J51" i="1"/>
  <c r="H48" i="1"/>
  <c r="J48" i="1" s="1"/>
  <c r="H53" i="1"/>
  <c r="L43" i="1"/>
  <c r="K43" i="1" s="1"/>
  <c r="J43" i="1"/>
  <c r="H42" i="1"/>
  <c r="H38" i="1"/>
  <c r="J38" i="1" s="1"/>
  <c r="H24" i="1"/>
  <c r="J24" i="1" s="1"/>
  <c r="G16" i="1"/>
  <c r="H14" i="1"/>
  <c r="J14" i="1" s="1"/>
  <c r="H33" i="1"/>
  <c r="J30" i="1"/>
  <c r="H23" i="1"/>
  <c r="L23" i="1" s="1"/>
  <c r="K23" i="1" s="1"/>
  <c r="H20" i="1"/>
  <c r="J20" i="1" s="1"/>
  <c r="J12" i="1"/>
  <c r="H11" i="1"/>
  <c r="J11" i="1" s="1"/>
  <c r="H16" i="1"/>
  <c r="J5" i="1"/>
  <c r="H58" i="1"/>
  <c r="L58" i="1" s="1"/>
  <c r="G99" i="1"/>
  <c r="M671" i="1"/>
  <c r="M670" i="1" s="1"/>
  <c r="N683" i="1"/>
  <c r="N682" i="1" s="1"/>
  <c r="M674" i="1"/>
  <c r="M673" i="1" s="1"/>
  <c r="P686" i="1"/>
  <c r="P685" i="1" s="1"/>
  <c r="P497" i="1"/>
  <c r="P496" i="1" s="1"/>
  <c r="M677" i="1"/>
  <c r="M676" i="1" s="1"/>
  <c r="O680" i="1"/>
  <c r="O679" i="1" s="1"/>
  <c r="O11" i="1"/>
  <c r="Q109" i="1"/>
  <c r="K11" i="1"/>
  <c r="P11" i="1"/>
  <c r="P9" i="1" s="1"/>
  <c r="L11" i="1"/>
  <c r="Q123" i="1"/>
  <c r="Q137" i="1"/>
  <c r="Q463" i="1"/>
  <c r="Q270" i="1"/>
  <c r="Q272" i="1"/>
  <c r="Q277" i="1"/>
  <c r="Q271" i="1"/>
  <c r="Q274" i="1"/>
  <c r="Q283" i="1"/>
  <c r="Q276" i="1"/>
  <c r="Q484" i="1"/>
  <c r="Q284" i="1"/>
  <c r="Q281" i="1"/>
  <c r="Q285" i="1" l="1"/>
  <c r="J535" i="1"/>
  <c r="O535" i="1" s="1"/>
  <c r="Q535" i="1" s="1"/>
  <c r="L245" i="1"/>
  <c r="K245" i="1" s="1"/>
  <c r="O688" i="1"/>
  <c r="P266" i="1"/>
  <c r="N583" i="1"/>
  <c r="J85" i="1"/>
  <c r="J313" i="1"/>
  <c r="J358" i="1"/>
  <c r="J400" i="1"/>
  <c r="J443" i="1"/>
  <c r="N509" i="1"/>
  <c r="Q509" i="1" s="1"/>
  <c r="N12" i="1"/>
  <c r="Q12" i="1" s="1"/>
  <c r="J61" i="1"/>
  <c r="J88" i="1"/>
  <c r="N106" i="1"/>
  <c r="Q106" i="1" s="1"/>
  <c r="O243" i="1"/>
  <c r="Q243" i="1" s="1"/>
  <c r="J249" i="1"/>
  <c r="J287" i="1"/>
  <c r="J303" i="1"/>
  <c r="J317" i="1"/>
  <c r="J330" i="1"/>
  <c r="J345" i="1"/>
  <c r="J361" i="1"/>
  <c r="J374" i="1"/>
  <c r="J389" i="1"/>
  <c r="J403" i="1"/>
  <c r="J422" i="1"/>
  <c r="J434" i="1"/>
  <c r="J446" i="1"/>
  <c r="N476" i="1"/>
  <c r="Q476" i="1" s="1"/>
  <c r="J493" i="1"/>
  <c r="J541" i="1"/>
  <c r="J566" i="1"/>
  <c r="J580" i="1"/>
  <c r="J608" i="1"/>
  <c r="N136" i="1"/>
  <c r="Q136" i="1" s="1"/>
  <c r="N135" i="1"/>
  <c r="Q135" i="1" s="1"/>
  <c r="O211" i="1"/>
  <c r="Q211" i="1" s="1"/>
  <c r="N21" i="1"/>
  <c r="Q21" i="1" s="1"/>
  <c r="O195" i="1"/>
  <c r="Q195" i="1" s="1"/>
  <c r="N159" i="1"/>
  <c r="Q159" i="1" s="1"/>
  <c r="N154" i="1"/>
  <c r="Q154" i="1" s="1"/>
  <c r="N261" i="1"/>
  <c r="Q261" i="1" s="1"/>
  <c r="N471" i="1"/>
  <c r="Q471" i="1" s="1"/>
  <c r="N530" i="1"/>
  <c r="Q530" i="1" s="1"/>
  <c r="O98" i="1"/>
  <c r="O92" i="1" s="1"/>
  <c r="O623" i="1"/>
  <c r="Q623" i="1" s="1"/>
  <c r="J511" i="1"/>
  <c r="P641" i="1"/>
  <c r="Q641" i="1" s="1"/>
  <c r="M652" i="1"/>
  <c r="M637" i="1" s="1"/>
  <c r="N96" i="1"/>
  <c r="Q96" i="1" s="1"/>
  <c r="P128" i="1"/>
  <c r="P116" i="1" s="1"/>
  <c r="O139" i="1"/>
  <c r="O130" i="1" s="1"/>
  <c r="J299" i="1"/>
  <c r="J341" i="1"/>
  <c r="J383" i="1"/>
  <c r="J418" i="1"/>
  <c r="J487" i="1"/>
  <c r="J563" i="1"/>
  <c r="O14" i="1"/>
  <c r="Q14" i="1" s="1"/>
  <c r="J64" i="1"/>
  <c r="P75" i="1"/>
  <c r="Q75" i="1" s="1"/>
  <c r="M112" i="1"/>
  <c r="Q112" i="1" s="1"/>
  <c r="N219" i="1"/>
  <c r="Q219" i="1" s="1"/>
  <c r="J253" i="1"/>
  <c r="J290" i="1"/>
  <c r="J307" i="1"/>
  <c r="J321" i="1"/>
  <c r="J333" i="1"/>
  <c r="J348" i="1"/>
  <c r="J365" i="1"/>
  <c r="J377" i="1"/>
  <c r="J393" i="1"/>
  <c r="J407" i="1"/>
  <c r="J425" i="1"/>
  <c r="J437" i="1"/>
  <c r="O456" i="1"/>
  <c r="Q456" i="1" s="1"/>
  <c r="N462" i="1"/>
  <c r="Q462" i="1" s="1"/>
  <c r="N478" i="1"/>
  <c r="Q478" i="1" s="1"/>
  <c r="J499" i="1"/>
  <c r="N533" i="1"/>
  <c r="Q533" i="1" s="1"/>
  <c r="N531" i="1"/>
  <c r="Q531" i="1" s="1"/>
  <c r="J545" i="1"/>
  <c r="J557" i="1"/>
  <c r="J569" i="1"/>
  <c r="P587" i="1"/>
  <c r="Q587" i="1" s="1"/>
  <c r="J597" i="1"/>
  <c r="N49" i="1"/>
  <c r="Q49" i="1" s="1"/>
  <c r="J490" i="1"/>
  <c r="N107" i="1"/>
  <c r="Q107" i="1" s="1"/>
  <c r="J354" i="1"/>
  <c r="O454" i="1"/>
  <c r="O450" i="1" s="1"/>
  <c r="J411" i="1"/>
  <c r="N151" i="1"/>
  <c r="Q151" i="1" s="1"/>
  <c r="N149" i="1"/>
  <c r="Q149" i="1" s="1"/>
  <c r="J605" i="1"/>
  <c r="N625" i="1"/>
  <c r="N620" i="1" s="1"/>
  <c r="O25" i="1"/>
  <c r="Q25" i="1" s="1"/>
  <c r="J664" i="1"/>
  <c r="O43" i="1"/>
  <c r="Q43" i="1" s="1"/>
  <c r="O51" i="1"/>
  <c r="O46" i="1" s="1"/>
  <c r="O71" i="1"/>
  <c r="O68" i="1" s="1"/>
  <c r="N108" i="1"/>
  <c r="Q108" i="1" s="1"/>
  <c r="N120" i="1"/>
  <c r="Q120" i="1" s="1"/>
  <c r="J293" i="1"/>
  <c r="J310" i="1"/>
  <c r="J324" i="1"/>
  <c r="J337" i="1"/>
  <c r="J351" i="1"/>
  <c r="J368" i="1"/>
  <c r="J380" i="1"/>
  <c r="J397" i="1"/>
  <c r="J415" i="1"/>
  <c r="J428" i="1"/>
  <c r="J440" i="1"/>
  <c r="N464" i="1"/>
  <c r="Q464" i="1" s="1"/>
  <c r="N483" i="1"/>
  <c r="Q483" i="1" s="1"/>
  <c r="N507" i="1"/>
  <c r="Q507" i="1" s="1"/>
  <c r="N532" i="1"/>
  <c r="Q532" i="1" s="1"/>
  <c r="N525" i="1"/>
  <c r="Q525" i="1" s="1"/>
  <c r="J560" i="1"/>
  <c r="J572" i="1"/>
  <c r="J517" i="1"/>
  <c r="O173" i="1"/>
  <c r="Q173" i="1" s="1"/>
  <c r="O34" i="1"/>
  <c r="Q34" i="1" s="1"/>
  <c r="M140" i="1"/>
  <c r="M130" i="1" s="1"/>
  <c r="J514" i="1"/>
  <c r="N121" i="1"/>
  <c r="Q121" i="1" s="1"/>
  <c r="J613" i="1"/>
  <c r="N157" i="1"/>
  <c r="Q157" i="1" s="1"/>
  <c r="O167" i="1"/>
  <c r="Q167" i="1" s="1"/>
  <c r="N485" i="1"/>
  <c r="Q485" i="1" s="1"/>
  <c r="J657" i="1"/>
  <c r="J633" i="1"/>
  <c r="N648" i="1"/>
  <c r="Q648" i="1" s="1"/>
  <c r="N647" i="1"/>
  <c r="Q647" i="1" s="1"/>
  <c r="N30" i="1"/>
  <c r="Q30" i="1" s="1"/>
  <c r="M24" i="1"/>
  <c r="Q24" i="1" s="1"/>
  <c r="J327" i="1"/>
  <c r="J371" i="1"/>
  <c r="J431" i="1"/>
  <c r="N469" i="1"/>
  <c r="Q469" i="1" s="1"/>
  <c r="J575" i="1"/>
  <c r="P603" i="1"/>
  <c r="Q603" i="1" s="1"/>
  <c r="N39" i="1"/>
  <c r="Q39" i="1" s="1"/>
  <c r="J82" i="1"/>
  <c r="N95" i="1"/>
  <c r="Q95" i="1" s="1"/>
  <c r="N158" i="1"/>
  <c r="Q158" i="1" s="1"/>
  <c r="O196" i="1"/>
  <c r="Q196" i="1" s="1"/>
  <c r="N148" i="1"/>
  <c r="Q148" i="1" s="1"/>
  <c r="O125" i="1"/>
  <c r="O116" i="1" s="1"/>
  <c r="N153" i="1"/>
  <c r="Q153" i="1" s="1"/>
  <c r="N150" i="1"/>
  <c r="Q150" i="1" s="1"/>
  <c r="J660" i="1"/>
  <c r="N646" i="1"/>
  <c r="Q646" i="1" s="1"/>
  <c r="L167" i="1"/>
  <c r="K167" i="1" s="1"/>
  <c r="L616" i="1"/>
  <c r="K539" i="1"/>
  <c r="L660" i="1"/>
  <c r="C117" i="6" s="1"/>
  <c r="L572" i="1"/>
  <c r="C102" i="6" s="1"/>
  <c r="L196" i="1"/>
  <c r="K196" i="1" s="1"/>
  <c r="L605" i="1"/>
  <c r="C109" i="6" s="1"/>
  <c r="L380" i="1"/>
  <c r="C60" i="6" s="1"/>
  <c r="L358" i="1"/>
  <c r="C53" i="6" s="1"/>
  <c r="L580" i="1"/>
  <c r="C104" i="6" s="1"/>
  <c r="L371" i="1"/>
  <c r="C57" i="6" s="1"/>
  <c r="L563" i="1"/>
  <c r="C99" i="6" s="1"/>
  <c r="L290" i="1"/>
  <c r="C34" i="6" s="1"/>
  <c r="L428" i="1"/>
  <c r="C73" i="6" s="1"/>
  <c r="L560" i="1"/>
  <c r="C98" i="6" s="1"/>
  <c r="L46" i="1"/>
  <c r="C10" i="6" s="1"/>
  <c r="L522" i="1"/>
  <c r="C93" i="6" s="1"/>
  <c r="L557" i="1"/>
  <c r="C97" i="6" s="1"/>
  <c r="L293" i="1"/>
  <c r="C35" i="6" s="1"/>
  <c r="L348" i="1"/>
  <c r="C50" i="6" s="1"/>
  <c r="L425" i="1"/>
  <c r="C72" i="6" s="1"/>
  <c r="L82" i="1"/>
  <c r="C16" i="6" s="1"/>
  <c r="L566" i="1"/>
  <c r="C100" i="6" s="1"/>
  <c r="L377" i="1"/>
  <c r="C59" i="6" s="1"/>
  <c r="L383" i="1"/>
  <c r="C61" i="6" s="1"/>
  <c r="L345" i="1"/>
  <c r="C49" i="6" s="1"/>
  <c r="K58" i="1"/>
  <c r="L56" i="1"/>
  <c r="C11" i="6" s="1"/>
  <c r="L575" i="1"/>
  <c r="C103" i="6" s="1"/>
  <c r="L64" i="1"/>
  <c r="C12" i="6" s="1"/>
  <c r="L583" i="1"/>
  <c r="C105" i="6" s="1"/>
  <c r="L601" i="1"/>
  <c r="C108" i="6" s="1"/>
  <c r="L569" i="1"/>
  <c r="C101" i="6" s="1"/>
  <c r="L411" i="1"/>
  <c r="C68" i="6" s="1"/>
  <c r="L422" i="1"/>
  <c r="C71" i="6" s="1"/>
  <c r="L361" i="1"/>
  <c r="C54" i="6" s="1"/>
  <c r="L88" i="1"/>
  <c r="C18" i="6" s="1"/>
  <c r="L85" i="1"/>
  <c r="C17" i="6" s="1"/>
  <c r="J616" i="1"/>
  <c r="L195" i="1"/>
  <c r="K195" i="1" s="1"/>
  <c r="K221" i="1"/>
  <c r="Q57" i="1"/>
  <c r="C112" i="6"/>
  <c r="K86" i="1"/>
  <c r="J539" i="1"/>
  <c r="N512" i="1"/>
  <c r="N511" i="1" s="1"/>
  <c r="K83" i="1"/>
  <c r="K359" i="1"/>
  <c r="J165" i="1"/>
  <c r="J205" i="1"/>
  <c r="K381" i="1"/>
  <c r="K75" i="1"/>
  <c r="K567" i="1"/>
  <c r="K423" i="1"/>
  <c r="K254" i="1"/>
  <c r="K561" i="1"/>
  <c r="Q266" i="1"/>
  <c r="J171" i="1"/>
  <c r="J4" i="1"/>
  <c r="K426" i="1"/>
  <c r="K581" i="1"/>
  <c r="K408" i="1"/>
  <c r="K378" i="1"/>
  <c r="K294" i="1"/>
  <c r="K429" i="1"/>
  <c r="P73" i="1"/>
  <c r="N38" i="1"/>
  <c r="N36" i="1" s="1"/>
  <c r="P62" i="1"/>
  <c r="P61" i="1" s="1"/>
  <c r="P89" i="1"/>
  <c r="P88" i="1" s="1"/>
  <c r="P5" i="1"/>
  <c r="Q5" i="1" s="1"/>
  <c r="L142" i="1"/>
  <c r="K142" i="1" s="1"/>
  <c r="N218" i="1"/>
  <c r="L263" i="1"/>
  <c r="P300" i="1"/>
  <c r="P299" i="1" s="1"/>
  <c r="P314" i="1"/>
  <c r="P313" i="1" s="1"/>
  <c r="P328" i="1"/>
  <c r="P327" i="1" s="1"/>
  <c r="P342" i="1"/>
  <c r="P341" i="1" s="1"/>
  <c r="P359" i="1"/>
  <c r="P358" i="1" s="1"/>
  <c r="P372" i="1"/>
  <c r="P371" i="1" s="1"/>
  <c r="P384" i="1"/>
  <c r="P383" i="1" s="1"/>
  <c r="P401" i="1"/>
  <c r="P400" i="1" s="1"/>
  <c r="P432" i="1"/>
  <c r="P431" i="1" s="1"/>
  <c r="K527" i="1"/>
  <c r="P576" i="1"/>
  <c r="P575" i="1" s="1"/>
  <c r="N29" i="1"/>
  <c r="N27" i="1" s="1"/>
  <c r="P491" i="1"/>
  <c r="P490" i="1" s="1"/>
  <c r="L114" i="1"/>
  <c r="L102" i="1" s="1"/>
  <c r="C20" i="6" s="1"/>
  <c r="K194" i="1"/>
  <c r="K558" i="1"/>
  <c r="N132" i="1"/>
  <c r="P65" i="1"/>
  <c r="P64" i="1" s="1"/>
  <c r="N94" i="1"/>
  <c r="N74" i="1"/>
  <c r="N73" i="1" s="1"/>
  <c r="L80" i="1"/>
  <c r="N147" i="1"/>
  <c r="K372" i="1"/>
  <c r="Q689" i="1"/>
  <c r="K576" i="1"/>
  <c r="K349" i="1"/>
  <c r="K250" i="1"/>
  <c r="K65" i="1"/>
  <c r="N79" i="1"/>
  <c r="N78" i="1" s="1"/>
  <c r="P250" i="1"/>
  <c r="P249" i="1" s="1"/>
  <c r="P288" i="1"/>
  <c r="P287" i="1" s="1"/>
  <c r="P304" i="1"/>
  <c r="P303" i="1" s="1"/>
  <c r="P318" i="1"/>
  <c r="P317" i="1" s="1"/>
  <c r="P331" i="1"/>
  <c r="P330" i="1" s="1"/>
  <c r="P346" i="1"/>
  <c r="P345" i="1" s="1"/>
  <c r="P375" i="1"/>
  <c r="P374" i="1" s="1"/>
  <c r="P390" i="1"/>
  <c r="P389" i="1" s="1"/>
  <c r="P494" i="1"/>
  <c r="P493" i="1" s="1"/>
  <c r="P592" i="1"/>
  <c r="Q592" i="1" s="1"/>
  <c r="N609" i="1"/>
  <c r="N608" i="1" s="1"/>
  <c r="N524" i="1"/>
  <c r="P606" i="1"/>
  <c r="P605" i="1" s="1"/>
  <c r="N11" i="1"/>
  <c r="L70" i="1"/>
  <c r="P86" i="1"/>
  <c r="P85" i="1" s="1"/>
  <c r="N202" i="1"/>
  <c r="P254" i="1"/>
  <c r="P253" i="1" s="1"/>
  <c r="P291" i="1"/>
  <c r="P290" i="1" s="1"/>
  <c r="P308" i="1"/>
  <c r="P307" i="1" s="1"/>
  <c r="P322" i="1"/>
  <c r="P321" i="1" s="1"/>
  <c r="P334" i="1"/>
  <c r="P333" i="1" s="1"/>
  <c r="P366" i="1"/>
  <c r="P365" i="1" s="1"/>
  <c r="P408" i="1"/>
  <c r="P407" i="1" s="1"/>
  <c r="P426" i="1"/>
  <c r="P425" i="1" s="1"/>
  <c r="P438" i="1"/>
  <c r="P437" i="1" s="1"/>
  <c r="P500" i="1"/>
  <c r="P499" i="1" s="1"/>
  <c r="P546" i="1"/>
  <c r="P545" i="1" s="1"/>
  <c r="P558" i="1"/>
  <c r="P557" i="1" s="1"/>
  <c r="P598" i="1"/>
  <c r="P597" i="1" s="1"/>
  <c r="N69" i="1"/>
  <c r="N68" i="1" s="1"/>
  <c r="P83" i="1"/>
  <c r="P82" i="1" s="1"/>
  <c r="L163" i="1"/>
  <c r="K163" i="1" s="1"/>
  <c r="L161" i="1"/>
  <c r="L639" i="1"/>
  <c r="K662" i="1"/>
  <c r="K606" i="1"/>
  <c r="K570" i="1"/>
  <c r="K412" i="1"/>
  <c r="K346" i="1"/>
  <c r="N260" i="1"/>
  <c r="P294" i="1"/>
  <c r="P293" i="1" s="1"/>
  <c r="P311" i="1"/>
  <c r="P310" i="1" s="1"/>
  <c r="P325" i="1"/>
  <c r="P324" i="1" s="1"/>
  <c r="P338" i="1"/>
  <c r="P337" i="1" s="1"/>
  <c r="P369" i="1"/>
  <c r="P368" i="1" s="1"/>
  <c r="P416" i="1"/>
  <c r="P415" i="1" s="1"/>
  <c r="P549" i="1"/>
  <c r="P561" i="1"/>
  <c r="P560" i="1" s="1"/>
  <c r="P573" i="1"/>
  <c r="P572" i="1" s="1"/>
  <c r="O180" i="1"/>
  <c r="L594" i="1"/>
  <c r="K617" i="1"/>
  <c r="N452" i="1"/>
  <c r="N450" i="1" s="1"/>
  <c r="P639" i="1"/>
  <c r="K592" i="1"/>
  <c r="K62" i="1"/>
  <c r="K564" i="1"/>
  <c r="K518" i="1"/>
  <c r="K362" i="1"/>
  <c r="K291" i="1"/>
  <c r="K89" i="1"/>
  <c r="K573" i="1"/>
  <c r="K384" i="1"/>
  <c r="J651" i="1"/>
  <c r="O651" i="1" s="1"/>
  <c r="O637" i="1" s="1"/>
  <c r="L651" i="1"/>
  <c r="K651" i="1" s="1"/>
  <c r="J645" i="1"/>
  <c r="L652" i="1"/>
  <c r="K652" i="1" s="1"/>
  <c r="J654" i="1"/>
  <c r="J644" i="1"/>
  <c r="J221" i="1"/>
  <c r="L53" i="1"/>
  <c r="K53" i="1" s="1"/>
  <c r="H238" i="1"/>
  <c r="J238" i="1" s="1"/>
  <c r="P444" i="1"/>
  <c r="P443" i="1" s="1"/>
  <c r="K635" i="1"/>
  <c r="P635" i="1"/>
  <c r="P633" i="1" s="1"/>
  <c r="L25" i="1"/>
  <c r="K25" i="1" s="1"/>
  <c r="P412" i="1"/>
  <c r="P411" i="1" s="1"/>
  <c r="P419" i="1"/>
  <c r="P418" i="1" s="1"/>
  <c r="J161" i="1"/>
  <c r="N665" i="1"/>
  <c r="N664" i="1" s="1"/>
  <c r="H228" i="1"/>
  <c r="L228" i="1" s="1"/>
  <c r="K228" i="1" s="1"/>
  <c r="L230" i="1"/>
  <c r="P355" i="1"/>
  <c r="P354" i="1" s="1"/>
  <c r="L34" i="1"/>
  <c r="K34" i="1" s="1"/>
  <c r="J482" i="1"/>
  <c r="L98" i="1"/>
  <c r="L227" i="1"/>
  <c r="K227" i="1" s="1"/>
  <c r="L454" i="1"/>
  <c r="P662" i="1"/>
  <c r="P660" i="1" s="1"/>
  <c r="P349" i="1"/>
  <c r="P348" i="1" s="1"/>
  <c r="Q683" i="1"/>
  <c r="L223" i="1"/>
  <c r="K223" i="1" s="1"/>
  <c r="P378" i="1"/>
  <c r="P377" i="1" s="1"/>
  <c r="L182" i="1"/>
  <c r="K182" i="1" s="1"/>
  <c r="J186" i="1"/>
  <c r="K658" i="1"/>
  <c r="P658" i="1"/>
  <c r="P657" i="1" s="1"/>
  <c r="Q497" i="1"/>
  <c r="Q625" i="1"/>
  <c r="L244" i="1"/>
  <c r="K244" i="1" s="1"/>
  <c r="J245" i="1"/>
  <c r="L42" i="1"/>
  <c r="K42" i="1" s="1"/>
  <c r="N488" i="1"/>
  <c r="N487" i="1" s="1"/>
  <c r="P394" i="1"/>
  <c r="P393" i="1" s="1"/>
  <c r="J189" i="1"/>
  <c r="J239" i="1"/>
  <c r="J174" i="1"/>
  <c r="H240" i="1"/>
  <c r="L240" i="1" s="1"/>
  <c r="K240" i="1" s="1"/>
  <c r="J175" i="1"/>
  <c r="J234" i="1"/>
  <c r="H241" i="1"/>
  <c r="J241" i="1" s="1"/>
  <c r="H235" i="1"/>
  <c r="J235" i="1" s="1"/>
  <c r="J170" i="1"/>
  <c r="L170" i="1"/>
  <c r="K170" i="1" s="1"/>
  <c r="H237" i="1"/>
  <c r="L237" i="1" s="1"/>
  <c r="P581" i="1"/>
  <c r="P580" i="1" s="1"/>
  <c r="N542" i="1"/>
  <c r="N541" i="1" s="1"/>
  <c r="J15" i="1"/>
  <c r="K622" i="1"/>
  <c r="O622" i="1"/>
  <c r="J552" i="1"/>
  <c r="L623" i="1"/>
  <c r="K623" i="1" s="1"/>
  <c r="H212" i="1"/>
  <c r="J212" i="1" s="1"/>
  <c r="Q139" i="1"/>
  <c r="P381" i="1"/>
  <c r="P380" i="1" s="1"/>
  <c r="N515" i="1"/>
  <c r="N514" i="1" s="1"/>
  <c r="J190" i="1"/>
  <c r="L125" i="1"/>
  <c r="J227" i="1"/>
  <c r="J631" i="1"/>
  <c r="L631" i="1"/>
  <c r="K631" i="1" s="1"/>
  <c r="J627" i="1"/>
  <c r="L627" i="1"/>
  <c r="K627" i="1" s="1"/>
  <c r="P564" i="1"/>
  <c r="P563" i="1" s="1"/>
  <c r="L175" i="1"/>
  <c r="K175" i="1" s="1"/>
  <c r="L33" i="1"/>
  <c r="L183" i="1"/>
  <c r="K183" i="1" s="1"/>
  <c r="J630" i="1"/>
  <c r="L630" i="1"/>
  <c r="K630" i="1" s="1"/>
  <c r="J628" i="1"/>
  <c r="L628" i="1"/>
  <c r="K628" i="1" s="1"/>
  <c r="P429" i="1"/>
  <c r="P428" i="1" s="1"/>
  <c r="H229" i="1"/>
  <c r="L229" i="1" s="1"/>
  <c r="K229" i="1" s="1"/>
  <c r="J152" i="1"/>
  <c r="J629" i="1"/>
  <c r="L629" i="1"/>
  <c r="K629" i="1" s="1"/>
  <c r="H168" i="1"/>
  <c r="L168" i="1" s="1"/>
  <c r="K168" i="1" s="1"/>
  <c r="J183" i="1"/>
  <c r="P570" i="1"/>
  <c r="P569" i="1" s="1"/>
  <c r="L197" i="1"/>
  <c r="K197" i="1" s="1"/>
  <c r="J155" i="1"/>
  <c r="K618" i="1"/>
  <c r="P618" i="1"/>
  <c r="M618" i="1"/>
  <c r="M616" i="1" s="1"/>
  <c r="P617" i="1"/>
  <c r="N617" i="1"/>
  <c r="N616" i="1" s="1"/>
  <c r="Q98" i="1"/>
  <c r="J536" i="1"/>
  <c r="J468" i="1"/>
  <c r="J164" i="1"/>
  <c r="P614" i="1"/>
  <c r="P613" i="1" s="1"/>
  <c r="J163" i="1"/>
  <c r="K602" i="1"/>
  <c r="K585" i="1"/>
  <c r="J156" i="1"/>
  <c r="J119" i="1"/>
  <c r="J194" i="1"/>
  <c r="Q686" i="1"/>
  <c r="Q680" i="1"/>
  <c r="J594" i="1"/>
  <c r="K186" i="1"/>
  <c r="K180" i="1"/>
  <c r="J111" i="1"/>
  <c r="L207" i="1"/>
  <c r="K207" i="1" s="1"/>
  <c r="P447" i="1"/>
  <c r="P446" i="1" s="1"/>
  <c r="P404" i="1"/>
  <c r="P403" i="1" s="1"/>
  <c r="P362" i="1"/>
  <c r="P361" i="1" s="1"/>
  <c r="P567" i="1"/>
  <c r="P566" i="1" s="1"/>
  <c r="J52" i="1"/>
  <c r="P435" i="1"/>
  <c r="P434" i="1" s="1"/>
  <c r="P423" i="1"/>
  <c r="P422" i="1" s="1"/>
  <c r="L140" i="1"/>
  <c r="K140" i="1" s="1"/>
  <c r="P398" i="1"/>
  <c r="P397" i="1" s="1"/>
  <c r="P518" i="1"/>
  <c r="P517" i="1" s="1"/>
  <c r="P352" i="1"/>
  <c r="P351" i="1" s="1"/>
  <c r="P441" i="1"/>
  <c r="P440" i="1" s="1"/>
  <c r="H213" i="1"/>
  <c r="L213" i="1" s="1"/>
  <c r="K213" i="1" s="1"/>
  <c r="L206" i="1"/>
  <c r="J246" i="1"/>
  <c r="J209" i="1"/>
  <c r="L224" i="1"/>
  <c r="K224" i="1" s="1"/>
  <c r="H214" i="1"/>
  <c r="L211" i="1"/>
  <c r="K211" i="1" s="1"/>
  <c r="J80" i="1"/>
  <c r="Q140" i="1"/>
  <c r="L14" i="1"/>
  <c r="K14" i="1" s="1"/>
  <c r="J118" i="1"/>
  <c r="L190" i="1"/>
  <c r="K190" i="1" s="1"/>
  <c r="J133" i="1"/>
  <c r="L187" i="1"/>
  <c r="K187" i="1" s="1"/>
  <c r="L225" i="1"/>
  <c r="K225" i="1" s="1"/>
  <c r="J126" i="1"/>
  <c r="J76" i="1"/>
  <c r="L24" i="1"/>
  <c r="K24" i="1" s="1"/>
  <c r="J105" i="1"/>
  <c r="J206" i="1"/>
  <c r="J208" i="1"/>
  <c r="J114" i="1"/>
  <c r="J41" i="1"/>
  <c r="N595" i="1"/>
  <c r="N590" i="1" s="1"/>
  <c r="L246" i="1"/>
  <c r="K246" i="1" s="1"/>
  <c r="J602" i="1"/>
  <c r="J551" i="1"/>
  <c r="J197" i="1"/>
  <c r="J461" i="1"/>
  <c r="Q342" i="1"/>
  <c r="L99" i="1"/>
  <c r="K99" i="1" s="1"/>
  <c r="J223" i="1"/>
  <c r="J142" i="1"/>
  <c r="J225" i="1"/>
  <c r="J506" i="1"/>
  <c r="J537" i="1"/>
  <c r="J550" i="1"/>
  <c r="J32" i="1"/>
  <c r="L16" i="1"/>
  <c r="K16" i="1" s="1"/>
  <c r="J42" i="1"/>
  <c r="J53" i="1"/>
  <c r="J182" i="1"/>
  <c r="J222" i="1"/>
  <c r="J585" i="1"/>
  <c r="J528" i="1"/>
  <c r="J527" i="1"/>
  <c r="J475" i="1"/>
  <c r="L455" i="1"/>
  <c r="K455" i="1" s="1"/>
  <c r="J455" i="1"/>
  <c r="Q291" i="1"/>
  <c r="J263" i="1"/>
  <c r="J244" i="1"/>
  <c r="J230" i="1"/>
  <c r="J224" i="1"/>
  <c r="L208" i="1"/>
  <c r="K208" i="1" s="1"/>
  <c r="N203" i="1"/>
  <c r="J207" i="1"/>
  <c r="J188" i="1"/>
  <c r="J187" i="1"/>
  <c r="J181" i="1"/>
  <c r="N134" i="1"/>
  <c r="N122" i="1"/>
  <c r="J104" i="1"/>
  <c r="J70" i="1"/>
  <c r="N48" i="1"/>
  <c r="Q51" i="1"/>
  <c r="J33" i="1"/>
  <c r="N20" i="1"/>
  <c r="J23" i="1"/>
  <c r="J16" i="1"/>
  <c r="J58" i="1"/>
  <c r="J99" i="1"/>
  <c r="Q671" i="1"/>
  <c r="Q677" i="1"/>
  <c r="Q674" i="1"/>
  <c r="Q576" i="1" l="1"/>
  <c r="Q438" i="1"/>
  <c r="Q369" i="1"/>
  <c r="Q62" i="1"/>
  <c r="Q71" i="1"/>
  <c r="Q652" i="1"/>
  <c r="M18" i="1"/>
  <c r="N18" i="1"/>
  <c r="Q125" i="1"/>
  <c r="N92" i="1"/>
  <c r="N258" i="1"/>
  <c r="M102" i="1"/>
  <c r="Q375" i="1"/>
  <c r="Q374" i="1" s="1"/>
  <c r="Q311" i="1"/>
  <c r="Q89" i="1"/>
  <c r="Q88" i="1" s="1"/>
  <c r="Q401" i="1"/>
  <c r="Q400" i="1" s="1"/>
  <c r="Q69" i="1"/>
  <c r="Q416" i="1"/>
  <c r="N522" i="1"/>
  <c r="Q454" i="1"/>
  <c r="N216" i="1"/>
  <c r="N46" i="1"/>
  <c r="N9" i="1"/>
  <c r="Q384" i="1"/>
  <c r="Q383" i="1" s="1"/>
  <c r="Q128" i="1"/>
  <c r="O244" i="1"/>
  <c r="J450" i="1"/>
  <c r="P80" i="1"/>
  <c r="P78" i="1" s="1"/>
  <c r="O111" i="1"/>
  <c r="O102" i="1" s="1"/>
  <c r="N119" i="1"/>
  <c r="Q119" i="1" s="1"/>
  <c r="P536" i="1"/>
  <c r="Q536" i="1" s="1"/>
  <c r="N155" i="1"/>
  <c r="Q155" i="1" s="1"/>
  <c r="M190" i="1"/>
  <c r="M185" i="1" s="1"/>
  <c r="Q673" i="1"/>
  <c r="J56" i="1"/>
  <c r="M33" i="1"/>
  <c r="M27" i="1" s="1"/>
  <c r="Q676" i="1"/>
  <c r="O188" i="1"/>
  <c r="Q188" i="1" s="1"/>
  <c r="Q290" i="1"/>
  <c r="J473" i="1"/>
  <c r="O222" i="1"/>
  <c r="Q222" i="1" s="1"/>
  <c r="J504" i="1"/>
  <c r="N133" i="1"/>
  <c r="Q133" i="1" s="1"/>
  <c r="O164" i="1"/>
  <c r="Q164" i="1" s="1"/>
  <c r="O629" i="1"/>
  <c r="Q629" i="1" s="1"/>
  <c r="O227" i="1"/>
  <c r="Q227" i="1" s="1"/>
  <c r="Q415" i="1"/>
  <c r="M197" i="1"/>
  <c r="M193" i="1" s="1"/>
  <c r="O206" i="1"/>
  <c r="Q206" i="1" s="1"/>
  <c r="M126" i="1"/>
  <c r="M116" i="1" s="1"/>
  <c r="Q368" i="1"/>
  <c r="Q670" i="1"/>
  <c r="O23" i="1"/>
  <c r="O18" i="1" s="1"/>
  <c r="O207" i="1"/>
  <c r="M230" i="1"/>
  <c r="Q230" i="1" s="1"/>
  <c r="Q437" i="1"/>
  <c r="O182" i="1"/>
  <c r="Q182" i="1" s="1"/>
  <c r="O32" i="1"/>
  <c r="O27" i="1" s="1"/>
  <c r="M225" i="1"/>
  <c r="Q225" i="1" s="1"/>
  <c r="Q341" i="1"/>
  <c r="J92" i="1"/>
  <c r="J68" i="1"/>
  <c r="M528" i="1"/>
  <c r="Q528" i="1" s="1"/>
  <c r="O53" i="1"/>
  <c r="Q53" i="1" s="1"/>
  <c r="P142" i="1"/>
  <c r="P130" i="1" s="1"/>
  <c r="J601" i="1"/>
  <c r="P114" i="1"/>
  <c r="P102" i="1" s="1"/>
  <c r="M209" i="1"/>
  <c r="M200" i="1" s="1"/>
  <c r="Q679" i="1"/>
  <c r="P163" i="1"/>
  <c r="P551" i="1"/>
  <c r="Q551" i="1" s="1"/>
  <c r="O41" i="1"/>
  <c r="O36" i="1" s="1"/>
  <c r="N105" i="1"/>
  <c r="Q105" i="1" s="1"/>
  <c r="Q575" i="1"/>
  <c r="P594" i="1"/>
  <c r="Q594" i="1" s="1"/>
  <c r="J466" i="1"/>
  <c r="M183" i="1"/>
  <c r="M178" i="1" s="1"/>
  <c r="N152" i="1"/>
  <c r="Q152" i="1" s="1"/>
  <c r="O628" i="1"/>
  <c r="Q628" i="1" s="1"/>
  <c r="O627" i="1"/>
  <c r="Q627" i="1" s="1"/>
  <c r="P552" i="1"/>
  <c r="Q552" i="1" s="1"/>
  <c r="Q682" i="1"/>
  <c r="P161" i="1"/>
  <c r="Q161" i="1" s="1"/>
  <c r="E81" i="7"/>
  <c r="O170" i="1"/>
  <c r="Q170" i="1" s="1"/>
  <c r="M175" i="1"/>
  <c r="Q175" i="1" s="1"/>
  <c r="O239" i="1"/>
  <c r="Q239" i="1" s="1"/>
  <c r="Q496" i="1"/>
  <c r="O221" i="1"/>
  <c r="Q221" i="1" s="1"/>
  <c r="O205" i="1"/>
  <c r="Q205" i="1" s="1"/>
  <c r="J258" i="1"/>
  <c r="J583" i="1"/>
  <c r="M42" i="1"/>
  <c r="M36" i="1" s="1"/>
  <c r="M537" i="1"/>
  <c r="Q537" i="1" s="1"/>
  <c r="O223" i="1"/>
  <c r="Q223" i="1" s="1"/>
  <c r="J459" i="1"/>
  <c r="O208" i="1"/>
  <c r="Q208" i="1" s="1"/>
  <c r="O76" i="1"/>
  <c r="O73" i="1" s="1"/>
  <c r="M246" i="1"/>
  <c r="Q246" i="1" s="1"/>
  <c r="Q310" i="1"/>
  <c r="M52" i="1"/>
  <c r="M46" i="1" s="1"/>
  <c r="Q685" i="1"/>
  <c r="N156" i="1"/>
  <c r="Q156" i="1" s="1"/>
  <c r="O630" i="1"/>
  <c r="Q630" i="1" s="1"/>
  <c r="M631" i="1"/>
  <c r="M620" i="1" s="1"/>
  <c r="O212" i="1"/>
  <c r="Q212" i="1" s="1"/>
  <c r="N235" i="1"/>
  <c r="Q235" i="1" s="1"/>
  <c r="O189" i="1"/>
  <c r="Q189" i="1" s="1"/>
  <c r="O245" i="1"/>
  <c r="Q245" i="1" s="1"/>
  <c r="J480" i="1"/>
  <c r="N644" i="1"/>
  <c r="Q644" i="1" s="1"/>
  <c r="N645" i="1"/>
  <c r="Q645" i="1" s="1"/>
  <c r="Q4" i="1"/>
  <c r="M171" i="1"/>
  <c r="Q171" i="1" s="1"/>
  <c r="P165" i="1"/>
  <c r="Q165" i="1" s="1"/>
  <c r="P539" i="1"/>
  <c r="Q539" i="1" s="1"/>
  <c r="M15" i="1"/>
  <c r="M9" i="1" s="1"/>
  <c r="O174" i="1"/>
  <c r="Q174" i="1" s="1"/>
  <c r="O238" i="1"/>
  <c r="Q238" i="1" s="1"/>
  <c r="P654" i="1"/>
  <c r="Q654" i="1" s="1"/>
  <c r="Q688" i="1"/>
  <c r="Q331" i="1"/>
  <c r="Q390" i="1"/>
  <c r="L78" i="1"/>
  <c r="C15" i="6" s="1"/>
  <c r="L18" i="1"/>
  <c r="L216" i="1"/>
  <c r="C28" i="6" s="1"/>
  <c r="L450" i="1"/>
  <c r="C80" i="6" s="1"/>
  <c r="L637" i="1"/>
  <c r="C115" i="6" s="1"/>
  <c r="L68" i="1"/>
  <c r="C13" i="6" s="1"/>
  <c r="L258" i="1"/>
  <c r="C32" i="6" s="1"/>
  <c r="L178" i="1"/>
  <c r="C24" i="6" s="1"/>
  <c r="L130" i="1"/>
  <c r="C22" i="6" s="1"/>
  <c r="L620" i="1"/>
  <c r="C113" i="6" s="1"/>
  <c r="L590" i="1"/>
  <c r="C106" i="6" s="1"/>
  <c r="K33" i="1"/>
  <c r="L27" i="1"/>
  <c r="C8" i="6" s="1"/>
  <c r="L116" i="1"/>
  <c r="C21" i="6" s="1"/>
  <c r="L145" i="1"/>
  <c r="C23" i="6" s="1"/>
  <c r="L9" i="1"/>
  <c r="C6" i="6" s="1"/>
  <c r="L36" i="1"/>
  <c r="C9" i="6" s="1"/>
  <c r="L92" i="1"/>
  <c r="C19" i="6" s="1"/>
  <c r="L185" i="1"/>
  <c r="C25" i="6" s="1"/>
  <c r="L193" i="1"/>
  <c r="C26" i="6" s="1"/>
  <c r="Q512" i="1"/>
  <c r="Q494" i="1"/>
  <c r="Q65" i="1"/>
  <c r="Q250" i="1"/>
  <c r="Q491" i="1"/>
  <c r="K206" i="1"/>
  <c r="K161" i="1"/>
  <c r="Q524" i="1"/>
  <c r="Q79" i="1"/>
  <c r="Q318" i="1"/>
  <c r="C7" i="6"/>
  <c r="K230" i="1"/>
  <c r="Q288" i="1"/>
  <c r="Q542" i="1"/>
  <c r="Q334" i="1"/>
  <c r="Q254" i="1"/>
  <c r="Q598" i="1"/>
  <c r="Q372" i="1"/>
  <c r="Q11" i="1"/>
  <c r="Q38" i="1"/>
  <c r="Q609" i="1"/>
  <c r="Q74" i="1"/>
  <c r="Q338" i="1"/>
  <c r="Q359" i="1"/>
  <c r="Q304" i="1"/>
  <c r="Q314" i="1"/>
  <c r="Q432" i="1"/>
  <c r="Q29" i="1"/>
  <c r="Q300" i="1"/>
  <c r="L241" i="1"/>
  <c r="K241" i="1" s="1"/>
  <c r="J178" i="1"/>
  <c r="Q426" i="1"/>
  <c r="Q322" i="1"/>
  <c r="J548" i="1"/>
  <c r="Q558" i="1"/>
  <c r="Q452" i="1"/>
  <c r="K80" i="1"/>
  <c r="J116" i="1"/>
  <c r="Q366" i="1"/>
  <c r="J522" i="1"/>
  <c r="Q561" i="1"/>
  <c r="Q500" i="1"/>
  <c r="Q606" i="1"/>
  <c r="K70" i="1"/>
  <c r="J27" i="1"/>
  <c r="J130" i="1"/>
  <c r="J78" i="1"/>
  <c r="J620" i="1"/>
  <c r="Q573" i="1"/>
  <c r="Q325" i="1"/>
  <c r="Q346" i="1"/>
  <c r="J193" i="1"/>
  <c r="Q83" i="1"/>
  <c r="J36" i="1"/>
  <c r="J590" i="1"/>
  <c r="J9" i="1"/>
  <c r="J185" i="1"/>
  <c r="P4" i="1"/>
  <c r="J46" i="1"/>
  <c r="J637" i="1"/>
  <c r="P616" i="1"/>
  <c r="Q294" i="1"/>
  <c r="J102" i="1"/>
  <c r="Q394" i="1"/>
  <c r="Q488" i="1"/>
  <c r="Q328" i="1"/>
  <c r="Q408" i="1"/>
  <c r="Q86" i="1"/>
  <c r="Q308" i="1"/>
  <c r="N200" i="1"/>
  <c r="J18" i="1"/>
  <c r="J73" i="1"/>
  <c r="N506" i="1"/>
  <c r="N504" i="1" s="1"/>
  <c r="N482" i="1"/>
  <c r="N480" i="1" s="1"/>
  <c r="Q180" i="1"/>
  <c r="Q260" i="1"/>
  <c r="K114" i="1"/>
  <c r="K263" i="1"/>
  <c r="N461" i="1"/>
  <c r="N459" i="1" s="1"/>
  <c r="K237" i="1"/>
  <c r="O186" i="1"/>
  <c r="K454" i="1"/>
  <c r="Q639" i="1"/>
  <c r="K594" i="1"/>
  <c r="K639" i="1"/>
  <c r="L238" i="1"/>
  <c r="K238" i="1" s="1"/>
  <c r="Q126" i="1"/>
  <c r="Q546" i="1"/>
  <c r="K125" i="1"/>
  <c r="Q15" i="1"/>
  <c r="Q549" i="1"/>
  <c r="Q147" i="1"/>
  <c r="Q94" i="1"/>
  <c r="Q218" i="1"/>
  <c r="N118" i="1"/>
  <c r="N116" i="1" s="1"/>
  <c r="O194" i="1"/>
  <c r="O193" i="1" s="1"/>
  <c r="N468" i="1"/>
  <c r="N466" i="1" s="1"/>
  <c r="N234" i="1"/>
  <c r="K98" i="1"/>
  <c r="Q202" i="1"/>
  <c r="Q132" i="1"/>
  <c r="Q444" i="1"/>
  <c r="Q412" i="1"/>
  <c r="Q352" i="1"/>
  <c r="Q564" i="1"/>
  <c r="Q651" i="1"/>
  <c r="Q355" i="1"/>
  <c r="Q635" i="1"/>
  <c r="Q419" i="1"/>
  <c r="J228" i="1"/>
  <c r="Q665" i="1"/>
  <c r="Q378" i="1"/>
  <c r="Q447" i="1"/>
  <c r="Q662" i="1"/>
  <c r="Q349" i="1"/>
  <c r="J229" i="1"/>
  <c r="Q658" i="1"/>
  <c r="Q581" i="1"/>
  <c r="Q362" i="1"/>
  <c r="Q515" i="1"/>
  <c r="L212" i="1"/>
  <c r="K212" i="1" s="1"/>
  <c r="Q423" i="1"/>
  <c r="Q435" i="1"/>
  <c r="J237" i="1"/>
  <c r="J240" i="1"/>
  <c r="Q381" i="1"/>
  <c r="Q429" i="1"/>
  <c r="Q631" i="1"/>
  <c r="Q622" i="1"/>
  <c r="J168" i="1"/>
  <c r="Q570" i="1"/>
  <c r="Q618" i="1"/>
  <c r="Q617" i="1"/>
  <c r="Q404" i="1"/>
  <c r="Q614" i="1"/>
  <c r="Q567" i="1"/>
  <c r="Q441" i="1"/>
  <c r="Q398" i="1"/>
  <c r="J213" i="1"/>
  <c r="Q518" i="1"/>
  <c r="L214" i="1"/>
  <c r="K214" i="1" s="1"/>
  <c r="J214" i="1"/>
  <c r="P602" i="1"/>
  <c r="P601" i="1" s="1"/>
  <c r="Q595" i="1"/>
  <c r="P550" i="1"/>
  <c r="P585" i="1"/>
  <c r="P583" i="1" s="1"/>
  <c r="O527" i="1"/>
  <c r="O522" i="1" s="1"/>
  <c r="N475" i="1"/>
  <c r="N473" i="1" s="1"/>
  <c r="M455" i="1"/>
  <c r="M450" i="1" s="1"/>
  <c r="P263" i="1"/>
  <c r="P258" i="1" s="1"/>
  <c r="M241" i="1"/>
  <c r="Q244" i="1"/>
  <c r="O224" i="1"/>
  <c r="Q203" i="1"/>
  <c r="Q207" i="1"/>
  <c r="O187" i="1"/>
  <c r="O181" i="1"/>
  <c r="O178" i="1" s="1"/>
  <c r="Q134" i="1"/>
  <c r="Q122" i="1"/>
  <c r="N104" i="1"/>
  <c r="P70" i="1"/>
  <c r="P68" i="1" s="1"/>
  <c r="Q48" i="1"/>
  <c r="Q20" i="1"/>
  <c r="O16" i="1"/>
  <c r="O9" i="1" s="1"/>
  <c r="M58" i="1"/>
  <c r="M56" i="1" s="1"/>
  <c r="M99" i="1"/>
  <c r="M92" i="1" s="1"/>
  <c r="Q61" i="1" l="1"/>
  <c r="Q41" i="1"/>
  <c r="Q209" i="1"/>
  <c r="Q46" i="1"/>
  <c r="Q42" i="1"/>
  <c r="Q36" i="1" s="1"/>
  <c r="Q52" i="1"/>
  <c r="P590" i="1"/>
  <c r="Q190" i="1"/>
  <c r="Q23" i="1"/>
  <c r="Q18" i="1" s="1"/>
  <c r="Q114" i="1"/>
  <c r="P637" i="1"/>
  <c r="O620" i="1"/>
  <c r="N232" i="1"/>
  <c r="P522" i="1"/>
  <c r="P548" i="1"/>
  <c r="Q32" i="1"/>
  <c r="Q183" i="1"/>
  <c r="N130" i="1"/>
  <c r="Q76" i="1"/>
  <c r="Q73" i="1" s="1"/>
  <c r="M522" i="1"/>
  <c r="P145" i="1"/>
  <c r="M216" i="1"/>
  <c r="Q197" i="1"/>
  <c r="Q163" i="1"/>
  <c r="M232" i="1"/>
  <c r="Q33" i="1"/>
  <c r="Q80" i="1"/>
  <c r="N145" i="1"/>
  <c r="Q111" i="1"/>
  <c r="O145" i="1"/>
  <c r="N102" i="1"/>
  <c r="Q142" i="1"/>
  <c r="Q130" i="1" s="1"/>
  <c r="Q514" i="1"/>
  <c r="Q377" i="1"/>
  <c r="Q517" i="1"/>
  <c r="Q566" i="1"/>
  <c r="Q403" i="1"/>
  <c r="Q569" i="1"/>
  <c r="Q428" i="1"/>
  <c r="Q434" i="1"/>
  <c r="Q361" i="1"/>
  <c r="Q348" i="1"/>
  <c r="Q664" i="1"/>
  <c r="Q354" i="1"/>
  <c r="Q351" i="1"/>
  <c r="Q85" i="1"/>
  <c r="Q393" i="1"/>
  <c r="Q345" i="1"/>
  <c r="Q560" i="1"/>
  <c r="Q557" i="1"/>
  <c r="Q431" i="1"/>
  <c r="Q337" i="1"/>
  <c r="Q253" i="1"/>
  <c r="Q287" i="1"/>
  <c r="Q490" i="1"/>
  <c r="Q511" i="1"/>
  <c r="E94" i="7"/>
  <c r="D39" i="6"/>
  <c r="E123" i="7"/>
  <c r="D61" i="6"/>
  <c r="E120" i="7"/>
  <c r="D58" i="6"/>
  <c r="E118" i="7"/>
  <c r="D56" i="6"/>
  <c r="M214" i="1"/>
  <c r="Q214" i="1" s="1"/>
  <c r="O213" i="1"/>
  <c r="Q213" i="1" s="1"/>
  <c r="M168" i="1"/>
  <c r="M145" i="1" s="1"/>
  <c r="Q380" i="1"/>
  <c r="Q422" i="1"/>
  <c r="Q580" i="1"/>
  <c r="Q660" i="1"/>
  <c r="O228" i="1"/>
  <c r="Q228" i="1" s="1"/>
  <c r="Q411" i="1"/>
  <c r="Q407" i="1"/>
  <c r="Q82" i="1"/>
  <c r="Q324" i="1"/>
  <c r="Q313" i="1"/>
  <c r="Q371" i="1"/>
  <c r="Q317" i="1"/>
  <c r="Q249" i="1"/>
  <c r="Q389" i="1"/>
  <c r="E16" i="7"/>
  <c r="D5" i="6"/>
  <c r="N637" i="1"/>
  <c r="E148" i="7"/>
  <c r="D76" i="6"/>
  <c r="Q397" i="1"/>
  <c r="O240" i="1"/>
  <c r="Q240" i="1" s="1"/>
  <c r="Q657" i="1"/>
  <c r="Q446" i="1"/>
  <c r="Q418" i="1"/>
  <c r="Q443" i="1"/>
  <c r="Q327" i="1"/>
  <c r="Q293" i="1"/>
  <c r="Q605" i="1"/>
  <c r="Q365" i="1"/>
  <c r="Q321" i="1"/>
  <c r="Q299" i="1"/>
  <c r="Q303" i="1"/>
  <c r="Q608" i="1"/>
  <c r="Q333" i="1"/>
  <c r="Q64" i="1"/>
  <c r="Q330" i="1"/>
  <c r="E133" i="7"/>
  <c r="D65" i="6"/>
  <c r="E164" i="7"/>
  <c r="D88" i="6"/>
  <c r="E37" i="7"/>
  <c r="E83" i="7"/>
  <c r="D34" i="6"/>
  <c r="Q590" i="1"/>
  <c r="Q440" i="1"/>
  <c r="Q613" i="1"/>
  <c r="O237" i="1"/>
  <c r="Q237" i="1" s="1"/>
  <c r="O229" i="1"/>
  <c r="Q229" i="1" s="1"/>
  <c r="Q633" i="1"/>
  <c r="Q563" i="1"/>
  <c r="Q545" i="1"/>
  <c r="Q307" i="1"/>
  <c r="Q487" i="1"/>
  <c r="Q572" i="1"/>
  <c r="Q499" i="1"/>
  <c r="Q425" i="1"/>
  <c r="Q358" i="1"/>
  <c r="Q597" i="1"/>
  <c r="Q541" i="1"/>
  <c r="Q493" i="1"/>
  <c r="E46" i="7"/>
  <c r="D18" i="6"/>
  <c r="E192" i="7"/>
  <c r="D103" i="6"/>
  <c r="E107" i="7"/>
  <c r="D48" i="6"/>
  <c r="E140" i="7"/>
  <c r="D69" i="6"/>
  <c r="L200" i="1"/>
  <c r="C27" i="6" s="1"/>
  <c r="L232" i="1"/>
  <c r="C29" i="6" s="1"/>
  <c r="Q506" i="1"/>
  <c r="J145" i="1"/>
  <c r="P2" i="1"/>
  <c r="Q637" i="1"/>
  <c r="Q468" i="1"/>
  <c r="Q616" i="1"/>
  <c r="Q620" i="1"/>
  <c r="O185" i="1"/>
  <c r="J232" i="1"/>
  <c r="J216" i="1"/>
  <c r="J200" i="1"/>
  <c r="Q234" i="1"/>
  <c r="Q194" i="1"/>
  <c r="Q118" i="1"/>
  <c r="Q186" i="1"/>
  <c r="Q461" i="1"/>
  <c r="Q482" i="1"/>
  <c r="Q602" i="1"/>
  <c r="Q550" i="1"/>
  <c r="Q585" i="1"/>
  <c r="Q527" i="1"/>
  <c r="Q475" i="1"/>
  <c r="Q455" i="1"/>
  <c r="Q263" i="1"/>
  <c r="Q241" i="1"/>
  <c r="Q224" i="1"/>
  <c r="Q187" i="1"/>
  <c r="Q181" i="1"/>
  <c r="Q104" i="1"/>
  <c r="Q70" i="1"/>
  <c r="Q16" i="1"/>
  <c r="Q58" i="1"/>
  <c r="Q99" i="1"/>
  <c r="Q78" i="1" l="1"/>
  <c r="Q27" i="1"/>
  <c r="O200" i="1"/>
  <c r="Q168" i="1"/>
  <c r="Q200" i="1"/>
  <c r="D27" i="6" s="1"/>
  <c r="O216" i="1"/>
  <c r="N2" i="1"/>
  <c r="M2" i="1"/>
  <c r="O232" i="1"/>
  <c r="E144" i="7"/>
  <c r="D72" i="6"/>
  <c r="E196" i="7"/>
  <c r="D106" i="6"/>
  <c r="E102" i="7"/>
  <c r="D45" i="6"/>
  <c r="E103" i="7"/>
  <c r="D46" i="6"/>
  <c r="E99" i="7"/>
  <c r="D42" i="6"/>
  <c r="E141" i="7"/>
  <c r="D70" i="6"/>
  <c r="E72" i="7"/>
  <c r="D30" i="6"/>
  <c r="E44" i="7"/>
  <c r="D16" i="6"/>
  <c r="E138" i="7"/>
  <c r="D68" i="6"/>
  <c r="E194" i="7"/>
  <c r="D104" i="6"/>
  <c r="E169" i="7"/>
  <c r="D91" i="6"/>
  <c r="E185" i="7"/>
  <c r="D98" i="6"/>
  <c r="E109" i="7"/>
  <c r="D49" i="6"/>
  <c r="E45" i="7"/>
  <c r="D17" i="6"/>
  <c r="E214" i="7"/>
  <c r="D118" i="6"/>
  <c r="E145" i="7"/>
  <c r="D73" i="6"/>
  <c r="E171" i="7"/>
  <c r="E170" i="7"/>
  <c r="D92" i="6"/>
  <c r="Q68" i="1"/>
  <c r="Q216" i="1"/>
  <c r="Q473" i="1"/>
  <c r="Q601" i="1"/>
  <c r="E207" i="7"/>
  <c r="D112" i="6"/>
  <c r="E211" i="7"/>
  <c r="D115" i="6"/>
  <c r="Q504" i="1"/>
  <c r="E210" i="7"/>
  <c r="D114" i="6"/>
  <c r="E149" i="7"/>
  <c r="D77" i="6"/>
  <c r="E89" i="7"/>
  <c r="D36" i="6"/>
  <c r="E150" i="7"/>
  <c r="D78" i="6"/>
  <c r="E128" i="7"/>
  <c r="D62" i="6"/>
  <c r="E100" i="7"/>
  <c r="D43" i="6"/>
  <c r="E213" i="7"/>
  <c r="D117" i="6"/>
  <c r="E74" i="7"/>
  <c r="D31" i="6"/>
  <c r="E146" i="7"/>
  <c r="D74" i="6"/>
  <c r="E184" i="7"/>
  <c r="D97" i="6"/>
  <c r="E130" i="7"/>
  <c r="D63" i="6"/>
  <c r="E112" i="7"/>
  <c r="D52" i="6"/>
  <c r="E147" i="7"/>
  <c r="D75" i="6"/>
  <c r="E189" i="7"/>
  <c r="D100" i="6"/>
  <c r="E121" i="7"/>
  <c r="D59" i="6"/>
  <c r="Q450" i="1"/>
  <c r="Q459" i="1"/>
  <c r="E209" i="7"/>
  <c r="D113" i="6"/>
  <c r="Q466" i="1"/>
  <c r="Q102" i="1"/>
  <c r="E43" i="7"/>
  <c r="D15" i="6"/>
  <c r="E30" i="7"/>
  <c r="D8" i="6"/>
  <c r="E163" i="7"/>
  <c r="D87" i="6"/>
  <c r="E197" i="7"/>
  <c r="D107" i="6"/>
  <c r="E165" i="7"/>
  <c r="D89" i="6"/>
  <c r="E191" i="7"/>
  <c r="D102" i="6"/>
  <c r="E93" i="7"/>
  <c r="D38" i="6"/>
  <c r="E188" i="7"/>
  <c r="D99" i="6"/>
  <c r="E206" i="7"/>
  <c r="D111" i="6"/>
  <c r="E91" i="7"/>
  <c r="D37" i="6"/>
  <c r="E201" i="7"/>
  <c r="D109" i="6"/>
  <c r="E101" i="7"/>
  <c r="D44" i="6"/>
  <c r="E212" i="7"/>
  <c r="D116" i="6"/>
  <c r="E119" i="7"/>
  <c r="D57" i="6"/>
  <c r="E136" i="7"/>
  <c r="D67" i="6"/>
  <c r="E122" i="7"/>
  <c r="D60" i="6"/>
  <c r="E82" i="7"/>
  <c r="D33" i="6"/>
  <c r="E105" i="7"/>
  <c r="D47" i="6"/>
  <c r="E111" i="7"/>
  <c r="D51" i="6"/>
  <c r="E115" i="7"/>
  <c r="D54" i="6"/>
  <c r="E134" i="7"/>
  <c r="D66" i="6"/>
  <c r="Q522" i="1"/>
  <c r="Q480" i="1"/>
  <c r="Q116" i="1"/>
  <c r="E29" i="7"/>
  <c r="D7" i="6"/>
  <c r="E42" i="7"/>
  <c r="D14" i="6"/>
  <c r="Q56" i="1"/>
  <c r="Q258" i="1"/>
  <c r="Q583" i="1"/>
  <c r="Q145" i="1"/>
  <c r="Q193" i="1"/>
  <c r="E53" i="7"/>
  <c r="D22" i="6"/>
  <c r="E31" i="7"/>
  <c r="D9" i="6"/>
  <c r="E174" i="7"/>
  <c r="D94" i="6"/>
  <c r="E114" i="7"/>
  <c r="D53" i="6"/>
  <c r="E161" i="7"/>
  <c r="D85" i="6"/>
  <c r="E179" i="7"/>
  <c r="D95" i="6"/>
  <c r="E38" i="7"/>
  <c r="D12" i="6"/>
  <c r="E202" i="7"/>
  <c r="D110" i="6"/>
  <c r="E117" i="7"/>
  <c r="D55" i="6"/>
  <c r="E84" i="7"/>
  <c r="D35" i="6"/>
  <c r="E151" i="7"/>
  <c r="D79" i="6"/>
  <c r="E132" i="7"/>
  <c r="D64" i="6"/>
  <c r="E97" i="7"/>
  <c r="D41" i="6"/>
  <c r="E95" i="7"/>
  <c r="D40" i="6"/>
  <c r="E143" i="7"/>
  <c r="D71" i="6"/>
  <c r="E162" i="7"/>
  <c r="D86" i="6"/>
  <c r="E110" i="7"/>
  <c r="D50" i="6"/>
  <c r="E190" i="7"/>
  <c r="D101" i="6"/>
  <c r="E33" i="7"/>
  <c r="D10" i="6"/>
  <c r="J2" i="1"/>
  <c r="Q185" i="1"/>
  <c r="Q92" i="1"/>
  <c r="Q178" i="1"/>
  <c r="Q9" i="1"/>
  <c r="Q232" i="1"/>
  <c r="Q548" i="1"/>
  <c r="E68" i="7" l="1"/>
  <c r="O2" i="1"/>
  <c r="Q2" i="1" s="1"/>
  <c r="E70" i="7"/>
  <c r="D29" i="6"/>
  <c r="E63" i="7"/>
  <c r="D25" i="6"/>
  <c r="E65" i="7"/>
  <c r="D26" i="6"/>
  <c r="E78" i="7"/>
  <c r="D32" i="6"/>
  <c r="E160" i="7"/>
  <c r="D84" i="6"/>
  <c r="E159" i="7"/>
  <c r="D83" i="6"/>
  <c r="E195" i="7"/>
  <c r="D105" i="6"/>
  <c r="E35" i="7"/>
  <c r="D11" i="6"/>
  <c r="E52" i="7"/>
  <c r="D21" i="6"/>
  <c r="E158" i="7"/>
  <c r="D82" i="6"/>
  <c r="E200" i="7"/>
  <c r="D108" i="6"/>
  <c r="E56" i="7"/>
  <c r="D23" i="6"/>
  <c r="E51" i="7"/>
  <c r="D20" i="6"/>
  <c r="E157" i="7"/>
  <c r="D81" i="6"/>
  <c r="E168" i="7"/>
  <c r="D90" i="6"/>
  <c r="E41" i="7"/>
  <c r="D13" i="6"/>
  <c r="E28" i="7"/>
  <c r="D6" i="6"/>
  <c r="E62" i="7"/>
  <c r="D24" i="6"/>
  <c r="E180" i="7"/>
  <c r="D96" i="6"/>
  <c r="E48" i="7"/>
  <c r="D19" i="6"/>
  <c r="E173" i="7"/>
  <c r="D93" i="6"/>
  <c r="E155" i="7"/>
  <c r="D80" i="6"/>
  <c r="E69" i="7"/>
  <c r="D28" i="6"/>
  <c r="E21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Brett Thiele</author>
  </authors>
  <commentList>
    <comment ref="H26" authorId="0" shapeId="0" xr:uid="{5EE68CB6-8808-4581-9673-4333D875B41E}">
      <text>
        <r>
          <rPr>
            <b/>
            <sz val="9"/>
            <color indexed="81"/>
            <rFont val="Tahoma"/>
            <family val="2"/>
          </rPr>
          <t>Brett Thiele:</t>
        </r>
        <r>
          <rPr>
            <sz val="9"/>
            <color indexed="81"/>
            <rFont val="Tahoma"/>
            <family val="2"/>
          </rPr>
          <t xml:space="preserve">
water &amp; sewer contractor is the same. Bill has been mis-entered as all work on one invoice. Unclear what is for what. Final bill under budget, so difficult to determine exact EAC from here. Must combine both and treat as such.</t>
        </r>
      </text>
    </comment>
    <comment ref="H53" authorId="0" shapeId="0" xr:uid="{ADC7E2F2-230F-47E5-8359-6A5C151EC320}">
      <text>
        <r>
          <rPr>
            <b/>
            <sz val="9"/>
            <color indexed="81"/>
            <rFont val="Tahoma"/>
            <family val="2"/>
          </rPr>
          <t>Brett Thiele:</t>
        </r>
        <r>
          <rPr>
            <sz val="9"/>
            <color indexed="81"/>
            <rFont val="Tahoma"/>
            <family val="2"/>
          </rPr>
          <t xml:space="preserve">
The costs for pits &amp; lids have been included here also by mistake but invoice poorly recorded &amp; impossible to correctly attribute the items to ETM / ETP. Treat as a combined CC for EAC purposes.</t>
        </r>
      </text>
    </comment>
    <comment ref="L63" authorId="0" shapeId="0" xr:uid="{FF3FE93B-70FC-4618-8686-BC77B88AFF34}">
      <text>
        <r>
          <rPr>
            <b/>
            <sz val="9"/>
            <color indexed="81"/>
            <rFont val="Tahoma"/>
            <family val="2"/>
          </rPr>
          <t>Brett Thiele:</t>
        </r>
        <r>
          <rPr>
            <sz val="9"/>
            <color indexed="81"/>
            <rFont val="Tahoma"/>
            <family val="2"/>
          </rPr>
          <t xml:space="preserve">
25% deposit required for GPT's, AQ adjusted to reflect this for EV purposes as expenses made, although not claimable.
</t>
        </r>
      </text>
    </comment>
    <comment ref="M63" authorId="0" shapeId="0" xr:uid="{E05F2F9A-91C9-4CC0-9EBD-81BDD89F883F}">
      <text>
        <r>
          <rPr>
            <b/>
            <sz val="9"/>
            <color indexed="81"/>
            <rFont val="Tahoma"/>
            <family val="2"/>
          </rPr>
          <t>Brett Thiele:</t>
        </r>
        <r>
          <rPr>
            <sz val="9"/>
            <color indexed="81"/>
            <rFont val="Tahoma"/>
            <family val="2"/>
          </rPr>
          <t xml:space="preserve">
Deposit for GPT's, actual quote = $29445.</t>
        </r>
      </text>
    </comment>
  </commentList>
</comments>
</file>

<file path=xl/sharedStrings.xml><?xml version="1.0" encoding="utf-8"?>
<sst xmlns="http://schemas.openxmlformats.org/spreadsheetml/2006/main" count="14133" uniqueCount="1508">
  <si>
    <t>Line No.</t>
  </si>
  <si>
    <t>Comment</t>
  </si>
  <si>
    <t>Resource Name</t>
  </si>
  <si>
    <t>Unit</t>
  </si>
  <si>
    <t>No</t>
  </si>
  <si>
    <t>Production</t>
  </si>
  <si>
    <t>Quantity</t>
  </si>
  <si>
    <t>Rate</t>
  </si>
  <si>
    <t>Labour</t>
  </si>
  <si>
    <t>Material</t>
  </si>
  <si>
    <t>Plant</t>
  </si>
  <si>
    <t>Subcontract</t>
  </si>
  <si>
    <t>Total</t>
  </si>
  <si>
    <t>Line No 10
Item No Item</t>
  </si>
  <si>
    <t>ROADWORKS AND DRAINAGE</t>
  </si>
  <si>
    <t>Line No 13
Item No 1101.1</t>
  </si>
  <si>
    <t>Site establishment and disestablishment</t>
  </si>
  <si>
    <t xml:space="preserve">Lump </t>
  </si>
  <si>
    <t>CAR</t>
  </si>
  <si>
    <t xml:space="preserve">Item </t>
  </si>
  <si>
    <t>Line No 23
Item No 2000</t>
  </si>
  <si>
    <t>Drainage, Retaining Structures &amp; Protective Treatments</t>
  </si>
  <si>
    <t>Line No 24
Item No 2120</t>
  </si>
  <si>
    <t>Supply of Precast Concrete Pipe Culverts in accordance with AS 4058 - Exposure Class B1, and Installation of Culverts to MRS03</t>
  </si>
  <si>
    <t>Line No 25
Item No 2121.2</t>
  </si>
  <si>
    <t>Supply and installation of concrete pipe culvert components, Class 2, RRJ, 375mm diameter with saltwater cover</t>
  </si>
  <si>
    <t xml:space="preserve">m    </t>
  </si>
  <si>
    <t>Purchase Materials:</t>
  </si>
  <si>
    <t>375 RCP</t>
  </si>
  <si>
    <t>Sand</t>
  </si>
  <si>
    <t>tonne</t>
  </si>
  <si>
    <t>Install:</t>
  </si>
  <si>
    <t>Excavator - 15T</t>
  </si>
  <si>
    <t xml:space="preserve">hr   </t>
  </si>
  <si>
    <t>Plate Compactor</t>
  </si>
  <si>
    <t>Line No 26
Item No 2121.4</t>
  </si>
  <si>
    <t>Supply and installation of concrete pipe culvert components, Class 2, RRJ, 450mm diameter with saltwater cover</t>
  </si>
  <si>
    <t>450 RCP FJ CL2</t>
  </si>
  <si>
    <t>Line No 27
Item No 2121.6</t>
  </si>
  <si>
    <t>Supply and installation of concrete pipe culvert components, Class 2, RRJ, 525mm diameter with saltwater cover</t>
  </si>
  <si>
    <t>525 RCP FJ CL2</t>
  </si>
  <si>
    <t>Line No 28
Item No 2121.8</t>
  </si>
  <si>
    <t>Supply and installation of concrete pipe culvert components, Class 2,RRJ, 600mm diameter with saltwater cover</t>
  </si>
  <si>
    <t>600 RCP RRJ CL2</t>
  </si>
  <si>
    <t>Line No 29
Item No 2190</t>
  </si>
  <si>
    <t>Supply of Stormwater Drainage Pipe Culverts in accordance with AS/NZS 5065, and installation of Culverts to MRS03</t>
  </si>
  <si>
    <t>Line No 30
Item No 2191.1</t>
  </si>
  <si>
    <t>Supply and installation of BlackMAX stormwater pipe, Class SN8, 150 mm diameter</t>
  </si>
  <si>
    <t>Line No 31
Item No 2260</t>
  </si>
  <si>
    <t>Supply and Installation of Drainage Components</t>
  </si>
  <si>
    <t>Line No 32
Item No 2261.1</t>
  </si>
  <si>
    <t>Supply and install 600mm flood flap</t>
  </si>
  <si>
    <t xml:space="preserve">each </t>
  </si>
  <si>
    <t>Flood Flap</t>
  </si>
  <si>
    <t xml:space="preserve">item </t>
  </si>
  <si>
    <t>Line No 33
Item No 2300</t>
  </si>
  <si>
    <t>Concrete in Culverts and End Structures, MRS03</t>
  </si>
  <si>
    <t>Line No 34
Item No 2308</t>
  </si>
  <si>
    <t>End structures to culverts, reinforced concrete</t>
  </si>
  <si>
    <t xml:space="preserve">m3   </t>
  </si>
  <si>
    <t>Reinforced Concrete - CUM</t>
  </si>
  <si>
    <t xml:space="preserve">m³   </t>
  </si>
  <si>
    <t>Line No 35
Item No 2313</t>
  </si>
  <si>
    <t>Aprons to culverts, reinforced concrete</t>
  </si>
  <si>
    <t>Line No 37
Item No 2400</t>
  </si>
  <si>
    <t>Pavement Drainage, MRS03</t>
  </si>
  <si>
    <t>Line No 38
Item No 2404.1</t>
  </si>
  <si>
    <t>Concrete kerb and channel, barrier (B2)</t>
  </si>
  <si>
    <t>S32 - Kerb Mix</t>
  </si>
  <si>
    <t>Kerb Subbie</t>
  </si>
  <si>
    <t>Grader</t>
  </si>
  <si>
    <t>Line No 39
Item No 2404.3</t>
  </si>
  <si>
    <t>Type 1 main roads flush kerb (300x200)</t>
  </si>
  <si>
    <t>Line No 40
Item No 2413.1</t>
  </si>
  <si>
    <t>3450x1500 ecosol RSF 500 GPT with class B lid</t>
  </si>
  <si>
    <t>GPT</t>
  </si>
  <si>
    <t>Line No 41
Item No 2413.2</t>
  </si>
  <si>
    <t>600x600 RKO pit with riser 600x600 V-Grate &amp; Concrete Surround</t>
  </si>
  <si>
    <t>WDC</t>
  </si>
  <si>
    <t>Line No 42
Item No 2413.4</t>
  </si>
  <si>
    <t>Concrete gullies, Drainway 0TP/X maxflow grate, standard</t>
  </si>
  <si>
    <t>Line No 43
Item No 2141.2</t>
  </si>
  <si>
    <t>Concrete manhole with 600dia access lid (major)</t>
  </si>
  <si>
    <t>Line No 44
Item No 2500</t>
  </si>
  <si>
    <t>Subsurface Drainage MRS03</t>
  </si>
  <si>
    <t>Line No 45
Item No 2501.1</t>
  </si>
  <si>
    <t>Subsoil drains, Type C, 100 mm diameter including outlets and flush points</t>
  </si>
  <si>
    <t>Sub Soil Drain</t>
  </si>
  <si>
    <t>Sub Soil Flush Fittings</t>
  </si>
  <si>
    <t>install:</t>
  </si>
  <si>
    <t>Line No 47
Item No 2600</t>
  </si>
  <si>
    <t>Protective Treatments, MRS03</t>
  </si>
  <si>
    <t>Line No 48
Item No 2631.1</t>
  </si>
  <si>
    <t>Hand-placed concrete paving, 100mm thick, N25/20 with SL62 mesh central to footpaths 1.2m wide</t>
  </si>
  <si>
    <t xml:space="preserve">m2   </t>
  </si>
  <si>
    <t>N32</t>
  </si>
  <si>
    <t>SL82</t>
  </si>
  <si>
    <t xml:space="preserve">m²   </t>
  </si>
  <si>
    <t>Curing Oil</t>
  </si>
  <si>
    <t>litre</t>
  </si>
  <si>
    <t>Bar Chairs - 40mm</t>
  </si>
  <si>
    <t>Prep &amp; Install:</t>
  </si>
  <si>
    <t>Bobcat</t>
  </si>
  <si>
    <t>Place &amp; Finish</t>
  </si>
  <si>
    <t>Concrete Subbie</t>
  </si>
  <si>
    <t>Line No 49
Item No 2631.2</t>
  </si>
  <si>
    <t>Hand-placed concrete paving, 100mm thick, N25/20 with SL62 mesh central to footpaths 2.0m wide</t>
  </si>
  <si>
    <t>Line No 50
Item No 2631.5</t>
  </si>
  <si>
    <t>Hand-placed concrete paving, 170mm thick, N32/20 with SL82 mesh central with exposed aggregate finish (incl. joints as detailed)</t>
  </si>
  <si>
    <t>S32 - Exposed Aggregate</t>
  </si>
  <si>
    <t>Concrete Subbie (Exposed)</t>
  </si>
  <si>
    <t>Line No 52
Item No 2700</t>
  </si>
  <si>
    <t>Retaining Walls, MRS03</t>
  </si>
  <si>
    <t>Line No 53
Item No 2712</t>
  </si>
  <si>
    <t>Natural local stone mass gravity wall. 500mm thick, vertical face including footing (1m x 400mm thick) and rear drainage</t>
  </si>
  <si>
    <t>Bent Steel</t>
  </si>
  <si>
    <t>Drainage Agg</t>
  </si>
  <si>
    <t>A24</t>
  </si>
  <si>
    <t>Dowels</t>
  </si>
  <si>
    <t>Dowel Sleeves</t>
  </si>
  <si>
    <t>50 HD uPVC Electrical</t>
  </si>
  <si>
    <t>Abel Flex</t>
  </si>
  <si>
    <t>Bar Chairs - 125mm</t>
  </si>
  <si>
    <t>Place &amp; Finish Footings:</t>
  </si>
  <si>
    <t>Place &amp; Finish Walls:</t>
  </si>
  <si>
    <t>Cartage - Rock</t>
  </si>
  <si>
    <t>Subsoil Drains:</t>
  </si>
  <si>
    <t>Drainage Aggregate:</t>
  </si>
  <si>
    <t>Backfill:</t>
  </si>
  <si>
    <t>Trench Roller</t>
  </si>
  <si>
    <t>Line No 55
Item No 3000</t>
  </si>
  <si>
    <t>Earthworks</t>
  </si>
  <si>
    <t>Line No 59
Item No 3201</t>
  </si>
  <si>
    <t>Road excavation, all materials to reprofile the subgrade level</t>
  </si>
  <si>
    <t>Subgrade Preparation:</t>
  </si>
  <si>
    <t>PF Roller Wet - No OP</t>
  </si>
  <si>
    <t>Water Cart - Hire</t>
  </si>
  <si>
    <t>Line No 60
Item No 3201.2</t>
  </si>
  <si>
    <t>Allotment excavation to Revised RL (3.9 - 3.7)</t>
  </si>
  <si>
    <t>Excavator - 25T</t>
  </si>
  <si>
    <t>Tipper</t>
  </si>
  <si>
    <t>Line No 61
Item No 3300</t>
  </si>
  <si>
    <t>Earthworks, Embankment, MRS04</t>
  </si>
  <si>
    <t>Line No 62
Item No 3301.2</t>
  </si>
  <si>
    <t>Re-trim allotments to revised FL</t>
  </si>
  <si>
    <t>SD Roller - Wet (No Op)</t>
  </si>
  <si>
    <t>Line No 64
Item No 4100</t>
  </si>
  <si>
    <t>Unbound Pavements, MRS05</t>
  </si>
  <si>
    <t>Line No 65
Item No 4103.1</t>
  </si>
  <si>
    <t>Base, unbound pavement, Type 2, Subtype 2.1</t>
  </si>
  <si>
    <t>CBR80</t>
  </si>
  <si>
    <t>Pugmill</t>
  </si>
  <si>
    <t>Installation:</t>
  </si>
  <si>
    <t>MW Roller</t>
  </si>
  <si>
    <t>Final Trim:</t>
  </si>
  <si>
    <t>Line No 66
Item No 4104.2</t>
  </si>
  <si>
    <t>Subbase, unbound pavement, Type 2, Subtype 2.3</t>
  </si>
  <si>
    <t>Line No 67
Item No 4104.4</t>
  </si>
  <si>
    <t>Subbase, unbound pavement, Type 2, Subtype 2.3 under 170mm Concrete</t>
  </si>
  <si>
    <t>Line No 68
Item No 5100</t>
  </si>
  <si>
    <t>Sprayed Bituminous Surfacing (Excluding Emulsion), MRS11</t>
  </si>
  <si>
    <t>Line No 69
Item No 5141.1</t>
  </si>
  <si>
    <t>Sprayed bituminous surfacing, including supply of binder, including supply of additives, including supply and spreading of precoated cover aggregates.  7mm Primerseal, MC5 1.0L/m2, 175m2/m3</t>
  </si>
  <si>
    <t>Primer Seal - SP1</t>
  </si>
  <si>
    <t>Line No 70
Item No 5600</t>
  </si>
  <si>
    <t>Asphalt Surfacing, Brisbane City Council Asphalt Specification S310</t>
  </si>
  <si>
    <t>Line No 71
Item No 5602.1</t>
  </si>
  <si>
    <t>AC10 Type 2 mix</t>
  </si>
  <si>
    <t>DG10</t>
  </si>
  <si>
    <t>Line No 73
Item No 6140</t>
  </si>
  <si>
    <t>Roadside Structures, MRS16A</t>
  </si>
  <si>
    <t>Line No 74
Item No 6161.1</t>
  </si>
  <si>
    <t>Ballistrade guardrail (NOT INCLUDED. BY OWNERS)</t>
  </si>
  <si>
    <t>Line No 75
Item No 6161.3</t>
  </si>
  <si>
    <t>Stair Risers and treads (Hardwood &amp; Stainless - Provisional)</t>
  </si>
  <si>
    <t>N40</t>
  </si>
  <si>
    <t>Form &amp; Place:</t>
  </si>
  <si>
    <t>Line No 76
Item No 9000</t>
  </si>
  <si>
    <t>Miscellaneous Works</t>
  </si>
  <si>
    <t>Line No 78
Item No 9001</t>
  </si>
  <si>
    <t>Compliance testing</t>
  </si>
  <si>
    <t>Compaction Test:</t>
  </si>
  <si>
    <t>Field Density (subgrade)</t>
  </si>
  <si>
    <t>Concrete Cylinders</t>
  </si>
  <si>
    <t>Project Administrator</t>
  </si>
  <si>
    <t>Line No 79
Item No 9002</t>
  </si>
  <si>
    <t>Survey Set Out</t>
  </si>
  <si>
    <t>Survey</t>
  </si>
  <si>
    <t>Line No 80
Item No 9002</t>
  </si>
  <si>
    <t>Preparation of "As constructed" drawings for submission</t>
  </si>
  <si>
    <t>Line No 81
Item No 9051</t>
  </si>
  <si>
    <t>Locate and protect services - general</t>
  </si>
  <si>
    <t>Service Locator</t>
  </si>
  <si>
    <t>Line No 84
Item No Item</t>
  </si>
  <si>
    <t>WATER PRESSURE MAINS</t>
  </si>
  <si>
    <t>Line No 85
Item No 9300</t>
  </si>
  <si>
    <t>Water Reticulation</t>
  </si>
  <si>
    <t>Line No 86
Item No 9304</t>
  </si>
  <si>
    <t>Supply OPVC pressure pipe, RRJ, (C.I.O.D. compatible) PN 16</t>
  </si>
  <si>
    <t>Line No 87
Item No 9304.1</t>
  </si>
  <si>
    <t>100mm dia</t>
  </si>
  <si>
    <t>Line No 88
Item No 9311</t>
  </si>
  <si>
    <t>Supply sluice valves, C.I.  to AS 2544, PN 16, counterclockwise to close c/w spindle cap incl.  F.B.E./Rilsan coating, incl 316 S/S Flange insertion set (FL-FL)</t>
  </si>
  <si>
    <t>Line No 89
Item No 9311.1</t>
  </si>
  <si>
    <t xml:space="preserve">Each </t>
  </si>
  <si>
    <t>Line No 90
Item No 9320</t>
  </si>
  <si>
    <t>Supply bends, DICL to AS 2280, RRJ,  Class K12, bitumen coated with polyethylene sleeving to AS 3680 and 3681 (SOC-SOC)</t>
  </si>
  <si>
    <t>Line No 91
Item No 9320.2</t>
  </si>
  <si>
    <t>100mm x 22½o</t>
  </si>
  <si>
    <t>Line No 92
Item No 9320.3</t>
  </si>
  <si>
    <t>100mm x 45o</t>
  </si>
  <si>
    <t>Line No 93
Item No 9320.4</t>
  </si>
  <si>
    <t>100mm x 90o</t>
  </si>
  <si>
    <t>Line No 94
Item No 9340</t>
  </si>
  <si>
    <t>Supply tees,  DICL to AS 2280, RRJ,  Class K12, bitumen coated with polyethylene sleeving to AS 3680 and 3681, incl 316 S/S Flange insertion set for flange ends</t>
  </si>
  <si>
    <t>Line No 95
Item No 9343.1</t>
  </si>
  <si>
    <t>100 x 100mm (FL-FLxFL)</t>
  </si>
  <si>
    <t>Line No 96
Item No 9360</t>
  </si>
  <si>
    <t>Supply hydrant tee,  DICL to AS 2280, RRJ,  Class K12, bitumen coated with polyethylene sleeving to AS 3680 and 3681, incl 316 S/S Flange insertion set (SOC-SOCxFL)</t>
  </si>
  <si>
    <t>Line No 97
Item No 9360.1</t>
  </si>
  <si>
    <t>100x80?</t>
  </si>
  <si>
    <t>Line No 98
Item No 9361.1</t>
  </si>
  <si>
    <t>Supply spring hydrant incl. F.B.E./Rilsan coating</t>
  </si>
  <si>
    <t>Line No 99
Item No 9362.2</t>
  </si>
  <si>
    <t>Supply hydrant risers 80?x300mm (FL-FL) (Provisional, if ordered)</t>
  </si>
  <si>
    <t>Line No 100
Item No 9363.1</t>
  </si>
  <si>
    <t>Supply hydrant cover boxes</t>
  </si>
  <si>
    <t>Line No 101
Item No 9364.1</t>
  </si>
  <si>
    <t>Install cover boxes to hydrants incl. supply of margin sets &amp; bedding bricks &amp; markers</t>
  </si>
  <si>
    <t>Line No 102
Item No 9391</t>
  </si>
  <si>
    <t>Supply connectors (FL-SOC) DICL to AS 2280, RRJ,  Class K12, bitumen coated with polyethylene sleeving to AS 3680 and 3681, incl 316 S/S Flange insertion set</t>
  </si>
  <si>
    <t>Line No 103
Item No 9391.1</t>
  </si>
  <si>
    <t>100?</t>
  </si>
  <si>
    <t>Line No 104
Item No 9400</t>
  </si>
  <si>
    <t>Supply gibault joints</t>
  </si>
  <si>
    <t>Line No 105
Item No 9401.2</t>
  </si>
  <si>
    <t>150mm dia</t>
  </si>
  <si>
    <t>Line No 106
Item No 9470</t>
  </si>
  <si>
    <t>House Connection Services  (Refer MRC Std Dwg A3-00840) including supply and installation of 100 mm tapping band, main cock and poly pipe to property boundary</t>
  </si>
  <si>
    <t>Line No 107
Item No 9470.1</t>
  </si>
  <si>
    <t>32mm single  (WATER METERS NOT INCLUDED - BY FUTURE OWNERS)</t>
  </si>
  <si>
    <t>Line No 108
Item No 9470.2</t>
  </si>
  <si>
    <t>32mm single under road including enveloper conduit (WATER METERS NOT INCLUDED - BY FUTURE OWNERS)</t>
  </si>
  <si>
    <t>Line No 109
Item No 9470.3</t>
  </si>
  <si>
    <t>32mm dual (WATER METERS NOT INCLUDED - BY FUTURE OWNERS)</t>
  </si>
  <si>
    <t>Line No 110
Item No 9470.4</t>
  </si>
  <si>
    <t>32mm dual under road including enveloper conduit (WATER METERS NOT INCLUDED - BY FUTURE OWNERS)</t>
  </si>
  <si>
    <t>Line No 111
Item No 9523</t>
  </si>
  <si>
    <t>Line No 112
Item No 9523.1</t>
  </si>
  <si>
    <t xml:space="preserve">Line No 113
Item No </t>
  </si>
  <si>
    <t>Supply &amp; Installation of 100mm diameter water meter with an 80mm bypass line as per detail A of U13481.001-122(B)</t>
  </si>
  <si>
    <t>Line No 114
Item No 9525</t>
  </si>
  <si>
    <t>Extra Over Items</t>
  </si>
  <si>
    <t>Line No 115
Item No 9526</t>
  </si>
  <si>
    <t>Dewatering of trench extra to Items 9521 - 9524 (Provisional, if ordered)</t>
  </si>
  <si>
    <t>Line No 116
Item No 9527.1</t>
  </si>
  <si>
    <t>Supply and placing of approved sand filling 150 - 300mm above top of pipe (Type 1 construction) (Provisional, if ordered)</t>
  </si>
  <si>
    <t>Line No 117
Item No 9529.1</t>
  </si>
  <si>
    <t>Supply and Install Fire Booster (Provisional, if ordered) MARINA ITEM</t>
  </si>
  <si>
    <t>Line No 118
Item No 9531.2</t>
  </si>
  <si>
    <t>Concrete Grade N20 in place for thrust blocks</t>
  </si>
  <si>
    <t>Line No 119
Item No 9596</t>
  </si>
  <si>
    <t>Flushing and chlorination of mains including supply of chlorine</t>
  </si>
  <si>
    <t>Line No 120
Item No 9597</t>
  </si>
  <si>
    <t>Testing of water mains including supply of pressurising equipment, gauges and fittings</t>
  </si>
  <si>
    <t>Line No 121
Item No 9598.1</t>
  </si>
  <si>
    <t>Connection to existing Council main, 100mm dia (incl. Council fees)</t>
  </si>
  <si>
    <t>Line No 124
Item No Item</t>
  </si>
  <si>
    <t>PRESSURE SEWER SYSTEM</t>
  </si>
  <si>
    <t>Line No 125
Item No 9600</t>
  </si>
  <si>
    <t>Sewers and Manholes, MCC 7</t>
  </si>
  <si>
    <t>Line No 126
Item No 9601</t>
  </si>
  <si>
    <t>Supply and Delivery of  uPVC sewer pipe, Class 16, complying with AS 1260, suitable for socket joints</t>
  </si>
  <si>
    <t>Line No 127
Item No 9601.2</t>
  </si>
  <si>
    <t>225mm dia.</t>
  </si>
  <si>
    <t>Line No 128
Item No 9615</t>
  </si>
  <si>
    <t>Trench excavation in soil for 225mm dia.  sewers, including  excavation for manholes, jump ups, slope drops, vertical drops, backfilling, disposal of spoil and   restoration.</t>
  </si>
  <si>
    <t>Line No 129
Item No 9615.1</t>
  </si>
  <si>
    <t>Depth Range 0.5-1.5m inclusive</t>
  </si>
  <si>
    <t>Line No 130
Item No 9620</t>
  </si>
  <si>
    <t>Line No 131
Item No 9620.2</t>
  </si>
  <si>
    <t>Line No 132
Item No 9640.1</t>
  </si>
  <si>
    <t>Concrete N20 in place for pipe bedding, surrounds, stops, blocks, cover slab incl.  steel reinforcement where specified incl.  supply of all materials (Provisional, if ordered)</t>
  </si>
  <si>
    <t>Line No 133
Item No 9650.1</t>
  </si>
  <si>
    <t>Supply and placing of approved sand filling (150 - 300mm above pipes) (Provisional, if ordered)</t>
  </si>
  <si>
    <t>Line No 134
Item No 9700</t>
  </si>
  <si>
    <t>Manhole House Connection Branches</t>
  </si>
  <si>
    <t>Line No 135
Item No 9700.3</t>
  </si>
  <si>
    <t>100mm dia. house connection extension to lot 23 (from existing manhole)</t>
  </si>
  <si>
    <t>Line No 136
Item No 9720</t>
  </si>
  <si>
    <t>Manholes complete in place</t>
  </si>
  <si>
    <t>Line No 137
Item No 9720.1</t>
  </si>
  <si>
    <t>Depth Range 0.5-1.5m inclusive (1050 internal diameter) - Including connection for poly pressure main and internal epoxy coating of manhole</t>
  </si>
  <si>
    <t>Line No 138
Item No 9740</t>
  </si>
  <si>
    <t>Supply MDPE Pipe, Series 1, PN16, PE 80B complying with AS/NZS 4130</t>
  </si>
  <si>
    <t>Line No 139
Item No 9740.1</t>
  </si>
  <si>
    <t>50mm ODPE</t>
  </si>
  <si>
    <t>Line No 140
Item No 9740.2</t>
  </si>
  <si>
    <t>63mm ODPE</t>
  </si>
  <si>
    <t>Line No 141
Item No 9741</t>
  </si>
  <si>
    <t>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t>
  </si>
  <si>
    <t>Line No 142
Item No 9741.1</t>
  </si>
  <si>
    <t>Line No 143
Item No 9741.2</t>
  </si>
  <si>
    <t>Line No 144
Item No 9742.1</t>
  </si>
  <si>
    <t>Supply and installation of Aquatec Boundary Connection pits</t>
  </si>
  <si>
    <t>Line No 145
Item No 9742.2</t>
  </si>
  <si>
    <t>Supply and installation of Aquatec flushing point</t>
  </si>
  <si>
    <t>Line No 146
Item No 9742.3</t>
  </si>
  <si>
    <t>Supply and installation of Aquatec isolation valves</t>
  </si>
  <si>
    <t>Line No 147
Item No 9745.2</t>
  </si>
  <si>
    <t>Dewatering of trench extra to 9610 - 9615 (Provisional, if ordered)</t>
  </si>
  <si>
    <t>Line No 148
Item No 9745.3</t>
  </si>
  <si>
    <t>Supply and placing of metal ballast bedding below bottom of pipe, supply and placing of geotextile, including additional excavation below pipe barrel to maximum 400mm below pipe barrel (Provisional, if ordered)</t>
  </si>
  <si>
    <t>Line No 149
Item No 9750.1</t>
  </si>
  <si>
    <t>Demolish existing sewer manhole and connect to existing 225 diameter sewer main, incl. liaison with Council and plugging of downstream manhole</t>
  </si>
  <si>
    <t>Line No 150
Item No 9751.1</t>
  </si>
  <si>
    <t>Construct vent pole and foundation as per WRC Std Dwg S0020 - incl. all materials and connection to receiving manhole</t>
  </si>
  <si>
    <t>Line No 153
Item No Item</t>
  </si>
  <si>
    <t>ANCILLARY WORKS</t>
  </si>
  <si>
    <t>Line No 155
Item No 9100.1</t>
  </si>
  <si>
    <t>Ergon longitudinal trenching and backfilling, including supply of all bedding and backfill sand, as directed (Provisional, if ordered)</t>
  </si>
  <si>
    <t>Purchase Material:</t>
  </si>
  <si>
    <t>Excavate &amp; Install:</t>
  </si>
  <si>
    <t>Line No 156
Item No 9110</t>
  </si>
  <si>
    <t>Supply and installation of Ergon conduits including draw cord, end caps, polymeric cable protection cover (where required) and caution orange tape as directed (Provisional, if ordered)</t>
  </si>
  <si>
    <t>Line No 157
Item No 9110.1</t>
  </si>
  <si>
    <t>3/100mm &amp; 1/40mm Electrical plus 2/100mm Testra</t>
  </si>
  <si>
    <t>100 LD uPVC Electrical</t>
  </si>
  <si>
    <t>Draw Rope - Conduits</t>
  </si>
  <si>
    <t>Hard Cover - Electrical</t>
  </si>
  <si>
    <t>Line No 158
Item No 9110.2</t>
  </si>
  <si>
    <t>2/100mm plus 1/100mm Testra</t>
  </si>
  <si>
    <t>Line No 159
Item No 9110.3</t>
  </si>
  <si>
    <t>1/100mm Electrical plus 1/100mm Telstra</t>
  </si>
  <si>
    <t>Line No 160
Item No 9110.4</t>
  </si>
  <si>
    <t>1x40 Telstra</t>
  </si>
  <si>
    <t xml:space="preserve">Line No 161
Item No </t>
  </si>
  <si>
    <t>Installation of Electrical Pits (Direction Changes) Type 5</t>
  </si>
  <si>
    <t xml:space="preserve">No.  </t>
  </si>
  <si>
    <t xml:space="preserve">Line No 162
Item No </t>
  </si>
  <si>
    <t>Supply &amp; Install Internal Electrical cabling including cabling to a common point external to the sub-division to a central metering location, 'green boys' and lot connections. (ELECTRICAL METERS PROVIDED BY FUTURE LOT OWNERS)</t>
  </si>
  <si>
    <t>Electrical Sub-Contract</t>
  </si>
  <si>
    <t xml:space="preserve">Line No 163
Item No </t>
  </si>
  <si>
    <t>Supply &amp; Install 'The Cove' sub-board including connection to Ergon POS outside development as per DWG E25</t>
  </si>
  <si>
    <t xml:space="preserve">Line No 164
Item No </t>
  </si>
  <si>
    <t>Supply &amp; Install MARINA MSB as per DWG E25</t>
  </si>
  <si>
    <t xml:space="preserve">Line No 165
Item No </t>
  </si>
  <si>
    <t>Supply &amp; Install MARINA Sub-Main from 'The Cove' MSB to MARINA DB</t>
  </si>
  <si>
    <t xml:space="preserve">Line No 166
Item No </t>
  </si>
  <si>
    <t>Electrical trenching &amp; Installation</t>
  </si>
  <si>
    <t>Line No 167
Item No 9120</t>
  </si>
  <si>
    <t>Ergon/Telstra road crossings in place including trenching, backfilling and supply and installation of Ergon PVC Conduits including draw cord, end caps, polymeric cable protection cover (where required), caution orange tape and installation of Telstra PVC conduits with draw cords and end caps (Provisional, if ordered)</t>
  </si>
  <si>
    <t>Line No 168
Item No 9120.2</t>
  </si>
  <si>
    <t>2/100mm &amp; 1/40 Electricity plus 1/100mm</t>
  </si>
  <si>
    <t>Line No 169
Item No 9125.1</t>
  </si>
  <si>
    <t>Telecommunications pits</t>
  </si>
  <si>
    <t>Electrical Pit - Precast</t>
  </si>
  <si>
    <t>Line No 170
Item No 9130.1</t>
  </si>
  <si>
    <t>Supply, installation and backfill of conduit bends at pillar location, including all 80mm dia, 1200mm rad bends, end caps, 40mm dia service conduits including bends to property boundary, end caps, timber stake, polymeric cable protection cover and caution orange tape (Dwg 5164 Sh  3, 4, 5 &amp; 6)</t>
  </si>
  <si>
    <t xml:space="preserve">No   </t>
  </si>
  <si>
    <t xml:space="preserve">Line No 171
Item No </t>
  </si>
  <si>
    <t>Supply &amp; Install Gas Main 63mm OD PE including Tees, joiners and construction of individual Prtoperty Feeds. (GAS METERS NOT INCLUDED - BY FUTURE OWNERS)</t>
  </si>
  <si>
    <t xml:space="preserve">Line No 172
Item No </t>
  </si>
  <si>
    <t>Connection to Origin Gas Main (PSUM)</t>
  </si>
  <si>
    <t xml:space="preserve">PS   </t>
  </si>
  <si>
    <t>A provisional sum of 2,500 has been allocated to this item.</t>
  </si>
  <si>
    <t>Line No 173
Item No 9150.2</t>
  </si>
  <si>
    <t>Footings to streetlight poles including anchor cage, to DMR std drawing nos 1380, 1381, 1382, 1429.   Footing 600mm diameter 2300mm deep.</t>
  </si>
  <si>
    <t>Rag Bolt</t>
  </si>
  <si>
    <t>Install Footings:</t>
  </si>
  <si>
    <t>Light Pole Outreach (3M)</t>
  </si>
  <si>
    <t>Luminaires</t>
  </si>
  <si>
    <t>Stand Poles:</t>
  </si>
  <si>
    <t>Franna Crane</t>
  </si>
  <si>
    <t>Electrician</t>
  </si>
  <si>
    <t>Pull Cables:</t>
  </si>
  <si>
    <t>Line No 174
Item No 9180.2</t>
  </si>
  <si>
    <t>Excavate for padmount substation to allow Electrical Services Provider to install electrical cables and equipment, and reinstate surfaces after installation</t>
  </si>
  <si>
    <t xml:space="preserve">Line No 179
Item No </t>
  </si>
  <si>
    <t>SOFTSCAPING</t>
  </si>
  <si>
    <t xml:space="preserve">Line No 180
Item No </t>
  </si>
  <si>
    <t>PLANTS WHITSUNDAY - SOFTSCAPING COMPLETE AS PER QUOTE MLS13-222 (Rev 2)</t>
  </si>
  <si>
    <t xml:space="preserve">LS   </t>
  </si>
  <si>
    <t>Landscaper</t>
  </si>
  <si>
    <t xml:space="preserve">Line No 181
Item No </t>
  </si>
  <si>
    <t>Works Not Included in PWS Quote MLS13-222 (RPZ, Road Crossings, Conduits &amp; GPO for Irrigation Controller)</t>
  </si>
  <si>
    <t xml:space="preserve">Line No 182
Item No </t>
  </si>
  <si>
    <t>A provisional sum of 15,000 has been allocated to this item.</t>
  </si>
  <si>
    <t xml:space="preserve">Line No 185
Item No </t>
  </si>
  <si>
    <t>HARDSCAPING WORKS</t>
  </si>
  <si>
    <t xml:space="preserve">Line No 186
Item No </t>
  </si>
  <si>
    <t>PLANTS WHITSUNDAY COMPLETE - Paver edging in lieu of Concrete Edge Strip as per Quotation MLS13-240 (2)</t>
  </si>
  <si>
    <t xml:space="preserve">Line No 187
Item No </t>
  </si>
  <si>
    <t>PLANTS WHITSUNDAY - GRAVEL TO OUTDOOR AREAS ( COMPLETE)</t>
  </si>
  <si>
    <t xml:space="preserve">Line No 190
Item No </t>
  </si>
  <si>
    <t>Outdoor Viewing Areas (Complete)</t>
  </si>
  <si>
    <t xml:space="preserve">Line No 191
Item No </t>
  </si>
  <si>
    <t>PLANTS WHITSUNDAY TO COMPLETE IN FULL - Allotment Separation Fences (Removable Centre Post) REDUCED IN HEIGHT TO 1400MM</t>
  </si>
  <si>
    <t xml:space="preserve">Line No 192
Item No </t>
  </si>
  <si>
    <t>PLANTS WHITSUNDAY COMPLETE - Supply &amp; Install Totems as Detailed (6 No.)</t>
  </si>
  <si>
    <t xml:space="preserve">Line No 193
Item No </t>
  </si>
  <si>
    <t>Supply and Install Timber Viewing Deck as Detailed</t>
  </si>
  <si>
    <t xml:space="preserve">Line No 194
Item No </t>
  </si>
  <si>
    <t>PLANTS WHITSUNDAY COMPLETE - Supply &amp; Install Timber Seat (To match existing)</t>
  </si>
  <si>
    <t xml:space="preserve">Line No 195
Item No </t>
  </si>
  <si>
    <t>A provisional sum of 25,000 has been allocated to this item.</t>
  </si>
  <si>
    <t xml:space="preserve">Line No 196
Item No </t>
  </si>
  <si>
    <t>Supply &amp; Instal Stainless Steel 'The Cove' &amp; Port of Airlie logo's as shown on entry walls</t>
  </si>
  <si>
    <t xml:space="preserve">Line No 197
Item No </t>
  </si>
  <si>
    <t>Core Filled Block Wall - W1 (1500mm High)</t>
  </si>
  <si>
    <t>Footings:</t>
  </si>
  <si>
    <t>Concrete Sub-contract</t>
  </si>
  <si>
    <t>Block Wall</t>
  </si>
  <si>
    <t>N16</t>
  </si>
  <si>
    <t xml:space="preserve">Line No 198
Item No </t>
  </si>
  <si>
    <t>Core Filled Block Wall - W2 (Entry Wall with Rake)</t>
  </si>
  <si>
    <t xml:space="preserve">Line No 199
Item No </t>
  </si>
  <si>
    <t>PLANTS WHITSUNDAY SUPERVISION / VEHICLES &amp; ADMIN FEE</t>
  </si>
  <si>
    <t xml:space="preserve">Line No 201
Item No </t>
  </si>
  <si>
    <t>FENCING / GATES / EQUIPMENT</t>
  </si>
  <si>
    <t xml:space="preserve">Line No 202
Item No </t>
  </si>
  <si>
    <t>Supply and Install Pedestrian and Vehicular Gate and associated Security Key Pad</t>
  </si>
  <si>
    <t xml:space="preserve">Line No 203
Item No </t>
  </si>
  <si>
    <t>PLANTS WHITSUNDAY COMPLETE - Supply &amp; install boundary fence to Lot 23.</t>
  </si>
  <si>
    <t xml:space="preserve">Line No 204
Item No </t>
  </si>
  <si>
    <t>Supply and Install communal letterbox structure within W2 wall - aluminium fronted with range hood and rear opening</t>
  </si>
  <si>
    <t xml:space="preserve">WDC01       </t>
  </si>
  <si>
    <t>Variation - Additional watermain, 50mm water meter &amp; RPZ - installed at the Cove subdivision as directed by the Superintendent</t>
  </si>
  <si>
    <t xml:space="preserve">PV01        </t>
  </si>
  <si>
    <t>Variation - Installation of geotextile Mirafi in Stormwater trench where depths exceed 1.2m into marine sedimentation as directed by the Superintendent</t>
  </si>
  <si>
    <t xml:space="preserve">PV02        </t>
  </si>
  <si>
    <t>Variation - Unsuitable Subgrade replacement - Remove existing material 300 deep &amp; replace with CBR 15 as directed by Superintendent</t>
  </si>
  <si>
    <t xml:space="preserve">PV03        </t>
  </si>
  <si>
    <t>Variation - Easement at Revetment wall - Relocate &amp; replace existing revetment wall rocks, install geotextile &amp; backfill with general fill to areas as indicated on drawing 13003 21 &amp; 22A</t>
  </si>
  <si>
    <t xml:space="preserve">PV04        </t>
  </si>
  <si>
    <t>Variation - Privacy Screen to boundary of Lot 1 &amp; Lot 23 - Provide 11 natural stone columns and 11 steel panels to 1400mm high fence. Stonework nib wall to easement at Lot 23. Salmon coloured footpath to boundary at Entrance &amp; along Lot 23.</t>
  </si>
  <si>
    <t xml:space="preserve">GAS01       </t>
  </si>
  <si>
    <t>Line Item 171 - Supply &amp; Install Gas - Variation to adjust claimed contract value of $48,571.75 to agreed value of $15,000</t>
  </si>
  <si>
    <t xml:space="preserve">PSUM        </t>
  </si>
  <si>
    <t>PROVISIONAL SUM ITEM - Supply &amp; Install capping, facing &amp; stone treatments to Entry Statements</t>
  </si>
  <si>
    <t xml:space="preserve">PV05        </t>
  </si>
  <si>
    <t>Variation - Telstra Pit, supply &amp; install Type 8 pit as directed by Superintendent</t>
  </si>
  <si>
    <t>Variatons</t>
  </si>
  <si>
    <t>Direct Cost Reate</t>
  </si>
  <si>
    <t>Direct Cost</t>
  </si>
  <si>
    <t>CC</t>
  </si>
  <si>
    <t>Sell Rate</t>
  </si>
  <si>
    <t>Type</t>
  </si>
  <si>
    <t>Cost</t>
  </si>
  <si>
    <t>Usage</t>
  </si>
  <si>
    <t>Duration</t>
  </si>
  <si>
    <t>Portfolio WBS</t>
  </si>
  <si>
    <t xml:space="preserve">Line No OH  1
Item No </t>
  </si>
  <si>
    <t>Project Supervision</t>
  </si>
  <si>
    <t>Project Supervisor</t>
  </si>
  <si>
    <t xml:space="preserve">week </t>
  </si>
  <si>
    <t xml:space="preserve">Line No OH  2
Item No </t>
  </si>
  <si>
    <t>Project Management</t>
  </si>
  <si>
    <t>Project Manager</t>
  </si>
  <si>
    <t xml:space="preserve">Line No OH  3
Item No </t>
  </si>
  <si>
    <t>Project Engineering</t>
  </si>
  <si>
    <t>Project Engineer</t>
  </si>
  <si>
    <t xml:space="preserve">Line No OH  4
Item No </t>
  </si>
  <si>
    <t>Site Facilitiues</t>
  </si>
  <si>
    <t>Crib Facilities</t>
  </si>
  <si>
    <t xml:space="preserve">Line No OH  5
Item No </t>
  </si>
  <si>
    <t>Small Tools</t>
  </si>
  <si>
    <t xml:space="preserve">Line No OH  6
Item No </t>
  </si>
  <si>
    <t>Retention Costs</t>
  </si>
  <si>
    <t xml:space="preserve">Line No OH  7
Item No </t>
  </si>
  <si>
    <t>Contingency (Hidden Budget)</t>
  </si>
  <si>
    <t>Description</t>
  </si>
  <si>
    <t>Currency</t>
  </si>
  <si>
    <t>AUD</t>
  </si>
  <si>
    <t>Project Engineer - Weekly Rate</t>
  </si>
  <si>
    <t>Weekly Rate - Project Manager</t>
  </si>
  <si>
    <t>A24 - Bidum</t>
  </si>
  <si>
    <t>Bag of 100</t>
  </si>
  <si>
    <t>Bag 100</t>
  </si>
  <si>
    <t>CBR80 Road Base - Delivered</t>
  </si>
  <si>
    <t>Drainage Aggregate</t>
  </si>
  <si>
    <t>Gross Pollutant Trap - HG18</t>
  </si>
  <si>
    <t>150W HPS</t>
  </si>
  <si>
    <t>N32 Concrete</t>
  </si>
  <si>
    <t>SL82 Reinforcing Mesh</t>
  </si>
  <si>
    <t>Bedding Sand</t>
  </si>
  <si>
    <t>500m roll</t>
  </si>
  <si>
    <t>Bobcat - Wet Hire</t>
  </si>
  <si>
    <t>Site Office &amp; Tiolet, 1 Pump out during project.</t>
  </si>
  <si>
    <t>15T Excavator - Wet Hire</t>
  </si>
  <si>
    <t>25T Excavator - Wet Hire</t>
  </si>
  <si>
    <t>Grader - Wet Hire</t>
  </si>
  <si>
    <t>MW Roller (Wet No Op)</t>
  </si>
  <si>
    <t>Plate Compactor - Dry Hire</t>
  </si>
  <si>
    <t>SD Roller Wet Hire - No Operator</t>
  </si>
  <si>
    <t>Tipper (Wet Hire)</t>
  </si>
  <si>
    <t>Water Cart Hire</t>
  </si>
  <si>
    <t>CAR Insurance</t>
  </si>
  <si>
    <t>Cylinders - Set of Three</t>
  </si>
  <si>
    <t>CUM Rate</t>
  </si>
  <si>
    <t>Concrete Pavement - Includes Pump Hire</t>
  </si>
  <si>
    <t>Electrician - Hourly Rate</t>
  </si>
  <si>
    <t>Rock Wall Builder including materials for walls less than 1400 high.</t>
  </si>
  <si>
    <t>Whitsunday Drainage Contractors</t>
  </si>
  <si>
    <t>Base Rate</t>
  </si>
  <si>
    <t>Qty</t>
  </si>
  <si>
    <t>L</t>
  </si>
  <si>
    <t>M</t>
  </si>
  <si>
    <t>P</t>
  </si>
  <si>
    <t>S</t>
  </si>
  <si>
    <t>150 Black Max SN8</t>
  </si>
  <si>
    <t>Black Plastic</t>
  </si>
  <si>
    <t>Electrical Bends</t>
  </si>
  <si>
    <t>Electrical Pit - Type 5</t>
  </si>
  <si>
    <t>Letter Box</t>
  </si>
  <si>
    <t>Light Pole - 8.5m</t>
  </si>
  <si>
    <t>Warning Tape</t>
  </si>
  <si>
    <t>Automatic Gates</t>
  </si>
  <si>
    <t>Concretor - Footings</t>
  </si>
  <si>
    <t>Concretor - Stairs</t>
  </si>
  <si>
    <t>GPT Installation</t>
  </si>
  <si>
    <t>Grapic Designer</t>
  </si>
  <si>
    <t>Masonary Wall</t>
  </si>
  <si>
    <t>Rock Wall Builder &lt; 1400</t>
  </si>
  <si>
    <t>Asphalt</t>
  </si>
  <si>
    <t>Excavate Material</t>
  </si>
  <si>
    <t>QM2.5</t>
  </si>
  <si>
    <t>Posts &amp; Powder-coated Fence</t>
  </si>
  <si>
    <t>Footpath</t>
  </si>
  <si>
    <t>SWP</t>
  </si>
  <si>
    <t>QMS</t>
  </si>
  <si>
    <t>SWL</t>
  </si>
  <si>
    <t>CKM</t>
  </si>
  <si>
    <t>SWPC</t>
  </si>
  <si>
    <t>C25</t>
  </si>
  <si>
    <t>RSM</t>
  </si>
  <si>
    <t>E32</t>
  </si>
  <si>
    <t>RSB</t>
  </si>
  <si>
    <t>C20</t>
  </si>
  <si>
    <t>QMR</t>
  </si>
  <si>
    <t>ETC</t>
  </si>
  <si>
    <t>QM2.1</t>
  </si>
  <si>
    <t>QM2.3</t>
  </si>
  <si>
    <t>ETM</t>
  </si>
  <si>
    <t>ETP</t>
  </si>
  <si>
    <t>C32</t>
  </si>
  <si>
    <t>Contingency (Hidden Budget) - Not in Budget</t>
  </si>
  <si>
    <t>Supply of Stormwater Drainage Pipe Culverts in accordance with AS/NZS 5065, and installation of Culverts to MRS03 - Supply of Stormwater Drainage Pipe Culverts in accordance with AS/NZS 5065, and installation of Culverts to MRS03 - Supply and installation of BlackMAX stormwater pipe, Class SN8, 150 mm diameter</t>
  </si>
  <si>
    <t>Supply and Installation of Drainage Components - Supply and install 600mm flood flap</t>
  </si>
  <si>
    <t>Concrete in Culverts and End Structures, MRS03 - End structures to culverts, reinforced concrete</t>
  </si>
  <si>
    <t>Concrete in Culverts and End Structures, MRS03 - Aprons to culverts, reinforced concrete</t>
  </si>
  <si>
    <t>Pavement Drainage, MRS03 Concrete kerb and channel, barrier (B2)</t>
  </si>
  <si>
    <t>Pavement Drainage, MRS03 Type 1 main roads flush kerb (300x200)</t>
  </si>
  <si>
    <t>Pavement Drainage, MRS03 3450x1500 ecosol RSF 500 GPT with class B lid</t>
  </si>
  <si>
    <t>Pavement Drainage, MRS03 600x600 RKO pit with riser 600x600 V-Grate &amp; Concrete Surround</t>
  </si>
  <si>
    <t>Pavement Drainage, MRS03 - Concrete gullies, Drainway 0TP/X maxflow grate, standard</t>
  </si>
  <si>
    <t>Pavement Drainage, MRS03 - Concrete manhole with 600dia access lid (major)</t>
  </si>
  <si>
    <t>Subsurface Drainage MRS03 - Subsoil drains, Type C, 100 mm diameter including outlets and flush points</t>
  </si>
  <si>
    <t>Protective Treatments, MRS03 - Hand-placed concrete paving, 100mm thick, N25/20 with SL62 mesh central to footpaths 1.2m wide</t>
  </si>
  <si>
    <t>Protective Treatments, MRS03 - Hand-placed concrete paving, 100mm thick, N25/20 with SL62 mesh central to footpaths 2.0m wide</t>
  </si>
  <si>
    <t>Protective Treatments, MRS03 - Hand-placed concrete paving, 170mm thick, N32/20 with SL82 mesh central with exposed aggregate finish (incl. joints as detailed)</t>
  </si>
  <si>
    <t>Retaining Walls, MRS03 - Natural local stone mass gravity wall. 500mm thick, vertical face including footing (1m x 400mm thick) and rear drainage</t>
  </si>
  <si>
    <t>Earthworks - Road excavation, all materials to reprofile the subgrade level</t>
  </si>
  <si>
    <t>Earthworks - Allotment excavation to Revised RL (3.9 - 3.7)</t>
  </si>
  <si>
    <t>Earthworks, Embankment, MRS04 - Re-trim allotments to revised FL</t>
  </si>
  <si>
    <t>Unbound Pavements, MRS05 - Base, unbound pavement, Type 2, Subtype 2.1</t>
  </si>
  <si>
    <t>Unbound Pavements, MRS05 - Subbase, unbound pavement, Type 2, Subtype 2.3</t>
  </si>
  <si>
    <t>Unbound Pavements, MRS05 - Subbase, unbound pavement, Type 2, Subtype 2.3 under 170mm Concrete</t>
  </si>
  <si>
    <t>Sprayed Bituminous Surfacing (Excluding Emulsion), MRS11 - Sprayed bituminous surfacing, including supply of binder, including supply of additives, including supply and spreading of precoated cover aggregates.  7mm Primerseal, MC5 1.0L/m2, 175m2/m3</t>
  </si>
  <si>
    <t>Asphalt Surfacing, Brisbane City Council Asphalt Specification S310 - Asphalt Surfacing, Brisbane City Council Asphalt Specification S310 - AC10 Type 2 mix</t>
  </si>
  <si>
    <t>Roadside Structures, MRS16A - Stair Risers and treads (Hardwood &amp; Stainless - Provisional)</t>
  </si>
  <si>
    <t>WATER PRESSURE MAINS - Water Reticulation - Supply OPVC pressure pipe, RRJ, (C.I.O.D. compatible) PN 16 100mm dia</t>
  </si>
  <si>
    <t>WATER PRESSURE MAINS Supply sluice valves, C.I.  to AS 2544, PN 16, counterclockwise to close c/w spindle cap incl.  F.B.E./Rilsan coating, incl 316 S/S Flange insertion set (FL-FL) 100mm dia</t>
  </si>
  <si>
    <t>WATER PRESSURE MAINS - Supply bends, DICL to AS 2280, RRJ,  Class K12, bitumen coated with polyethylene sleeving to AS 3680 and 3681 (SOC-SOC) 100mm x 22½o</t>
  </si>
  <si>
    <t>WATER PRESSURE MAINS - 100mm x 45o</t>
  </si>
  <si>
    <t>WATER PRESSURE MAINS - 100mm x 90o</t>
  </si>
  <si>
    <t>WATER PRESSURE MAINS - Supply tees,  DICL to AS 2280, RRJ,  Class K12, bitumen coated with polyethylene sleeving to AS 3680 and 3681, incl 316 S/S Flange insertion set for flange ends - 100 x 100mm (FL-FLxFL)</t>
  </si>
  <si>
    <t>WATER PRESSURE MAINS -Supply hydrant tee,  DICL to AS 2280, RRJ,  Class K12, bitumen coated with polyethylene sleeving to AS 3680 and 3681, incl 316 S/S Flange insertion set (SOC-SOCxFL) - 100x80?</t>
  </si>
  <si>
    <t>WATER PRESSURE MAINS -Supply spring hydrant incl. F.B.E./Rilsan coating</t>
  </si>
  <si>
    <t>WATER PRESSURE MAINS - Supply hydrant risers 80?x300mm (FL-FL) (Provisional, if ordered)</t>
  </si>
  <si>
    <t>WATER PRESSURE MAINS - Supply hydrant cover boxes</t>
  </si>
  <si>
    <t>WATER PRESSURE MAINS - Install cover boxes to hydrants incl. supply of margin sets &amp; bedding bricks &amp; markers</t>
  </si>
  <si>
    <t>WATER PRESSURE MAINS - Supply connectors (FL-SOC) DICL to AS 2280, RRJ,  Class K12, bitumen coated with polyethylene sleeving to AS 3680 and 3681, incl 316 S/S Flange insertion set - 100?</t>
  </si>
  <si>
    <t>WATER PRESSURE MAINS - Supply gibault joints 150mm dia</t>
  </si>
  <si>
    <t>WATER PRESSURE MAINS - House Connection Services  (Refer MRC Std Dwg A3-00840) including supply and installation of 100 mm tapping band, main cock and poly pipe to property boundary - 32mm single  (WATER METERS NOT INCLUDED - BY FUTURE OWNERS)</t>
  </si>
  <si>
    <t>WATER PRESSURE MAINS - 32mm single under road including enveloper conduit (WATER METERS NOT INCLUDED - BY FUTURE OWNERS)</t>
  </si>
  <si>
    <t>WATER PRESSURE MAINS -  32mm dual (WATER METERS NOT INCLUDED - BY FUTURE OWNERS)</t>
  </si>
  <si>
    <t>WATER PRESSURE MAINS - 32mm dual under road including enveloper conduit (WATER METERS NOT INCLUDED - BY FUTURE OWNERS)</t>
  </si>
  <si>
    <t>WATER PRESSURE MAINS - Excavate, lay, bed, joint and backfill OPVC pressure pipe, RRJ main and specials, including supply and installation of sand bedding to 150mm above top of pipe, installation of thrust blocks and disposal of spoil.  (Type 1 construction, MRC Std Dwg A3-00835)</t>
  </si>
  <si>
    <t>WATER PRESSURE MAINS - Excavate, lay, bed, joint and backfill OPVC pressure pipe, RRJ main and specials, including supply and installation of sand bedding to 150mm above top of pipe, installation of thrust blocks and disposal of spoil.  (Type 1 construction, MRC Std Dwg A3-00835) - 100mm dia</t>
  </si>
  <si>
    <t>WATER PRESSURE MAINS - Supply &amp; Installation of 100mm diameter water meter with an 80mm bypass line as per detail A of U13481.001-122(B)</t>
  </si>
  <si>
    <t>WATER PRESSURE MAINS - Dewatering of trench extra to Items 9521 - 9524 (Provisional, if ordered)</t>
  </si>
  <si>
    <t>WATER PRESSURE MAINS - Supply and placing of approved sand filling 150 - 300mm above top of pipe (Type 1 construction) (Provisional, if ordered)</t>
  </si>
  <si>
    <t>WATER PRESSURE MAINS - Supply and Install Fire Booster (Provisional, if ordered) MARINA ITEM</t>
  </si>
  <si>
    <t>WATER PRESSURE MAINS - Concrete Grade N20 in place for thrust blocks</t>
  </si>
  <si>
    <t>WATER PRESSURE MAINS - Flushing and chlorination of mains including supply of chlorine</t>
  </si>
  <si>
    <t>WATER PRESSURE MAINS - Testing of water mains including supply of pressurising equipment, gauges and fittings</t>
  </si>
  <si>
    <t>WATER PRESSURE MAINS - Connection to existing Council main, 100mm dia (incl. Council fees)</t>
  </si>
  <si>
    <t>PRESSURE SEWER SYSTEM - Supply and Delivery of  uPVC sewer pipe, Class 16, complying with AS 1260, suitable for socket joints - 225mm dia.</t>
  </si>
  <si>
    <t>PRESSURE SEWER SYSTEM - Trench excavation in soil for 225mm dia.  sewers, including  excavation for manholes, jump ups, slope drops, vertical drops, backfilling, disposal of spoil and   restoration. Depth Range 0.5-1.5m inclusive</t>
  </si>
  <si>
    <t>PRESSURE SEWER SYSTEM - Lay, bed and joint sewer pipe including main and specials, supply and place sand bedding to 150mm above top of pipe (Type 1 construction, WRC Std drawing D-0030) and testing of finished pipeline, including CCTV Survey and Report.</t>
  </si>
  <si>
    <t>PRESSURE SEWER SYSTEM - Lay, bed and joint sewer pipe including main and specials, supply and place sand bedding to 150mm above top of pipe (Type 1 construction, WRC Std drawing D-0030) and testing of finished pipeline, including CCTV Survey and Report. - 225mm dia.</t>
  </si>
  <si>
    <t>PRESSURE SEWER SYSTEM - Concrete N20 in place for pipe bedding, surrounds, stops, blocks, cover slab incl.  steel reinforcement where specified incl.  supply of all materials (Provisional, if ordered)</t>
  </si>
  <si>
    <t>PRESSURE SEWER SYSTEM - Supply and placing of approved sand filling (150 - 300mm above pipes) (Provisional, if ordered)</t>
  </si>
  <si>
    <t>PRESSURE SEWER SYSTEM - Manhole House Connection Branches - 100mm dia. house connection extension to lot 23 (from existing manhole)</t>
  </si>
  <si>
    <t>PRESSURE SEWER SYSTEM -Manholes complete in place -  Depth Range 0.5-1.5m inclusive (1050 internal diameter) - Including connection for poly pressure main and internal epoxy coating of manhole</t>
  </si>
  <si>
    <t>PRESSURE SEWER SYSTEM - Supply MDPE Pipe, Series 1, PN16, PE 80B complying with AS/NZS 4130 - 50mm ODPE</t>
  </si>
  <si>
    <t>PRESSURE SEWER SYSTEM - Supply MDPE Pipe, Series 1, PN16, PE 80B complying with AS/NZS 4130 - 63mm ODPE</t>
  </si>
  <si>
    <t>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- 50mm ODPE</t>
  </si>
  <si>
    <t>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- 63mm ODPE</t>
  </si>
  <si>
    <t>PRESSURE SEWER SYSTEM - Supply and installation of Aquatec Boundary Connection pits</t>
  </si>
  <si>
    <t>PRESSURE SEWER SYSTEM - Supply and installation of Aquatec flushing point</t>
  </si>
  <si>
    <t>PRESSURE SEWER SYSTEM - Supply and installation of Aquatec isolation valves</t>
  </si>
  <si>
    <t>PRESSURE SEWER SYSTEM - Dewatering of trench extra to 9610 - 9615 (Provisional, if ordered)</t>
  </si>
  <si>
    <t>PRESSURE SEWER SYSTEM - Supply and placing of metal ballast bedding below bottom of pipe, supply and placing of geotextile, including additional excavation below pipe barrel to maximum 400mm below pipe barrel (Provisional, if ordered)</t>
  </si>
  <si>
    <t>PRESSURE SEWER SYSTEM - Demolish existing sewer manhole and connect to existing 225 diameter sewer main, incl. liaison with Council and plugging of downstream manhole</t>
  </si>
  <si>
    <t>PRESSURE SEWER SYSTEM - Construct vent pole and foundation as per WRC Std Dwg S0020 - incl. all materials and connection to receiving manhole</t>
  </si>
  <si>
    <t>ANCILLARY WORKS - Ergon longitudinal trenching and backfilling, including supply of all bedding and backfill sand, as directed (Provisional, if ordered)</t>
  </si>
  <si>
    <t>ANCILLARY WORKS -  Supply and installation of Ergon conduits including draw cord, end caps, polymeric cable protection cover (where required) and caution orange tape as directed (Provisional, if ordered) - 3/100mm &amp; 1/40mm Electrical plus 2/100mm Testra</t>
  </si>
  <si>
    <t>Supply and installation of Ergon conduits including draw cord, end caps, polymeric cable protection cover (where required) and caution orange tape as directed (Provisional, if ordered) - 2/100mm plus 1/100mm Testra</t>
  </si>
  <si>
    <t>Supply and installation of Ergon conduits including draw cord, end caps, polymeric cable protection cover (where required) and caution orange tape as directed (Provisional, if ordered) - 1/100mm Electrical plus 1/100mm Telstra</t>
  </si>
  <si>
    <t>Supply and installation of Ergon conduits including draw cord, end caps, polymeric cable protection cover (where required) and caution orange tape as directed (Provisional, if ordered) - 1x40 Telstra</t>
  </si>
  <si>
    <t>Electrical trenching &amp; Installation - 2/100mm &amp; 1/40 Electricity plus 1/100mm</t>
  </si>
  <si>
    <t>Electrical trenching &amp; Installation - Telecommunications pits</t>
  </si>
  <si>
    <t>SOFTSCAPING - PLANTS WHITSUNDAY - SOFTSCAPING COMPLETE AS PER QUOTE MLS13-222 (Rev 2)</t>
  </si>
  <si>
    <t>SOFTSCAPING - Works Not Included in PWS Quote MLS13-222 (RPZ, Road Crossings, Conduits &amp; GPO for Irrigation Controller)</t>
  </si>
  <si>
    <t>SOFTSCAPING - The Cove - Landscaping Repairs</t>
  </si>
  <si>
    <t>HARDSCAPING WORKS - PLANTS WHITSUNDAY COMPLETE - Paver edging in lieu of Concrete Edge Strip as per Quotation MLS13-240 (2)</t>
  </si>
  <si>
    <t>HARDSCAPING WORKS - PLANTS WHITSUNDAY - GRAVEL TO OUTDOOR AREAS ( COMPLETE)</t>
  </si>
  <si>
    <t>HARDSCAPING WORKS - Outdoor Viewing Areas (Complete)</t>
  </si>
  <si>
    <t>HARDSCAPING WORKS - PLANTS WHITSUNDAY TO COMPLETE IN FULL - Allotment Separation Fences (Removable Centre Post) REDUCED IN HEIGHT TO 1400MM</t>
  </si>
  <si>
    <t>HARDSCAPING WORKS - PLANTS WHITSUNDAY COMPLETE - Supply &amp; Install Totems as Detailed (6 No.)</t>
  </si>
  <si>
    <t>HARDSCAPING WORKS - Supply and Install Timber Viewing Deck as Detailed</t>
  </si>
  <si>
    <t>HARDSCAPING WORKS - PLANTS WHITSUNDAY COMPLETE - Supply &amp; Install Timber Seat (To match existing)</t>
  </si>
  <si>
    <t>HARDSCAPING WORKS - Supply &amp; Install all Capping, Facing and Stone Treatments to Entry Statements (Detailes TBC)</t>
  </si>
  <si>
    <t>HARDSCAPING WORKS - Supply &amp; Instal Stainless Steel 'The Cove' &amp; Port of Airlie logo's as shown on entry walls</t>
  </si>
  <si>
    <t>HARDSCAPING WORKS - Core Filled Block Wall - W1 (1500mm High)</t>
  </si>
  <si>
    <t>HARDSCAPING WORKS - Core Filled Block Wall - W2 (Entry Wall with Rake)</t>
  </si>
  <si>
    <t>HARDSCAPING WORKS - PLANTS WHITSUNDAY SUPERVISION / VEHICLES &amp; ADMIN FEE</t>
  </si>
  <si>
    <t>FENCING / GATES / EQUIPMENT - Supply and Install Pedestrian and Vehicular Gate and associated Security Key Pad</t>
  </si>
  <si>
    <t>FENCING / GATES / EQUIPMENT - PLANTS WHITSUNDAY COMPLETE - Supply &amp; install boundary fence to Lot 23.</t>
  </si>
  <si>
    <t>FENCING / GATES / EQUIPMENT - Supply and Install communal letterbox structure within W2 wall - aluminium fronted with range hood and rear opening</t>
  </si>
  <si>
    <t xml:space="preserve"> </t>
  </si>
  <si>
    <t>WBS</t>
  </si>
  <si>
    <t>DESCRIPTION</t>
  </si>
  <si>
    <t>MODEL INPUT</t>
  </si>
  <si>
    <t>UOM</t>
  </si>
  <si>
    <t>Non-Working Calendar 2011 - 2015 (Queensland - Australia)</t>
  </si>
  <si>
    <t>Christmas Day</t>
  </si>
  <si>
    <t>Boxing Day</t>
  </si>
  <si>
    <t>New Years Day</t>
  </si>
  <si>
    <t>Australia Day</t>
  </si>
  <si>
    <t>Good Friday</t>
  </si>
  <si>
    <t>Easter Monday</t>
  </si>
  <si>
    <t>ANZAC Day</t>
  </si>
  <si>
    <t>Labour Day</t>
  </si>
  <si>
    <t>Queen's Birthday</t>
  </si>
  <si>
    <t>Xmas S/D</t>
  </si>
  <si>
    <t>ROADWORKS AND DRAINAGE Site establishment and disestablishment</t>
  </si>
  <si>
    <t>Drainage, Retaining Structures &amp; Protective TreatmentsSupply of Precast Concrete Pipe Culverts in accordance with AS 4058 - Exposure Class B1, and Installation of Culverts to MRS03Supply and installation of concrete pipe culvert components, Class 2, RRJ, 375mm diameter with saltwater cover</t>
  </si>
  <si>
    <t>Working Hours</t>
  </si>
  <si>
    <t>CONTRACT AWARD</t>
  </si>
  <si>
    <t>34,96,114</t>
  </si>
  <si>
    <t>24,35,33</t>
  </si>
  <si>
    <t>25,35</t>
  </si>
  <si>
    <t>16,11</t>
  </si>
  <si>
    <t>17,14</t>
  </si>
  <si>
    <t>29,19</t>
  </si>
  <si>
    <t>18,36</t>
  </si>
  <si>
    <t>26,21</t>
  </si>
  <si>
    <t>26FF,117,105,114</t>
  </si>
  <si>
    <t>23,6,80</t>
  </si>
  <si>
    <t>23FF,20,21,12,93,94,92</t>
  </si>
  <si>
    <t>22,17,14</t>
  </si>
  <si>
    <t>13,22</t>
  </si>
  <si>
    <t>15,19,71,112,113</t>
  </si>
  <si>
    <t>93,20,32,97</t>
  </si>
  <si>
    <t>103,104,109,108,115,117,33</t>
  </si>
  <si>
    <t>37FF,49</t>
  </si>
  <si>
    <t>36FF</t>
  </si>
  <si>
    <t>38FF</t>
  </si>
  <si>
    <t>37FF</t>
  </si>
  <si>
    <t>39FF</t>
  </si>
  <si>
    <t>40FF</t>
  </si>
  <si>
    <t>41FF</t>
  </si>
  <si>
    <t>42FF</t>
  </si>
  <si>
    <t>43FF</t>
  </si>
  <si>
    <t>44FF</t>
  </si>
  <si>
    <t>45FF</t>
  </si>
  <si>
    <t>46FF</t>
  </si>
  <si>
    <t>47FF</t>
  </si>
  <si>
    <t>48FF</t>
  </si>
  <si>
    <t>54,55FF,56FF,58FF,57,111FF</t>
  </si>
  <si>
    <t>53FF</t>
  </si>
  <si>
    <t>61,111,58,56,55,54,48</t>
  </si>
  <si>
    <t>65FF,66FF,67,72</t>
  </si>
  <si>
    <t>64FF</t>
  </si>
  <si>
    <t>69FF,70FF,73</t>
  </si>
  <si>
    <t>73,79</t>
  </si>
  <si>
    <t>67FF</t>
  </si>
  <si>
    <t>73,29</t>
  </si>
  <si>
    <t>68,71,76FF,77FF</t>
  </si>
  <si>
    <t>67,68,71</t>
  </si>
  <si>
    <t>74FF</t>
  </si>
  <si>
    <t>73FF</t>
  </si>
  <si>
    <t>75FF</t>
  </si>
  <si>
    <t>72FF</t>
  </si>
  <si>
    <t>25,79,78,77,76,70,69,66,65</t>
  </si>
  <si>
    <t>81FF,86</t>
  </si>
  <si>
    <t>80FF</t>
  </si>
  <si>
    <t>82FF</t>
  </si>
  <si>
    <t>81FF</t>
  </si>
  <si>
    <t>83FF</t>
  </si>
  <si>
    <t>84FF</t>
  </si>
  <si>
    <t>85FF</t>
  </si>
  <si>
    <t>86,85</t>
  </si>
  <si>
    <t>90FF,94</t>
  </si>
  <si>
    <t>89FF</t>
  </si>
  <si>
    <t>91FF</t>
  </si>
  <si>
    <t>90FF</t>
  </si>
  <si>
    <t>92FF,118FF</t>
  </si>
  <si>
    <t>98,32</t>
  </si>
  <si>
    <t>102,95</t>
  </si>
  <si>
    <t>117,110FF</t>
  </si>
  <si>
    <t>34,95</t>
  </si>
  <si>
    <t>109,34</t>
  </si>
  <si>
    <t>104FF</t>
  </si>
  <si>
    <t>104,110,108,115,34</t>
  </si>
  <si>
    <t>LABOUR RESOURCES</t>
  </si>
  <si>
    <t>MATERIAL RESOURCES</t>
  </si>
  <si>
    <t>PLANT RESOURCES</t>
  </si>
  <si>
    <t>SUB-CONTRACT RESOURCES</t>
  </si>
  <si>
    <t>TYPE</t>
  </si>
  <si>
    <t>Q</t>
  </si>
  <si>
    <t>Task</t>
  </si>
  <si>
    <t>WBS Predecessors</t>
  </si>
  <si>
    <t>WBS Successors</t>
  </si>
  <si>
    <t>Budget</t>
  </si>
  <si>
    <t>TO ENSURE LINKS ARE VALID CUT AND PASTE BELOW INTO THIRD ROW OF MS PROJECT AS PER YELLOW CELL IN PICTURE TO RIGHT</t>
  </si>
  <si>
    <t>PRACTICAL COMPLETION</t>
  </si>
  <si>
    <t>Item No</t>
  </si>
  <si>
    <t>Tender Quantity</t>
  </si>
  <si>
    <t>BAC</t>
  </si>
  <si>
    <t>BAC Rate</t>
  </si>
  <si>
    <t>Contract Items</t>
  </si>
  <si>
    <t xml:space="preserve">            </t>
  </si>
  <si>
    <t>PROJECT SUMMARY - THE COVE</t>
  </si>
  <si>
    <t xml:space="preserve">     </t>
  </si>
  <si>
    <t>ROADWORKS &amp; DRAINAGE</t>
  </si>
  <si>
    <t>SUB-TOTAL LANDSCAPING &amp; HARDSCAPING</t>
  </si>
  <si>
    <t>TOTAL GST EXCLUSIVE</t>
  </si>
  <si>
    <t>Establishment, Traffic and Environment</t>
  </si>
  <si>
    <t>Contractor's Site Facilities, MRS28</t>
  </si>
  <si>
    <t>Provision for Traffic, MRS02</t>
  </si>
  <si>
    <t>Preparation &amp; Implimentation of TMP</t>
  </si>
  <si>
    <t>Environmental Management, MRS51</t>
  </si>
  <si>
    <t>Preparation of the Environmental Management Plan (Construction)</t>
  </si>
  <si>
    <t>Implementation and monitoring of the Environmental Management Plan (Construction)</t>
  </si>
  <si>
    <t>Erosion and sediment control management plan</t>
  </si>
  <si>
    <t>Water quality monitoring</t>
  </si>
  <si>
    <t>Control of erosion and sedimentation</t>
  </si>
  <si>
    <t>Earthworks, Preparation, MRS04</t>
  </si>
  <si>
    <t>Clearing and grubbing</t>
  </si>
  <si>
    <t>Earthworks, Excavation, MRS04</t>
  </si>
  <si>
    <t>Item</t>
  </si>
  <si>
    <t>Excavate, lay, bed, joint and backfill OPVC pressure pipe, RRJ main and specials, including supply and installation of sand bedding to 150mm above top of pipe, installation of thrust blocks and disposal of spoil.  (Type 1 construction, MRC Std Dwg A3-00835)</t>
  </si>
  <si>
    <t>Lay, bed and joint sewer pipe including main and specials, supply and place sand bedding to 150mm above top of pipe (Type 1 construction, WRC Std drawing D-0030) and testing of finished pipeline, including CCTV Survey and Report.</t>
  </si>
  <si>
    <t>Ancillary Works</t>
  </si>
  <si>
    <t>LANDSCAPING &amp; HARDSCAPING</t>
  </si>
  <si>
    <t>The Cove - Landscaping Repairs</t>
  </si>
  <si>
    <t>Outdoor Area type A (Complete) (DELETED FROM SCOPE)</t>
  </si>
  <si>
    <t>Outdoor Area Type B (Complete) (DELETED FROM SCOPE)</t>
  </si>
  <si>
    <t>Supply &amp; Install all Capping, Facing and Stone Treatments to Entry Statements (Detailes TBC)</t>
  </si>
  <si>
    <t>Variations</t>
  </si>
  <si>
    <t>Landscaping - Replace tall hedging plants along path with dense low ground covers - Provide strip of plants and irrigation along base of retaining wall - Hand placed rocks in lieu of brick edging along top of revetment wall - Powder coated steel fence posts and midrail replaced with hardwood timber - Variation as per Gavin Baxter email dated 1st July 2014</t>
  </si>
  <si>
    <t>Total, all contract items and variations</t>
  </si>
  <si>
    <t>Contract Sell Rate</t>
  </si>
  <si>
    <t>Contract Sell Total</t>
  </si>
  <si>
    <t>Tender Budget</t>
  </si>
  <si>
    <t>Budget Rate</t>
  </si>
  <si>
    <t>WDC01</t>
  </si>
  <si>
    <t>PV01</t>
  </si>
  <si>
    <t>PWHIT01</t>
  </si>
  <si>
    <t>PV02</t>
  </si>
  <si>
    <t>PV03</t>
  </si>
  <si>
    <t>PV04</t>
  </si>
  <si>
    <t>GAS01</t>
  </si>
  <si>
    <t>PSUM</t>
  </si>
  <si>
    <t>PV05</t>
  </si>
  <si>
    <t>%C - Apr 14</t>
  </si>
  <si>
    <t>%C - May 14</t>
  </si>
  <si>
    <t>%C - Jun 14</t>
  </si>
  <si>
    <t>%C - Jul 14</t>
  </si>
  <si>
    <t>%C - Aug 14</t>
  </si>
  <si>
    <t>%C - Sep 14</t>
  </si>
  <si>
    <t>%C - Oct 14</t>
  </si>
  <si>
    <t>%C - Nov 14</t>
  </si>
  <si>
    <t>%C - Dec 14</t>
  </si>
  <si>
    <t>%C - Jan 15</t>
  </si>
  <si>
    <t>%C - Feb 15</t>
  </si>
  <si>
    <t>%C - Mar 15</t>
  </si>
  <si>
    <t>Revenue Apr 14</t>
  </si>
  <si>
    <t>Revenue May 14</t>
  </si>
  <si>
    <t>Revuenue Jun 14</t>
  </si>
  <si>
    <t>Revenue Jul 14</t>
  </si>
  <si>
    <t>Revenue Aug 14</t>
  </si>
  <si>
    <t>Revenue Sep 14</t>
  </si>
  <si>
    <t>Revenue Oct 14</t>
  </si>
  <si>
    <t>Revenue Nov 14</t>
  </si>
  <si>
    <t>Revenue Dec 14</t>
  </si>
  <si>
    <t>Revenue Jan 15</t>
  </si>
  <si>
    <t>Revenue Feb 15</t>
  </si>
  <si>
    <t>Revenue Mar 15</t>
  </si>
  <si>
    <t>Date</t>
  </si>
  <si>
    <t>Resource</t>
  </si>
  <si>
    <t>Cost Code 011</t>
  </si>
  <si>
    <t>The Cove Engineering Setout</t>
  </si>
  <si>
    <t xml:space="preserve">Survey                   </t>
  </si>
  <si>
    <t xml:space="preserve">Subtotal for 011                   </t>
  </si>
  <si>
    <t>Cost Code 012</t>
  </si>
  <si>
    <t>Claim for the Supply of a 24Tonne Excavator.</t>
  </si>
  <si>
    <t xml:space="preserve">Sewer Subbie             </t>
  </si>
  <si>
    <t xml:space="preserve">Subtotal for 012                   </t>
  </si>
  <si>
    <t>Cost Code 013</t>
  </si>
  <si>
    <t>Field Density</t>
  </si>
  <si>
    <t xml:space="preserve">Field Density            </t>
  </si>
  <si>
    <t>Allciv - Labour Hire  Office Work QA</t>
  </si>
  <si>
    <t xml:space="preserve">Subtotal for 013                   </t>
  </si>
  <si>
    <t>Cost Code 041</t>
  </si>
  <si>
    <t>Backhoe - Wet Hire</t>
  </si>
  <si>
    <t xml:space="preserve">Back Hoe                 </t>
  </si>
  <si>
    <t>Allciv - Leading Hand</t>
  </si>
  <si>
    <t xml:space="preserve">Hr   </t>
  </si>
  <si>
    <t xml:space="preserve">Tipper                   </t>
  </si>
  <si>
    <t xml:space="preserve">Subtotal for 041                   </t>
  </si>
  <si>
    <t>Cost Code 052</t>
  </si>
  <si>
    <t>Hire of Labour</t>
  </si>
  <si>
    <t>Allciv - Labour HIre</t>
  </si>
  <si>
    <t>Labour Hire</t>
  </si>
  <si>
    <t>For Plant Hire used at The Cover Estate at POA</t>
  </si>
  <si>
    <t xml:space="preserve">WDC                      </t>
  </si>
  <si>
    <t>Iveco Ute - 744 SDX</t>
  </si>
  <si>
    <t xml:space="preserve">Ivecko - 744 SDX         </t>
  </si>
  <si>
    <t>Allciv - Labour Hire</t>
  </si>
  <si>
    <t>Claim for machine hire used at The cove</t>
  </si>
  <si>
    <t>Whitsunday Drainage Contractors- excavator</t>
  </si>
  <si>
    <t>Loader</t>
  </si>
  <si>
    <t xml:space="preserve">Loader                   </t>
  </si>
  <si>
    <t>Claim for 24T Excavator at the Cove Sub-Division</t>
  </si>
  <si>
    <t xml:space="preserve">Subtotal for 052                   </t>
  </si>
  <si>
    <t>Cost Code 053</t>
  </si>
  <si>
    <t>New Holland Compact Grader - No Operator</t>
  </si>
  <si>
    <t xml:space="preserve">NH Grader                </t>
  </si>
  <si>
    <t>Mack - Tip Truck</t>
  </si>
  <si>
    <t xml:space="preserve">Mack Tipper              </t>
  </si>
  <si>
    <t>UD Water Cart - No Driver</t>
  </si>
  <si>
    <t xml:space="preserve">UD Water Cart            </t>
  </si>
  <si>
    <t>120H Grader</t>
  </si>
  <si>
    <t xml:space="preserve">120H Grader              </t>
  </si>
  <si>
    <t>Claim for 24T, 8T and 14T  Excavator at the Cove Sub-Division</t>
  </si>
  <si>
    <t xml:space="preserve">Subtotal for 053                   </t>
  </si>
  <si>
    <t>Cost Code 054</t>
  </si>
  <si>
    <t>Allciv-Supervisor</t>
  </si>
  <si>
    <t>CAT297C MTL - No Operator</t>
  </si>
  <si>
    <t xml:space="preserve">CAT297                   </t>
  </si>
  <si>
    <t xml:space="preserve">Claim fo the hire of 14T Excavator </t>
  </si>
  <si>
    <t xml:space="preserve">Subtotal for 054                   </t>
  </si>
  <si>
    <t>Cost Code 057</t>
  </si>
  <si>
    <t xml:space="preserve">Subtotal for 057                   </t>
  </si>
  <si>
    <t>Cost Code 059</t>
  </si>
  <si>
    <t>Water Cart Allciv - No Operator</t>
  </si>
  <si>
    <t xml:space="preserve">WC - Allciv              </t>
  </si>
  <si>
    <t>Posie Track</t>
  </si>
  <si>
    <t>Claim fo the hire of 14T Excavator</t>
  </si>
  <si>
    <t xml:space="preserve">Subtotal for 059                   </t>
  </si>
  <si>
    <t>Cost Code 061</t>
  </si>
  <si>
    <t xml:space="preserve">Subtotal for 061                   </t>
  </si>
  <si>
    <t>Cost Code 062</t>
  </si>
  <si>
    <t>Plate Compactor - Dry Hire 11/9/14  and Unleaded fuel</t>
  </si>
  <si>
    <t xml:space="preserve">Plate Compactor          </t>
  </si>
  <si>
    <t>Pad Foot Roller - Dry  Hired 3*9/14 - 9/9/14 and Delivery</t>
  </si>
  <si>
    <t xml:space="preserve">PF Roller                </t>
  </si>
  <si>
    <t>8T Double Drum Roller Hired from 12/9/14 - 17/9/14</t>
  </si>
  <si>
    <t xml:space="preserve">DD Roller                </t>
  </si>
  <si>
    <t>3 &amp; 4 Double Drum Roller Hired from 18/9/14 - 18/9/14</t>
  </si>
  <si>
    <t>8 Double Drum Roller Hired from 26/9/14 - 30/9/14</t>
  </si>
  <si>
    <t>8T Double Drum Roller Hired from 30/9/14 - 2/10/14</t>
  </si>
  <si>
    <t>3 &amp; 4T Double Drum Roller Hired from 9/10/14 - 10/10/14</t>
  </si>
  <si>
    <t xml:space="preserve">Subtotal for 062                   </t>
  </si>
  <si>
    <t>Cost Code 063</t>
  </si>
  <si>
    <t>CAT311D - 12T Excavator (No Operator)</t>
  </si>
  <si>
    <t xml:space="preserve">CAT311                   </t>
  </si>
  <si>
    <t xml:space="preserve">Subtotal for 063                   </t>
  </si>
  <si>
    <t>Cost Code 064</t>
  </si>
  <si>
    <t>Sweep and Prime with AMC00</t>
  </si>
  <si>
    <t xml:space="preserve">Rock N Road              </t>
  </si>
  <si>
    <t xml:space="preserve">Subtotal for 064                   </t>
  </si>
  <si>
    <t>Cost Code 065</t>
  </si>
  <si>
    <t>Supply, Cart, Lay &amp; Compact AC 10MM Mix</t>
  </si>
  <si>
    <t>Rock N Road Labour Hours</t>
  </si>
  <si>
    <t xml:space="preserve">Vibrating Rammer hired Hired 19/1/15 </t>
  </si>
  <si>
    <t xml:space="preserve">Vibrating                </t>
  </si>
  <si>
    <t>Vibrating Rammer hired Hired 21/1/15</t>
  </si>
  <si>
    <t xml:space="preserve">Subtotal for 065                   </t>
  </si>
  <si>
    <t>Cost Code 071</t>
  </si>
  <si>
    <t>Hessian For Curing</t>
  </si>
  <si>
    <t xml:space="preserve">Hessian                  </t>
  </si>
  <si>
    <t xml:space="preserve">18 Brass Kerb Marker, Tie Wire </t>
  </si>
  <si>
    <t xml:space="preserve">Kerb Adaptors            </t>
  </si>
  <si>
    <t>Hammer Drill Medium with Drills and Petrol Generator Hierd 23/9/14</t>
  </si>
  <si>
    <t xml:space="preserve">Hammer                   </t>
  </si>
  <si>
    <t>348 L/M of M6 Edge Restraint and 68 L/M if ttoe 5 Kerb Only</t>
  </si>
  <si>
    <t xml:space="preserve">Kerb Subbie              </t>
  </si>
  <si>
    <t xml:space="preserve">Subtotal for 071                   </t>
  </si>
  <si>
    <t>Cost Code 072</t>
  </si>
  <si>
    <t>Claim for Labour used in the sonstruction of 2 headwalls a the port of Airlie</t>
  </si>
  <si>
    <t xml:space="preserve">Subtotal for 072                   </t>
  </si>
  <si>
    <t>Cost Code 073</t>
  </si>
  <si>
    <t>Dalton Concrete - Labour x 3</t>
  </si>
  <si>
    <t xml:space="preserve">Dalton Concrete          </t>
  </si>
  <si>
    <t>Claim for item 2631.1 for 31/10/2014</t>
  </si>
  <si>
    <t xml:space="preserve">                         </t>
  </si>
  <si>
    <t>Claim for item  for 31/10/2014</t>
  </si>
  <si>
    <t>Dalton Concrete - Labour</t>
  </si>
  <si>
    <t>Ablel Flex</t>
  </si>
  <si>
    <t xml:space="preserve">Small Tools              </t>
  </si>
  <si>
    <t>Diamond Blade</t>
  </si>
  <si>
    <t>Claim for item 2631.1 for 30/11/2014</t>
  </si>
  <si>
    <t>Claim for item DCC01 for 30/11/2014</t>
  </si>
  <si>
    <t xml:space="preserve">lm   </t>
  </si>
  <si>
    <t>Claim for item 2631.5 for 30/11/2014</t>
  </si>
  <si>
    <t>Claim for item 2631.2 for 30/11/2014</t>
  </si>
  <si>
    <t>Masking Tape x 5 and Sikaflex x 6</t>
  </si>
  <si>
    <t>Grey sikaflex sausage x 10</t>
  </si>
  <si>
    <t>Dowel Galvanised x 2</t>
  </si>
  <si>
    <t>Grey sikaflex sausage x 6</t>
  </si>
  <si>
    <t>Rivert Gun, Riverts and Drill Bit</t>
  </si>
  <si>
    <t>Place Concrete paths. Salmon, Exsposed  and Kerb</t>
  </si>
  <si>
    <t xml:space="preserve">Subtotal for 073                   </t>
  </si>
  <si>
    <t>Cost Code 081</t>
  </si>
  <si>
    <t>26 x 375mm, 18 x 450mm, 25 x 525mm Class 2 RRJ RC Pipes</t>
  </si>
  <si>
    <t xml:space="preserve">450 RCP FJ CL2           </t>
  </si>
  <si>
    <t xml:space="preserve">Subtotal for 081                   </t>
  </si>
  <si>
    <t>Cost Code 082</t>
  </si>
  <si>
    <t>26 x 600mm Class 2 RRJ RC Pipes</t>
  </si>
  <si>
    <t xml:space="preserve">525 RCP RRJ CL2          </t>
  </si>
  <si>
    <t xml:space="preserve">Subtotal for 082                   </t>
  </si>
  <si>
    <t>Cost Code 085</t>
  </si>
  <si>
    <t xml:space="preserve">Subtotal for 085                   </t>
  </si>
  <si>
    <t>Cost Code 086</t>
  </si>
  <si>
    <t>Aggregate 20mm</t>
  </si>
  <si>
    <t xml:space="preserve">Aggregate 20mm           </t>
  </si>
  <si>
    <t>N40 Concrete &amp; Min Load Charge</t>
  </si>
  <si>
    <t xml:space="preserve">N40                      </t>
  </si>
  <si>
    <t>N25 Concrete and Min Load Charge</t>
  </si>
  <si>
    <t xml:space="preserve">Stabilised Sand          </t>
  </si>
  <si>
    <t>Socked Ag-line
Delivery</t>
  </si>
  <si>
    <t xml:space="preserve">Flood Flap               </t>
  </si>
  <si>
    <t xml:space="preserve">Claim for installation of 150mm storm water </t>
  </si>
  <si>
    <t xml:space="preserve">Subtotal for 086                   </t>
  </si>
  <si>
    <t>Cost Code 087</t>
  </si>
  <si>
    <t>100m x 100mm Socked Ag-Line</t>
  </si>
  <si>
    <t xml:space="preserve">Ag-Line Socked           </t>
  </si>
  <si>
    <t>Hire of Labour  6.5 x  O/T1 Hours &amp; 4.5 x O/T2 Hours</t>
  </si>
  <si>
    <t>Hire of Labour 4.5 x  O/T1 Hours</t>
  </si>
  <si>
    <t xml:space="preserve">Sub Soil Drain           </t>
  </si>
  <si>
    <t>6  x DWV PVC Junction</t>
  </si>
  <si>
    <t xml:space="preserve">PVC Juntion Pipe         </t>
  </si>
  <si>
    <t>3 x 100m x 100mm Socked Ag-Line</t>
  </si>
  <si>
    <t xml:space="preserve">Subtotal for 087                   </t>
  </si>
  <si>
    <t>Cost Code 095</t>
  </si>
  <si>
    <t>Claim for varior works compleded at the Cove  sewers and Manholes</t>
  </si>
  <si>
    <t>Claim for item 9740.1 for 31/05/2014</t>
  </si>
  <si>
    <t>Claim for item 9741.2 for 31/05/2014</t>
  </si>
  <si>
    <t>Claim for item 9750.1 for 31/05/2014</t>
  </si>
  <si>
    <t>Claim for item 9740.2 for 31/05/2014</t>
  </si>
  <si>
    <t>Claim for item 9741.1 for 31/05/2014</t>
  </si>
  <si>
    <t>Claim for item 9620.2 for 31/05/2014</t>
  </si>
  <si>
    <t>Claim for item 9615.1 for 31/05/2014</t>
  </si>
  <si>
    <t>Claim for item 9601.2 for 31/05/2014</t>
  </si>
  <si>
    <t>Claim for item 9720.1 for 31/05/2014</t>
  </si>
  <si>
    <t>Claim for item 9742.3 for 30/06/2014</t>
  </si>
  <si>
    <t>Claim for item 9742.1 for 30/06/2014</t>
  </si>
  <si>
    <t>Claim for item 9741.2 for 30/06/2014</t>
  </si>
  <si>
    <t>Claim for item 9741.1 for 30/06/2014</t>
  </si>
  <si>
    <t>Claim for item 9742.2 for 30/06/2014</t>
  </si>
  <si>
    <t>Claim for item 9700.3 for 31/10/2014</t>
  </si>
  <si>
    <t>Claim for item 9720.1 for 31/10/2014</t>
  </si>
  <si>
    <t>Claim for item 9741.2 for 31/12/2014</t>
  </si>
  <si>
    <t>Claim for item 9742.3 for 31/12/2014</t>
  </si>
  <si>
    <t xml:space="preserve">Subtotal for 095                   </t>
  </si>
  <si>
    <t>Cost Code 103</t>
  </si>
  <si>
    <t>Float 14T excavator to P038 for water</t>
  </si>
  <si>
    <t xml:space="preserve">Float                    </t>
  </si>
  <si>
    <t>Claim for item 9320.4 for 30/06/2014</t>
  </si>
  <si>
    <t>Claim for item 9523.1 for 30/06/2014</t>
  </si>
  <si>
    <t>Claim for item 9343.1 for 30/06/2014</t>
  </si>
  <si>
    <t>Claim for item 9363.1 for 30/06/2014</t>
  </si>
  <si>
    <t>Claim for item 9391.1 for 30/06/2014</t>
  </si>
  <si>
    <t>Claim for item 9361.1 for 30/06/2014</t>
  </si>
  <si>
    <t>Claim for item 9360.1 for 30/06/2014</t>
  </si>
  <si>
    <t>Claim for item 9320.3 for 30/06/2014</t>
  </si>
  <si>
    <t>Claim for item 9320.2 for 30/06/2014</t>
  </si>
  <si>
    <t>Claim for item 9304.1 for 30/06/2014</t>
  </si>
  <si>
    <t>Claim for item 9311.1 for 30/06/2014</t>
  </si>
  <si>
    <t>Claim for item 9529.1 for 31/07/2014</t>
  </si>
  <si>
    <t>Whitsunday Drainage Contractors(2)</t>
  </si>
  <si>
    <t>9 x Stormwater Pipe, 14 PVC Bends Dwv Slab Repair Pipe to Socket, Push on Cap, Threades Couplings, Solvent Cement, Priming Fluid</t>
  </si>
  <si>
    <t xml:space="preserve">PVC Stormwater           </t>
  </si>
  <si>
    <t>Claim for the supply &amp; installaiton of a 100mm bypass.</t>
  </si>
  <si>
    <t>Claim for the various work undertaken at he Cove .  Testing of 50mm water meter and RPZ Valve</t>
  </si>
  <si>
    <t>Claim for the supply &amp; installaiton of a 50mm RPZ valve onto the 63mm irrigation line at the Cove</t>
  </si>
  <si>
    <t>Claim for item 9362.2 for 31/10/2014</t>
  </si>
  <si>
    <t>Claim for item 9051 for 31/10/2014</t>
  </si>
  <si>
    <t>Claim for item 9596 for 31/10/2014</t>
  </si>
  <si>
    <t>Claim for item 9364.1 for 31/10/2014</t>
  </si>
  <si>
    <t>Claim for item 9470.5 for 31/10/2014</t>
  </si>
  <si>
    <t>Claim for item 9391.1 for 31/10/2014</t>
  </si>
  <si>
    <t>Claim for item 9401.2 for 31/10/2014</t>
  </si>
  <si>
    <t>Claim for item 9598.1 for 31/10/2014</t>
  </si>
  <si>
    <t>Claim for item 9597 for 31/10/2014</t>
  </si>
  <si>
    <t>Plasson Pushfit Coupler</t>
  </si>
  <si>
    <t>Claim for item 9470.3 for 31/12/2014</t>
  </si>
  <si>
    <t>Claim for item 9470.2 for 31/12/2014</t>
  </si>
  <si>
    <t>Claim for item 9470.4 for 31/12/2014</t>
  </si>
  <si>
    <t>Claim for item 9531.2 for 31/12/2014</t>
  </si>
  <si>
    <t xml:space="preserve">Subtotal for 103                   </t>
  </si>
  <si>
    <t>Cost Code 111</t>
  </si>
  <si>
    <t>12 x Cable Pit 700 x 810mm and 12 x Cement concrete pit lid</t>
  </si>
  <si>
    <t xml:space="preserve">HDPE Cable Pit           </t>
  </si>
  <si>
    <t xml:space="preserve">Rope Blue x Yellow 6mm   </t>
  </si>
  <si>
    <t xml:space="preserve">Electrical Conduit       </t>
  </si>
  <si>
    <t xml:space="preserve">Electrical Breaker and Points  Hired 29/9/14 - 30/9/14  </t>
  </si>
  <si>
    <t xml:space="preserve">Electric Breaker         </t>
  </si>
  <si>
    <t>Claim for the installation of Electrical &amp; Telstra Conduits at the Cove Sub-Division</t>
  </si>
  <si>
    <t>3 x 20mm x 90 Deg x 305mm Vinidex P/No</t>
  </si>
  <si>
    <t xml:space="preserve">25 x PVC sweep bend 40mm 90 degree orange </t>
  </si>
  <si>
    <t>PVC Telstra Pip</t>
  </si>
  <si>
    <t xml:space="preserve">Pvc Rigid Conduit        </t>
  </si>
  <si>
    <t xml:space="preserve">Subtotal for 111                   </t>
  </si>
  <si>
    <t>Cost Code 113</t>
  </si>
  <si>
    <t>Electrical-Sub Contractor</t>
  </si>
  <si>
    <t xml:space="preserve">Reef Electical           </t>
  </si>
  <si>
    <t xml:space="preserve">Subtotal for 113                   </t>
  </si>
  <si>
    <t>Cost Code 121</t>
  </si>
  <si>
    <t>Claim for item  for 30/06/2014</t>
  </si>
  <si>
    <t xml:space="preserve">Plants Whitsunday        </t>
  </si>
  <si>
    <t>Landscape the area opposite the bus stop &amp; Irrigate &amp; Partially re-turf right side of the road leading to the Cove</t>
  </si>
  <si>
    <t xml:space="preserve">Landscaper               </t>
  </si>
  <si>
    <t>Backhoe - Wet Hire
Northern easement sea wall top up</t>
  </si>
  <si>
    <t>Plants Whitsunday X 2</t>
  </si>
  <si>
    <t>Install of 3 x Street trees adjacent to bus stop.</t>
  </si>
  <si>
    <t>Claim for item  for 30/11/2014</t>
  </si>
  <si>
    <t>Progress Claim Three
$178,572.54 paid, however doubles up from S/C management in accrual, therefore zero out here.</t>
  </si>
  <si>
    <t>Progress Claim Three
$43,077.64 paid, but doubles up in accrual from S/C management, therefore zero out here.</t>
  </si>
  <si>
    <t>Claim for item  for 31/12/2014</t>
  </si>
  <si>
    <t>Claim for item  for 31/01/2015</t>
  </si>
  <si>
    <t>Claim for item  for 31/03/2015</t>
  </si>
  <si>
    <t xml:space="preserve">Subtotal for 121                   </t>
  </si>
  <si>
    <t>Cost Code 123</t>
  </si>
  <si>
    <t>Supply sample stairs as per quote includes crane hire &amp; materials to extend</t>
  </si>
  <si>
    <t xml:space="preserve">Stairs                   </t>
  </si>
  <si>
    <t>Labour and materials supplied to construct 18 Sets of HWD stairs</t>
  </si>
  <si>
    <t xml:space="preserve">Green Homes Whitsunday   </t>
  </si>
  <si>
    <t xml:space="preserve">10% Deposit on Supply and install 7.5 Mts stainless steel hand railing </t>
  </si>
  <si>
    <t xml:space="preserve">Steel Fixing             </t>
  </si>
  <si>
    <t>21 - 30 Multi of 25 - 1850 x 900 x 510 Multibank with sliding flange.  Includes stainless steel front &amp; Freight</t>
  </si>
  <si>
    <t xml:space="preserve">Multibank                </t>
  </si>
  <si>
    <t xml:space="preserve">Green Homes Whitsunday - Labour </t>
  </si>
  <si>
    <t>Labour &amp; materials - viewing deck</t>
  </si>
  <si>
    <t>Supply &amp; install handrailing for viewing deck</t>
  </si>
  <si>
    <t>Fabricate &amp; install 2 gates incl 52 x rc's</t>
  </si>
  <si>
    <t>Supply 2 steel lintels</t>
  </si>
  <si>
    <t>Silvo Polish and Aquadhere Exterior</t>
  </si>
  <si>
    <t>Stainless Steel works for Viewing Platform</t>
  </si>
  <si>
    <t>Lettering to wall at The Cove</t>
  </si>
  <si>
    <t xml:space="preserve">Small Signs              </t>
  </si>
  <si>
    <t>Progress Claim for manufacture of both gates.</t>
  </si>
  <si>
    <t>Supply and install 65 Mts fencing panels</t>
  </si>
  <si>
    <t xml:space="preserve">Subtotal for 123                   </t>
  </si>
  <si>
    <t>Cost Code 131</t>
  </si>
  <si>
    <t>103 x Knovk outs, 9 x Corner Knock outs and 8 x Halves</t>
  </si>
  <si>
    <t xml:space="preserve">Knock Outs               </t>
  </si>
  <si>
    <t>1 Tonne bags of Brickies Loam</t>
  </si>
  <si>
    <t xml:space="preserve">Subtotal for 131                   </t>
  </si>
  <si>
    <t>Cost Code 132</t>
  </si>
  <si>
    <t xml:space="preserve">Cement - GP Bulk         </t>
  </si>
  <si>
    <t>Ivecko Ute - 744 SDX</t>
  </si>
  <si>
    <t>Petrol Water Blaster Hired 20/5/14 - 20/5/14</t>
  </si>
  <si>
    <t xml:space="preserve">Water Blaster            </t>
  </si>
  <si>
    <t>Cement GP 20Kg Bag</t>
  </si>
  <si>
    <t>Cement GP 20Kg Bag and Delivery</t>
  </si>
  <si>
    <t>Hire of Excavator</t>
  </si>
  <si>
    <t>Claim for item 2712 for 31/05/2014</t>
  </si>
  <si>
    <t>Pallet Cement GP 20Kg Bag and Delivery</t>
  </si>
  <si>
    <t>Iveko Ute - 744 SDX</t>
  </si>
  <si>
    <t>Claim for item SAC01 for 30/06/2014</t>
  </si>
  <si>
    <t>Claim for item 2712 for 30/06/2014</t>
  </si>
  <si>
    <t>Delivery of Conduit for weepholes at rear of stone wall</t>
  </si>
  <si>
    <t>Rock Mason</t>
  </si>
  <si>
    <t xml:space="preserve">Rock Mason               </t>
  </si>
  <si>
    <t>Foamjoint Expansion</t>
  </si>
  <si>
    <t>Rock Mason (5)</t>
  </si>
  <si>
    <t>Rock Mason (7)</t>
  </si>
  <si>
    <t>Rock Mason (2)</t>
  </si>
  <si>
    <t>Rock MasonX 7</t>
  </si>
  <si>
    <t>Rock Mason x 8</t>
  </si>
  <si>
    <t>Rock Mason x 4</t>
  </si>
  <si>
    <t>Claim for item 2712 for 31/07/2014</t>
  </si>
  <si>
    <t>Whitsunday Drainage Contractors - Excavator</t>
  </si>
  <si>
    <t>Hire of Labour O/T1  Week Ending 3/8/14</t>
  </si>
  <si>
    <t xml:space="preserve">Stone Mason              </t>
  </si>
  <si>
    <t>CAT297 Stabiliser - No operator</t>
  </si>
  <si>
    <t xml:space="preserve">CAT297 Stabiliser        </t>
  </si>
  <si>
    <t>Construction of Stone Work for viewing platform
29.1 Square M</t>
  </si>
  <si>
    <t>Remainder of cost for forming up wall</t>
  </si>
  <si>
    <t>Side Boundary retaining wall and Front stone wall</t>
  </si>
  <si>
    <t xml:space="preserve">Stone Entrance, Stone Pedestrian, Stone Letterbox recess </t>
  </si>
  <si>
    <t>15L Polymer Render</t>
  </si>
  <si>
    <t xml:space="preserve">Paint                    </t>
  </si>
  <si>
    <t>Dingo Cement 20Kg &amp; Delivery</t>
  </si>
  <si>
    <t xml:space="preserve">86 x 20Kg Bags of Cement and Delivery </t>
  </si>
  <si>
    <t>Stone letterbox header</t>
  </si>
  <si>
    <t>3 x Foamjoint Expansion</t>
  </si>
  <si>
    <t>Skim Coat Blocks</t>
  </si>
  <si>
    <t xml:space="preserve">Retaining Walls          </t>
  </si>
  <si>
    <t>Solagard15lt</t>
  </si>
  <si>
    <t>Skim Coat Blocks as required at Port of Airlie
Labour and Materials</t>
  </si>
  <si>
    <t>Stone Pillars and Stone Walls</t>
  </si>
  <si>
    <t xml:space="preserve">Subtotal for 132                   </t>
  </si>
  <si>
    <t>Cost Code 135</t>
  </si>
  <si>
    <t>Pad Foot Roller - Dry  Hired 29/4/14 -  30/4/14</t>
  </si>
  <si>
    <t xml:space="preserve">Pad Foot Roller - Dry hired from 30/4/14 - 7/5/14 </t>
  </si>
  <si>
    <t>Vibrating Rammer hired 5/5/14 - 15/5/14</t>
  </si>
  <si>
    <t>Hire of Labour  Week Ending 18/5/14</t>
  </si>
  <si>
    <t>Hire of Labour 16 Hrs Hourly, 3 OT and4 DT</t>
  </si>
  <si>
    <t>Hire of Labour 5x  O/T1 Hours &amp;5 x  O/T2  Week Ending 22/6/14</t>
  </si>
  <si>
    <t>Hire of Labour 3.8 O/T1 Hours &amp; 2.25x  O/T2  Week Ending 27/7/14</t>
  </si>
  <si>
    <t>Mini Excavator Hire &amp; Auger</t>
  </si>
  <si>
    <t xml:space="preserve">Excavator - 5T           </t>
  </si>
  <si>
    <t>5T Excavator Hire</t>
  </si>
  <si>
    <t>5T Excavator Hire &amp; Auger</t>
  </si>
  <si>
    <t xml:space="preserve">Subtotal for 135                   </t>
  </si>
  <si>
    <t>Cost Code 151</t>
  </si>
  <si>
    <t>Allciv - Plant Operator</t>
  </si>
  <si>
    <t xml:space="preserve">Subtotal for 151                   </t>
  </si>
  <si>
    <t>Cost Code 152</t>
  </si>
  <si>
    <t xml:space="preserve">Subtotal for 152                   </t>
  </si>
  <si>
    <t>Cost Code 222</t>
  </si>
  <si>
    <t xml:space="preserve">Subtotal for 222                   </t>
  </si>
  <si>
    <t>Cost Code 901</t>
  </si>
  <si>
    <t xml:space="preserve">Technical Officer        </t>
  </si>
  <si>
    <t>Hourly Rate - Project Manager Week Ending 16/3/14</t>
  </si>
  <si>
    <t xml:space="preserve">Project Manager          </t>
  </si>
  <si>
    <t>Hourly Rate - Project Manager Week Ending 23/3/14</t>
  </si>
  <si>
    <t xml:space="preserve">Subtotal for 901                   </t>
  </si>
  <si>
    <t>Cost Code 902</t>
  </si>
  <si>
    <t xml:space="preserve">Subtotal for 902                   </t>
  </si>
  <si>
    <t>Cost Code 903</t>
  </si>
  <si>
    <t>Portable Building Hired 31/1/2014 - 28/2/2014</t>
  </si>
  <si>
    <t xml:space="preserve">Portable Build           </t>
  </si>
  <si>
    <t>Portable Building Hired 31/1/14 - 28/2/14</t>
  </si>
  <si>
    <t>Temp Fencing Hired 17/2/14 - 28/2/14</t>
  </si>
  <si>
    <t xml:space="preserve">Temporary Fencing        </t>
  </si>
  <si>
    <t>Hire of Water Cooler April</t>
  </si>
  <si>
    <t xml:space="preserve">Water Cooler Rent        </t>
  </si>
  <si>
    <t>Portable Building Hired 31/3/14 - 30/4/14</t>
  </si>
  <si>
    <t xml:space="preserve">Crib Facilities          </t>
  </si>
  <si>
    <t xml:space="preserve">Pine OCleen </t>
  </si>
  <si>
    <t>Black and Gold Milk and Paper Cups</t>
  </si>
  <si>
    <t>Disposal of Waste</t>
  </si>
  <si>
    <t xml:space="preserve">Waste Disposal           </t>
  </si>
  <si>
    <t xml:space="preserve">Disposal of Waste </t>
  </si>
  <si>
    <t>Portable Building hired  30/4/14 - 31/05/14</t>
  </si>
  <si>
    <t>50 x Party Ice</t>
  </si>
  <si>
    <t xml:space="preserve">Party Ice                </t>
  </si>
  <si>
    <t>20 x Party Ice</t>
  </si>
  <si>
    <t>Transport Posi tractor from Jubillee Pocket to POA</t>
  </si>
  <si>
    <t>Black, Cyan, Yellow and Magenta Cartridges</t>
  </si>
  <si>
    <t xml:space="preserve">Office Supplies          </t>
  </si>
  <si>
    <t>Milk x 4, and Coffee</t>
  </si>
  <si>
    <t>Paper Cups</t>
  </si>
  <si>
    <t>30 x Party Ice</t>
  </si>
  <si>
    <t xml:space="preserve"> Temporary Fencing 17/8/14  - 31/08/14</t>
  </si>
  <si>
    <t>Portable Building hired 31/7/14 - 31/8/14</t>
  </si>
  <si>
    <t>25 x Party Ice</t>
  </si>
  <si>
    <t>Portable Building hired 31/8/14 - 30/9/14</t>
  </si>
  <si>
    <t>Float  excavator to Site</t>
  </si>
  <si>
    <t>Float Excavator to site</t>
  </si>
  <si>
    <t>Portable Building Hired 30/9/14 - 31/10/14</t>
  </si>
  <si>
    <t>Portable Building Hired  31/10/14 - 18/11/14</t>
  </si>
  <si>
    <t xml:space="preserve"> Milk </t>
  </si>
  <si>
    <t>10 x Party Ice</t>
  </si>
  <si>
    <t>Portable Building Hired 31/10/14 - 30/11/2014</t>
  </si>
  <si>
    <t xml:space="preserve"> Temporary Fencing 1/12/2014 - 31/12/2014</t>
  </si>
  <si>
    <t>Portable Building Hired 01/12/14 - 31/12/2014</t>
  </si>
  <si>
    <t>Portable Building Hired 30/1/14 - 29/01/2014</t>
  </si>
  <si>
    <t>Transport of 2 x Containers for POA to Proserpine Shed</t>
  </si>
  <si>
    <t xml:space="preserve">Subtotal for 903                   </t>
  </si>
  <si>
    <t>Cost Code 904</t>
  </si>
  <si>
    <t xml:space="preserve">Damage Waiver </t>
  </si>
  <si>
    <t xml:space="preserve">Insurance                </t>
  </si>
  <si>
    <t>Damage Waiver on Portable Build</t>
  </si>
  <si>
    <t>Damage Waiver on Temp Fencing</t>
  </si>
  <si>
    <t>Construction Risk</t>
  </si>
  <si>
    <t>Damage Waiver on PF Roller</t>
  </si>
  <si>
    <t>Damage Waiver on Padfoot Roller</t>
  </si>
  <si>
    <t>Damage Waiver</t>
  </si>
  <si>
    <t>Damage Waiver to Temporary Fencing</t>
  </si>
  <si>
    <t>Damage Waiver on Hammer Hired 23/9/14</t>
  </si>
  <si>
    <t>Damage Waiver on 8T D/D Roller</t>
  </si>
  <si>
    <t>Damage Waiver on  Electric Breaker</t>
  </si>
  <si>
    <t>Damage Waiver on 8T Double Drum Roller</t>
  </si>
  <si>
    <t>Damage Waiver on 3 - 4T Double Drum Roller</t>
  </si>
  <si>
    <t>Damage Waiver on Portable Build Hired 30/9/14 - 31/10/14</t>
  </si>
  <si>
    <t>Damage Waiver on Portable Build Hired 31/10/14 - 18/11/14</t>
  </si>
  <si>
    <t>Damage Waiver to Temporary Fencing 1/12/2014 - 31/12/2014</t>
  </si>
  <si>
    <t>Damage Waiver on Portable Build Hired 1/12/14 - 31/12/14</t>
  </si>
  <si>
    <t xml:space="preserve">Subtotal for 904                   </t>
  </si>
  <si>
    <t>Cost Code 905</t>
  </si>
  <si>
    <t>Coles Wipes and Air Freshener</t>
  </si>
  <si>
    <t>Pincers Carpenter</t>
  </si>
  <si>
    <t xml:space="preserve">Star Posts, Star Post Caps Round, Barber Pole Mesh, T-Top Base 8Kg, Stiltmasta Sand Bag Filler.
</t>
  </si>
  <si>
    <t>Handsaw Jack and Cable Ties</t>
  </si>
  <si>
    <t>Spray &amp; Mark X 10
Wire tie belt pack
Storage box</t>
  </si>
  <si>
    <t>PVC Pipe</t>
  </si>
  <si>
    <t>1 x PVC Pipe</t>
  </si>
  <si>
    <t>Nozzles</t>
  </si>
  <si>
    <t>Grey sikaflex sausage</t>
  </si>
  <si>
    <t>1 Bag of T-Shirt Rags</t>
  </si>
  <si>
    <t>sand bags</t>
  </si>
  <si>
    <t>Tie Wire</t>
  </si>
  <si>
    <t>Labour to repair/Replace pump assy on PTX 301</t>
  </si>
  <si>
    <t xml:space="preserve">Labour                   </t>
  </si>
  <si>
    <t>Roll viscreen</t>
  </si>
  <si>
    <t xml:space="preserve">3 x Power Fast Pro </t>
  </si>
  <si>
    <t xml:space="preserve">Subtotal for 905                   </t>
  </si>
  <si>
    <t>Cost Code 906</t>
  </si>
  <si>
    <t>Disposal of Concrete at Warren Transport Yard</t>
  </si>
  <si>
    <t>Mini Excavator Hire</t>
  </si>
  <si>
    <t xml:space="preserve">N25 Concrete 14.6M3 &amp; Min Charge 
</t>
  </si>
  <si>
    <t xml:space="preserve">N25                      </t>
  </si>
  <si>
    <t>5 x Power Fast Pro Chemset cartridges</t>
  </si>
  <si>
    <t>30 x Cement GP 20Kg Bag</t>
  </si>
  <si>
    <t>Gabion Rock RW Footing to Fences Variation</t>
  </si>
  <si>
    <t xml:space="preserve">Rock                     </t>
  </si>
  <si>
    <t>Hire of Mini Loader Post hole Digger Hired</t>
  </si>
  <si>
    <t>10 x Cement GP 20Kg Bag</t>
  </si>
  <si>
    <t>30 x Cement GP 20Kg Bag &amp; Hessian Bags</t>
  </si>
  <si>
    <t>20 x Cement GP 20Kg Bag</t>
  </si>
  <si>
    <t>Telstra Bush Pit</t>
  </si>
  <si>
    <t xml:space="preserve">Telstra Bush Pits        </t>
  </si>
  <si>
    <t xml:space="preserve">Type 8 - Plastic Pit Drg Communication &amp; Freight Charges </t>
  </si>
  <si>
    <t xml:space="preserve">Electrical Pit - Type 8  </t>
  </si>
  <si>
    <t>Type 6/8 Cement Lid 2pt CLA-Com</t>
  </si>
  <si>
    <t xml:space="preserve">Elec Pit/Lid  - Type 8   </t>
  </si>
  <si>
    <t>Heat and Bend Reo Bars.</t>
  </si>
  <si>
    <t xml:space="preserve">N25 Concrete 7.20M3 &amp; Min Charge Sika Salmon
</t>
  </si>
  <si>
    <t>Supply only 1 x light pole to replace pole WDC damaged.</t>
  </si>
  <si>
    <t>Pvc Seeep bend 40mm 90 degree orange x 2</t>
  </si>
  <si>
    <t>N25 Concrete 0.6M3 &amp; Min Charge</t>
  </si>
  <si>
    <t>Set Place and finish of Coloured concrete path of entrance to the Cove Estate</t>
  </si>
  <si>
    <t xml:space="preserve">Subtotal for 906                   </t>
  </si>
  <si>
    <t>Cost Code 910</t>
  </si>
  <si>
    <t xml:space="preserve">Backhoe - Wet Hire    Removal  of Concrete </t>
  </si>
  <si>
    <t>Mac &amp; Tag Trailer</t>
  </si>
  <si>
    <t xml:space="preserve">Subtotal for 910                   </t>
  </si>
  <si>
    <t>Cost Code 913</t>
  </si>
  <si>
    <t>Posir Track</t>
  </si>
  <si>
    <t xml:space="preserve">Subtotal for 913                   </t>
  </si>
  <si>
    <t>Cost Code 914</t>
  </si>
  <si>
    <t xml:space="preserve">Subtotal for 914                   </t>
  </si>
  <si>
    <t>Cost Code 916</t>
  </si>
  <si>
    <t xml:space="preserve">Subtotal for 916                   </t>
  </si>
  <si>
    <t>Cost Code C20</t>
  </si>
  <si>
    <t>N25 Concrete</t>
  </si>
  <si>
    <t>N20 Concrete  and waiting time</t>
  </si>
  <si>
    <t xml:space="preserve">N20                      </t>
  </si>
  <si>
    <t>N20 Concrete</t>
  </si>
  <si>
    <t>N25 Concrete and Min Load Charge   14.20 M3</t>
  </si>
  <si>
    <t>N25 Concrete and Min Load Charge 8.4 M3</t>
  </si>
  <si>
    <t>N25 Concrete 12.80m3</t>
  </si>
  <si>
    <t>N25 Concrete 4.6m3</t>
  </si>
  <si>
    <t>N25 Concrete 5.00M3</t>
  </si>
  <si>
    <t>N25 Concrete 2.40M3
Min load charge</t>
  </si>
  <si>
    <t xml:space="preserve">Subtotal for C20                   </t>
  </si>
  <si>
    <t>Cost Code C25</t>
  </si>
  <si>
    <t>N25 Concrete
Min Load Charge
Waiting time charge</t>
  </si>
  <si>
    <t>N20 Concrete   10 M3</t>
  </si>
  <si>
    <t>10.2 M3 N25 Concrete</t>
  </si>
  <si>
    <t>N25 Concrete  5.40M3</t>
  </si>
  <si>
    <t>N25 Concrete  1.2M3
Min load charge</t>
  </si>
  <si>
    <t>N25 Concrete 5.4M3
This invoice is to be credited due to slab failure.</t>
  </si>
  <si>
    <t xml:space="preserve">N25 Concrete 5.4M3
</t>
  </si>
  <si>
    <t xml:space="preserve">N25 Concrete 5.20M3
</t>
  </si>
  <si>
    <t xml:space="preserve">N25 Concrete 4M3
</t>
  </si>
  <si>
    <t xml:space="preserve">N25 Concrete 2.6M3 &amp; Min Load Charge
</t>
  </si>
  <si>
    <t xml:space="preserve">N25 Concrete 4.00M3 &amp; 1.00M3 Coremasta 
</t>
  </si>
  <si>
    <t xml:space="preserve">N25 Concrete 3.80M3 &amp; Min Charge 
</t>
  </si>
  <si>
    <t xml:space="preserve">N25 Concrete 4.80M3 &amp; Min Charge 
</t>
  </si>
  <si>
    <t xml:space="preserve">N25 Concrete 2.00M3 &amp; Min Charge 
</t>
  </si>
  <si>
    <t xml:space="preserve">N25 Concrete 2.60M3 &amp; Min Charge 
</t>
  </si>
  <si>
    <t xml:space="preserve">N25 Concrete .60M3 &amp; Min Charge 
</t>
  </si>
  <si>
    <t xml:space="preserve">Subtotal for C25                   </t>
  </si>
  <si>
    <t>Cost Code C32</t>
  </si>
  <si>
    <t xml:space="preserve">N32                      </t>
  </si>
  <si>
    <t>N32 Concrete   3.00M3</t>
  </si>
  <si>
    <t xml:space="preserve">Subtotal for C32                   </t>
  </si>
  <si>
    <t>Cost Code CKM</t>
  </si>
  <si>
    <t xml:space="preserve">Subtotal for CKM                   </t>
  </si>
  <si>
    <t>Cost Code E32</t>
  </si>
  <si>
    <t>Exsposed salt &amp; pepper N32</t>
  </si>
  <si>
    <t xml:space="preserve">E32                      </t>
  </si>
  <si>
    <t>Amber Pearl</t>
  </si>
  <si>
    <t>Amber Pearl &amp; Min Load Charge 3.80M3</t>
  </si>
  <si>
    <t>Exsposed salt &amp; pepper N32 &amp; Min Charge</t>
  </si>
  <si>
    <t xml:space="preserve">Exsposed salt &amp; pepper N32 </t>
  </si>
  <si>
    <t xml:space="preserve">N25 Concrete 5.00M3 
</t>
  </si>
  <si>
    <t xml:space="preserve">N25 Concrete 9.40M3
</t>
  </si>
  <si>
    <t xml:space="preserve">Subtotal for E32                   </t>
  </si>
  <si>
    <t>Cost Code ETC</t>
  </si>
  <si>
    <t>PVC Telstra Pipe</t>
  </si>
  <si>
    <t xml:space="preserve">PVC Telstra Pipe         </t>
  </si>
  <si>
    <t xml:space="preserve">12 Pvc 150 x 90 Deg, 2 x Pvc 150 x 45 Deg </t>
  </si>
  <si>
    <t>4 x PVC  Bend &amp; 4 DWV Bend</t>
  </si>
  <si>
    <t>8 x PVC  Bend</t>
  </si>
  <si>
    <t>1 x PVC  Bend</t>
  </si>
  <si>
    <t>1 x PVC  150 x 15 Deg Bend</t>
  </si>
  <si>
    <t>30Pvc 150 x 15 Deg, 5 x Pvc 150 x 90 De, 3 150 x 45, 3 x 150 x 30</t>
  </si>
  <si>
    <t>3 Pvc 150 x 15 Deg, 2 x Pvc 150 x 90 Deg &amp; 3 x DWV Bend</t>
  </si>
  <si>
    <t>Bush Pit 10mm PVC Vinidex</t>
  </si>
  <si>
    <t>Claim forthe supply of 150 lengths of 100mm electrical conduit used at the Cove</t>
  </si>
  <si>
    <t>Pvc Seeep bend 40mm 90 degree orange x 5</t>
  </si>
  <si>
    <t xml:space="preserve">100mm Austel 90d bebd 600rn </t>
  </si>
  <si>
    <t xml:space="preserve">90 Bend - 600rn          </t>
  </si>
  <si>
    <t xml:space="preserve">Subtotal for ETC                   </t>
  </si>
  <si>
    <t>Cost Code ETM</t>
  </si>
  <si>
    <t>Pinchers Capenter  and Wire Tie Belt</t>
  </si>
  <si>
    <t>Nippers End Cutting</t>
  </si>
  <si>
    <t>Cap Safety Steel Post</t>
  </si>
  <si>
    <t xml:space="preserve">10 X Nostalgia 50mv
10 Pole estate 4.5m
10 Foundation cage
</t>
  </si>
  <si>
    <t xml:space="preserve">Light                    </t>
  </si>
  <si>
    <t>Tape Duct PVC Tartan and Cable Ties</t>
  </si>
  <si>
    <t>Holesaw 127mm</t>
  </si>
  <si>
    <t xml:space="preserve">10 X Nostalgia 50mv
</t>
  </si>
  <si>
    <t>Tape Duct PVC</t>
  </si>
  <si>
    <t xml:space="preserve">Subtotal for ETM                   </t>
  </si>
  <si>
    <t>Cost Code ETP</t>
  </si>
  <si>
    <t>12 x Cable Pit 700 x 810mm and Cement concrete pit lid</t>
  </si>
  <si>
    <t xml:space="preserve">Subtotal for ETP                   </t>
  </si>
  <si>
    <t>Cost Code QM2.1</t>
  </si>
  <si>
    <t>Roadbase 2.1</t>
  </si>
  <si>
    <t xml:space="preserve">2.1 Roadbase             </t>
  </si>
  <si>
    <t xml:space="preserve">Subtotal for QM2.1                 </t>
  </si>
  <si>
    <t>Cost Code QM2.3</t>
  </si>
  <si>
    <t>Roadbase 2.3</t>
  </si>
  <si>
    <t xml:space="preserve">2.3 Roadbase             </t>
  </si>
  <si>
    <t xml:space="preserve">Subtotal for QM2.3                 </t>
  </si>
  <si>
    <t>Cost Code QM2.5</t>
  </si>
  <si>
    <t>Sekect/Embankment Fill</t>
  </si>
  <si>
    <t xml:space="preserve">Embankment Fill          </t>
  </si>
  <si>
    <t xml:space="preserve">Subtotal for QM2.5                 </t>
  </si>
  <si>
    <t>Cost Code QMR</t>
  </si>
  <si>
    <t xml:space="preserve">Stone Pitching Loam </t>
  </si>
  <si>
    <t xml:space="preserve">Stone pitching Loam      </t>
  </si>
  <si>
    <t>Gabion Rock</t>
  </si>
  <si>
    <t>Stone Pitching Loam</t>
  </si>
  <si>
    <t>Docket WD-100516</t>
  </si>
  <si>
    <t>11 x Knovk outs, 1 x Corner Knock outs</t>
  </si>
  <si>
    <t xml:space="preserve">Credit note for Invoice 10588 Charged Caratage: Should have been Self haul Dkt 9273 </t>
  </si>
  <si>
    <t xml:space="preserve">Subtotal for QMR                   </t>
  </si>
  <si>
    <t>Cost Code QMS</t>
  </si>
  <si>
    <t>Medium Fine Sand</t>
  </si>
  <si>
    <t xml:space="preserve">Sand                     </t>
  </si>
  <si>
    <t>Stone pitching Loam</t>
  </si>
  <si>
    <t xml:space="preserve">Medium Fine Sand         </t>
  </si>
  <si>
    <t>Stabilised Sand   SNDCEM   9M3</t>
  </si>
  <si>
    <t>Pitching Stone Loam</t>
  </si>
  <si>
    <t xml:space="preserve">Subtotal for QMS                   </t>
  </si>
  <si>
    <t>Cost Code RSB</t>
  </si>
  <si>
    <t>95 x Steel Deformed Bars,, Dowels, Mesh and Bar Chairs</t>
  </si>
  <si>
    <t xml:space="preserve">Staigth / Bent Bar       </t>
  </si>
  <si>
    <t>50 x Steel Round Dowels</t>
  </si>
  <si>
    <t xml:space="preserve">Dowels                   </t>
  </si>
  <si>
    <t>32 x N12 Deformed Steel, 15 x Starter Bars, 5 x 12mm Dowel and 16 x 16mm Dowels</t>
  </si>
  <si>
    <t xml:space="preserve">12 x 6M Deformed Steel
</t>
  </si>
  <si>
    <t xml:space="preserve">Deformed Steel           </t>
  </si>
  <si>
    <t>12 x Steel Round Dowels</t>
  </si>
  <si>
    <t xml:space="preserve">Subtotal for RSB                   </t>
  </si>
  <si>
    <t>Cost Code SWL</t>
  </si>
  <si>
    <t>600 x 600 H/Duty V Gates</t>
  </si>
  <si>
    <t xml:space="preserve">Grate &amp; Frame            </t>
  </si>
  <si>
    <t xml:space="preserve">Subtotal for SWL                   </t>
  </si>
  <si>
    <t>Cost Code SWP</t>
  </si>
  <si>
    <t>1 x 375mm, 450mm, 525mm, 600mm</t>
  </si>
  <si>
    <t xml:space="preserve">375 RCP RRJ CL2          </t>
  </si>
  <si>
    <t>52  Stormwater Pipe PVC Plain</t>
  </si>
  <si>
    <t>2 x DWV Ben 150 x 30 Degree &amp; 2 x 150 x 15 Deg</t>
  </si>
  <si>
    <t xml:space="preserve">DWV Bend                 </t>
  </si>
  <si>
    <t>3 x 150 x 45 Pvc S/W Bend and 5 x 150 x 90 PVC S/W Bends</t>
  </si>
  <si>
    <t>Credit Note for 143789285</t>
  </si>
  <si>
    <t xml:space="preserve">Subtotal for SWP                   </t>
  </si>
  <si>
    <t>Cost Code SWPC</t>
  </si>
  <si>
    <t>50 Deposit fro the design, manufacture and delovery of Ecosol Net Gaurd</t>
  </si>
  <si>
    <t xml:space="preserve">Ecosol Net Guard         </t>
  </si>
  <si>
    <t>Install Ecosol Pit and Construction of varios stormwater pits</t>
  </si>
  <si>
    <t>Credit Note for Exosol Gaurd</t>
  </si>
  <si>
    <t xml:space="preserve">Subtotal for SWPC                  </t>
  </si>
  <si>
    <t>Grand Total</t>
  </si>
  <si>
    <t>Final Rate</t>
  </si>
  <si>
    <t>AQ</t>
  </si>
  <si>
    <t>AC</t>
  </si>
  <si>
    <t>PQ</t>
  </si>
  <si>
    <t>PV</t>
  </si>
  <si>
    <t>EV</t>
  </si>
  <si>
    <t>Survey - Construction</t>
  </si>
  <si>
    <t xml:space="preserve">hrs  </t>
  </si>
  <si>
    <t>Survey - As Constructed</t>
  </si>
  <si>
    <t>QA Testing</t>
  </si>
  <si>
    <t>Service Locations</t>
  </si>
  <si>
    <t>Demolition works</t>
  </si>
  <si>
    <t>Stockpile to Fill</t>
  </si>
  <si>
    <t xml:space="preserve">cum  </t>
  </si>
  <si>
    <t>Cut to Spoil</t>
  </si>
  <si>
    <t>Cut to Stockpile</t>
  </si>
  <si>
    <t>Trim unpaved areas - footpaths, batters, drains etc</t>
  </si>
  <si>
    <t xml:space="preserve">sqm  </t>
  </si>
  <si>
    <t>Subgrade Preparation</t>
  </si>
  <si>
    <t>Place &amp; Compact Gravel</t>
  </si>
  <si>
    <t>Trim All Layers</t>
  </si>
  <si>
    <t>Sweep &amp; Prime / Primer seal or Seal</t>
  </si>
  <si>
    <t>Place Kerb &amp; Channel / Inverts</t>
  </si>
  <si>
    <t>Form &amp; Pour Headwalls</t>
  </si>
  <si>
    <t>Form &amp; Place Footpath</t>
  </si>
  <si>
    <t>&gt; 450</t>
  </si>
  <si>
    <t>525 &gt; 750</t>
  </si>
  <si>
    <t>Install SW Pits &amp; Chambers</t>
  </si>
  <si>
    <t>SW Sub-contractors</t>
  </si>
  <si>
    <t>Supply &amp; Place Subsoil Drainage</t>
  </si>
  <si>
    <t>Sewer Sub-contractors</t>
  </si>
  <si>
    <t>Water Sub-contractor</t>
  </si>
  <si>
    <t>Install Conduits / pits / rag bolts</t>
  </si>
  <si>
    <t>Electrical Sub-contract works</t>
  </si>
  <si>
    <t>Landscaping Sub-contractors</t>
  </si>
  <si>
    <t>Supply &amp; Installation of Street Furniture</t>
  </si>
  <si>
    <t>Fencing Sub-contractors</t>
  </si>
  <si>
    <t>Retaining Walls sub-contractors</t>
  </si>
  <si>
    <t>Form &amp; Pour Retaining Wall Footings</t>
  </si>
  <si>
    <t>Supply &amp; Place Silt fences &amp; protective devices</t>
  </si>
  <si>
    <t>Supply &amp; Install safety devices</t>
  </si>
  <si>
    <t>Supply &amp; Place Geo-fabric</t>
  </si>
  <si>
    <t>Project Facilities</t>
  </si>
  <si>
    <t>Project Insurance, Fees &amp; Levies</t>
  </si>
  <si>
    <t>Miscellaneous Items - Project Contingency</t>
  </si>
  <si>
    <t>De-Establishment &amp; Cleanup</t>
  </si>
  <si>
    <t>Wet Weather (Labour)</t>
  </si>
  <si>
    <t>Training</t>
  </si>
  <si>
    <t>Site Administration</t>
  </si>
  <si>
    <t>20 MPa Concrete</t>
  </si>
  <si>
    <t>25 Mpa</t>
  </si>
  <si>
    <t>32 Mpa</t>
  </si>
  <si>
    <t>Kerb Mix</t>
  </si>
  <si>
    <t>Exposed Aggregate Concrete</t>
  </si>
  <si>
    <t>Conduits</t>
  </si>
  <si>
    <t>Miscellaneous (rope, glue, plugs etc)</t>
  </si>
  <si>
    <t>Pits &amp; Lids</t>
  </si>
  <si>
    <t>Supply &amp; Deliver Rock - Retaining Walls</t>
  </si>
  <si>
    <t>Straight / Bent Bar</t>
  </si>
  <si>
    <t>Grates, Frames &amp; Lids</t>
  </si>
  <si>
    <t>RCP</t>
  </si>
  <si>
    <t>Pre-cast Pits</t>
  </si>
  <si>
    <t xml:space="preserve">Labour </t>
  </si>
  <si>
    <t>Supervisor</t>
  </si>
  <si>
    <t xml:space="preserve">   - Tech Officer   Week Ending 2/3</t>
  </si>
  <si>
    <t xml:space="preserve">   - Tech Officer  Week Ending 9/3</t>
  </si>
  <si>
    <t xml:space="preserve">   - Tech Officer  Week Ending 16/3</t>
  </si>
  <si>
    <t xml:space="preserve">   - Tech Officer 30/4/14</t>
  </si>
  <si>
    <t xml:space="preserve">   - Tech Officer 6/4/14</t>
  </si>
  <si>
    <t xml:space="preserve">   - Tech Officer 13/4/14</t>
  </si>
  <si>
    <t xml:space="preserve">   - Tech Officer  20/4/14</t>
  </si>
  <si>
    <t xml:space="preserve">   - Tech Officer 11/5/14</t>
  </si>
  <si>
    <t xml:space="preserve">   - Tech Officer 18/5/14</t>
  </si>
  <si>
    <t xml:space="preserve">   - Tech Officer</t>
  </si>
  <si>
    <t xml:space="preserve">   - Tech Officer  </t>
  </si>
  <si>
    <t xml:space="preserve">   - Tech Officer  Fortnight Ending 15/6/14</t>
  </si>
  <si>
    <t xml:space="preserve">   - Tech Officer  Fortnight Ending 29/6/14</t>
  </si>
  <si>
    <t xml:space="preserve">   - Tech Officer  Fortnight Ending 13/7/14</t>
  </si>
  <si>
    <t xml:space="preserve">   - Tech Officer  Fortnight Ending 10/8/14</t>
  </si>
  <si>
    <t xml:space="preserve">   - Tech Officer  Fortnight Ending 24/8/14</t>
  </si>
  <si>
    <t xml:space="preserve">   - Tech Officer  Fortnight Ending 7/9/14</t>
  </si>
  <si>
    <t xml:space="preserve">   - Tech Officer  Fortnight Ending 21/9/14</t>
  </si>
  <si>
    <t xml:space="preserve">   - Tech Officer  Fortnight Ending 19/10/14</t>
  </si>
  <si>
    <t xml:space="preserve">   - Tech Officer  Fortnight Ending 2/11/14</t>
  </si>
  <si>
    <t xml:space="preserve">   - Tech Officer  Fortnight Ending 16/11/14</t>
  </si>
  <si>
    <t xml:space="preserve">   - Tech Officer  Fortnight Ending 30/11/14</t>
  </si>
  <si>
    <t xml:space="preserve">   - Tech Officer  Fortnight Ending 14/11/14</t>
  </si>
  <si>
    <t xml:space="preserve">   - Tech Officer  Fortnight Ending 28/12/14</t>
  </si>
  <si>
    <t xml:space="preserve">   - Tech Officer  Fortnight Ending 11/1/15</t>
  </si>
  <si>
    <t xml:space="preserve">   - Tech Officer  Fortnight Ending 25/1/15</t>
  </si>
  <si>
    <t xml:space="preserve">   - Tech Officer  Fortnight Ending 8/2/15</t>
  </si>
  <si>
    <t xml:space="preserve">   - Tech Officer  Fortnight Ending 22/2/15</t>
  </si>
  <si>
    <t xml:space="preserve">   - Tech Officer  Fortnight Ending 8/3/15</t>
  </si>
  <si>
    <t xml:space="preserve">   - Tech Officer  Fortnight Ending 22/3/15</t>
  </si>
  <si>
    <t xml:space="preserve">   - Tech Officer  Fortnight Ending 3/5/15</t>
  </si>
  <si>
    <t>Start Date</t>
  </si>
  <si>
    <t>Cut to Fill</t>
  </si>
  <si>
    <t>Final Qty (AQ)</t>
  </si>
  <si>
    <t>Final Cost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</si>
</sst>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00;[Red]\-#,##0.000"/>
    <numFmt numFmtId="165" formatCode="yyyy"/>
    <numFmt numFmtId="166" formatCode="ddd"/>
    <numFmt numFmtId="167" formatCode="_-* #,##0_-;\-* #,##0_-;_-* &quot;-&quot;??_-;_-@_-"/>
    <numFmt numFmtId="168" formatCode="#,##0.00_ ;[Red]\-#,##0.00\ "/>
    <numFmt numFmtId="169" formatCode="#,##0_ ;[Red]\-#,##0\ "/>
    <numFmt numFmtId="170" formatCode="0.0"/>
    <numFmt numFmtId="171" formatCode="dd\ mmm\ yyyy"/>
    <numFmt numFmtId="172" formatCode="0;\-0;&quot;-&quot;;@"/>
    <numFmt numFmtId="173" formatCode="#,##0.00_ ;\-#,##0.00\ "/>
    <numFmt numFmtId="174" formatCode="#,##0_ ;\-#,##0\ "/>
  </numFmts>
  <fonts count="12"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
      <b/>
      <i/>
      <sz val="11"/>
      <color theme="1"/>
      <name val="Calibri"/>
      <family val="2"/>
      <scheme val="minor"/>
    </font>
    <font>
      <i/>
      <sz val="11"/>
      <color theme="1"/>
      <name val="Calibri"/>
      <family val="2"/>
      <scheme val="minor"/>
    </font>
    <font>
      <sz val="11"/>
      <color rgb="FF000000"/>
      <name val="Calibri"/>
      <family val="2"/>
      <scheme val="minor"/>
    </font>
    <font>
      <sz val="11"/>
      <color theme="1"/>
      <name val="Calibri"/>
      <family val="2"/>
      <scheme val="minor"/>
    </font>
    <font>
      <b/>
      <sz val="9"/>
      <color indexed="81"/>
      <name val="Tahoma"/>
      <family val="2"/>
    </font>
    <font>
      <sz val="9"/>
      <color indexed="81"/>
      <name val="Tahoma"/>
      <family val="2"/>
    </font>
  </fonts>
  <fills count="13">
    <fill>
      <patternFill patternType="none"/>
    </fill>
    <fill>
      <patternFill patternType="gray125"/>
    </fill>
    <fill>
      <patternFill patternType="solid">
        <fgColor rgb="FFE6E6E6"/>
        <bgColor indexed="64"/>
      </patternFill>
    </fill>
    <fill>
      <patternFill patternType="solid">
        <fgColor rgb="FFFBF5B5"/>
        <bgColor indexed="64"/>
      </patternFill>
    </fill>
    <fill>
      <patternFill patternType="solid">
        <fgColor rgb="FFFFFFCC"/>
        <bgColor indexed="64"/>
      </patternFill>
    </fill>
    <fill>
      <patternFill patternType="solid">
        <fgColor rgb="FFFFFF99"/>
        <bgColor indexed="64"/>
      </patternFill>
    </fill>
    <fill>
      <patternFill patternType="solid">
        <fgColor theme="8" tint="0.79998168889431442"/>
        <bgColor indexed="64"/>
      </patternFill>
    </fill>
    <fill>
      <patternFill patternType="solid">
        <fgColor rgb="FFCCFF99"/>
        <bgColor indexed="64"/>
      </patternFill>
    </fill>
    <fill>
      <patternFill patternType="solid">
        <fgColor rgb="FF92D050"/>
        <bgColor indexed="64"/>
      </patternFill>
    </fill>
    <fill>
      <patternFill patternType="solid">
        <fgColor theme="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0C0C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thin">
        <color indexed="8"/>
      </top>
      <bottom style="thin">
        <color indexed="8"/>
      </bottom>
      <diagonal/>
    </border>
    <border>
      <left/>
      <right/>
      <top style="thin">
        <color indexed="8"/>
      </top>
      <bottom/>
      <diagonal/>
    </border>
    <border>
      <left style="double">
        <color indexed="8"/>
      </left>
      <right/>
      <top/>
      <bottom/>
      <diagonal/>
    </border>
    <border>
      <left/>
      <right style="double">
        <color indexed="8"/>
      </right>
      <top/>
      <bottom/>
      <diagonal/>
    </border>
    <border>
      <left style="double">
        <color indexed="8"/>
      </left>
      <right/>
      <top style="thin">
        <color indexed="8"/>
      </top>
      <bottom style="thin">
        <color indexed="8"/>
      </bottom>
      <diagonal/>
    </border>
    <border>
      <left/>
      <right style="double">
        <color indexed="8"/>
      </right>
      <top style="thin">
        <color indexed="8"/>
      </top>
      <bottom style="thin">
        <color indexed="8"/>
      </bottom>
      <diagonal/>
    </border>
    <border>
      <left/>
      <right/>
      <top style="double">
        <color indexed="8"/>
      </top>
      <bottom style="thin">
        <color indexed="8"/>
      </bottom>
      <diagonal/>
    </border>
    <border>
      <left/>
      <right style="double">
        <color indexed="8"/>
      </right>
      <top style="double">
        <color indexed="8"/>
      </top>
      <bottom style="thin">
        <color indexed="8"/>
      </bottom>
      <diagonal/>
    </border>
  </borders>
  <cellStyleXfs count="4">
    <xf numFmtId="0" fontId="0" fillId="0" borderId="0"/>
    <xf numFmtId="43" fontId="9" fillId="0" borderId="0" applyFont="0" applyFill="0" applyBorder="0" applyAlignment="0" applyProtection="0"/>
    <xf numFmtId="44" fontId="9" fillId="0" borderId="0" applyFont="0" applyFill="0" applyBorder="0" applyAlignment="0" applyProtection="0"/>
    <xf numFmtId="9" fontId="9" fillId="0" borderId="0" applyFont="0" applyFill="0" applyBorder="0" applyAlignment="0" applyProtection="0"/>
  </cellStyleXfs>
  <cellXfs count="268">
    <xf numFmtId="0" fontId="0" fillId="0" borderId="0" xfId="0"/>
    <xf numFmtId="0" fontId="1" fillId="0" borderId="0" xfId="0" applyFont="1" applyAlignment="1">
      <alignment vertical="top"/>
    </xf>
    <xf numFmtId="0" fontId="1" fillId="0" borderId="0" xfId="0" applyFont="1" applyAlignment="1">
      <alignment horizontal="right" vertical="top"/>
    </xf>
    <xf numFmtId="0" fontId="1" fillId="2" borderId="0" xfId="0" applyFont="1" applyFill="1" applyAlignment="1">
      <alignment vertical="top" wrapText="1"/>
    </xf>
    <xf numFmtId="0" fontId="1" fillId="2" borderId="0" xfId="0" applyFont="1" applyFill="1" applyAlignment="1">
      <alignment vertical="top"/>
    </xf>
    <xf numFmtId="0" fontId="0" fillId="0" borderId="0" xfId="0" applyAlignment="1">
      <alignment vertical="top"/>
    </xf>
    <xf numFmtId="0" fontId="0" fillId="3" borderId="0" xfId="0" applyFill="1" applyAlignment="1">
      <alignment vertical="top"/>
    </xf>
    <xf numFmtId="0" fontId="1"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164" fontId="1" fillId="2" borderId="0" xfId="0" applyNumberFormat="1" applyFont="1" applyFill="1" applyAlignment="1">
      <alignment vertical="top"/>
    </xf>
    <xf numFmtId="164" fontId="0" fillId="0" borderId="0" xfId="0" applyNumberFormat="1" applyAlignment="1">
      <alignment vertical="top"/>
    </xf>
    <xf numFmtId="164" fontId="0" fillId="3" borderId="0" xfId="0" applyNumberFormat="1" applyFill="1" applyAlignment="1">
      <alignment vertical="top"/>
    </xf>
    <xf numFmtId="4" fontId="1" fillId="0" borderId="0" xfId="0" applyNumberFormat="1" applyFont="1" applyAlignment="1">
      <alignment horizontal="right" vertical="top"/>
    </xf>
    <xf numFmtId="38" fontId="0" fillId="0" borderId="0" xfId="0" applyNumberFormat="1" applyAlignment="1">
      <alignment vertical="top"/>
    </xf>
    <xf numFmtId="4" fontId="1" fillId="2" borderId="0" xfId="0" applyNumberFormat="1" applyFont="1" applyFill="1" applyAlignment="1">
      <alignment vertical="top"/>
    </xf>
    <xf numFmtId="4" fontId="0" fillId="3" borderId="0" xfId="0" applyNumberFormat="1" applyFill="1" applyAlignment="1">
      <alignment vertical="top"/>
    </xf>
    <xf numFmtId="4" fontId="0" fillId="0" borderId="0" xfId="0" applyNumberFormat="1" applyAlignment="1">
      <alignment vertical="top"/>
    </xf>
    <xf numFmtId="0" fontId="3" fillId="0" borderId="0" xfId="0" applyFont="1"/>
    <xf numFmtId="0" fontId="3" fillId="0" borderId="0" xfId="0" applyFont="1" applyAlignment="1">
      <alignment horizontal="center"/>
    </xf>
    <xf numFmtId="0" fontId="0" fillId="0" borderId="0" xfId="0" applyAlignment="1">
      <alignment horizontal="center"/>
    </xf>
    <xf numFmtId="0" fontId="3" fillId="4" borderId="1" xfId="0" applyFont="1" applyFill="1" applyBorder="1" applyAlignment="1">
      <alignment vertical="top"/>
    </xf>
    <xf numFmtId="0" fontId="3" fillId="4" borderId="1" xfId="0" applyFont="1" applyFill="1" applyBorder="1" applyAlignment="1">
      <alignment vertical="top" wrapText="1"/>
    </xf>
    <xf numFmtId="0" fontId="3" fillId="4" borderId="1" xfId="0" applyFont="1" applyFill="1" applyBorder="1" applyAlignment="1">
      <alignment horizontal="center" vertical="top" wrapText="1"/>
    </xf>
    <xf numFmtId="4" fontId="3" fillId="4" borderId="1" xfId="0" applyNumberFormat="1" applyFont="1" applyFill="1" applyBorder="1" applyAlignment="1">
      <alignment vertical="top"/>
    </xf>
    <xf numFmtId="0" fontId="3" fillId="5" borderId="1" xfId="0" applyFont="1" applyFill="1" applyBorder="1" applyAlignment="1">
      <alignment vertical="top"/>
    </xf>
    <xf numFmtId="0" fontId="3" fillId="5" borderId="1" xfId="0" applyFont="1" applyFill="1" applyBorder="1" applyAlignment="1">
      <alignment vertical="top" wrapText="1"/>
    </xf>
    <xf numFmtId="0" fontId="3" fillId="5" borderId="1" xfId="0" applyFont="1" applyFill="1" applyBorder="1" applyAlignment="1">
      <alignment horizontal="center" vertical="top" wrapText="1"/>
    </xf>
    <xf numFmtId="4" fontId="3" fillId="5" borderId="1" xfId="0" applyNumberFormat="1" applyFont="1" applyFill="1" applyBorder="1" applyAlignment="1">
      <alignment vertical="top"/>
    </xf>
    <xf numFmtId="0" fontId="3" fillId="6" borderId="1" xfId="0" applyFont="1" applyFill="1" applyBorder="1" applyAlignment="1">
      <alignment vertical="top"/>
    </xf>
    <xf numFmtId="0" fontId="3" fillId="6" borderId="1" xfId="0" applyFont="1" applyFill="1" applyBorder="1" applyAlignment="1">
      <alignment vertical="top" wrapText="1"/>
    </xf>
    <xf numFmtId="0" fontId="3" fillId="6" borderId="1" xfId="0" applyFont="1" applyFill="1" applyBorder="1" applyAlignment="1">
      <alignment horizontal="center" vertical="top" wrapText="1"/>
    </xf>
    <xf numFmtId="0" fontId="3" fillId="7" borderId="1" xfId="0" applyFont="1" applyFill="1" applyBorder="1" applyAlignment="1">
      <alignment vertical="top"/>
    </xf>
    <xf numFmtId="0" fontId="3" fillId="7" borderId="1" xfId="0" applyFont="1" applyFill="1" applyBorder="1" applyAlignment="1">
      <alignment vertical="top" wrapText="1"/>
    </xf>
    <xf numFmtId="0" fontId="3" fillId="7" borderId="1" xfId="0" applyFont="1" applyFill="1" applyBorder="1" applyAlignment="1">
      <alignment horizontal="center" vertical="top" wrapText="1"/>
    </xf>
    <xf numFmtId="4" fontId="3" fillId="7" borderId="1" xfId="0" applyNumberFormat="1" applyFont="1" applyFill="1" applyBorder="1" applyAlignment="1">
      <alignment vertical="top"/>
    </xf>
    <xf numFmtId="0" fontId="3" fillId="4" borderId="1" xfId="0" applyFont="1" applyFill="1" applyBorder="1" applyAlignment="1">
      <alignment horizontal="center" vertical="top"/>
    </xf>
    <xf numFmtId="0" fontId="3" fillId="5" borderId="1" xfId="0" applyFont="1" applyFill="1" applyBorder="1" applyAlignment="1">
      <alignment horizontal="center" vertical="top"/>
    </xf>
    <xf numFmtId="0" fontId="3" fillId="6" borderId="1" xfId="0" applyFont="1" applyFill="1" applyBorder="1" applyAlignment="1">
      <alignment horizontal="center" vertical="top"/>
    </xf>
    <xf numFmtId="0" fontId="3" fillId="7" borderId="1" xfId="0" applyFont="1" applyFill="1" applyBorder="1" applyAlignment="1">
      <alignment horizontal="center" vertical="top"/>
    </xf>
    <xf numFmtId="4" fontId="0" fillId="0" borderId="0" xfId="0" applyNumberFormat="1"/>
    <xf numFmtId="4" fontId="3" fillId="6" borderId="1" xfId="0" applyNumberFormat="1" applyFont="1" applyFill="1" applyBorder="1" applyAlignment="1">
      <alignment vertical="top"/>
    </xf>
    <xf numFmtId="4" fontId="3" fillId="0" borderId="0" xfId="0" applyNumberFormat="1" applyFont="1"/>
    <xf numFmtId="0" fontId="1" fillId="0" borderId="0" xfId="0" applyFont="1" applyAlignment="1">
      <alignment horizontal="center" vertical="top"/>
    </xf>
    <xf numFmtId="0" fontId="1" fillId="2" borderId="0" xfId="0" applyFont="1" applyFill="1" applyAlignment="1">
      <alignment horizontal="center" vertical="top"/>
    </xf>
    <xf numFmtId="0" fontId="0" fillId="3" borderId="0" xfId="0" applyFill="1" applyAlignment="1">
      <alignment horizontal="center" vertical="top"/>
    </xf>
    <xf numFmtId="0" fontId="0" fillId="0" borderId="0" xfId="0" applyAlignment="1">
      <alignment horizontal="center" vertical="top"/>
    </xf>
    <xf numFmtId="164" fontId="0" fillId="0" borderId="0" xfId="0" applyNumberFormat="1" applyAlignment="1">
      <alignment horizontal="center" vertical="top"/>
    </xf>
    <xf numFmtId="4" fontId="1" fillId="8" borderId="0" xfId="0" applyNumberFormat="1" applyFont="1" applyFill="1" applyAlignment="1">
      <alignment vertical="top"/>
    </xf>
    <xf numFmtId="4" fontId="0" fillId="0" borderId="0" xfId="0" applyNumberFormat="1" applyAlignment="1">
      <alignment horizontal="center" vertical="top"/>
    </xf>
    <xf numFmtId="4" fontId="1" fillId="0" borderId="0" xfId="0" applyNumberFormat="1" applyFont="1" applyAlignment="1">
      <alignment horizontal="center" vertical="top"/>
    </xf>
    <xf numFmtId="4" fontId="1" fillId="2" borderId="0" xfId="0" applyNumberFormat="1" applyFont="1" applyFill="1" applyAlignment="1">
      <alignment horizontal="center" vertical="top"/>
    </xf>
    <xf numFmtId="4" fontId="0" fillId="3" borderId="0" xfId="0" applyNumberFormat="1" applyFill="1" applyAlignment="1">
      <alignment horizontal="center" vertical="top"/>
    </xf>
    <xf numFmtId="164" fontId="0" fillId="9" borderId="0" xfId="0" applyNumberFormat="1" applyFill="1" applyAlignment="1">
      <alignment vertical="top"/>
    </xf>
    <xf numFmtId="164" fontId="1" fillId="9" borderId="0" xfId="0" applyNumberFormat="1" applyFont="1" applyFill="1" applyAlignment="1">
      <alignment vertical="top"/>
    </xf>
    <xf numFmtId="4" fontId="1" fillId="9" borderId="0" xfId="0" applyNumberFormat="1" applyFont="1" applyFill="1" applyAlignment="1">
      <alignment vertical="top"/>
    </xf>
    <xf numFmtId="4" fontId="0" fillId="0" borderId="2" xfId="0" applyNumberFormat="1" applyBorder="1" applyAlignment="1">
      <alignment horizontal="center"/>
    </xf>
    <xf numFmtId="4" fontId="0" fillId="0" borderId="2" xfId="0" applyNumberFormat="1" applyBorder="1" applyAlignment="1">
      <alignment horizontal="left"/>
    </xf>
    <xf numFmtId="4" fontId="4" fillId="0" borderId="2" xfId="0" applyNumberFormat="1" applyFont="1" applyBorder="1"/>
    <xf numFmtId="0" fontId="0" fillId="0" borderId="2" xfId="0" applyBorder="1" applyAlignment="1">
      <alignment horizontal="center"/>
    </xf>
    <xf numFmtId="4" fontId="1" fillId="0" borderId="3" xfId="0" applyNumberFormat="1" applyFont="1" applyBorder="1" applyAlignment="1">
      <alignment horizontal="center"/>
    </xf>
    <xf numFmtId="4" fontId="5" fillId="0" borderId="3" xfId="0" applyNumberFormat="1" applyFont="1" applyBorder="1"/>
    <xf numFmtId="0" fontId="1" fillId="0" borderId="3" xfId="0" applyFont="1" applyBorder="1" applyAlignment="1">
      <alignment horizontal="center"/>
    </xf>
    <xf numFmtId="14" fontId="0" fillId="0" borderId="0" xfId="0" applyNumberFormat="1"/>
    <xf numFmtId="0" fontId="1" fillId="0" borderId="0" xfId="0" applyFont="1"/>
    <xf numFmtId="0" fontId="0" fillId="0" borderId="1" xfId="0" applyBorder="1" applyAlignment="1">
      <alignment horizontal="center"/>
    </xf>
    <xf numFmtId="166" fontId="1" fillId="10" borderId="10" xfId="0" applyNumberFormat="1" applyFont="1" applyFill="1" applyBorder="1" applyAlignment="1">
      <alignment horizontal="center"/>
    </xf>
    <xf numFmtId="166" fontId="1" fillId="10" borderId="1" xfId="0" applyNumberFormat="1" applyFont="1" applyFill="1" applyBorder="1" applyAlignment="1">
      <alignment horizontal="center"/>
    </xf>
    <xf numFmtId="166" fontId="1" fillId="0" borderId="1" xfId="0" applyNumberFormat="1" applyFont="1" applyBorder="1" applyAlignment="1">
      <alignment horizontal="center"/>
    </xf>
    <xf numFmtId="166" fontId="1" fillId="10" borderId="11" xfId="0" applyNumberFormat="1" applyFont="1" applyFill="1" applyBorder="1" applyAlignment="1">
      <alignment horizontal="center"/>
    </xf>
    <xf numFmtId="166" fontId="1" fillId="0" borderId="0" xfId="0" applyNumberFormat="1" applyFont="1"/>
    <xf numFmtId="15" fontId="0" fillId="10" borderId="10" xfId="0" applyNumberFormat="1" applyFill="1" applyBorder="1" applyAlignment="1">
      <alignment horizontal="center"/>
    </xf>
    <xf numFmtId="15" fontId="0" fillId="10" borderId="1" xfId="0" applyNumberFormat="1" applyFill="1" applyBorder="1" applyAlignment="1">
      <alignment horizontal="center"/>
    </xf>
    <xf numFmtId="15" fontId="0" fillId="0" borderId="1" xfId="0" applyNumberFormat="1" applyBorder="1" applyAlignment="1">
      <alignment horizontal="center"/>
    </xf>
    <xf numFmtId="15" fontId="0" fillId="10" borderId="11" xfId="0" applyNumberFormat="1" applyFill="1" applyBorder="1" applyAlignment="1">
      <alignment horizontal="center"/>
    </xf>
    <xf numFmtId="15" fontId="0" fillId="10" borderId="5" xfId="0" applyNumberFormat="1" applyFill="1" applyBorder="1" applyAlignment="1">
      <alignment horizontal="center"/>
    </xf>
    <xf numFmtId="15" fontId="0" fillId="10" borderId="4" xfId="0" applyNumberFormat="1" applyFill="1" applyBorder="1" applyAlignment="1">
      <alignment horizontal="center"/>
    </xf>
    <xf numFmtId="15" fontId="0" fillId="0" borderId="4" xfId="0" applyNumberFormat="1" applyBorder="1" applyAlignment="1">
      <alignment horizontal="center"/>
    </xf>
    <xf numFmtId="15" fontId="0" fillId="10" borderId="12" xfId="0" applyNumberFormat="1" applyFill="1" applyBorder="1" applyAlignment="1">
      <alignment horizontal="center"/>
    </xf>
    <xf numFmtId="0" fontId="6" fillId="0" borderId="0" xfId="0" applyFont="1"/>
    <xf numFmtId="15" fontId="0" fillId="10" borderId="13" xfId="0" applyNumberFormat="1" applyFill="1" applyBorder="1" applyAlignment="1">
      <alignment horizontal="center"/>
    </xf>
    <xf numFmtId="15" fontId="0" fillId="10" borderId="14" xfId="0" applyNumberFormat="1" applyFill="1" applyBorder="1" applyAlignment="1">
      <alignment horizontal="center"/>
    </xf>
    <xf numFmtId="15" fontId="0" fillId="0" borderId="14" xfId="0" applyNumberFormat="1" applyBorder="1" applyAlignment="1">
      <alignment horizontal="center"/>
    </xf>
    <xf numFmtId="15" fontId="0" fillId="10" borderId="15" xfId="0" applyNumberFormat="1" applyFill="1" applyBorder="1" applyAlignment="1">
      <alignment horizontal="center"/>
    </xf>
    <xf numFmtId="15" fontId="0" fillId="10" borderId="16" xfId="0" applyNumberFormat="1" applyFill="1" applyBorder="1" applyAlignment="1">
      <alignment horizontal="center"/>
    </xf>
    <xf numFmtId="15" fontId="7" fillId="10" borderId="17" xfId="0" applyNumberFormat="1" applyFont="1" applyFill="1" applyBorder="1" applyAlignment="1">
      <alignment horizontal="center"/>
    </xf>
    <xf numFmtId="15" fontId="0" fillId="0" borderId="17" xfId="0" applyNumberFormat="1" applyBorder="1" applyAlignment="1">
      <alignment horizontal="center"/>
    </xf>
    <xf numFmtId="15" fontId="0" fillId="10" borderId="17" xfId="0" applyNumberFormat="1" applyFill="1" applyBorder="1" applyAlignment="1">
      <alignment horizontal="center"/>
    </xf>
    <xf numFmtId="0" fontId="0" fillId="0" borderId="17" xfId="0" applyBorder="1" applyAlignment="1">
      <alignment horizontal="center"/>
    </xf>
    <xf numFmtId="15" fontId="7" fillId="10" borderId="18" xfId="0" applyNumberFormat="1" applyFont="1" applyFill="1" applyBorder="1" applyAlignment="1">
      <alignment horizontal="center"/>
    </xf>
    <xf numFmtId="0" fontId="5" fillId="0" borderId="0" xfId="0" applyFont="1"/>
    <xf numFmtId="0" fontId="3" fillId="4" borderId="11" xfId="0" applyFont="1" applyFill="1" applyBorder="1" applyAlignment="1">
      <alignment vertical="top"/>
    </xf>
    <xf numFmtId="4" fontId="3" fillId="4" borderId="11" xfId="0" applyNumberFormat="1" applyFont="1" applyFill="1" applyBorder="1" applyAlignment="1">
      <alignment vertical="top"/>
    </xf>
    <xf numFmtId="0" fontId="3" fillId="5" borderId="11" xfId="0" applyFont="1" applyFill="1" applyBorder="1" applyAlignment="1">
      <alignment vertical="top"/>
    </xf>
    <xf numFmtId="4" fontId="3" fillId="5" borderId="11" xfId="0" applyNumberFormat="1" applyFont="1" applyFill="1" applyBorder="1" applyAlignment="1">
      <alignment vertical="top"/>
    </xf>
    <xf numFmtId="0" fontId="3" fillId="6" borderId="11" xfId="0" applyFont="1" applyFill="1" applyBorder="1" applyAlignment="1">
      <alignment vertical="top"/>
    </xf>
    <xf numFmtId="4" fontId="3" fillId="7" borderId="11" xfId="0" applyNumberFormat="1" applyFont="1" applyFill="1" applyBorder="1" applyAlignment="1">
      <alignment vertical="top"/>
    </xf>
    <xf numFmtId="0" fontId="3" fillId="7" borderId="11" xfId="0" applyFont="1" applyFill="1" applyBorder="1" applyAlignment="1">
      <alignment vertical="top"/>
    </xf>
    <xf numFmtId="0" fontId="3" fillId="7" borderId="17" xfId="0" applyFont="1" applyFill="1" applyBorder="1" applyAlignment="1">
      <alignment vertical="top"/>
    </xf>
    <xf numFmtId="0" fontId="3" fillId="7" borderId="17" xfId="0" applyFont="1" applyFill="1" applyBorder="1" applyAlignment="1">
      <alignment vertical="top" wrapText="1"/>
    </xf>
    <xf numFmtId="0" fontId="3" fillId="7" borderId="17" xfId="0" applyFont="1" applyFill="1" applyBorder="1" applyAlignment="1">
      <alignment horizontal="center" vertical="top" wrapText="1"/>
    </xf>
    <xf numFmtId="0" fontId="3" fillId="7" borderId="17" xfId="0" applyFont="1" applyFill="1" applyBorder="1" applyAlignment="1">
      <alignment horizontal="center" vertical="top"/>
    </xf>
    <xf numFmtId="4" fontId="3" fillId="7" borderId="17" xfId="0" applyNumberFormat="1" applyFont="1" applyFill="1" applyBorder="1" applyAlignment="1">
      <alignment vertical="top"/>
    </xf>
    <xf numFmtId="0" fontId="3" fillId="7" borderId="18" xfId="0" applyFont="1" applyFill="1" applyBorder="1" applyAlignment="1">
      <alignment vertical="top"/>
    </xf>
    <xf numFmtId="0" fontId="0" fillId="0" borderId="19" xfId="0" applyBorder="1"/>
    <xf numFmtId="0" fontId="2" fillId="0" borderId="20" xfId="0" applyFont="1" applyBorder="1" applyAlignment="1">
      <alignment vertical="top"/>
    </xf>
    <xf numFmtId="0" fontId="2" fillId="0" borderId="20" xfId="0" applyFont="1" applyBorder="1" applyAlignment="1">
      <alignment vertical="top" wrapText="1"/>
    </xf>
    <xf numFmtId="0" fontId="2" fillId="0" borderId="20" xfId="0" applyFont="1" applyBorder="1" applyAlignment="1">
      <alignment horizontal="center" vertical="top" wrapText="1"/>
    </xf>
    <xf numFmtId="0" fontId="2" fillId="0" borderId="20" xfId="0" applyFont="1" applyBorder="1" applyAlignment="1">
      <alignment horizontal="center" vertical="top"/>
    </xf>
    <xf numFmtId="4" fontId="2" fillId="0" borderId="20" xfId="0" applyNumberFormat="1" applyFont="1" applyBorder="1" applyAlignment="1">
      <alignment horizontal="right" vertical="top"/>
    </xf>
    <xf numFmtId="0" fontId="2" fillId="0" borderId="21" xfId="0" applyFont="1" applyBorder="1" applyAlignment="1">
      <alignment horizontal="right" vertical="top"/>
    </xf>
    <xf numFmtId="0" fontId="3" fillId="4" borderId="8" xfId="0" applyFont="1" applyFill="1" applyBorder="1" applyAlignment="1">
      <alignment vertical="top"/>
    </xf>
    <xf numFmtId="0" fontId="3" fillId="4" borderId="8" xfId="0" applyFont="1" applyFill="1" applyBorder="1" applyAlignment="1">
      <alignment vertical="top" wrapText="1"/>
    </xf>
    <xf numFmtId="0" fontId="3" fillId="4" borderId="8" xfId="0" applyFont="1" applyFill="1" applyBorder="1" applyAlignment="1">
      <alignment horizontal="center" vertical="top" wrapText="1"/>
    </xf>
    <xf numFmtId="0" fontId="3" fillId="4" borderId="8" xfId="0" applyFont="1" applyFill="1" applyBorder="1" applyAlignment="1">
      <alignment horizontal="center" vertical="top"/>
    </xf>
    <xf numFmtId="4" fontId="3" fillId="4" borderId="8" xfId="0" applyNumberFormat="1" applyFont="1" applyFill="1" applyBorder="1" applyAlignment="1">
      <alignment vertical="top"/>
    </xf>
    <xf numFmtId="0" fontId="3" fillId="4" borderId="9" xfId="0" applyFont="1" applyFill="1" applyBorder="1" applyAlignment="1">
      <alignment vertical="top"/>
    </xf>
    <xf numFmtId="0" fontId="3" fillId="4" borderId="17" xfId="0" applyFont="1" applyFill="1" applyBorder="1" applyAlignment="1">
      <alignment vertical="top"/>
    </xf>
    <xf numFmtId="0" fontId="3" fillId="4" borderId="17" xfId="0" applyFont="1" applyFill="1" applyBorder="1" applyAlignment="1">
      <alignment vertical="top" wrapText="1"/>
    </xf>
    <xf numFmtId="0" fontId="3" fillId="4" borderId="17" xfId="0" applyFont="1" applyFill="1" applyBorder="1" applyAlignment="1">
      <alignment horizontal="center" vertical="top" wrapText="1"/>
    </xf>
    <xf numFmtId="0" fontId="3" fillId="4" borderId="17" xfId="0" applyFont="1" applyFill="1" applyBorder="1" applyAlignment="1">
      <alignment horizontal="center" vertical="top"/>
    </xf>
    <xf numFmtId="4" fontId="3" fillId="4" borderId="17" xfId="0" applyNumberFormat="1" applyFont="1" applyFill="1" applyBorder="1" applyAlignment="1">
      <alignment vertical="top"/>
    </xf>
    <xf numFmtId="4" fontId="3" fillId="4" borderId="18" xfId="0" applyNumberFormat="1" applyFont="1" applyFill="1" applyBorder="1" applyAlignment="1">
      <alignment vertical="top"/>
    </xf>
    <xf numFmtId="0" fontId="3" fillId="5" borderId="8" xfId="0" applyFont="1" applyFill="1" applyBorder="1" applyAlignment="1">
      <alignment vertical="top"/>
    </xf>
    <xf numFmtId="0" fontId="3" fillId="5" borderId="8" xfId="0" applyFont="1" applyFill="1" applyBorder="1" applyAlignment="1">
      <alignment vertical="top" wrapText="1"/>
    </xf>
    <xf numFmtId="0" fontId="3" fillId="5" borderId="8" xfId="0" applyFont="1" applyFill="1" applyBorder="1" applyAlignment="1">
      <alignment horizontal="center" vertical="top" wrapText="1"/>
    </xf>
    <xf numFmtId="0" fontId="3" fillId="5" borderId="8" xfId="0" applyFont="1" applyFill="1" applyBorder="1" applyAlignment="1">
      <alignment horizontal="center" vertical="top"/>
    </xf>
    <xf numFmtId="4" fontId="3" fillId="5" borderId="8" xfId="0" applyNumberFormat="1" applyFont="1" applyFill="1" applyBorder="1" applyAlignment="1">
      <alignment vertical="top"/>
    </xf>
    <xf numFmtId="0" fontId="3" fillId="5" borderId="9" xfId="0" applyFont="1" applyFill="1" applyBorder="1" applyAlignment="1">
      <alignment vertical="top"/>
    </xf>
    <xf numFmtId="0" fontId="3" fillId="5" borderId="17" xfId="0" applyFont="1" applyFill="1" applyBorder="1" applyAlignment="1">
      <alignment vertical="top"/>
    </xf>
    <xf numFmtId="0" fontId="3" fillId="5" borderId="17" xfId="0" applyFont="1" applyFill="1" applyBorder="1" applyAlignment="1">
      <alignment vertical="top" wrapText="1"/>
    </xf>
    <xf numFmtId="0" fontId="3" fillId="5" borderId="17" xfId="0" applyFont="1" applyFill="1" applyBorder="1" applyAlignment="1">
      <alignment horizontal="center" vertical="top" wrapText="1"/>
    </xf>
    <xf numFmtId="0" fontId="3" fillId="5" borderId="17" xfId="0" applyFont="1" applyFill="1" applyBorder="1" applyAlignment="1">
      <alignment horizontal="center" vertical="top"/>
    </xf>
    <xf numFmtId="4" fontId="3" fillId="5" borderId="17" xfId="0" applyNumberFormat="1" applyFont="1" applyFill="1" applyBorder="1" applyAlignment="1">
      <alignment vertical="top"/>
    </xf>
    <xf numFmtId="0" fontId="3" fillId="5" borderId="18" xfId="0" applyFont="1" applyFill="1" applyBorder="1" applyAlignment="1">
      <alignment vertical="top"/>
    </xf>
    <xf numFmtId="0" fontId="3" fillId="6" borderId="8" xfId="0" applyFont="1" applyFill="1" applyBorder="1" applyAlignment="1">
      <alignment vertical="top"/>
    </xf>
    <xf numFmtId="0" fontId="3" fillId="6" borderId="8" xfId="0" applyFont="1" applyFill="1" applyBorder="1" applyAlignment="1">
      <alignment vertical="top" wrapText="1"/>
    </xf>
    <xf numFmtId="0" fontId="3" fillId="6" borderId="8" xfId="0" applyFont="1" applyFill="1" applyBorder="1" applyAlignment="1">
      <alignment horizontal="center" vertical="top" wrapText="1"/>
    </xf>
    <xf numFmtId="0" fontId="3" fillId="6" borderId="8" xfId="0" applyFont="1" applyFill="1" applyBorder="1" applyAlignment="1">
      <alignment horizontal="center" vertical="top"/>
    </xf>
    <xf numFmtId="4" fontId="3" fillId="6" borderId="8" xfId="0" applyNumberFormat="1" applyFont="1" applyFill="1" applyBorder="1" applyAlignment="1">
      <alignment vertical="top"/>
    </xf>
    <xf numFmtId="0" fontId="3" fillId="6" borderId="9" xfId="0" applyFont="1" applyFill="1" applyBorder="1" applyAlignment="1">
      <alignment vertical="top"/>
    </xf>
    <xf numFmtId="0" fontId="3" fillId="6" borderId="17" xfId="0" applyFont="1" applyFill="1" applyBorder="1" applyAlignment="1">
      <alignment vertical="top"/>
    </xf>
    <xf numFmtId="0" fontId="3" fillId="6" borderId="17" xfId="0" applyFont="1" applyFill="1" applyBorder="1" applyAlignment="1">
      <alignment vertical="top" wrapText="1"/>
    </xf>
    <xf numFmtId="0" fontId="3" fillId="6" borderId="17" xfId="0" applyFont="1" applyFill="1" applyBorder="1" applyAlignment="1">
      <alignment horizontal="center" vertical="top" wrapText="1"/>
    </xf>
    <xf numFmtId="0" fontId="3" fillId="6" borderId="17" xfId="0" applyFont="1" applyFill="1" applyBorder="1" applyAlignment="1">
      <alignment horizontal="center" vertical="top"/>
    </xf>
    <xf numFmtId="4" fontId="3" fillId="6" borderId="17" xfId="0" applyNumberFormat="1" applyFont="1" applyFill="1" applyBorder="1" applyAlignment="1">
      <alignment vertical="top"/>
    </xf>
    <xf numFmtId="0" fontId="3" fillId="6" borderId="18" xfId="0" applyFont="1" applyFill="1" applyBorder="1" applyAlignment="1">
      <alignment vertical="top"/>
    </xf>
    <xf numFmtId="0" fontId="3" fillId="7" borderId="8" xfId="0" applyFont="1" applyFill="1" applyBorder="1" applyAlignment="1">
      <alignment vertical="top"/>
    </xf>
    <xf numFmtId="0" fontId="3" fillId="7" borderId="8" xfId="0" applyFont="1" applyFill="1" applyBorder="1" applyAlignment="1">
      <alignment vertical="top" wrapText="1"/>
    </xf>
    <xf numFmtId="0" fontId="3" fillId="7" borderId="8" xfId="0" applyFont="1" applyFill="1" applyBorder="1" applyAlignment="1">
      <alignment horizontal="center" vertical="top" wrapText="1"/>
    </xf>
    <xf numFmtId="0" fontId="3" fillId="7" borderId="8" xfId="0" applyFont="1" applyFill="1" applyBorder="1" applyAlignment="1">
      <alignment horizontal="center" vertical="top"/>
    </xf>
    <xf numFmtId="4" fontId="3" fillId="7" borderId="8" xfId="0" applyNumberFormat="1" applyFont="1" applyFill="1" applyBorder="1" applyAlignment="1">
      <alignment vertical="top"/>
    </xf>
    <xf numFmtId="4" fontId="3" fillId="7" borderId="9" xfId="0" applyNumberFormat="1" applyFont="1" applyFill="1" applyBorder="1" applyAlignment="1">
      <alignment vertical="top"/>
    </xf>
    <xf numFmtId="4" fontId="2" fillId="0" borderId="3" xfId="0" applyNumberFormat="1" applyFont="1" applyBorder="1" applyAlignment="1">
      <alignment horizontal="center"/>
    </xf>
    <xf numFmtId="4" fontId="3" fillId="0" borderId="2" xfId="0" applyNumberFormat="1" applyFont="1" applyBorder="1" applyAlignment="1">
      <alignment horizontal="center"/>
    </xf>
    <xf numFmtId="0" fontId="1" fillId="11" borderId="1" xfId="0" applyFont="1" applyFill="1" applyBorder="1" applyAlignment="1">
      <alignment horizontal="center" vertical="top" wrapText="1"/>
    </xf>
    <xf numFmtId="167" fontId="1" fillId="11" borderId="1" xfId="1" applyNumberFormat="1" applyFont="1" applyFill="1" applyBorder="1" applyAlignment="1">
      <alignment horizontal="center" vertical="top" wrapText="1"/>
    </xf>
    <xf numFmtId="44" fontId="1" fillId="11" borderId="1" xfId="2" applyFont="1" applyFill="1" applyBorder="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center"/>
    </xf>
    <xf numFmtId="0" fontId="0" fillId="0" borderId="0" xfId="0" applyAlignment="1">
      <alignment wrapText="1"/>
    </xf>
    <xf numFmtId="164" fontId="0" fillId="0" borderId="0" xfId="0" applyNumberFormat="1"/>
    <xf numFmtId="3" fontId="0" fillId="0" borderId="0" xfId="0" applyNumberFormat="1"/>
    <xf numFmtId="38" fontId="0" fillId="0" borderId="0" xfId="0" applyNumberFormat="1"/>
    <xf numFmtId="40" fontId="0" fillId="0" borderId="0" xfId="0" applyNumberFormat="1"/>
    <xf numFmtId="40" fontId="1" fillId="0" borderId="0" xfId="0" applyNumberFormat="1" applyFont="1"/>
    <xf numFmtId="168" fontId="0" fillId="0" borderId="0" xfId="0" applyNumberFormat="1"/>
    <xf numFmtId="0" fontId="1" fillId="0" borderId="22" xfId="0" applyFont="1" applyBorder="1"/>
    <xf numFmtId="0" fontId="1" fillId="0" borderId="22" xfId="0" applyFont="1" applyBorder="1" applyAlignment="1">
      <alignment wrapText="1"/>
    </xf>
    <xf numFmtId="164" fontId="1" fillId="0" borderId="22" xfId="0" applyNumberFormat="1" applyFont="1" applyBorder="1"/>
    <xf numFmtId="40" fontId="1" fillId="0" borderId="22" xfId="0" applyNumberFormat="1" applyFont="1" applyBorder="1"/>
    <xf numFmtId="0" fontId="0" fillId="0" borderId="0" xfId="0" applyAlignment="1">
      <alignment horizontal="center" wrapText="1"/>
    </xf>
    <xf numFmtId="0" fontId="1" fillId="0" borderId="22" xfId="0" applyFont="1" applyBorder="1" applyAlignment="1">
      <alignment horizontal="center"/>
    </xf>
    <xf numFmtId="170" fontId="0" fillId="0" borderId="0" xfId="0" applyNumberFormat="1" applyAlignment="1">
      <alignment horizontal="center"/>
    </xf>
    <xf numFmtId="10" fontId="0" fillId="0" borderId="0" xfId="3" applyNumberFormat="1" applyFont="1"/>
    <xf numFmtId="44" fontId="0" fillId="0" borderId="0" xfId="2" applyFont="1"/>
    <xf numFmtId="44" fontId="0" fillId="0" borderId="1" xfId="2" applyFont="1" applyBorder="1"/>
    <xf numFmtId="170" fontId="1" fillId="0" borderId="1" xfId="0" applyNumberFormat="1" applyFont="1" applyBorder="1" applyAlignment="1">
      <alignment horizontal="center" wrapText="1"/>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7" fontId="1" fillId="0" borderId="1" xfId="0" applyNumberFormat="1" applyFont="1" applyBorder="1" applyAlignment="1">
      <alignment horizontal="center" wrapText="1"/>
    </xf>
    <xf numFmtId="10" fontId="1" fillId="0" borderId="1" xfId="3" applyNumberFormat="1" applyFont="1" applyBorder="1" applyAlignment="1">
      <alignment horizontal="center" wrapText="1"/>
    </xf>
    <xf numFmtId="0" fontId="0" fillId="0" borderId="1" xfId="0" applyBorder="1" applyAlignment="1">
      <alignment horizontal="center" wrapText="1"/>
    </xf>
    <xf numFmtId="170" fontId="1" fillId="12" borderId="1" xfId="0" applyNumberFormat="1" applyFont="1" applyFill="1" applyBorder="1" applyAlignment="1">
      <alignment horizontal="center"/>
    </xf>
    <xf numFmtId="0" fontId="1" fillId="12" borderId="1" xfId="0" applyFont="1" applyFill="1" applyBorder="1" applyAlignment="1">
      <alignment horizontal="center"/>
    </xf>
    <xf numFmtId="0" fontId="1" fillId="12" borderId="1" xfId="0" applyFont="1" applyFill="1" applyBorder="1" applyAlignment="1">
      <alignment wrapText="1"/>
    </xf>
    <xf numFmtId="164" fontId="1" fillId="12" borderId="1" xfId="0" applyNumberFormat="1" applyFont="1" applyFill="1" applyBorder="1"/>
    <xf numFmtId="40" fontId="1" fillId="12" borderId="1" xfId="0" applyNumberFormat="1" applyFont="1" applyFill="1" applyBorder="1"/>
    <xf numFmtId="10" fontId="1" fillId="12" borderId="1" xfId="3" applyNumberFormat="1" applyFont="1" applyFill="1" applyBorder="1"/>
    <xf numFmtId="170" fontId="0" fillId="0" borderId="1" xfId="0" applyNumberFormat="1" applyBorder="1" applyAlignment="1">
      <alignment horizontal="center"/>
    </xf>
    <xf numFmtId="0" fontId="0" fillId="0" borderId="1" xfId="0" applyBorder="1" applyAlignment="1">
      <alignment wrapText="1"/>
    </xf>
    <xf numFmtId="3" fontId="0" fillId="0" borderId="1" xfId="0" applyNumberFormat="1" applyBorder="1"/>
    <xf numFmtId="164" fontId="0" fillId="0" borderId="1" xfId="0" applyNumberFormat="1" applyBorder="1"/>
    <xf numFmtId="38" fontId="0" fillId="0" borderId="1" xfId="0" applyNumberFormat="1" applyBorder="1"/>
    <xf numFmtId="40" fontId="0" fillId="0" borderId="1" xfId="0" applyNumberFormat="1" applyBorder="1"/>
    <xf numFmtId="10" fontId="0" fillId="0" borderId="1" xfId="3" applyNumberFormat="1" applyFont="1" applyBorder="1"/>
    <xf numFmtId="0" fontId="0" fillId="0" borderId="1" xfId="0" applyBorder="1"/>
    <xf numFmtId="0" fontId="7" fillId="0" borderId="1" xfId="0" applyFont="1" applyBorder="1" applyAlignment="1">
      <alignment horizontal="center"/>
    </xf>
    <xf numFmtId="0" fontId="7" fillId="0" borderId="1" xfId="0" applyFont="1" applyBorder="1" applyAlignment="1">
      <alignment wrapText="1"/>
    </xf>
    <xf numFmtId="3" fontId="7" fillId="0" borderId="1" xfId="0" applyNumberFormat="1" applyFont="1" applyBorder="1"/>
    <xf numFmtId="164" fontId="7" fillId="0" borderId="1" xfId="0" applyNumberFormat="1" applyFont="1" applyBorder="1"/>
    <xf numFmtId="40" fontId="7" fillId="0" borderId="1" xfId="0" applyNumberFormat="1" applyFont="1" applyBorder="1"/>
    <xf numFmtId="10" fontId="7" fillId="0" borderId="1" xfId="3" applyNumberFormat="1" applyFont="1" applyBorder="1"/>
    <xf numFmtId="3" fontId="1" fillId="0" borderId="1" xfId="0" applyNumberFormat="1" applyFont="1" applyBorder="1"/>
    <xf numFmtId="38" fontId="1" fillId="0" borderId="1" xfId="0" applyNumberFormat="1" applyFont="1" applyBorder="1"/>
    <xf numFmtId="168" fontId="0" fillId="0" borderId="1" xfId="0" applyNumberFormat="1" applyBorder="1"/>
    <xf numFmtId="40" fontId="1" fillId="0" borderId="1" xfId="0" applyNumberFormat="1" applyFont="1" applyBorder="1"/>
    <xf numFmtId="0" fontId="1" fillId="0" borderId="1" xfId="0" applyFont="1" applyBorder="1" applyAlignment="1">
      <alignment horizontal="center"/>
    </xf>
    <xf numFmtId="0" fontId="1" fillId="0" borderId="1" xfId="0" applyFont="1" applyBorder="1" applyAlignment="1">
      <alignment wrapText="1"/>
    </xf>
    <xf numFmtId="164" fontId="1" fillId="0" borderId="1" xfId="0" applyNumberFormat="1" applyFont="1" applyBorder="1"/>
    <xf numFmtId="10" fontId="1" fillId="0" borderId="1" xfId="3" applyNumberFormat="1" applyFont="1" applyBorder="1"/>
    <xf numFmtId="17" fontId="1" fillId="11" borderId="1" xfId="0" applyNumberFormat="1" applyFont="1" applyFill="1" applyBorder="1" applyAlignment="1">
      <alignment horizontal="center" wrapText="1"/>
    </xf>
    <xf numFmtId="17" fontId="1" fillId="11" borderId="1" xfId="0" applyNumberFormat="1" applyFont="1" applyFill="1" applyBorder="1" applyAlignment="1">
      <alignment horizontal="center" vertical="top" wrapText="1"/>
    </xf>
    <xf numFmtId="10" fontId="0" fillId="0" borderId="1" xfId="3" applyNumberFormat="1" applyFont="1" applyFill="1" applyBorder="1" applyAlignment="1">
      <alignment wrapText="1"/>
    </xf>
    <xf numFmtId="43" fontId="0" fillId="0" borderId="0" xfId="0" applyNumberFormat="1" applyAlignment="1">
      <alignment vertical="top"/>
    </xf>
    <xf numFmtId="0" fontId="0" fillId="0" borderId="0" xfId="0" applyAlignment="1">
      <alignment horizontal="right" vertical="top"/>
    </xf>
    <xf numFmtId="0" fontId="0" fillId="0" borderId="1" xfId="0" applyBorder="1" applyAlignment="1">
      <alignment horizontal="center" vertical="top"/>
    </xf>
    <xf numFmtId="0" fontId="5" fillId="0" borderId="1" xfId="0" applyFont="1" applyBorder="1" applyAlignment="1">
      <alignment vertical="top" wrapText="1"/>
    </xf>
    <xf numFmtId="0" fontId="0" fillId="0" borderId="1" xfId="0" applyBorder="1" applyAlignment="1">
      <alignment vertical="top"/>
    </xf>
    <xf numFmtId="0" fontId="0" fillId="0" borderId="1" xfId="0" applyBorder="1" applyAlignment="1">
      <alignment horizontal="right" vertical="top" wrapText="1"/>
    </xf>
    <xf numFmtId="0" fontId="8" fillId="0" borderId="1" xfId="0" applyFont="1" applyBorder="1" applyAlignment="1">
      <alignment horizontal="right" vertical="top" wrapText="1"/>
    </xf>
    <xf numFmtId="0" fontId="0" fillId="0" borderId="1" xfId="0" applyBorder="1" applyAlignment="1">
      <alignment vertical="top" wrapText="1"/>
    </xf>
    <xf numFmtId="43" fontId="0" fillId="0" borderId="1" xfId="1" applyFont="1" applyFill="1" applyBorder="1" applyAlignment="1">
      <alignment vertical="top"/>
    </xf>
    <xf numFmtId="3" fontId="8" fillId="0" borderId="1" xfId="0" applyNumberFormat="1" applyFont="1" applyBorder="1" applyAlignment="1">
      <alignment horizontal="right" vertical="top" wrapText="1"/>
    </xf>
    <xf numFmtId="17" fontId="0" fillId="0" borderId="0" xfId="0" applyNumberFormat="1"/>
    <xf numFmtId="171" fontId="1" fillId="0" borderId="0" xfId="0" applyNumberFormat="1" applyFont="1"/>
    <xf numFmtId="164" fontId="1" fillId="0" borderId="0" xfId="0" applyNumberFormat="1" applyFont="1"/>
    <xf numFmtId="171" fontId="0" fillId="0" borderId="0" xfId="0" applyNumberFormat="1"/>
    <xf numFmtId="43" fontId="0" fillId="0" borderId="0" xfId="1" applyFont="1"/>
    <xf numFmtId="171" fontId="1" fillId="0" borderId="23" xfId="0" applyNumberFormat="1" applyFont="1" applyBorder="1"/>
    <xf numFmtId="0" fontId="1" fillId="0" borderId="23" xfId="0" applyFont="1" applyBorder="1" applyAlignment="1">
      <alignment wrapText="1"/>
    </xf>
    <xf numFmtId="0" fontId="1" fillId="0" borderId="23" xfId="0" applyFont="1" applyBorder="1"/>
    <xf numFmtId="164" fontId="1" fillId="0" borderId="23" xfId="0" applyNumberFormat="1" applyFont="1" applyBorder="1"/>
    <xf numFmtId="40" fontId="1" fillId="0" borderId="23" xfId="0" applyNumberFormat="1" applyFont="1" applyBorder="1"/>
    <xf numFmtId="0" fontId="1" fillId="0" borderId="23" xfId="0" applyFont="1" applyBorder="1" applyAlignment="1">
      <alignment horizontal="center"/>
    </xf>
    <xf numFmtId="171" fontId="1" fillId="0" borderId="22" xfId="0" applyNumberFormat="1" applyFont="1" applyBorder="1"/>
    <xf numFmtId="0" fontId="1" fillId="0" borderId="26" xfId="0" applyFont="1" applyBorder="1" applyAlignment="1">
      <alignment horizontal="center"/>
    </xf>
    <xf numFmtId="38" fontId="1" fillId="0" borderId="22" xfId="0" applyNumberFormat="1" applyFont="1" applyBorder="1" applyAlignment="1">
      <alignment horizontal="center"/>
    </xf>
    <xf numFmtId="38" fontId="1" fillId="0" borderId="26" xfId="0" applyNumberFormat="1" applyFont="1" applyBorder="1" applyAlignment="1">
      <alignment horizontal="center"/>
    </xf>
    <xf numFmtId="38" fontId="1" fillId="0" borderId="27" xfId="0" applyNumberFormat="1" applyFont="1" applyBorder="1" applyAlignment="1">
      <alignment horizontal="center"/>
    </xf>
    <xf numFmtId="168" fontId="0" fillId="0" borderId="24" xfId="0" applyNumberFormat="1" applyBorder="1"/>
    <xf numFmtId="169" fontId="0" fillId="0" borderId="0" xfId="0" applyNumberFormat="1"/>
    <xf numFmtId="0" fontId="0" fillId="0" borderId="0" xfId="0" applyAlignment="1">
      <alignment horizontal="left" wrapText="1"/>
    </xf>
    <xf numFmtId="38" fontId="0" fillId="0" borderId="25" xfId="0" applyNumberFormat="1" applyBorder="1"/>
    <xf numFmtId="14" fontId="0" fillId="0" borderId="0" xfId="0" applyNumberFormat="1" applyAlignment="1">
      <alignment horizontal="center"/>
    </xf>
    <xf numFmtId="14" fontId="5" fillId="0" borderId="0" xfId="0" applyNumberFormat="1" applyFont="1"/>
    <xf numFmtId="38" fontId="3" fillId="0" borderId="0" xfId="0" applyNumberFormat="1" applyFont="1"/>
    <xf numFmtId="3" fontId="1" fillId="0" borderId="0" xfId="0" applyNumberFormat="1" applyFont="1" applyAlignment="1">
      <alignment horizontal="center" vertical="top"/>
    </xf>
    <xf numFmtId="3" fontId="1" fillId="2" borderId="0" xfId="0" applyNumberFormat="1" applyFont="1" applyFill="1" applyAlignment="1">
      <alignment horizontal="center" vertical="top"/>
    </xf>
    <xf numFmtId="3" fontId="0" fillId="3" borderId="0" xfId="0" applyNumberFormat="1" applyFill="1" applyAlignment="1">
      <alignment horizontal="center" vertical="top"/>
    </xf>
    <xf numFmtId="3" fontId="0" fillId="0" borderId="0" xfId="0" applyNumberFormat="1" applyAlignment="1">
      <alignment horizontal="center" vertical="top"/>
    </xf>
    <xf numFmtId="172" fontId="1" fillId="0" borderId="28" xfId="0" applyNumberFormat="1" applyFont="1" applyBorder="1" applyAlignment="1">
      <alignment horizontal="center"/>
    </xf>
    <xf numFmtId="172" fontId="1" fillId="0" borderId="28" xfId="0" applyNumberFormat="1" applyFont="1" applyBorder="1" applyAlignment="1">
      <alignment horizontal="center" wrapText="1"/>
    </xf>
    <xf numFmtId="173" fontId="1" fillId="0" borderId="28" xfId="0" applyNumberFormat="1" applyFont="1" applyBorder="1" applyAlignment="1">
      <alignment horizontal="center"/>
    </xf>
    <xf numFmtId="174" fontId="1" fillId="0" borderId="28" xfId="0" applyNumberFormat="1" applyFont="1" applyBorder="1" applyAlignment="1">
      <alignment horizontal="center"/>
    </xf>
    <xf numFmtId="173" fontId="1" fillId="0" borderId="29" xfId="0" applyNumberFormat="1" applyFont="1" applyBorder="1" applyAlignment="1">
      <alignment horizontal="center"/>
    </xf>
    <xf numFmtId="0" fontId="1" fillId="0" borderId="7" xfId="0" applyFont="1" applyBorder="1" applyAlignment="1">
      <alignment horizontal="center" vertical="center" textRotation="90" wrapText="1"/>
    </xf>
    <xf numFmtId="0" fontId="1" fillId="0" borderId="10" xfId="0" applyFont="1" applyBorder="1" applyAlignment="1">
      <alignment horizontal="center" vertical="center" textRotation="90" wrapText="1"/>
    </xf>
    <xf numFmtId="0" fontId="1" fillId="0" borderId="16" xfId="0" applyFont="1" applyBorder="1" applyAlignment="1">
      <alignment horizontal="center" vertical="center" textRotation="90" wrapText="1"/>
    </xf>
    <xf numFmtId="0" fontId="1" fillId="0" borderId="7" xfId="0" applyFont="1" applyBorder="1" applyAlignment="1">
      <alignment horizontal="center" vertical="center" textRotation="90"/>
    </xf>
    <xf numFmtId="0" fontId="1" fillId="0" borderId="10" xfId="0" applyFont="1" applyBorder="1" applyAlignment="1">
      <alignment horizontal="center" vertical="center" textRotation="90"/>
    </xf>
    <xf numFmtId="0" fontId="1" fillId="0" borderId="16" xfId="0" applyFont="1" applyBorder="1" applyAlignment="1">
      <alignment horizontal="center" vertical="center" textRotation="90"/>
    </xf>
    <xf numFmtId="15" fontId="1" fillId="0" borderId="6" xfId="0" applyNumberFormat="1" applyFont="1" applyBorder="1" applyAlignment="1">
      <alignment horizontal="center"/>
    </xf>
    <xf numFmtId="165" fontId="1" fillId="10" borderId="7" xfId="0" applyNumberFormat="1" applyFont="1" applyFill="1" applyBorder="1" applyAlignment="1">
      <alignment horizontal="center"/>
    </xf>
    <xf numFmtId="165" fontId="1" fillId="10" borderId="8" xfId="0" applyNumberFormat="1" applyFont="1" applyFill="1" applyBorder="1" applyAlignment="1">
      <alignment horizontal="center"/>
    </xf>
    <xf numFmtId="165" fontId="1" fillId="0" borderId="8" xfId="0" applyNumberFormat="1" applyFont="1" applyBorder="1" applyAlignment="1">
      <alignment horizontal="center"/>
    </xf>
    <xf numFmtId="165" fontId="1" fillId="10" borderId="9"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99"/>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190499</xdr:colOff>
      <xdr:row>0</xdr:row>
      <xdr:rowOff>85725</xdr:rowOff>
    </xdr:from>
    <xdr:to>
      <xdr:col>31</xdr:col>
      <xdr:colOff>237264</xdr:colOff>
      <xdr:row>5</xdr:row>
      <xdr:rowOff>314077</xdr:rowOff>
    </xdr:to>
    <xdr:pic>
      <xdr:nvPicPr>
        <xdr:cNvPr id="2" name="Picture 1">
          <a:extLst>
            <a:ext uri="{FF2B5EF4-FFF2-40B4-BE49-F238E27FC236}">
              <a16:creationId xmlns:a16="http://schemas.microsoft.com/office/drawing/2014/main" id="{9EF2CC4B-5593-45B4-A56E-B12659177C62}"/>
            </a:ext>
          </a:extLst>
        </xdr:cNvPr>
        <xdr:cNvPicPr>
          <a:picLocks noChangeAspect="1"/>
        </xdr:cNvPicPr>
      </xdr:nvPicPr>
      <xdr:blipFill rotWithShape="1">
        <a:blip xmlns:r="http://schemas.openxmlformats.org/officeDocument/2006/relationships" r:embed="rId1"/>
        <a:srcRect l="1801" t="11540"/>
        <a:stretch/>
      </xdr:blipFill>
      <xdr:spPr>
        <a:xfrm>
          <a:off x="19278599" y="85725"/>
          <a:ext cx="6752365" cy="1752352"/>
        </a:xfrm>
        <a:prstGeom prst="rect">
          <a:avLst/>
        </a:prstGeom>
        <a:ln w="25400">
          <a:solidFill>
            <a:schemeClr val="accent1"/>
          </a:solid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95"/>
  <sheetViews>
    <sheetView zoomScale="70" zoomScaleNormal="70" workbookViewId="0">
      <pane ySplit="2" topLeftCell="A13" activePane="bottomLeft" state="frozen"/>
      <selection pane="bottomLeft" activeCell="U19" sqref="U19"/>
    </sheetView>
  </sheetViews>
  <sheetFormatPr defaultRowHeight="15" x14ac:dyDescent="0.25"/>
  <cols>
    <col min="1" max="1" width="14.42578125" style="49" customWidth="1"/>
    <col min="2" max="2" width="20.5703125" style="5" customWidth="1"/>
    <col min="3" max="3" width="35.140625" style="8" customWidth="1"/>
    <col min="4" max="4" width="5.85546875" style="5" customWidth="1"/>
    <col min="5" max="5" width="7.85546875" style="46" customWidth="1"/>
    <col min="6" max="6" width="15.140625" style="5" customWidth="1"/>
    <col min="7" max="7" width="10.5703125" style="5" customWidth="1"/>
    <col min="8" max="8" width="11.42578125" style="17" customWidth="1"/>
    <col min="9" max="9" width="11.7109375" style="17" customWidth="1"/>
    <col min="10" max="10" width="16.85546875" style="17" bestFit="1" customWidth="1"/>
    <col min="11" max="11" width="15" style="5" bestFit="1" customWidth="1"/>
    <col min="12" max="12" width="12.5703125" style="5" bestFit="1" customWidth="1"/>
    <col min="13" max="13" width="14.42578125" style="17" bestFit="1" customWidth="1"/>
    <col min="14" max="15" width="14.85546875" style="17" bestFit="1" customWidth="1"/>
    <col min="16" max="16" width="15.85546875" style="17" bestFit="1" customWidth="1"/>
    <col min="17" max="17" width="16.85546875" style="17" bestFit="1" customWidth="1"/>
    <col min="18" max="18" width="14.42578125" style="251" customWidth="1"/>
    <col min="21" max="21" width="9.140625" bestFit="1" customWidth="1"/>
  </cols>
  <sheetData>
    <row r="1" spans="1:21" x14ac:dyDescent="0.25">
      <c r="A1" s="50"/>
      <c r="B1" s="1" t="s">
        <v>0</v>
      </c>
      <c r="C1" s="7" t="s">
        <v>2</v>
      </c>
      <c r="D1" s="1" t="s">
        <v>3</v>
      </c>
      <c r="E1" s="43" t="s">
        <v>447</v>
      </c>
      <c r="F1" s="2" t="s">
        <v>4</v>
      </c>
      <c r="G1" s="2" t="s">
        <v>5</v>
      </c>
      <c r="H1" s="13" t="s">
        <v>6</v>
      </c>
      <c r="I1" s="13" t="s">
        <v>7</v>
      </c>
      <c r="J1" s="13" t="s">
        <v>448</v>
      </c>
      <c r="K1" s="2" t="s">
        <v>449</v>
      </c>
      <c r="L1" s="2" t="s">
        <v>450</v>
      </c>
      <c r="M1" s="13" t="s">
        <v>8</v>
      </c>
      <c r="N1" s="13" t="s">
        <v>9</v>
      </c>
      <c r="O1" s="13" t="s">
        <v>10</v>
      </c>
      <c r="P1" s="13" t="s">
        <v>11</v>
      </c>
      <c r="Q1" s="13" t="s">
        <v>12</v>
      </c>
      <c r="R1" s="248" t="s">
        <v>451</v>
      </c>
      <c r="U1" s="40"/>
    </row>
    <row r="2" spans="1:21" x14ac:dyDescent="0.25">
      <c r="A2" s="50"/>
      <c r="B2" s="1"/>
      <c r="C2" s="7"/>
      <c r="D2" s="1"/>
      <c r="E2" s="43"/>
      <c r="F2" s="2"/>
      <c r="G2" s="2"/>
      <c r="H2" s="13"/>
      <c r="I2" s="13"/>
      <c r="J2" s="13">
        <f>SUBTOTAL(9,J5:J687)</f>
        <v>2108483.7420754125</v>
      </c>
      <c r="K2" s="2"/>
      <c r="L2" s="2"/>
      <c r="M2" s="13">
        <f>SUBTOTAL(9,M5:M687)</f>
        <v>210805.24137001851</v>
      </c>
      <c r="N2" s="13">
        <f t="shared" ref="N2:P2" si="0">SUBTOTAL(9,N5:N687)</f>
        <v>346340.68135926826</v>
      </c>
      <c r="O2" s="13">
        <f t="shared" si="0"/>
        <v>119999.50447666729</v>
      </c>
      <c r="P2" s="13">
        <f t="shared" si="0"/>
        <v>1431338.3148694586</v>
      </c>
      <c r="Q2" s="13">
        <f>SUM(M2:P2)</f>
        <v>2108483.7420754125</v>
      </c>
      <c r="R2" s="248"/>
      <c r="U2" s="163"/>
    </row>
    <row r="3" spans="1:21" ht="30" x14ac:dyDescent="0.25">
      <c r="A3" s="51"/>
      <c r="B3" s="3" t="s">
        <v>13</v>
      </c>
      <c r="C3" s="3" t="s">
        <v>14</v>
      </c>
      <c r="D3" s="4"/>
      <c r="E3" s="44"/>
      <c r="F3" s="10"/>
      <c r="G3" s="10"/>
      <c r="H3" s="15"/>
      <c r="I3" s="15"/>
      <c r="J3" s="15"/>
      <c r="K3" s="10"/>
      <c r="L3" s="10"/>
      <c r="M3" s="15"/>
      <c r="N3" s="15"/>
      <c r="O3" s="15"/>
      <c r="P3" s="15"/>
      <c r="Q3" s="15"/>
      <c r="R3" s="249"/>
    </row>
    <row r="4" spans="1:21" ht="30" x14ac:dyDescent="0.25">
      <c r="A4" s="51">
        <v>5</v>
      </c>
      <c r="B4" s="3" t="s">
        <v>15</v>
      </c>
      <c r="C4" s="3" t="s">
        <v>658</v>
      </c>
      <c r="D4" s="4" t="s">
        <v>17</v>
      </c>
      <c r="E4" s="44"/>
      <c r="F4" s="10"/>
      <c r="G4" s="10"/>
      <c r="H4" s="48">
        <f>VLOOKUP($A4,'Model Inputs'!$A:$C,3,FALSE)</f>
        <v>1</v>
      </c>
      <c r="I4" s="15"/>
      <c r="J4" s="15">
        <f>SUBTOTAL(9,J5)</f>
        <v>12000</v>
      </c>
      <c r="K4" s="10"/>
      <c r="L4" s="54">
        <v>5</v>
      </c>
      <c r="M4" s="15">
        <f>SUBTOTAL(9,M5)</f>
        <v>0</v>
      </c>
      <c r="N4" s="15">
        <f>SUBTOTAL(9,N5)</f>
        <v>0</v>
      </c>
      <c r="O4" s="15">
        <f>SUBTOTAL(9,O5)</f>
        <v>0</v>
      </c>
      <c r="P4" s="15">
        <f>SUBTOTAL(9,P5)</f>
        <v>12000</v>
      </c>
      <c r="Q4" s="15">
        <f>SUBTOTAL(9,Q5)</f>
        <v>12000</v>
      </c>
      <c r="R4" s="249"/>
    </row>
    <row r="5" spans="1:21" x14ac:dyDescent="0.25">
      <c r="A5" s="52" t="s">
        <v>642</v>
      </c>
      <c r="B5" s="6">
        <v>1</v>
      </c>
      <c r="C5" s="6" t="s">
        <v>18</v>
      </c>
      <c r="D5" s="6" t="s">
        <v>19</v>
      </c>
      <c r="E5" s="45" t="s">
        <v>509</v>
      </c>
      <c r="F5" s="12">
        <v>1</v>
      </c>
      <c r="G5" s="12">
        <v>1</v>
      </c>
      <c r="H5" s="16">
        <f>H4*12000</f>
        <v>12000</v>
      </c>
      <c r="I5" s="16">
        <f>VLOOKUP(C5,Resources!B:G,6,FALSE)</f>
        <v>1</v>
      </c>
      <c r="J5" s="16">
        <f>(H5/G5)*I5*F5</f>
        <v>12000</v>
      </c>
      <c r="K5" s="12">
        <f>IF(E5="M"," ",L5*F5)</f>
        <v>12000</v>
      </c>
      <c r="L5" s="12">
        <f>IF(E5="M"," ",H5/G5)</f>
        <v>12000</v>
      </c>
      <c r="M5" s="16">
        <f>IF($E5="L",$J5,0)</f>
        <v>0</v>
      </c>
      <c r="N5" s="16">
        <f>IF($E5="M",$J5,0)</f>
        <v>0</v>
      </c>
      <c r="O5" s="16">
        <f>IF($E5="P",$J5,0)</f>
        <v>0</v>
      </c>
      <c r="P5" s="16">
        <f>IF($E5="S",$J5,0)</f>
        <v>12000</v>
      </c>
      <c r="Q5" s="16">
        <f>SUM(M5:P5)</f>
        <v>12000</v>
      </c>
      <c r="R5" s="250">
        <v>904</v>
      </c>
    </row>
    <row r="6" spans="1:21" x14ac:dyDescent="0.25">
      <c r="A6" s="49" t="s">
        <v>642</v>
      </c>
      <c r="F6" s="11"/>
      <c r="G6" s="11"/>
      <c r="K6" s="11"/>
      <c r="L6" s="11"/>
    </row>
    <row r="7" spans="1:21" ht="30" x14ac:dyDescent="0.25">
      <c r="A7" s="51" t="s">
        <v>642</v>
      </c>
      <c r="B7" s="3" t="s">
        <v>20</v>
      </c>
      <c r="C7" s="3" t="s">
        <v>21</v>
      </c>
      <c r="D7" s="4"/>
      <c r="E7" s="44"/>
      <c r="F7" s="10"/>
      <c r="G7" s="10"/>
      <c r="H7" s="15"/>
      <c r="I7" s="15"/>
      <c r="J7" s="15"/>
      <c r="K7" s="10"/>
      <c r="L7" s="10"/>
      <c r="M7" s="15"/>
      <c r="N7" s="15"/>
      <c r="O7" s="15"/>
      <c r="P7" s="15"/>
      <c r="Q7" s="15"/>
      <c r="R7" s="249"/>
    </row>
    <row r="8" spans="1:21" ht="60" x14ac:dyDescent="0.25">
      <c r="A8" s="51" t="s">
        <v>642</v>
      </c>
      <c r="B8" s="3" t="s">
        <v>22</v>
      </c>
      <c r="C8" s="3" t="s">
        <v>23</v>
      </c>
      <c r="D8" s="4"/>
      <c r="E8" s="44"/>
      <c r="F8" s="10"/>
      <c r="G8" s="10"/>
      <c r="H8" s="15"/>
      <c r="I8" s="15"/>
      <c r="J8" s="15"/>
      <c r="K8" s="10"/>
      <c r="L8" s="10"/>
      <c r="M8" s="15"/>
      <c r="N8" s="15"/>
      <c r="O8" s="15"/>
      <c r="P8" s="15"/>
      <c r="Q8" s="15"/>
      <c r="R8" s="249"/>
    </row>
    <row r="9" spans="1:21" ht="135" x14ac:dyDescent="0.25">
      <c r="A9" s="51">
        <v>6</v>
      </c>
      <c r="B9" s="3" t="s">
        <v>24</v>
      </c>
      <c r="C9" s="3" t="s">
        <v>659</v>
      </c>
      <c r="D9" s="4" t="s">
        <v>26</v>
      </c>
      <c r="E9" s="44"/>
      <c r="F9" s="10"/>
      <c r="G9" s="10"/>
      <c r="H9" s="48">
        <f>VLOOKUP($A9,'Model Inputs'!$A:$C,3,FALSE)</f>
        <v>63.4</v>
      </c>
      <c r="I9" s="15"/>
      <c r="J9" s="15">
        <f>SUBTOTAL(9,J11:J16)</f>
        <v>9401.5859999999993</v>
      </c>
      <c r="K9" s="10"/>
      <c r="L9" s="15">
        <f>ROUNDUP(MAX(L11:L16)/Workhrs,0)</f>
        <v>2</v>
      </c>
      <c r="M9" s="15">
        <f>SUBTOTAL(9,M11:M16)</f>
        <v>1217.28</v>
      </c>
      <c r="N9" s="15">
        <f>SUBTOTAL(9,N11:N16)</f>
        <v>6472.5059999999994</v>
      </c>
      <c r="O9" s="15">
        <f>SUBTOTAL(9,O11:O16)</f>
        <v>1711.8</v>
      </c>
      <c r="P9" s="15">
        <f>SUBTOTAL(9,P11:P16)</f>
        <v>0</v>
      </c>
      <c r="Q9" s="15">
        <f>SUBTOTAL(9,Q11:Q16)</f>
        <v>9401.5859999999993</v>
      </c>
      <c r="R9" s="249"/>
    </row>
    <row r="10" spans="1:21" x14ac:dyDescent="0.25">
      <c r="A10" s="49" t="s">
        <v>642</v>
      </c>
      <c r="B10" s="5">
        <v>1</v>
      </c>
      <c r="C10" s="8" t="s">
        <v>27</v>
      </c>
      <c r="F10" s="11"/>
      <c r="G10" s="11"/>
      <c r="K10" s="11"/>
      <c r="L10" s="11"/>
    </row>
    <row r="11" spans="1:21" x14ac:dyDescent="0.25">
      <c r="A11" s="52" t="s">
        <v>642</v>
      </c>
      <c r="B11" s="6">
        <v>2</v>
      </c>
      <c r="C11" s="6" t="s">
        <v>28</v>
      </c>
      <c r="D11" s="6" t="s">
        <v>26</v>
      </c>
      <c r="E11" s="45" t="str">
        <f>LOOKUP(C11,Resources!B:B,Resources!D:D)</f>
        <v>M</v>
      </c>
      <c r="F11" s="12">
        <v>1</v>
      </c>
      <c r="G11" s="12">
        <v>1</v>
      </c>
      <c r="H11" s="16">
        <f>H9</f>
        <v>63.4</v>
      </c>
      <c r="I11" s="16">
        <f>VLOOKUP(C11,Resources!B:G,6,FALSE)</f>
        <v>96.09</v>
      </c>
      <c r="J11" s="16">
        <f>(H11/G11)*I11*F11</f>
        <v>6092.1059999999998</v>
      </c>
      <c r="K11" s="12" t="str">
        <f>IF(E11="M"," ",L11*F11)</f>
        <v xml:space="preserve"> </v>
      </c>
      <c r="L11" s="12" t="str">
        <f>IF(E11="M"," ",H11/G11)</f>
        <v xml:space="preserve"> </v>
      </c>
      <c r="M11" s="16">
        <f>IF($E11="L",$J11,0)</f>
        <v>0</v>
      </c>
      <c r="N11" s="16">
        <f>IF($E11="M",$J11,0)</f>
        <v>6092.1059999999998</v>
      </c>
      <c r="O11" s="16">
        <f>IF($E11="P",$J11,0)</f>
        <v>0</v>
      </c>
      <c r="P11" s="16">
        <f>IF($E11="S",$J11,0)</f>
        <v>0</v>
      </c>
      <c r="Q11" s="16">
        <f>SUM(M11:P11)</f>
        <v>6092.1059999999998</v>
      </c>
      <c r="R11" s="250" t="s">
        <v>529</v>
      </c>
    </row>
    <row r="12" spans="1:21" x14ac:dyDescent="0.25">
      <c r="A12" s="52" t="s">
        <v>642</v>
      </c>
      <c r="B12" s="6">
        <v>3</v>
      </c>
      <c r="C12" s="6" t="s">
        <v>29</v>
      </c>
      <c r="D12" s="6" t="s">
        <v>30</v>
      </c>
      <c r="E12" s="45" t="s">
        <v>507</v>
      </c>
      <c r="F12" s="12">
        <v>1</v>
      </c>
      <c r="G12" s="12">
        <v>1</v>
      </c>
      <c r="H12" s="16">
        <f>H9/4</f>
        <v>15.85</v>
      </c>
      <c r="I12" s="16">
        <f>VLOOKUP(C12,Resources!B:G,6,FALSE)</f>
        <v>24</v>
      </c>
      <c r="J12" s="16">
        <f>(H12/G12)*I12*F12</f>
        <v>380.4</v>
      </c>
      <c r="K12" s="12" t="str">
        <f>IF(E12="M"," ",L12*F12)</f>
        <v xml:space="preserve"> </v>
      </c>
      <c r="L12" s="12" t="str">
        <f>IF(E12="M"," ",H12/G12)</f>
        <v xml:space="preserve"> </v>
      </c>
      <c r="M12" s="16">
        <f>IF($E12="L",$J12,0)</f>
        <v>0</v>
      </c>
      <c r="N12" s="16">
        <f>IF($E12="M",$J12,0)</f>
        <v>380.4</v>
      </c>
      <c r="O12" s="16">
        <f>IF($E12="P",$J12,0)</f>
        <v>0</v>
      </c>
      <c r="P12" s="16">
        <f>IF($E12="S",$J12,0)</f>
        <v>0</v>
      </c>
      <c r="Q12" s="16">
        <f>SUM(M12:P12)</f>
        <v>380.4</v>
      </c>
      <c r="R12" s="250" t="s">
        <v>530</v>
      </c>
    </row>
    <row r="13" spans="1:21" x14ac:dyDescent="0.25">
      <c r="A13" s="49" t="s">
        <v>642</v>
      </c>
      <c r="B13" s="5">
        <v>4</v>
      </c>
      <c r="C13" s="8" t="s">
        <v>31</v>
      </c>
      <c r="F13" s="11"/>
      <c r="G13" s="11"/>
      <c r="K13" s="11"/>
      <c r="L13" s="11"/>
    </row>
    <row r="14" spans="1:21" x14ac:dyDescent="0.25">
      <c r="A14" s="52">
        <v>6.01</v>
      </c>
      <c r="B14" s="6">
        <v>5</v>
      </c>
      <c r="C14" s="6" t="s">
        <v>32</v>
      </c>
      <c r="D14" s="6" t="s">
        <v>33</v>
      </c>
      <c r="E14" s="45" t="s">
        <v>508</v>
      </c>
      <c r="F14" s="12">
        <v>1</v>
      </c>
      <c r="G14" s="48">
        <f>VLOOKUP($A14,'Model Inputs'!$A:$C,3,FALSE)</f>
        <v>5</v>
      </c>
      <c r="H14" s="16">
        <f>H9</f>
        <v>63.4</v>
      </c>
      <c r="I14" s="16">
        <f>VLOOKUP(C14,Resources!B:G,6,FALSE)</f>
        <v>125</v>
      </c>
      <c r="J14" s="16">
        <f>(H14/G14)*I14*F14</f>
        <v>1585</v>
      </c>
      <c r="K14" s="12">
        <f>IF(E14="M"," ",L14*F14)</f>
        <v>12.68</v>
      </c>
      <c r="L14" s="12">
        <f>IF(E14="M"," ",H14/G14)</f>
        <v>12.68</v>
      </c>
      <c r="M14" s="16">
        <f>IF($E14="L",$J14,0)</f>
        <v>0</v>
      </c>
      <c r="N14" s="16">
        <f>IF($E14="M",$J14,0)</f>
        <v>0</v>
      </c>
      <c r="O14" s="16">
        <f>IF($E14="P",$J14,0)</f>
        <v>1585</v>
      </c>
      <c r="P14" s="16">
        <f>IF($E14="S",$J14,0)</f>
        <v>0</v>
      </c>
      <c r="Q14" s="16">
        <f>SUM(M14:P14)</f>
        <v>1585</v>
      </c>
      <c r="R14" s="250">
        <v>81</v>
      </c>
    </row>
    <row r="15" spans="1:21" x14ac:dyDescent="0.25">
      <c r="A15" s="52" t="s">
        <v>642</v>
      </c>
      <c r="B15" s="6">
        <v>6</v>
      </c>
      <c r="C15" s="6" t="s">
        <v>8</v>
      </c>
      <c r="D15" s="6" t="s">
        <v>33</v>
      </c>
      <c r="E15" s="45" t="s">
        <v>506</v>
      </c>
      <c r="F15" s="12">
        <v>2</v>
      </c>
      <c r="G15" s="12">
        <f>G14</f>
        <v>5</v>
      </c>
      <c r="H15" s="16">
        <f>H9</f>
        <v>63.4</v>
      </c>
      <c r="I15" s="16">
        <f>VLOOKUP(C15,Resources!B:G,6,FALSE)</f>
        <v>48</v>
      </c>
      <c r="J15" s="16">
        <f>(H15/G15)*I15*F15</f>
        <v>1217.28</v>
      </c>
      <c r="K15" s="12">
        <f>IF(E15="M"," ",L15*F15)</f>
        <v>25.36</v>
      </c>
      <c r="L15" s="12">
        <f>IF(E15="M"," ",H15/G15)</f>
        <v>12.68</v>
      </c>
      <c r="M15" s="16">
        <f>IF($E15="L",$J15,0)</f>
        <v>1217.28</v>
      </c>
      <c r="N15" s="16">
        <f>IF($E15="M",$J15,0)</f>
        <v>0</v>
      </c>
      <c r="O15" s="16">
        <f>IF($E15="P",$J15,0)</f>
        <v>0</v>
      </c>
      <c r="P15" s="16">
        <f>IF($E15="S",$J15,0)</f>
        <v>0</v>
      </c>
      <c r="Q15" s="16">
        <f>SUM(M15:P15)</f>
        <v>1217.28</v>
      </c>
      <c r="R15" s="250">
        <v>81</v>
      </c>
    </row>
    <row r="16" spans="1:21" x14ac:dyDescent="0.25">
      <c r="A16" s="52" t="s">
        <v>642</v>
      </c>
      <c r="B16" s="6">
        <v>7</v>
      </c>
      <c r="C16" s="6" t="s">
        <v>34</v>
      </c>
      <c r="D16" s="6" t="s">
        <v>33</v>
      </c>
      <c r="E16" s="45" t="s">
        <v>508</v>
      </c>
      <c r="F16" s="12">
        <v>1</v>
      </c>
      <c r="G16" s="12">
        <f>G14</f>
        <v>5</v>
      </c>
      <c r="H16" s="16">
        <f>H9</f>
        <v>63.4</v>
      </c>
      <c r="I16" s="16">
        <f>VLOOKUP(C16,Resources!B:G,6,FALSE)</f>
        <v>10</v>
      </c>
      <c r="J16" s="16">
        <f>(H16/G16)*I16*F16</f>
        <v>126.8</v>
      </c>
      <c r="K16" s="12">
        <f>IF(E16="M"," ",L16*F16)</f>
        <v>12.68</v>
      </c>
      <c r="L16" s="12">
        <f>IF(E16="M"," ",H16/G16)</f>
        <v>12.68</v>
      </c>
      <c r="M16" s="16">
        <f>IF($E16="L",$J16,0)</f>
        <v>0</v>
      </c>
      <c r="N16" s="16">
        <f>IF($E16="M",$J16,0)</f>
        <v>0</v>
      </c>
      <c r="O16" s="16">
        <f>IF($E16="P",$J16,0)</f>
        <v>126.8</v>
      </c>
      <c r="P16" s="16">
        <f>IF($E16="S",$J16,0)</f>
        <v>0</v>
      </c>
      <c r="Q16" s="16">
        <f>SUM(M16:P16)</f>
        <v>126.8</v>
      </c>
      <c r="R16" s="250">
        <v>81</v>
      </c>
    </row>
    <row r="17" spans="1:18" x14ac:dyDescent="0.25">
      <c r="A17" s="49" t="s">
        <v>642</v>
      </c>
      <c r="F17" s="11"/>
      <c r="G17" s="11"/>
      <c r="K17" s="11"/>
      <c r="L17" s="11"/>
    </row>
    <row r="18" spans="1:18" ht="60" x14ac:dyDescent="0.25">
      <c r="A18" s="51">
        <v>7</v>
      </c>
      <c r="B18" s="3" t="s">
        <v>35</v>
      </c>
      <c r="C18" s="3" t="s">
        <v>36</v>
      </c>
      <c r="D18" s="4" t="s">
        <v>26</v>
      </c>
      <c r="E18" s="44"/>
      <c r="F18" s="10"/>
      <c r="G18" s="10"/>
      <c r="H18" s="48">
        <f>VLOOKUP($A18,'Model Inputs'!$A:$C,3,FALSE)</f>
        <v>26.8</v>
      </c>
      <c r="I18" s="15"/>
      <c r="J18" s="15">
        <f>SUBTOTAL(9,J20:J25)</f>
        <v>4610.4040000000005</v>
      </c>
      <c r="K18" s="10"/>
      <c r="L18" s="15">
        <f>ROUNDUP(MAX(L20:L25)/Workhrs,0)</f>
        <v>1</v>
      </c>
      <c r="M18" s="15">
        <f>SUBTOTAL(9,M20:M25)</f>
        <v>514.56000000000006</v>
      </c>
      <c r="N18" s="15">
        <f>SUBTOTAL(9,N20:N25)</f>
        <v>3372.2440000000001</v>
      </c>
      <c r="O18" s="15">
        <f>SUBTOTAL(9,O20:O25)</f>
        <v>723.6</v>
      </c>
      <c r="P18" s="15">
        <f>SUBTOTAL(9,P20:P25)</f>
        <v>0</v>
      </c>
      <c r="Q18" s="15">
        <f>SUBTOTAL(9,Q20:Q25)</f>
        <v>4610.4040000000005</v>
      </c>
      <c r="R18" s="249"/>
    </row>
    <row r="19" spans="1:18" x14ac:dyDescent="0.25">
      <c r="A19" s="49" t="s">
        <v>642</v>
      </c>
      <c r="B19" s="5">
        <v>1</v>
      </c>
      <c r="C19" s="8" t="s">
        <v>27</v>
      </c>
      <c r="F19" s="11"/>
      <c r="G19" s="11"/>
      <c r="K19" s="11"/>
      <c r="L19" s="11"/>
    </row>
    <row r="20" spans="1:18" x14ac:dyDescent="0.25">
      <c r="A20" s="52" t="s">
        <v>642</v>
      </c>
      <c r="B20" s="6">
        <v>2</v>
      </c>
      <c r="C20" s="6" t="s">
        <v>37</v>
      </c>
      <c r="D20" s="6" t="s">
        <v>26</v>
      </c>
      <c r="E20" s="45" t="s">
        <v>507</v>
      </c>
      <c r="F20" s="12">
        <v>1</v>
      </c>
      <c r="G20" s="12">
        <v>1</v>
      </c>
      <c r="H20" s="16">
        <f>H18</f>
        <v>26.8</v>
      </c>
      <c r="I20" s="16">
        <f>VLOOKUP(C20,Resources!B:G,6,FALSE)</f>
        <v>119.83</v>
      </c>
      <c r="J20" s="16">
        <f>(H20/G20)*I20*F20</f>
        <v>3211.444</v>
      </c>
      <c r="K20" s="12" t="str">
        <f>IF(E20="M"," ",L20*F20)</f>
        <v xml:space="preserve"> </v>
      </c>
      <c r="L20" s="12" t="str">
        <f>IF(E20="M"," ",H20/G20)</f>
        <v xml:space="preserve"> </v>
      </c>
      <c r="M20" s="16">
        <f>IF($E20="L",$J20,0)</f>
        <v>0</v>
      </c>
      <c r="N20" s="16">
        <f>IF($E20="M",$J20,0)</f>
        <v>3211.444</v>
      </c>
      <c r="O20" s="16">
        <f>IF($E20="P",$J20,0)</f>
        <v>0</v>
      </c>
      <c r="P20" s="16">
        <f>IF($E20="S",$J20,0)</f>
        <v>0</v>
      </c>
      <c r="Q20" s="16">
        <f>SUM(M20:P20)</f>
        <v>3211.444</v>
      </c>
      <c r="R20" s="250" t="s">
        <v>529</v>
      </c>
    </row>
    <row r="21" spans="1:18" x14ac:dyDescent="0.25">
      <c r="A21" s="52" t="s">
        <v>642</v>
      </c>
      <c r="B21" s="6">
        <v>3</v>
      </c>
      <c r="C21" s="6" t="s">
        <v>29</v>
      </c>
      <c r="D21" s="6" t="s">
        <v>30</v>
      </c>
      <c r="E21" s="45" t="s">
        <v>507</v>
      </c>
      <c r="F21" s="12">
        <v>1</v>
      </c>
      <c r="G21" s="12">
        <v>1</v>
      </c>
      <c r="H21" s="16">
        <f>H18/4</f>
        <v>6.7</v>
      </c>
      <c r="I21" s="16">
        <f>VLOOKUP(C21,Resources!B:G,6,FALSE)</f>
        <v>24</v>
      </c>
      <c r="J21" s="16">
        <f>(H21/G21)*I21*F21</f>
        <v>160.80000000000001</v>
      </c>
      <c r="K21" s="12" t="str">
        <f>IF(E21="M"," ",L21*F21)</f>
        <v xml:space="preserve"> </v>
      </c>
      <c r="L21" s="12" t="str">
        <f>IF(E21="M"," ",H21/G21)</f>
        <v xml:space="preserve"> </v>
      </c>
      <c r="M21" s="16">
        <f>IF($E21="L",$J21,0)</f>
        <v>0</v>
      </c>
      <c r="N21" s="16">
        <f>IF($E21="M",$J21,0)</f>
        <v>160.80000000000001</v>
      </c>
      <c r="O21" s="16">
        <f>IF($E21="P",$J21,0)</f>
        <v>0</v>
      </c>
      <c r="P21" s="16">
        <f>IF($E21="S",$J21,0)</f>
        <v>0</v>
      </c>
      <c r="Q21" s="16">
        <f>SUM(M21:P21)</f>
        <v>160.80000000000001</v>
      </c>
      <c r="R21" s="250" t="s">
        <v>530</v>
      </c>
    </row>
    <row r="22" spans="1:18" x14ac:dyDescent="0.25">
      <c r="A22" s="49" t="s">
        <v>642</v>
      </c>
      <c r="B22" s="5">
        <v>4</v>
      </c>
      <c r="C22" s="8" t="s">
        <v>31</v>
      </c>
      <c r="F22" s="11"/>
      <c r="G22" s="11"/>
      <c r="K22" s="11"/>
      <c r="L22" s="11"/>
    </row>
    <row r="23" spans="1:18" x14ac:dyDescent="0.25">
      <c r="A23" s="52">
        <v>7.01</v>
      </c>
      <c r="B23" s="6">
        <v>5</v>
      </c>
      <c r="C23" s="6" t="s">
        <v>32</v>
      </c>
      <c r="D23" s="6" t="s">
        <v>33</v>
      </c>
      <c r="E23" s="45" t="s">
        <v>508</v>
      </c>
      <c r="F23" s="12">
        <v>1</v>
      </c>
      <c r="G23" s="48">
        <f>VLOOKUP($A23,'Model Inputs'!$A:$C,3,FALSE)</f>
        <v>5</v>
      </c>
      <c r="H23" s="16">
        <f>H18</f>
        <v>26.8</v>
      </c>
      <c r="I23" s="16">
        <f>VLOOKUP(C23,Resources!B:G,6,FALSE)</f>
        <v>125</v>
      </c>
      <c r="J23" s="16">
        <f>(H23/G23)*I23*F23</f>
        <v>670</v>
      </c>
      <c r="K23" s="12">
        <f>IF(E23="M"," ",L23*F23)</f>
        <v>5.36</v>
      </c>
      <c r="L23" s="12">
        <f>IF(E23="M"," ",H23/G23)</f>
        <v>5.36</v>
      </c>
      <c r="M23" s="16">
        <f>IF($E23="L",$J23,0)</f>
        <v>0</v>
      </c>
      <c r="N23" s="16">
        <f>IF($E23="M",$J23,0)</f>
        <v>0</v>
      </c>
      <c r="O23" s="16">
        <f>IF($E23="P",$J23,0)</f>
        <v>670</v>
      </c>
      <c r="P23" s="16">
        <f>IF($E23="S",$J23,0)</f>
        <v>0</v>
      </c>
      <c r="Q23" s="16">
        <f>SUM(M23:P23)</f>
        <v>670</v>
      </c>
      <c r="R23" s="250">
        <v>81</v>
      </c>
    </row>
    <row r="24" spans="1:18" x14ac:dyDescent="0.25">
      <c r="A24" s="52" t="s">
        <v>642</v>
      </c>
      <c r="B24" s="6">
        <v>6</v>
      </c>
      <c r="C24" s="6" t="s">
        <v>8</v>
      </c>
      <c r="D24" s="6" t="s">
        <v>33</v>
      </c>
      <c r="E24" s="45" t="s">
        <v>506</v>
      </c>
      <c r="F24" s="12">
        <v>2</v>
      </c>
      <c r="G24" s="12">
        <f>G23</f>
        <v>5</v>
      </c>
      <c r="H24" s="16">
        <f>H18</f>
        <v>26.8</v>
      </c>
      <c r="I24" s="16">
        <f>VLOOKUP(C24,Resources!B:G,6,FALSE)</f>
        <v>48</v>
      </c>
      <c r="J24" s="16">
        <f>(H24/G24)*I24*F24</f>
        <v>514.56000000000006</v>
      </c>
      <c r="K24" s="12">
        <f>IF(E24="M"," ",L24*F24)</f>
        <v>10.72</v>
      </c>
      <c r="L24" s="12">
        <f>IF(E24="M"," ",H24/G24)</f>
        <v>5.36</v>
      </c>
      <c r="M24" s="16">
        <f>IF($E24="L",$J24,0)</f>
        <v>514.56000000000006</v>
      </c>
      <c r="N24" s="16">
        <f>IF($E24="M",$J24,0)</f>
        <v>0</v>
      </c>
      <c r="O24" s="16">
        <f>IF($E24="P",$J24,0)</f>
        <v>0</v>
      </c>
      <c r="P24" s="16">
        <f>IF($E24="S",$J24,0)</f>
        <v>0</v>
      </c>
      <c r="Q24" s="16">
        <f>SUM(M24:P24)</f>
        <v>514.56000000000006</v>
      </c>
      <c r="R24" s="250">
        <v>81</v>
      </c>
    </row>
    <row r="25" spans="1:18" x14ac:dyDescent="0.25">
      <c r="A25" s="52" t="s">
        <v>642</v>
      </c>
      <c r="B25" s="6">
        <v>7</v>
      </c>
      <c r="C25" s="6" t="s">
        <v>34</v>
      </c>
      <c r="D25" s="6" t="s">
        <v>33</v>
      </c>
      <c r="E25" s="45" t="s">
        <v>508</v>
      </c>
      <c r="F25" s="12">
        <v>1</v>
      </c>
      <c r="G25" s="12">
        <f>G23</f>
        <v>5</v>
      </c>
      <c r="H25" s="16">
        <f>H18</f>
        <v>26.8</v>
      </c>
      <c r="I25" s="16">
        <f>VLOOKUP(C25,Resources!B:G,6,FALSE)</f>
        <v>10</v>
      </c>
      <c r="J25" s="16">
        <f>(H25/G25)*I25*F25</f>
        <v>53.6</v>
      </c>
      <c r="K25" s="12">
        <f>IF(E25="M"," ",L25*F25)</f>
        <v>5.36</v>
      </c>
      <c r="L25" s="12">
        <f>IF(E25="M"," ",H25/G25)</f>
        <v>5.36</v>
      </c>
      <c r="M25" s="16">
        <f>IF($E25="L",$J25,0)</f>
        <v>0</v>
      </c>
      <c r="N25" s="16">
        <f>IF($E25="M",$J25,0)</f>
        <v>0</v>
      </c>
      <c r="O25" s="16">
        <f>IF($E25="P",$J25,0)</f>
        <v>53.6</v>
      </c>
      <c r="P25" s="16">
        <f>IF($E25="S",$J25,0)</f>
        <v>0</v>
      </c>
      <c r="Q25" s="16">
        <f>SUM(M25:P25)</f>
        <v>53.6</v>
      </c>
      <c r="R25" s="250">
        <v>81</v>
      </c>
    </row>
    <row r="26" spans="1:18" x14ac:dyDescent="0.25">
      <c r="A26" s="49" t="s">
        <v>642</v>
      </c>
      <c r="F26" s="11"/>
      <c r="G26" s="11"/>
      <c r="K26" s="11"/>
      <c r="L26" s="11"/>
    </row>
    <row r="27" spans="1:18" ht="60" x14ac:dyDescent="0.25">
      <c r="A27" s="51">
        <v>8</v>
      </c>
      <c r="B27" s="3" t="s">
        <v>38</v>
      </c>
      <c r="C27" s="3" t="s">
        <v>39</v>
      </c>
      <c r="D27" s="4" t="s">
        <v>26</v>
      </c>
      <c r="E27" s="44"/>
      <c r="F27" s="10"/>
      <c r="G27" s="10"/>
      <c r="H27" s="48">
        <f>VLOOKUP($A27,'Model Inputs'!$A:$C,3,FALSE)</f>
        <v>70.7</v>
      </c>
      <c r="I27" s="15"/>
      <c r="J27" s="15">
        <f>SUBTOTAL(9,J29:J34)</f>
        <v>13652.170000000002</v>
      </c>
      <c r="K27" s="10"/>
      <c r="L27" s="15">
        <f>ROUNDUP(MAX(L29:L34)/Workhrs,0)</f>
        <v>2</v>
      </c>
      <c r="M27" s="15">
        <f>SUBTOTAL(9,M29:M34)</f>
        <v>1357.44</v>
      </c>
      <c r="N27" s="15">
        <f>SUBTOTAL(9,N29:N34)</f>
        <v>10385.830000000002</v>
      </c>
      <c r="O27" s="15">
        <f>SUBTOTAL(9,O29:O34)</f>
        <v>1908.9</v>
      </c>
      <c r="P27" s="15">
        <f>SUBTOTAL(9,P29:P34)</f>
        <v>0</v>
      </c>
      <c r="Q27" s="15">
        <f>SUBTOTAL(9,Q29:Q34)</f>
        <v>13652.170000000002</v>
      </c>
      <c r="R27" s="249"/>
    </row>
    <row r="28" spans="1:18" x14ac:dyDescent="0.25">
      <c r="A28" s="49" t="s">
        <v>642</v>
      </c>
      <c r="B28" s="5">
        <v>1</v>
      </c>
      <c r="C28" s="8" t="s">
        <v>27</v>
      </c>
      <c r="F28" s="11"/>
      <c r="G28" s="11"/>
      <c r="K28" s="11"/>
      <c r="L28" s="11"/>
    </row>
    <row r="29" spans="1:18" x14ac:dyDescent="0.25">
      <c r="A29" s="52" t="s">
        <v>642</v>
      </c>
      <c r="B29" s="6">
        <v>2</v>
      </c>
      <c r="C29" s="6" t="s">
        <v>40</v>
      </c>
      <c r="D29" s="6" t="s">
        <v>26</v>
      </c>
      <c r="E29" s="45" t="s">
        <v>507</v>
      </c>
      <c r="F29" s="12">
        <v>1</v>
      </c>
      <c r="G29" s="12">
        <v>1</v>
      </c>
      <c r="H29" s="16">
        <f>H27</f>
        <v>70.7</v>
      </c>
      <c r="I29" s="16">
        <f>VLOOKUP(C29,Resources!B:G,6,FALSE)</f>
        <v>140.9</v>
      </c>
      <c r="J29" s="16">
        <f>(H29/G29)*I29*F29</f>
        <v>9961.630000000001</v>
      </c>
      <c r="K29" s="12" t="str">
        <f>IF(E29="M"," ",L29*F29)</f>
        <v xml:space="preserve"> </v>
      </c>
      <c r="L29" s="12" t="str">
        <f>IF(E29="M"," ",H29/G29)</f>
        <v xml:space="preserve"> </v>
      </c>
      <c r="M29" s="16">
        <f>IF($E29="L",$J29,0)</f>
        <v>0</v>
      </c>
      <c r="N29" s="16">
        <f>IF($E29="M",$J29,0)</f>
        <v>9961.630000000001</v>
      </c>
      <c r="O29" s="16">
        <f>IF($E29="P",$J29,0)</f>
        <v>0</v>
      </c>
      <c r="P29" s="16">
        <f>IF($E29="S",$J29,0)</f>
        <v>0</v>
      </c>
      <c r="Q29" s="16">
        <f>SUM(M29:P29)</f>
        <v>9961.630000000001</v>
      </c>
      <c r="R29" s="250" t="s">
        <v>529</v>
      </c>
    </row>
    <row r="30" spans="1:18" x14ac:dyDescent="0.25">
      <c r="A30" s="52" t="s">
        <v>642</v>
      </c>
      <c r="B30" s="6">
        <v>3</v>
      </c>
      <c r="C30" s="6" t="s">
        <v>29</v>
      </c>
      <c r="D30" s="6" t="s">
        <v>30</v>
      </c>
      <c r="E30" s="45" t="s">
        <v>507</v>
      </c>
      <c r="F30" s="12">
        <v>1</v>
      </c>
      <c r="G30" s="12">
        <v>1</v>
      </c>
      <c r="H30" s="16">
        <f>H27/4</f>
        <v>17.675000000000001</v>
      </c>
      <c r="I30" s="16">
        <f>VLOOKUP(C30,Resources!B:G,6,FALSE)</f>
        <v>24</v>
      </c>
      <c r="J30" s="16">
        <f>(H30/G30)*I30*F30</f>
        <v>424.20000000000005</v>
      </c>
      <c r="K30" s="12" t="str">
        <f>IF(E30="M"," ",L30*F30)</f>
        <v xml:space="preserve"> </v>
      </c>
      <c r="L30" s="12" t="str">
        <f>IF(E30="M"," ",H30/G30)</f>
        <v xml:space="preserve"> </v>
      </c>
      <c r="M30" s="16">
        <f>IF($E30="L",$J30,0)</f>
        <v>0</v>
      </c>
      <c r="N30" s="16">
        <f>IF($E30="M",$J30,0)</f>
        <v>424.20000000000005</v>
      </c>
      <c r="O30" s="16">
        <f>IF($E30="P",$J30,0)</f>
        <v>0</v>
      </c>
      <c r="P30" s="16">
        <f>IF($E30="S",$J30,0)</f>
        <v>0</v>
      </c>
      <c r="Q30" s="16">
        <f>SUM(M30:P30)</f>
        <v>424.20000000000005</v>
      </c>
      <c r="R30" s="250" t="s">
        <v>529</v>
      </c>
    </row>
    <row r="31" spans="1:18" x14ac:dyDescent="0.25">
      <c r="A31" s="49" t="s">
        <v>642</v>
      </c>
      <c r="B31" s="5">
        <v>4</v>
      </c>
      <c r="C31" s="8" t="s">
        <v>31</v>
      </c>
      <c r="F31" s="11"/>
      <c r="G31" s="11"/>
      <c r="K31" s="11"/>
      <c r="L31" s="11"/>
    </row>
    <row r="32" spans="1:18" x14ac:dyDescent="0.25">
      <c r="A32" s="52">
        <v>8.01</v>
      </c>
      <c r="B32" s="6">
        <v>5</v>
      </c>
      <c r="C32" s="6" t="s">
        <v>32</v>
      </c>
      <c r="D32" s="6" t="s">
        <v>33</v>
      </c>
      <c r="E32" s="45" t="s">
        <v>508</v>
      </c>
      <c r="F32" s="12">
        <v>1</v>
      </c>
      <c r="G32" s="48">
        <f>VLOOKUP($A32,'Model Inputs'!$A:$C,3,FALSE)</f>
        <v>5</v>
      </c>
      <c r="H32" s="16">
        <f>H27</f>
        <v>70.7</v>
      </c>
      <c r="I32" s="16">
        <f>VLOOKUP(C32,Resources!B:G,6,FALSE)</f>
        <v>125</v>
      </c>
      <c r="J32" s="16">
        <f>(H32/G32)*I32*F32</f>
        <v>1767.5</v>
      </c>
      <c r="K32" s="12">
        <f>IF(E32="M"," ",L32*F32)</f>
        <v>14.14</v>
      </c>
      <c r="L32" s="12">
        <f>IF(E32="M"," ",H32/G32)</f>
        <v>14.14</v>
      </c>
      <c r="M32" s="16">
        <f>IF($E32="L",$J32,0)</f>
        <v>0</v>
      </c>
      <c r="N32" s="16">
        <f>IF($E32="M",$J32,0)</f>
        <v>0</v>
      </c>
      <c r="O32" s="16">
        <f>IF($E32="P",$J32,0)</f>
        <v>1767.5</v>
      </c>
      <c r="P32" s="16">
        <f>IF($E32="S",$J32,0)</f>
        <v>0</v>
      </c>
      <c r="Q32" s="16">
        <f>SUM(M32:P32)</f>
        <v>1767.5</v>
      </c>
      <c r="R32" s="250">
        <v>82</v>
      </c>
    </row>
    <row r="33" spans="1:18" x14ac:dyDescent="0.25">
      <c r="A33" s="52" t="s">
        <v>642</v>
      </c>
      <c r="B33" s="6">
        <v>6</v>
      </c>
      <c r="C33" s="6" t="s">
        <v>8</v>
      </c>
      <c r="D33" s="6" t="s">
        <v>33</v>
      </c>
      <c r="E33" s="45" t="s">
        <v>506</v>
      </c>
      <c r="F33" s="12">
        <v>2</v>
      </c>
      <c r="G33" s="12">
        <f>G32</f>
        <v>5</v>
      </c>
      <c r="H33" s="16">
        <f>H27</f>
        <v>70.7</v>
      </c>
      <c r="I33" s="16">
        <f>VLOOKUP(C33,Resources!B:G,6,FALSE)</f>
        <v>48</v>
      </c>
      <c r="J33" s="16">
        <f>(H33/G33)*I33*F33</f>
        <v>1357.44</v>
      </c>
      <c r="K33" s="12">
        <f>IF(E33="M"," ",L33*F33)</f>
        <v>28.28</v>
      </c>
      <c r="L33" s="12">
        <f>IF(E33="M"," ",H33/G33)</f>
        <v>14.14</v>
      </c>
      <c r="M33" s="16">
        <f>IF($E33="L",$J33,0)</f>
        <v>1357.44</v>
      </c>
      <c r="N33" s="16">
        <f>IF($E33="M",$J33,0)</f>
        <v>0</v>
      </c>
      <c r="O33" s="16">
        <f>IF($E33="P",$J33,0)</f>
        <v>0</v>
      </c>
      <c r="P33" s="16">
        <f>IF($E33="S",$J33,0)</f>
        <v>0</v>
      </c>
      <c r="Q33" s="16">
        <f>SUM(M33:P33)</f>
        <v>1357.44</v>
      </c>
      <c r="R33" s="250">
        <v>82</v>
      </c>
    </row>
    <row r="34" spans="1:18" x14ac:dyDescent="0.25">
      <c r="A34" s="52" t="s">
        <v>642</v>
      </c>
      <c r="B34" s="6">
        <v>7</v>
      </c>
      <c r="C34" s="6" t="s">
        <v>34</v>
      </c>
      <c r="D34" s="6" t="s">
        <v>33</v>
      </c>
      <c r="E34" s="45" t="s">
        <v>508</v>
      </c>
      <c r="F34" s="12">
        <v>1</v>
      </c>
      <c r="G34" s="12">
        <f>G32</f>
        <v>5</v>
      </c>
      <c r="H34" s="16">
        <f>H27</f>
        <v>70.7</v>
      </c>
      <c r="I34" s="16">
        <f>VLOOKUP(C34,Resources!B:G,6,FALSE)</f>
        <v>10</v>
      </c>
      <c r="J34" s="16">
        <f>(H34/G34)*I34*F34</f>
        <v>141.4</v>
      </c>
      <c r="K34" s="12">
        <f>IF(E34="M"," ",L34*F34)</f>
        <v>14.14</v>
      </c>
      <c r="L34" s="12">
        <f>IF(E34="M"," ",H34/G34)</f>
        <v>14.14</v>
      </c>
      <c r="M34" s="16">
        <f>IF($E34="L",$J34,0)</f>
        <v>0</v>
      </c>
      <c r="N34" s="16">
        <f>IF($E34="M",$J34,0)</f>
        <v>0</v>
      </c>
      <c r="O34" s="16">
        <f>IF($E34="P",$J34,0)</f>
        <v>141.4</v>
      </c>
      <c r="P34" s="16">
        <f>IF($E34="S",$J34,0)</f>
        <v>0</v>
      </c>
      <c r="Q34" s="16">
        <f>SUM(M34:P34)</f>
        <v>141.4</v>
      </c>
      <c r="R34" s="250">
        <v>82</v>
      </c>
    </row>
    <row r="35" spans="1:18" x14ac:dyDescent="0.25">
      <c r="A35" s="49" t="s">
        <v>642</v>
      </c>
      <c r="F35" s="11"/>
      <c r="G35" s="11"/>
      <c r="K35" s="11"/>
      <c r="L35" s="11"/>
    </row>
    <row r="36" spans="1:18" ht="60" x14ac:dyDescent="0.25">
      <c r="A36" s="51">
        <v>9</v>
      </c>
      <c r="B36" s="3" t="s">
        <v>41</v>
      </c>
      <c r="C36" s="3" t="s">
        <v>42</v>
      </c>
      <c r="D36" s="4" t="s">
        <v>26</v>
      </c>
      <c r="E36" s="44"/>
      <c r="F36" s="10"/>
      <c r="G36" s="10"/>
      <c r="H36" s="48">
        <f>VLOOKUP($A36,'Model Inputs'!$A:$C,3,FALSE)</f>
        <v>31.7</v>
      </c>
      <c r="I36" s="15"/>
      <c r="J36" s="15">
        <f>SUBTOTAL(9,J38:J43)</f>
        <v>7442.5259999999998</v>
      </c>
      <c r="K36" s="10"/>
      <c r="L36" s="15">
        <f>ROUNDUP(MAX(L38:L43)/Workhrs,0)</f>
        <v>1</v>
      </c>
      <c r="M36" s="15">
        <f>SUBTOTAL(9,M38:M43)</f>
        <v>608.64</v>
      </c>
      <c r="N36" s="15">
        <f>SUBTOTAL(9,N38:N43)</f>
        <v>5977.9859999999999</v>
      </c>
      <c r="O36" s="15">
        <f>SUBTOTAL(9,O38:O43)</f>
        <v>855.9</v>
      </c>
      <c r="P36" s="15">
        <f>SUBTOTAL(9,P38:P43)</f>
        <v>0</v>
      </c>
      <c r="Q36" s="15">
        <f>SUBTOTAL(9,Q38:Q43)</f>
        <v>7442.5259999999998</v>
      </c>
      <c r="R36" s="249"/>
    </row>
    <row r="37" spans="1:18" x14ac:dyDescent="0.25">
      <c r="A37" s="49" t="s">
        <v>642</v>
      </c>
      <c r="B37" s="5">
        <v>1</v>
      </c>
      <c r="C37" s="8" t="s">
        <v>27</v>
      </c>
      <c r="F37" s="11"/>
      <c r="G37" s="11"/>
      <c r="K37" s="11"/>
      <c r="L37" s="11"/>
    </row>
    <row r="38" spans="1:18" x14ac:dyDescent="0.25">
      <c r="A38" s="52" t="s">
        <v>642</v>
      </c>
      <c r="B38" s="6">
        <v>2</v>
      </c>
      <c r="C38" s="6" t="s">
        <v>43</v>
      </c>
      <c r="D38" s="6" t="s">
        <v>26</v>
      </c>
      <c r="E38" s="45" t="s">
        <v>507</v>
      </c>
      <c r="F38" s="12">
        <v>1</v>
      </c>
      <c r="G38" s="12">
        <v>1</v>
      </c>
      <c r="H38" s="16">
        <f>H36</f>
        <v>31.7</v>
      </c>
      <c r="I38" s="16">
        <f>VLOOKUP(C38,Resources!B:G,6,FALSE)</f>
        <v>182.58</v>
      </c>
      <c r="J38" s="16">
        <f>(H38/G38)*I38*F38</f>
        <v>5787.7860000000001</v>
      </c>
      <c r="K38" s="12" t="str">
        <f>IF(E38="M"," ",L38*F38)</f>
        <v xml:space="preserve"> </v>
      </c>
      <c r="L38" s="12" t="str">
        <f>IF(E38="M"," ",H38/G38)</f>
        <v xml:space="preserve"> </v>
      </c>
      <c r="M38" s="16">
        <f>IF($E38="L",$J38,0)</f>
        <v>0</v>
      </c>
      <c r="N38" s="16">
        <f>IF($E38="M",$J38,0)</f>
        <v>5787.7860000000001</v>
      </c>
      <c r="O38" s="16">
        <f>IF($E38="P",$J38,0)</f>
        <v>0</v>
      </c>
      <c r="P38" s="16">
        <f>IF($E38="S",$J38,0)</f>
        <v>0</v>
      </c>
      <c r="Q38" s="16">
        <f>SUM(M38:P38)</f>
        <v>5787.7860000000001</v>
      </c>
      <c r="R38" s="250" t="s">
        <v>529</v>
      </c>
    </row>
    <row r="39" spans="1:18" x14ac:dyDescent="0.25">
      <c r="A39" s="52" t="s">
        <v>642</v>
      </c>
      <c r="B39" s="6">
        <v>3</v>
      </c>
      <c r="C39" s="6" t="s">
        <v>29</v>
      </c>
      <c r="D39" s="6" t="s">
        <v>30</v>
      </c>
      <c r="E39" s="45" t="s">
        <v>507</v>
      </c>
      <c r="F39" s="12">
        <v>1</v>
      </c>
      <c r="G39" s="12">
        <v>1</v>
      </c>
      <c r="H39" s="16">
        <f>H36/4</f>
        <v>7.9249999999999998</v>
      </c>
      <c r="I39" s="16">
        <f>VLOOKUP(C39,Resources!B:G,6,FALSE)</f>
        <v>24</v>
      </c>
      <c r="J39" s="16">
        <f>(H39/G39)*I39*F39</f>
        <v>190.2</v>
      </c>
      <c r="K39" s="12" t="str">
        <f>IF(E39="M"," ",L39*F39)</f>
        <v xml:space="preserve"> </v>
      </c>
      <c r="L39" s="12" t="str">
        <f>IF(E39="M"," ",H39/G39)</f>
        <v xml:space="preserve"> </v>
      </c>
      <c r="M39" s="16">
        <f>IF($E39="L",$J39,0)</f>
        <v>0</v>
      </c>
      <c r="N39" s="16">
        <f>IF($E39="M",$J39,0)</f>
        <v>190.2</v>
      </c>
      <c r="O39" s="16">
        <f>IF($E39="P",$J39,0)</f>
        <v>0</v>
      </c>
      <c r="P39" s="16">
        <f>IF($E39="S",$J39,0)</f>
        <v>0</v>
      </c>
      <c r="Q39" s="16">
        <f>SUM(M39:P39)</f>
        <v>190.2</v>
      </c>
      <c r="R39" s="250" t="s">
        <v>530</v>
      </c>
    </row>
    <row r="40" spans="1:18" x14ac:dyDescent="0.25">
      <c r="A40" s="49" t="s">
        <v>642</v>
      </c>
      <c r="B40" s="5">
        <v>4</v>
      </c>
      <c r="C40" s="8" t="s">
        <v>31</v>
      </c>
      <c r="F40" s="11"/>
      <c r="G40" s="11"/>
      <c r="K40" s="11"/>
      <c r="L40" s="11"/>
    </row>
    <row r="41" spans="1:18" x14ac:dyDescent="0.25">
      <c r="A41" s="52">
        <v>9.01</v>
      </c>
      <c r="B41" s="6">
        <v>5</v>
      </c>
      <c r="C41" s="6" t="s">
        <v>32</v>
      </c>
      <c r="D41" s="6" t="s">
        <v>33</v>
      </c>
      <c r="E41" s="45" t="s">
        <v>508</v>
      </c>
      <c r="F41" s="12">
        <v>1</v>
      </c>
      <c r="G41" s="48">
        <f>VLOOKUP($A41,'Model Inputs'!$A:$C,3,FALSE)</f>
        <v>5</v>
      </c>
      <c r="H41" s="16">
        <f>H36</f>
        <v>31.7</v>
      </c>
      <c r="I41" s="16">
        <f>VLOOKUP(C41,Resources!B:G,6,FALSE)</f>
        <v>125</v>
      </c>
      <c r="J41" s="16">
        <f>(H41/G41)*I41*F41</f>
        <v>792.5</v>
      </c>
      <c r="K41" s="12">
        <f>IF(E41="M"," ",L41*F41)</f>
        <v>6.34</v>
      </c>
      <c r="L41" s="12">
        <f>IF(E41="M"," ",H41/G41)</f>
        <v>6.34</v>
      </c>
      <c r="M41" s="16">
        <f>IF($E41="L",$J41,0)</f>
        <v>0</v>
      </c>
      <c r="N41" s="16">
        <f>IF($E41="M",$J41,0)</f>
        <v>0</v>
      </c>
      <c r="O41" s="16">
        <f>IF($E41="P",$J41,0)</f>
        <v>792.5</v>
      </c>
      <c r="P41" s="16">
        <f>IF($E41="S",$J41,0)</f>
        <v>0</v>
      </c>
      <c r="Q41" s="16">
        <f>SUM(M41:P41)</f>
        <v>792.5</v>
      </c>
      <c r="R41" s="250">
        <v>82</v>
      </c>
    </row>
    <row r="42" spans="1:18" x14ac:dyDescent="0.25">
      <c r="A42" s="52" t="s">
        <v>642</v>
      </c>
      <c r="B42" s="6">
        <v>6</v>
      </c>
      <c r="C42" s="6" t="s">
        <v>8</v>
      </c>
      <c r="D42" s="6" t="s">
        <v>33</v>
      </c>
      <c r="E42" s="45" t="s">
        <v>506</v>
      </c>
      <c r="F42" s="12">
        <v>2</v>
      </c>
      <c r="G42" s="12">
        <f>G41</f>
        <v>5</v>
      </c>
      <c r="H42" s="16">
        <f>H36</f>
        <v>31.7</v>
      </c>
      <c r="I42" s="16">
        <f>VLOOKUP(C42,Resources!B:G,6,FALSE)</f>
        <v>48</v>
      </c>
      <c r="J42" s="16">
        <f>(H42/G42)*I42*F42</f>
        <v>608.64</v>
      </c>
      <c r="K42" s="12">
        <f>IF(E42="M"," ",L42*F42)</f>
        <v>12.68</v>
      </c>
      <c r="L42" s="12">
        <f>IF(E42="M"," ",H42/G42)</f>
        <v>6.34</v>
      </c>
      <c r="M42" s="16">
        <f>IF($E42="L",$J42,0)</f>
        <v>608.64</v>
      </c>
      <c r="N42" s="16">
        <f>IF($E42="M",$J42,0)</f>
        <v>0</v>
      </c>
      <c r="O42" s="16">
        <f>IF($E42="P",$J42,0)</f>
        <v>0</v>
      </c>
      <c r="P42" s="16">
        <f>IF($E42="S",$J42,0)</f>
        <v>0</v>
      </c>
      <c r="Q42" s="16">
        <f>SUM(M42:P42)</f>
        <v>608.64</v>
      </c>
      <c r="R42" s="250">
        <v>82</v>
      </c>
    </row>
    <row r="43" spans="1:18" x14ac:dyDescent="0.25">
      <c r="A43" s="52" t="s">
        <v>642</v>
      </c>
      <c r="B43" s="6">
        <v>7</v>
      </c>
      <c r="C43" s="6" t="s">
        <v>34</v>
      </c>
      <c r="D43" s="6" t="s">
        <v>33</v>
      </c>
      <c r="E43" s="45" t="s">
        <v>508</v>
      </c>
      <c r="F43" s="12">
        <v>1</v>
      </c>
      <c r="G43" s="12">
        <f>G41</f>
        <v>5</v>
      </c>
      <c r="H43" s="16">
        <f>H36</f>
        <v>31.7</v>
      </c>
      <c r="I43" s="16">
        <f>VLOOKUP(C43,Resources!B:G,6,FALSE)</f>
        <v>10</v>
      </c>
      <c r="J43" s="16">
        <f>(H43/G43)*I43*F43</f>
        <v>63.4</v>
      </c>
      <c r="K43" s="12">
        <f>IF(E43="M"," ",L43*F43)</f>
        <v>6.34</v>
      </c>
      <c r="L43" s="12">
        <f>IF(E43="M"," ",H43/G43)</f>
        <v>6.34</v>
      </c>
      <c r="M43" s="16">
        <f>IF($E43="L",$J43,0)</f>
        <v>0</v>
      </c>
      <c r="N43" s="16">
        <f>IF($E43="M",$J43,0)</f>
        <v>0</v>
      </c>
      <c r="O43" s="16">
        <f>IF($E43="P",$J43,0)</f>
        <v>63.4</v>
      </c>
      <c r="P43" s="16">
        <f>IF($E43="S",$J43,0)</f>
        <v>0</v>
      </c>
      <c r="Q43" s="16">
        <f>SUM(M43:P43)</f>
        <v>63.4</v>
      </c>
      <c r="R43" s="250">
        <v>82</v>
      </c>
    </row>
    <row r="44" spans="1:18" x14ac:dyDescent="0.25">
      <c r="A44" s="49" t="s">
        <v>642</v>
      </c>
      <c r="F44" s="11"/>
      <c r="G44" s="11"/>
      <c r="K44" s="11"/>
      <c r="L44" s="11"/>
    </row>
    <row r="45" spans="1:18" ht="60" x14ac:dyDescent="0.25">
      <c r="A45" s="51" t="s">
        <v>642</v>
      </c>
      <c r="B45" s="3" t="s">
        <v>44</v>
      </c>
      <c r="C45" s="3" t="s">
        <v>45</v>
      </c>
      <c r="D45" s="4"/>
      <c r="E45" s="44"/>
      <c r="F45" s="10"/>
      <c r="G45" s="10"/>
      <c r="H45" s="15"/>
      <c r="I45" s="15"/>
      <c r="J45" s="15"/>
      <c r="K45" s="10"/>
      <c r="L45" s="10"/>
      <c r="M45" s="15"/>
      <c r="N45" s="15"/>
      <c r="O45" s="15"/>
      <c r="P45" s="15"/>
      <c r="Q45" s="15"/>
      <c r="R45" s="249"/>
    </row>
    <row r="46" spans="1:18" ht="135" x14ac:dyDescent="0.25">
      <c r="A46" s="51">
        <v>10</v>
      </c>
      <c r="B46" s="3" t="s">
        <v>46</v>
      </c>
      <c r="C46" s="3" t="s">
        <v>547</v>
      </c>
      <c r="D46" s="4" t="s">
        <v>26</v>
      </c>
      <c r="E46" s="44"/>
      <c r="F46" s="10"/>
      <c r="G46" s="10"/>
      <c r="H46" s="48">
        <f>VLOOKUP($A46,'Model Inputs'!$A:$C,3,FALSE)</f>
        <v>315</v>
      </c>
      <c r="I46" s="15"/>
      <c r="J46" s="15">
        <f>SUBTOTAL(9,J48:J52)</f>
        <v>33138</v>
      </c>
      <c r="K46" s="10"/>
      <c r="L46" s="15">
        <f>ROUNDUP(MAX(L48:L52)/Workhrs,0)</f>
        <v>7</v>
      </c>
      <c r="M46" s="15">
        <f>SUBTOTAL(9,M48:M52)</f>
        <v>6048</v>
      </c>
      <c r="N46" s="15">
        <f>SUBTOTAL(9,N48:N52)</f>
        <v>19215</v>
      </c>
      <c r="O46" s="15">
        <f>SUBTOTAL(9,O48:O52)</f>
        <v>7875</v>
      </c>
      <c r="P46" s="15">
        <f>SUBTOTAL(9,P48:P52)</f>
        <v>0</v>
      </c>
      <c r="Q46" s="15">
        <f>SUBTOTAL(9,Q48:Q53)</f>
        <v>33768</v>
      </c>
      <c r="R46" s="249"/>
    </row>
    <row r="47" spans="1:18" x14ac:dyDescent="0.25">
      <c r="A47" s="49" t="s">
        <v>642</v>
      </c>
      <c r="B47" s="5">
        <v>1</v>
      </c>
      <c r="C47" s="8" t="s">
        <v>27</v>
      </c>
      <c r="F47" s="11"/>
      <c r="G47" s="11"/>
      <c r="K47" s="11"/>
      <c r="L47" s="11"/>
    </row>
    <row r="48" spans="1:18" x14ac:dyDescent="0.25">
      <c r="A48" s="52" t="s">
        <v>642</v>
      </c>
      <c r="B48" s="6">
        <v>2</v>
      </c>
      <c r="C48" s="6" t="s">
        <v>510</v>
      </c>
      <c r="D48" s="6" t="s">
        <v>26</v>
      </c>
      <c r="E48" s="45" t="s">
        <v>507</v>
      </c>
      <c r="F48" s="12">
        <v>1</v>
      </c>
      <c r="G48" s="12">
        <v>1</v>
      </c>
      <c r="H48" s="16">
        <f>H46</f>
        <v>315</v>
      </c>
      <c r="I48" s="16">
        <f>VLOOKUP(C48,Resources!B:G,6,FALSE)</f>
        <v>55</v>
      </c>
      <c r="J48" s="16">
        <f>(H48/G48)*I48*F48</f>
        <v>17325</v>
      </c>
      <c r="K48" s="12" t="str">
        <f>IF(E48="M"," ",L48*F48)</f>
        <v xml:space="preserve"> </v>
      </c>
      <c r="L48" s="12" t="str">
        <f>IF(E48="M"," ",H48/G48)</f>
        <v xml:space="preserve"> </v>
      </c>
      <c r="M48" s="16">
        <f>IF($E48="L",$J48,0)</f>
        <v>0</v>
      </c>
      <c r="N48" s="16">
        <f>IF($E48="M",$J48,0)</f>
        <v>17325</v>
      </c>
      <c r="O48" s="16">
        <f>IF($E48="P",$J48,0)</f>
        <v>0</v>
      </c>
      <c r="P48" s="16">
        <f>IF($E48="S",$J48,0)</f>
        <v>0</v>
      </c>
      <c r="Q48" s="16">
        <f>SUM(M48:P48)</f>
        <v>17325</v>
      </c>
      <c r="R48" s="250" t="s">
        <v>529</v>
      </c>
    </row>
    <row r="49" spans="1:18" x14ac:dyDescent="0.25">
      <c r="A49" s="52" t="s">
        <v>642</v>
      </c>
      <c r="B49" s="6">
        <v>3</v>
      </c>
      <c r="C49" s="6" t="s">
        <v>29</v>
      </c>
      <c r="D49" s="6" t="s">
        <v>30</v>
      </c>
      <c r="E49" s="45" t="s">
        <v>507</v>
      </c>
      <c r="F49" s="12">
        <v>1</v>
      </c>
      <c r="G49" s="12">
        <v>1</v>
      </c>
      <c r="H49" s="16">
        <f>H46/4</f>
        <v>78.75</v>
      </c>
      <c r="I49" s="16">
        <f>VLOOKUP(C49,Resources!B:G,6,FALSE)</f>
        <v>24</v>
      </c>
      <c r="J49" s="16">
        <f>(H49/G49)*I49*F49</f>
        <v>1890</v>
      </c>
      <c r="K49" s="12" t="str">
        <f>IF(E49="M"," ",L49*F49)</f>
        <v xml:space="preserve"> </v>
      </c>
      <c r="L49" s="12" t="str">
        <f>IF(E49="M"," ",H49/G49)</f>
        <v xml:space="preserve"> </v>
      </c>
      <c r="M49" s="16">
        <f>IF($E49="L",$J49,0)</f>
        <v>0</v>
      </c>
      <c r="N49" s="16">
        <f>IF($E49="M",$J49,0)</f>
        <v>1890</v>
      </c>
      <c r="O49" s="16">
        <f>IF($E49="P",$J49,0)</f>
        <v>0</v>
      </c>
      <c r="P49" s="16">
        <f>IF($E49="S",$J49,0)</f>
        <v>0</v>
      </c>
      <c r="Q49" s="16">
        <f>SUM(M49:P49)</f>
        <v>1890</v>
      </c>
      <c r="R49" s="250" t="s">
        <v>530</v>
      </c>
    </row>
    <row r="50" spans="1:18" x14ac:dyDescent="0.25">
      <c r="A50" s="49" t="s">
        <v>642</v>
      </c>
      <c r="B50" s="5">
        <v>4</v>
      </c>
      <c r="C50" s="8" t="s">
        <v>31</v>
      </c>
      <c r="F50" s="11"/>
      <c r="G50" s="11"/>
      <c r="K50" s="11"/>
      <c r="L50" s="11"/>
    </row>
    <row r="51" spans="1:18" x14ac:dyDescent="0.25">
      <c r="A51" s="52">
        <v>10.01</v>
      </c>
      <c r="B51" s="6">
        <v>5</v>
      </c>
      <c r="C51" s="6" t="s">
        <v>32</v>
      </c>
      <c r="D51" s="6" t="s">
        <v>33</v>
      </c>
      <c r="E51" s="45" t="s">
        <v>508</v>
      </c>
      <c r="F51" s="12">
        <v>1</v>
      </c>
      <c r="G51" s="48">
        <f>VLOOKUP($A51,'Model Inputs'!$A:$C,3,FALSE)</f>
        <v>5</v>
      </c>
      <c r="H51" s="16">
        <f>H46</f>
        <v>315</v>
      </c>
      <c r="I51" s="16">
        <f>VLOOKUP(C51,Resources!B:G,6,FALSE)</f>
        <v>125</v>
      </c>
      <c r="J51" s="16">
        <f>(H51/G51)*I51*F51</f>
        <v>7875</v>
      </c>
      <c r="K51" s="12">
        <f>IF(E51="M"," ",L51*F51)</f>
        <v>63</v>
      </c>
      <c r="L51" s="12">
        <f>IF(E51="M"," ",H51/G51)</f>
        <v>63</v>
      </c>
      <c r="M51" s="16">
        <f>IF($E51="L",$J51,0)</f>
        <v>0</v>
      </c>
      <c r="N51" s="16">
        <f>IF($E51="M",$J51,0)</f>
        <v>0</v>
      </c>
      <c r="O51" s="16">
        <f>IF($E51="P",$J51,0)</f>
        <v>7875</v>
      </c>
      <c r="P51" s="16">
        <f>IF($E51="S",$J51,0)</f>
        <v>0</v>
      </c>
      <c r="Q51" s="16">
        <f>SUM(M51:P51)</f>
        <v>7875</v>
      </c>
      <c r="R51" s="250">
        <v>81</v>
      </c>
    </row>
    <row r="52" spans="1:18" x14ac:dyDescent="0.25">
      <c r="A52" s="52" t="s">
        <v>642</v>
      </c>
      <c r="B52" s="6">
        <v>6</v>
      </c>
      <c r="C52" s="6" t="s">
        <v>8</v>
      </c>
      <c r="D52" s="6" t="s">
        <v>33</v>
      </c>
      <c r="E52" s="45" t="s">
        <v>506</v>
      </c>
      <c r="F52" s="12">
        <v>2</v>
      </c>
      <c r="G52" s="12">
        <f>G51</f>
        <v>5</v>
      </c>
      <c r="H52" s="16">
        <f>H46</f>
        <v>315</v>
      </c>
      <c r="I52" s="16">
        <f>VLOOKUP(C52,Resources!B:G,6,FALSE)</f>
        <v>48</v>
      </c>
      <c r="J52" s="16">
        <f>(H52/G52)*I52*F52</f>
        <v>6048</v>
      </c>
      <c r="K52" s="12">
        <f>IF(E52="M"," ",L52*F52)</f>
        <v>126</v>
      </c>
      <c r="L52" s="12">
        <f>IF(E52="M"," ",H52/G52)</f>
        <v>63</v>
      </c>
      <c r="M52" s="16">
        <f>IF($E52="L",$J52,0)</f>
        <v>6048</v>
      </c>
      <c r="N52" s="16">
        <f>IF($E52="M",$J52,0)</f>
        <v>0</v>
      </c>
      <c r="O52" s="16">
        <f>IF($E52="P",$J52,0)</f>
        <v>0</v>
      </c>
      <c r="P52" s="16">
        <f>IF($E52="S",$J52,0)</f>
        <v>0</v>
      </c>
      <c r="Q52" s="16">
        <f>SUM(M52:P52)</f>
        <v>6048</v>
      </c>
      <c r="R52" s="250">
        <v>81</v>
      </c>
    </row>
    <row r="53" spans="1:18" x14ac:dyDescent="0.25">
      <c r="A53" s="52" t="s">
        <v>642</v>
      </c>
      <c r="B53" s="6">
        <v>7</v>
      </c>
      <c r="C53" s="6" t="s">
        <v>34</v>
      </c>
      <c r="D53" s="6" t="s">
        <v>33</v>
      </c>
      <c r="E53" s="45" t="s">
        <v>508</v>
      </c>
      <c r="F53" s="12">
        <v>1</v>
      </c>
      <c r="G53" s="12">
        <f>G51</f>
        <v>5</v>
      </c>
      <c r="H53" s="16">
        <f>H46</f>
        <v>315</v>
      </c>
      <c r="I53" s="16">
        <f>VLOOKUP(C53,Resources!B:G,6,FALSE)</f>
        <v>10</v>
      </c>
      <c r="J53" s="16">
        <f>(H53/G53)*I53*F53</f>
        <v>630</v>
      </c>
      <c r="K53" s="12">
        <f>IF(E53="M"," ",L53*F53)</f>
        <v>63</v>
      </c>
      <c r="L53" s="12">
        <f>IF(E53="M"," ",H53/G53)</f>
        <v>63</v>
      </c>
      <c r="M53" s="16">
        <f>IF($E53="L",$J53,0)</f>
        <v>0</v>
      </c>
      <c r="N53" s="16">
        <f>IF($E53="M",$J53,0)</f>
        <v>0</v>
      </c>
      <c r="O53" s="16">
        <f>IF($E53="P",$J53,0)</f>
        <v>630</v>
      </c>
      <c r="P53" s="16">
        <f>IF($E53="S",$J53,0)</f>
        <v>0</v>
      </c>
      <c r="Q53" s="16">
        <f>SUM(M53:P53)</f>
        <v>630</v>
      </c>
      <c r="R53" s="250">
        <v>81</v>
      </c>
    </row>
    <row r="54" spans="1:18" x14ac:dyDescent="0.25">
      <c r="A54" s="49" t="s">
        <v>642</v>
      </c>
      <c r="F54" s="11"/>
      <c r="G54" s="11"/>
      <c r="K54" s="11"/>
      <c r="L54" s="11"/>
    </row>
    <row r="55" spans="1:18" ht="30" x14ac:dyDescent="0.25">
      <c r="A55" s="51" t="s">
        <v>642</v>
      </c>
      <c r="B55" s="3" t="s">
        <v>48</v>
      </c>
      <c r="C55" s="3" t="s">
        <v>49</v>
      </c>
      <c r="D55" s="4"/>
      <c r="E55" s="44"/>
      <c r="F55" s="10"/>
      <c r="G55" s="10"/>
      <c r="H55" s="15"/>
      <c r="I55" s="15"/>
      <c r="J55" s="15"/>
      <c r="K55" s="10"/>
      <c r="L55" s="10"/>
      <c r="M55" s="15"/>
      <c r="N55" s="15"/>
      <c r="O55" s="15"/>
      <c r="P55" s="15"/>
      <c r="Q55" s="15"/>
      <c r="R55" s="249"/>
    </row>
    <row r="56" spans="1:18" ht="45" x14ac:dyDescent="0.25">
      <c r="A56" s="51">
        <v>11</v>
      </c>
      <c r="B56" s="3" t="s">
        <v>50</v>
      </c>
      <c r="C56" s="3" t="s">
        <v>548</v>
      </c>
      <c r="D56" s="4" t="s">
        <v>52</v>
      </c>
      <c r="E56" s="44"/>
      <c r="F56" s="10"/>
      <c r="G56" s="10"/>
      <c r="H56" s="48">
        <f>VLOOKUP($A56,'Model Inputs'!$A:$C,3,FALSE)</f>
        <v>1</v>
      </c>
      <c r="I56" s="15"/>
      <c r="J56" s="15">
        <f>SUBTOTAL(9,J57:J58)</f>
        <v>2788</v>
      </c>
      <c r="K56" s="10"/>
      <c r="L56" s="15">
        <f>ROUNDUP(MAX(L57:L58)/Workhrs,0)</f>
        <v>1</v>
      </c>
      <c r="M56" s="15">
        <f>SUBTOTAL(9,M57:M58)</f>
        <v>288</v>
      </c>
      <c r="N56" s="15">
        <f>SUBTOTAL(9,N57:N58)</f>
        <v>2500</v>
      </c>
      <c r="O56" s="15">
        <f>SUBTOTAL(9,O57:O58)</f>
        <v>0</v>
      </c>
      <c r="P56" s="15">
        <f>SUBTOTAL(9,P57:P58)</f>
        <v>0</v>
      </c>
      <c r="Q56" s="15">
        <f>SUBTOTAL(9,Q57:Q58)</f>
        <v>2788</v>
      </c>
      <c r="R56" s="249"/>
    </row>
    <row r="57" spans="1:18" x14ac:dyDescent="0.25">
      <c r="A57" s="52" t="s">
        <v>642</v>
      </c>
      <c r="B57" s="6">
        <v>1</v>
      </c>
      <c r="C57" s="6" t="s">
        <v>53</v>
      </c>
      <c r="D57" s="6" t="s">
        <v>54</v>
      </c>
      <c r="E57" s="45" t="s">
        <v>507</v>
      </c>
      <c r="F57" s="12">
        <v>1</v>
      </c>
      <c r="G57" s="12">
        <v>1</v>
      </c>
      <c r="H57" s="16">
        <v>1</v>
      </c>
      <c r="I57" s="16">
        <f>VLOOKUP(C57,Resources!B:G,6,FALSE)</f>
        <v>2500</v>
      </c>
      <c r="J57" s="16">
        <f>(H57/G57)*I57*F57</f>
        <v>2500</v>
      </c>
      <c r="K57" s="12" t="str">
        <f>IF(E57="M"," ",L57*F57)</f>
        <v xml:space="preserve"> </v>
      </c>
      <c r="L57" s="12" t="str">
        <f>IF(E57="M"," ",H57/G57)</f>
        <v xml:space="preserve"> </v>
      </c>
      <c r="M57" s="16">
        <f>IF($E57="L",$J57,0)</f>
        <v>0</v>
      </c>
      <c r="N57" s="16">
        <f>IF($E57="M",$J57,0)</f>
        <v>2500</v>
      </c>
      <c r="O57" s="16">
        <f>IF($E57="P",$J57,0)</f>
        <v>0</v>
      </c>
      <c r="P57" s="16">
        <f>IF($E57="S",$J57,0)</f>
        <v>0</v>
      </c>
      <c r="Q57" s="16">
        <f>SUM(M57:P57)</f>
        <v>2500</v>
      </c>
      <c r="R57" s="250" t="s">
        <v>531</v>
      </c>
    </row>
    <row r="58" spans="1:18" x14ac:dyDescent="0.25">
      <c r="A58" s="52">
        <v>11.01</v>
      </c>
      <c r="B58" s="6">
        <v>2</v>
      </c>
      <c r="C58" s="6" t="s">
        <v>8</v>
      </c>
      <c r="D58" s="6" t="s">
        <v>33</v>
      </c>
      <c r="E58" s="45" t="s">
        <v>506</v>
      </c>
      <c r="F58" s="12">
        <v>2</v>
      </c>
      <c r="G58" s="48">
        <f>VLOOKUP($A58,'Model Inputs'!$A:$C,3,FALSE)</f>
        <v>0.33333333333333331</v>
      </c>
      <c r="H58" s="16">
        <f>H56</f>
        <v>1</v>
      </c>
      <c r="I58" s="16">
        <f>VLOOKUP(C58,Resources!B:G,6,FALSE)</f>
        <v>48</v>
      </c>
      <c r="J58" s="16">
        <f>(H58/G58)*I58*F58</f>
        <v>288</v>
      </c>
      <c r="K58" s="12">
        <f>IF(E58="M"," ",L58*F58)</f>
        <v>6</v>
      </c>
      <c r="L58" s="12">
        <f>IF(E58="M"," ",H58/G58)</f>
        <v>3</v>
      </c>
      <c r="M58" s="16">
        <f>IF($E58="L",$J58,0)</f>
        <v>288</v>
      </c>
      <c r="N58" s="16">
        <f>IF($E58="M",$J58,0)</f>
        <v>0</v>
      </c>
      <c r="O58" s="16">
        <f>IF($E58="P",$J58,0)</f>
        <v>0</v>
      </c>
      <c r="P58" s="16">
        <f>IF($E58="S",$J58,0)</f>
        <v>0</v>
      </c>
      <c r="Q58" s="16">
        <f>SUM(M58:P58)</f>
        <v>288</v>
      </c>
      <c r="R58" s="250">
        <v>85</v>
      </c>
    </row>
    <row r="59" spans="1:18" x14ac:dyDescent="0.25">
      <c r="A59" s="49" t="s">
        <v>642</v>
      </c>
      <c r="F59" s="11"/>
      <c r="G59" s="11"/>
      <c r="K59" s="11"/>
      <c r="L59" s="11"/>
    </row>
    <row r="60" spans="1:18" ht="30" x14ac:dyDescent="0.25">
      <c r="A60" s="51" t="s">
        <v>642</v>
      </c>
      <c r="B60" s="3" t="s">
        <v>55</v>
      </c>
      <c r="C60" s="3" t="s">
        <v>56</v>
      </c>
      <c r="D60" s="4"/>
      <c r="E60" s="44"/>
      <c r="F60" s="10"/>
      <c r="G60" s="10"/>
      <c r="H60" s="15"/>
      <c r="I60" s="15"/>
      <c r="J60" s="15"/>
      <c r="K60" s="10"/>
      <c r="L60" s="10"/>
      <c r="M60" s="15"/>
      <c r="N60" s="15"/>
      <c r="O60" s="15"/>
      <c r="P60" s="15"/>
      <c r="Q60" s="15"/>
      <c r="R60" s="249"/>
    </row>
    <row r="61" spans="1:18" ht="45" x14ac:dyDescent="0.25">
      <c r="A61" s="51">
        <v>11.5</v>
      </c>
      <c r="B61" s="3" t="s">
        <v>57</v>
      </c>
      <c r="C61" s="3" t="s">
        <v>549</v>
      </c>
      <c r="D61" s="4" t="s">
        <v>59</v>
      </c>
      <c r="E61" s="44"/>
      <c r="F61" s="10"/>
      <c r="G61" s="10"/>
      <c r="H61" s="48">
        <f>VLOOKUP($A61,'Model Inputs'!$A:$C,3,FALSE)</f>
        <v>1</v>
      </c>
      <c r="I61" s="15"/>
      <c r="J61" s="15">
        <f>SUBTOTAL(9,J62)</f>
        <v>950</v>
      </c>
      <c r="K61" s="10"/>
      <c r="L61" s="15">
        <f>ROUNDUP(MAX(L62)/Workhrs,0)</f>
        <v>1</v>
      </c>
      <c r="M61" s="15">
        <f>SUBTOTAL(9,M62)</f>
        <v>0</v>
      </c>
      <c r="N61" s="15">
        <f>SUBTOTAL(9,N62)</f>
        <v>0</v>
      </c>
      <c r="O61" s="15">
        <f>SUBTOTAL(9,O62)</f>
        <v>0</v>
      </c>
      <c r="P61" s="15">
        <f>SUBTOTAL(9,P62)</f>
        <v>950</v>
      </c>
      <c r="Q61" s="15">
        <f>SUBTOTAL(9,Q62)</f>
        <v>950</v>
      </c>
      <c r="R61" s="249"/>
    </row>
    <row r="62" spans="1:18" x14ac:dyDescent="0.25">
      <c r="A62" s="52" t="s">
        <v>642</v>
      </c>
      <c r="B62" s="6">
        <v>1</v>
      </c>
      <c r="C62" s="6" t="s">
        <v>60</v>
      </c>
      <c r="D62" s="6" t="s">
        <v>61</v>
      </c>
      <c r="E62" s="45" t="s">
        <v>509</v>
      </c>
      <c r="F62" s="12">
        <v>1</v>
      </c>
      <c r="G62" s="12">
        <v>1</v>
      </c>
      <c r="H62" s="16">
        <f>H61</f>
        <v>1</v>
      </c>
      <c r="I62" s="16">
        <f>VLOOKUP(C62,Resources!B:G,6,FALSE)</f>
        <v>950</v>
      </c>
      <c r="J62" s="16">
        <f>(H62/G62)*I62*F62</f>
        <v>950</v>
      </c>
      <c r="K62" s="12">
        <f>IF(E62="M"," ",L62*F62)</f>
        <v>9</v>
      </c>
      <c r="L62" s="53">
        <f>IF(E62="M"," ",H62/G62)*9</f>
        <v>9</v>
      </c>
      <c r="M62" s="16">
        <f>IF($E62="L",$J62,0)</f>
        <v>0</v>
      </c>
      <c r="N62" s="16">
        <f>IF($E62="M",$J62,0)</f>
        <v>0</v>
      </c>
      <c r="O62" s="16">
        <f>IF($E62="P",$J62,0)</f>
        <v>0</v>
      </c>
      <c r="P62" s="16">
        <f>IF($E62="S",$J62,0)</f>
        <v>950</v>
      </c>
      <c r="Q62" s="16">
        <f>SUM(M62:P62)</f>
        <v>950</v>
      </c>
      <c r="R62" s="250">
        <v>72</v>
      </c>
    </row>
    <row r="63" spans="1:18" x14ac:dyDescent="0.25">
      <c r="A63" s="49" t="s">
        <v>642</v>
      </c>
      <c r="F63" s="11"/>
      <c r="G63" s="11"/>
      <c r="K63" s="11"/>
      <c r="L63" s="11"/>
    </row>
    <row r="64" spans="1:18" ht="45" x14ac:dyDescent="0.25">
      <c r="A64" s="51">
        <v>12</v>
      </c>
      <c r="B64" s="3" t="s">
        <v>62</v>
      </c>
      <c r="C64" s="3" t="s">
        <v>550</v>
      </c>
      <c r="D64" s="4" t="s">
        <v>59</v>
      </c>
      <c r="E64" s="44"/>
      <c r="F64" s="10"/>
      <c r="G64" s="10"/>
      <c r="H64" s="48">
        <f>VLOOKUP($A64,'Model Inputs'!$A:$C,3,FALSE)</f>
        <v>1</v>
      </c>
      <c r="I64" s="15"/>
      <c r="J64" s="15">
        <f>SUBTOTAL(9,J65)</f>
        <v>950</v>
      </c>
      <c r="K64" s="10"/>
      <c r="L64" s="15">
        <f>ROUNDUP(MAX(L65)/Workhrs,0)</f>
        <v>1</v>
      </c>
      <c r="M64" s="15">
        <f>SUBTOTAL(9,M65)</f>
        <v>0</v>
      </c>
      <c r="N64" s="15">
        <f>SUBTOTAL(9,N65)</f>
        <v>0</v>
      </c>
      <c r="O64" s="15">
        <f>SUBTOTAL(9,O65)</f>
        <v>0</v>
      </c>
      <c r="P64" s="15">
        <f>SUBTOTAL(9,P65)</f>
        <v>950</v>
      </c>
      <c r="Q64" s="15">
        <f>SUBTOTAL(9,Q65)</f>
        <v>950</v>
      </c>
      <c r="R64" s="249"/>
    </row>
    <row r="65" spans="1:18" x14ac:dyDescent="0.25">
      <c r="A65" s="52" t="s">
        <v>642</v>
      </c>
      <c r="B65" s="6">
        <v>1</v>
      </c>
      <c r="C65" s="6" t="s">
        <v>60</v>
      </c>
      <c r="D65" s="6" t="s">
        <v>61</v>
      </c>
      <c r="E65" s="45" t="s">
        <v>509</v>
      </c>
      <c r="F65" s="12">
        <v>1</v>
      </c>
      <c r="G65" s="12">
        <v>1</v>
      </c>
      <c r="H65" s="16">
        <f>H64</f>
        <v>1</v>
      </c>
      <c r="I65" s="16">
        <f>VLOOKUP(C65,Resources!B:G,6,FALSE)</f>
        <v>950</v>
      </c>
      <c r="J65" s="16">
        <f>(H65/G65)*I65*F65</f>
        <v>950</v>
      </c>
      <c r="K65" s="12">
        <f>IF(E65="M"," ",L65*F65)</f>
        <v>9</v>
      </c>
      <c r="L65" s="53">
        <f>IF(E65="M"," ",H65/G65)*9</f>
        <v>9</v>
      </c>
      <c r="M65" s="16">
        <f>IF($E65="L",$J65,0)</f>
        <v>0</v>
      </c>
      <c r="N65" s="16">
        <f>IF($E65="M",$J65,0)</f>
        <v>0</v>
      </c>
      <c r="O65" s="16">
        <f>IF($E65="P",$J65,0)</f>
        <v>0</v>
      </c>
      <c r="P65" s="16">
        <f>IF($E65="S",$J65,0)</f>
        <v>950</v>
      </c>
      <c r="Q65" s="16">
        <f>SUM(M65:P65)</f>
        <v>950</v>
      </c>
      <c r="R65" s="250">
        <v>72</v>
      </c>
    </row>
    <row r="66" spans="1:18" x14ac:dyDescent="0.25">
      <c r="A66" s="49" t="s">
        <v>642</v>
      </c>
      <c r="F66" s="11"/>
      <c r="G66" s="11"/>
      <c r="K66" s="11"/>
      <c r="L66" s="11"/>
    </row>
    <row r="67" spans="1:18" ht="30" x14ac:dyDescent="0.25">
      <c r="A67" s="51" t="s">
        <v>642</v>
      </c>
      <c r="B67" s="3" t="s">
        <v>64</v>
      </c>
      <c r="C67" s="3" t="s">
        <v>65</v>
      </c>
      <c r="D67" s="4"/>
      <c r="E67" s="44"/>
      <c r="F67" s="10"/>
      <c r="G67" s="10"/>
      <c r="H67" s="15"/>
      <c r="I67" s="15"/>
      <c r="J67" s="15"/>
      <c r="K67" s="10"/>
      <c r="L67" s="10"/>
      <c r="M67" s="15"/>
      <c r="N67" s="15"/>
      <c r="O67" s="15"/>
      <c r="P67" s="15"/>
      <c r="Q67" s="15"/>
      <c r="R67" s="249"/>
    </row>
    <row r="68" spans="1:18" ht="30" x14ac:dyDescent="0.25">
      <c r="A68" s="51">
        <v>13</v>
      </c>
      <c r="B68" s="3" t="s">
        <v>66</v>
      </c>
      <c r="C68" s="3" t="s">
        <v>551</v>
      </c>
      <c r="D68" s="4" t="s">
        <v>26</v>
      </c>
      <c r="E68" s="44"/>
      <c r="F68" s="10"/>
      <c r="G68" s="10"/>
      <c r="H68" s="48">
        <f>VLOOKUP($A68,'Model Inputs'!$A:$C,3,FALSE)</f>
        <v>66</v>
      </c>
      <c r="I68" s="15"/>
      <c r="J68" s="15">
        <f>SUBTOTAL(9,J69:J71)</f>
        <v>3396.8</v>
      </c>
      <c r="K68" s="10"/>
      <c r="L68" s="15">
        <f>ROUNDUP(MAX(L69:L70)/Workhrs,0)</f>
        <v>1</v>
      </c>
      <c r="M68" s="15">
        <f>SUBTOTAL(9,M69:M71)</f>
        <v>0</v>
      </c>
      <c r="N68" s="15">
        <f>SUBTOTAL(9,N69:N71)</f>
        <v>888.80000000000007</v>
      </c>
      <c r="O68" s="15">
        <f>SUBTOTAL(9,O69:O71)</f>
        <v>198</v>
      </c>
      <c r="P68" s="15">
        <f>SUBTOTAL(9,P69:P71)</f>
        <v>2310</v>
      </c>
      <c r="Q68" s="15">
        <f>SUBTOTAL(9,Q69:Q71)</f>
        <v>3396.8</v>
      </c>
      <c r="R68" s="249"/>
    </row>
    <row r="69" spans="1:18" x14ac:dyDescent="0.25">
      <c r="A69" s="52" t="s">
        <v>642</v>
      </c>
      <c r="B69" s="6">
        <v>1</v>
      </c>
      <c r="C69" s="6" t="s">
        <v>68</v>
      </c>
      <c r="D69" s="6" t="s">
        <v>61</v>
      </c>
      <c r="E69" s="45" t="s">
        <v>507</v>
      </c>
      <c r="F69" s="12">
        <v>1</v>
      </c>
      <c r="G69" s="12">
        <v>1</v>
      </c>
      <c r="H69" s="16">
        <f>H68/15</f>
        <v>4.4000000000000004</v>
      </c>
      <c r="I69" s="16">
        <f>VLOOKUP(C69,Resources!B:G,6,FALSE)</f>
        <v>202</v>
      </c>
      <c r="J69" s="16">
        <f>(H69/G69)*I69*F69</f>
        <v>888.80000000000007</v>
      </c>
      <c r="K69" s="12" t="str">
        <f>IF(E69="M"," ",L69*F69)</f>
        <v xml:space="preserve"> </v>
      </c>
      <c r="L69" s="12" t="str">
        <f>IF(E69="M"," ",H69/G69)</f>
        <v xml:space="preserve"> </v>
      </c>
      <c r="M69" s="16">
        <f>IF($E69="L",$J69,0)</f>
        <v>0</v>
      </c>
      <c r="N69" s="16">
        <f>IF($E69="M",$J69,0)</f>
        <v>888.80000000000007</v>
      </c>
      <c r="O69" s="16">
        <f>IF($E69="P",$J69,0)</f>
        <v>0</v>
      </c>
      <c r="P69" s="16">
        <f>IF($E69="S",$J69,0)</f>
        <v>0</v>
      </c>
      <c r="Q69" s="16">
        <f>SUM(M69:P69)</f>
        <v>888.80000000000007</v>
      </c>
      <c r="R69" s="250" t="s">
        <v>532</v>
      </c>
    </row>
    <row r="70" spans="1:18" x14ac:dyDescent="0.25">
      <c r="A70" s="52" t="s">
        <v>642</v>
      </c>
      <c r="B70" s="6">
        <v>2</v>
      </c>
      <c r="C70" s="6" t="s">
        <v>69</v>
      </c>
      <c r="D70" s="6" t="s">
        <v>26</v>
      </c>
      <c r="E70" s="45" t="s">
        <v>509</v>
      </c>
      <c r="F70" s="12">
        <v>1</v>
      </c>
      <c r="G70" s="12">
        <v>1</v>
      </c>
      <c r="H70" s="16">
        <f>H68</f>
        <v>66</v>
      </c>
      <c r="I70" s="16">
        <f>VLOOKUP(C70,Resources!B:G,6,FALSE)</f>
        <v>35</v>
      </c>
      <c r="J70" s="16">
        <f>(H70/G70)*I70*F70</f>
        <v>2310</v>
      </c>
      <c r="K70" s="12">
        <f>IF(E70="M"," ",L70*F70)</f>
        <v>9</v>
      </c>
      <c r="L70" s="53">
        <f>IF(E70="M"," ",H70/G70)*9/H68</f>
        <v>9</v>
      </c>
      <c r="M70" s="16">
        <f>IF($E70="L",$J70,0)</f>
        <v>0</v>
      </c>
      <c r="N70" s="16">
        <f>IF($E70="M",$J70,0)</f>
        <v>0</v>
      </c>
      <c r="O70" s="16">
        <f>IF($E70="P",$J70,0)</f>
        <v>0</v>
      </c>
      <c r="P70" s="16">
        <f>IF($E70="S",$J70,0)</f>
        <v>2310</v>
      </c>
      <c r="Q70" s="16">
        <f>SUM(M70:P70)</f>
        <v>2310</v>
      </c>
      <c r="R70" s="250">
        <v>71</v>
      </c>
    </row>
    <row r="71" spans="1:18" x14ac:dyDescent="0.25">
      <c r="A71" s="52">
        <v>13.01</v>
      </c>
      <c r="B71" s="6">
        <v>3</v>
      </c>
      <c r="C71" s="6" t="s">
        <v>70</v>
      </c>
      <c r="D71" s="6" t="s">
        <v>33</v>
      </c>
      <c r="E71" s="45" t="s">
        <v>508</v>
      </c>
      <c r="F71" s="12">
        <v>1</v>
      </c>
      <c r="G71" s="48">
        <f>VLOOKUP($A71,'Model Inputs'!$A:$C,3,FALSE)</f>
        <v>45</v>
      </c>
      <c r="H71" s="16">
        <f>H68</f>
        <v>66</v>
      </c>
      <c r="I71" s="16">
        <f>VLOOKUP(C71,Resources!B:G,6,FALSE)</f>
        <v>135</v>
      </c>
      <c r="J71" s="16">
        <f>(H71/G71)*I71*F71</f>
        <v>198</v>
      </c>
      <c r="K71" s="12">
        <f>IF(E71="M"," ",L71*F71)</f>
        <v>1.4666666666666666</v>
      </c>
      <c r="L71" s="12">
        <f>IF(E71="M"," ",H71/G71)</f>
        <v>1.4666666666666666</v>
      </c>
      <c r="M71" s="16">
        <f>IF($E71="L",$J71,0)</f>
        <v>0</v>
      </c>
      <c r="N71" s="16">
        <f>IF($E71="M",$J71,0)</f>
        <v>0</v>
      </c>
      <c r="O71" s="16">
        <f>IF($E71="P",$J71,0)</f>
        <v>198</v>
      </c>
      <c r="P71" s="16">
        <f>IF($E71="S",$J71,0)</f>
        <v>0</v>
      </c>
      <c r="Q71" s="16">
        <f>SUM(M71:P71)</f>
        <v>198</v>
      </c>
      <c r="R71" s="250">
        <v>71</v>
      </c>
    </row>
    <row r="72" spans="1:18" x14ac:dyDescent="0.25">
      <c r="A72" s="49" t="s">
        <v>642</v>
      </c>
      <c r="F72" s="11"/>
      <c r="G72" s="11"/>
      <c r="K72" s="11"/>
      <c r="L72" s="11"/>
    </row>
    <row r="73" spans="1:18" ht="30" x14ac:dyDescent="0.25">
      <c r="A73" s="51">
        <v>14</v>
      </c>
      <c r="B73" s="3" t="s">
        <v>71</v>
      </c>
      <c r="C73" s="3" t="s">
        <v>552</v>
      </c>
      <c r="D73" s="4" t="s">
        <v>26</v>
      </c>
      <c r="E73" s="44"/>
      <c r="F73" s="10"/>
      <c r="G73" s="10"/>
      <c r="H73" s="48">
        <f>VLOOKUP($A73,'Model Inputs'!$A:$C,3,FALSE)</f>
        <v>377</v>
      </c>
      <c r="I73" s="15"/>
      <c r="J73" s="15">
        <f>SUBTOTAL(9,J74:J76)</f>
        <v>19808.254697286015</v>
      </c>
      <c r="K73" s="10"/>
      <c r="L73" s="15">
        <f>ROUNDUP(MAX(L74:L75)/Workhrs,0)</f>
        <v>1</v>
      </c>
      <c r="M73" s="15">
        <f>SUBTOTAL(9,M74:M76)</f>
        <v>0</v>
      </c>
      <c r="N73" s="15">
        <f>SUBTOTAL(9,N74:N76)</f>
        <v>5482.2546972860127</v>
      </c>
      <c r="O73" s="15">
        <f>SUBTOTAL(9,O74:O76)</f>
        <v>1131</v>
      </c>
      <c r="P73" s="15">
        <f>SUBTOTAL(9,P74:P76)</f>
        <v>13195</v>
      </c>
      <c r="Q73" s="15">
        <f>SUBTOTAL(9,Q74:Q76)</f>
        <v>19808.254697286015</v>
      </c>
      <c r="R73" s="249"/>
    </row>
    <row r="74" spans="1:18" x14ac:dyDescent="0.25">
      <c r="A74" s="52" t="s">
        <v>642</v>
      </c>
      <c r="B74" s="6">
        <v>1</v>
      </c>
      <c r="C74" s="6" t="s">
        <v>68</v>
      </c>
      <c r="D74" s="6" t="s">
        <v>61</v>
      </c>
      <c r="E74" s="45" t="s">
        <v>507</v>
      </c>
      <c r="F74" s="12">
        <v>1</v>
      </c>
      <c r="G74" s="12">
        <v>1</v>
      </c>
      <c r="H74" s="16">
        <f>H73/13.891</f>
        <v>27.139874739039666</v>
      </c>
      <c r="I74" s="16">
        <f>VLOOKUP(C74,Resources!B:G,6,FALSE)</f>
        <v>202</v>
      </c>
      <c r="J74" s="16">
        <f>(H74/G74)*I74*F74</f>
        <v>5482.2546972860127</v>
      </c>
      <c r="K74" s="12" t="str">
        <f>IF(E74="M"," ",L74*F74)</f>
        <v xml:space="preserve"> </v>
      </c>
      <c r="L74" s="12" t="str">
        <f>IF(E74="M"," ",H74/G74)</f>
        <v xml:space="preserve"> </v>
      </c>
      <c r="M74" s="16">
        <f>IF($E74="L",$J74,0)</f>
        <v>0</v>
      </c>
      <c r="N74" s="16">
        <f>IF($E74="M",$J74,0)</f>
        <v>5482.2546972860127</v>
      </c>
      <c r="O74" s="16">
        <f>IF($E74="P",$J74,0)</f>
        <v>0</v>
      </c>
      <c r="P74" s="16">
        <f>IF($E74="S",$J74,0)</f>
        <v>0</v>
      </c>
      <c r="Q74" s="16">
        <f>SUM(M74:P74)</f>
        <v>5482.2546972860127</v>
      </c>
      <c r="R74" s="250" t="s">
        <v>532</v>
      </c>
    </row>
    <row r="75" spans="1:18" x14ac:dyDescent="0.25">
      <c r="A75" s="52" t="s">
        <v>642</v>
      </c>
      <c r="B75" s="6">
        <v>2</v>
      </c>
      <c r="C75" s="6" t="s">
        <v>69</v>
      </c>
      <c r="D75" s="6" t="s">
        <v>26</v>
      </c>
      <c r="E75" s="45" t="s">
        <v>509</v>
      </c>
      <c r="F75" s="12">
        <v>1</v>
      </c>
      <c r="G75" s="12">
        <v>1</v>
      </c>
      <c r="H75" s="16">
        <f>H73</f>
        <v>377</v>
      </c>
      <c r="I75" s="16">
        <f>VLOOKUP(C75,Resources!B:G,6,FALSE)</f>
        <v>35</v>
      </c>
      <c r="J75" s="16">
        <f>(H75/G75)*I75*F75</f>
        <v>13195</v>
      </c>
      <c r="K75" s="12">
        <f>IF(E75="M"," ",L75*F75)</f>
        <v>9</v>
      </c>
      <c r="L75" s="53">
        <f>IF(E75="M"," ",H75/G75)*9/H73</f>
        <v>9</v>
      </c>
      <c r="M75" s="16">
        <f>IF($E75="L",$J75,0)</f>
        <v>0</v>
      </c>
      <c r="N75" s="16">
        <f>IF($E75="M",$J75,0)</f>
        <v>0</v>
      </c>
      <c r="O75" s="16">
        <f>IF($E75="P",$J75,0)</f>
        <v>0</v>
      </c>
      <c r="P75" s="16">
        <f>IF($E75="S",$J75,0)</f>
        <v>13195</v>
      </c>
      <c r="Q75" s="16">
        <f>SUM(M75:P75)</f>
        <v>13195</v>
      </c>
      <c r="R75" s="250">
        <v>71</v>
      </c>
    </row>
    <row r="76" spans="1:18" x14ac:dyDescent="0.25">
      <c r="A76" s="52">
        <v>14.01</v>
      </c>
      <c r="B76" s="6">
        <v>3</v>
      </c>
      <c r="C76" s="6" t="s">
        <v>70</v>
      </c>
      <c r="D76" s="6" t="s">
        <v>33</v>
      </c>
      <c r="E76" s="45" t="s">
        <v>508</v>
      </c>
      <c r="F76" s="12">
        <v>1</v>
      </c>
      <c r="G76" s="48">
        <f>VLOOKUP($A76,'Model Inputs'!$A:$C,3,FALSE)</f>
        <v>45</v>
      </c>
      <c r="H76" s="16">
        <f>H73</f>
        <v>377</v>
      </c>
      <c r="I76" s="16">
        <f>VLOOKUP(C76,Resources!B:G,6,FALSE)</f>
        <v>135</v>
      </c>
      <c r="J76" s="16">
        <f>(H76/G76)*I76*F76</f>
        <v>1131</v>
      </c>
      <c r="K76" s="12">
        <f>IF(E76="M"," ",L76*F76)</f>
        <v>8.3777777777777782</v>
      </c>
      <c r="L76" s="12">
        <f>IF(E76="M"," ",H76/G76)</f>
        <v>8.3777777777777782</v>
      </c>
      <c r="M76" s="16">
        <f>IF($E76="L",$J76,0)</f>
        <v>0</v>
      </c>
      <c r="N76" s="16">
        <f>IF($E76="M",$J76,0)</f>
        <v>0</v>
      </c>
      <c r="O76" s="16">
        <f>IF($E76="P",$J76,0)</f>
        <v>1131</v>
      </c>
      <c r="P76" s="16">
        <f>IF($E76="S",$J76,0)</f>
        <v>0</v>
      </c>
      <c r="Q76" s="16">
        <f>SUM(M76:P76)</f>
        <v>1131</v>
      </c>
      <c r="R76" s="250">
        <v>71</v>
      </c>
    </row>
    <row r="77" spans="1:18" x14ac:dyDescent="0.25">
      <c r="A77" s="49" t="s">
        <v>642</v>
      </c>
      <c r="F77" s="11"/>
      <c r="G77" s="11"/>
      <c r="K77" s="11"/>
      <c r="L77" s="11"/>
    </row>
    <row r="78" spans="1:18" ht="45" x14ac:dyDescent="0.25">
      <c r="A78" s="51">
        <v>15</v>
      </c>
      <c r="B78" s="3" t="s">
        <v>73</v>
      </c>
      <c r="C78" s="3" t="s">
        <v>553</v>
      </c>
      <c r="D78" s="4" t="s">
        <v>52</v>
      </c>
      <c r="E78" s="44"/>
      <c r="F78" s="10"/>
      <c r="G78" s="10"/>
      <c r="H78" s="48">
        <f>VLOOKUP($A78,'Model Inputs'!$A:$C,3,FALSE)</f>
        <v>1</v>
      </c>
      <c r="I78" s="15"/>
      <c r="J78" s="15">
        <f>SUBTOTAL(9,J79:J80)</f>
        <v>32670</v>
      </c>
      <c r="K78" s="10"/>
      <c r="L78" s="15">
        <f>ROUNDUP(MAX(L79:L80)/Workhrs,0)</f>
        <v>1</v>
      </c>
      <c r="M78" s="15">
        <f>SUBTOTAL(9,M79:M80)</f>
        <v>0</v>
      </c>
      <c r="N78" s="15">
        <f>SUBTOTAL(9,N79:N80)</f>
        <v>26170</v>
      </c>
      <c r="O78" s="15">
        <f>SUBTOTAL(9,O79:O80)</f>
        <v>0</v>
      </c>
      <c r="P78" s="15">
        <f>SUBTOTAL(9,P79:P80)</f>
        <v>6500</v>
      </c>
      <c r="Q78" s="15">
        <f>SUBTOTAL(9,Q79:Q80)</f>
        <v>32670</v>
      </c>
      <c r="R78" s="249"/>
    </row>
    <row r="79" spans="1:18" x14ac:dyDescent="0.25">
      <c r="A79" s="52" t="s">
        <v>642</v>
      </c>
      <c r="B79" s="6">
        <v>1</v>
      </c>
      <c r="C79" s="6" t="s">
        <v>75</v>
      </c>
      <c r="D79" s="6" t="s">
        <v>19</v>
      </c>
      <c r="E79" s="45" t="s">
        <v>507</v>
      </c>
      <c r="F79" s="12">
        <v>1</v>
      </c>
      <c r="G79" s="12">
        <v>1</v>
      </c>
      <c r="H79" s="16">
        <f>H78</f>
        <v>1</v>
      </c>
      <c r="I79" s="16">
        <f>VLOOKUP(C79,Resources!B:G,6,FALSE)</f>
        <v>26170</v>
      </c>
      <c r="J79" s="16">
        <f>(H79/G79)*I79*F79</f>
        <v>26170</v>
      </c>
      <c r="K79" s="12" t="str">
        <f>IF(E79="M"," ",L79*F79)</f>
        <v xml:space="preserve"> </v>
      </c>
      <c r="L79" s="12" t="str">
        <f>IF(E79="M"," ",H79/G79)</f>
        <v xml:space="preserve"> </v>
      </c>
      <c r="M79" s="16">
        <f>IF($E79="L",$J79,0)</f>
        <v>0</v>
      </c>
      <c r="N79" s="16">
        <f>IF($E79="M",$J79,0)</f>
        <v>26170</v>
      </c>
      <c r="O79" s="16">
        <f>IF($E79="P",$J79,0)</f>
        <v>0</v>
      </c>
      <c r="P79" s="16">
        <f>IF($E79="S",$J79,0)</f>
        <v>0</v>
      </c>
      <c r="Q79" s="16">
        <f>SUM(M79:P79)</f>
        <v>26170</v>
      </c>
      <c r="R79" s="250" t="s">
        <v>533</v>
      </c>
    </row>
    <row r="80" spans="1:18" x14ac:dyDescent="0.25">
      <c r="A80" s="52" t="s">
        <v>642</v>
      </c>
      <c r="B80" s="6">
        <v>2</v>
      </c>
      <c r="C80" s="6" t="s">
        <v>520</v>
      </c>
      <c r="D80" s="6" t="s">
        <v>54</v>
      </c>
      <c r="E80" s="45" t="s">
        <v>509</v>
      </c>
      <c r="F80" s="12">
        <v>1</v>
      </c>
      <c r="G80" s="12">
        <v>1</v>
      </c>
      <c r="H80" s="16">
        <f>H78</f>
        <v>1</v>
      </c>
      <c r="I80" s="16">
        <f>VLOOKUP(C80,Resources!B:G,6,FALSE)</f>
        <v>6500</v>
      </c>
      <c r="J80" s="16">
        <f>(H80/G80)*I80*F80</f>
        <v>6500</v>
      </c>
      <c r="K80" s="12">
        <f>IF(E80="M"," ",L80*F80)</f>
        <v>9</v>
      </c>
      <c r="L80" s="53">
        <f>IF(E80="M"," ",H80/G80)*9</f>
        <v>9</v>
      </c>
      <c r="M80" s="16">
        <f>IF($E80="L",$J80,0)</f>
        <v>0</v>
      </c>
      <c r="N80" s="16">
        <f>IF($E80="M",$J80,0)</f>
        <v>0</v>
      </c>
      <c r="O80" s="16">
        <f>IF($E80="P",$J80,0)</f>
        <v>0</v>
      </c>
      <c r="P80" s="16">
        <f>IF($E80="S",$J80,0)</f>
        <v>6500</v>
      </c>
      <c r="Q80" s="16">
        <f>SUM(M80:P80)</f>
        <v>6500</v>
      </c>
      <c r="R80" s="250">
        <v>86</v>
      </c>
    </row>
    <row r="81" spans="1:18" x14ac:dyDescent="0.25">
      <c r="A81" s="49" t="s">
        <v>642</v>
      </c>
      <c r="F81" s="11"/>
      <c r="G81" s="11"/>
      <c r="K81" s="11"/>
      <c r="L81" s="11"/>
    </row>
    <row r="82" spans="1:18" ht="45" x14ac:dyDescent="0.25">
      <c r="A82" s="51">
        <v>16</v>
      </c>
      <c r="B82" s="3" t="s">
        <v>76</v>
      </c>
      <c r="C82" s="3" t="s">
        <v>554</v>
      </c>
      <c r="D82" s="4" t="s">
        <v>52</v>
      </c>
      <c r="E82" s="44"/>
      <c r="F82" s="10"/>
      <c r="G82" s="10"/>
      <c r="H82" s="48">
        <f>VLOOKUP($A82,'Model Inputs'!$A:$C,3,FALSE)</f>
        <v>8</v>
      </c>
      <c r="I82" s="15"/>
      <c r="J82" s="15">
        <f>SUBTOTAL(9,J83)</f>
        <v>27200</v>
      </c>
      <c r="K82" s="10"/>
      <c r="L82" s="15">
        <f>ROUNDUP(MAX(L83)/Workhrs,0)</f>
        <v>16</v>
      </c>
      <c r="M82" s="15">
        <f>SUBTOTAL(9,M83)</f>
        <v>0</v>
      </c>
      <c r="N82" s="15">
        <f>SUBTOTAL(9,N83)</f>
        <v>0</v>
      </c>
      <c r="O82" s="15">
        <f>SUBTOTAL(9,O83)</f>
        <v>0</v>
      </c>
      <c r="P82" s="15">
        <f>SUBTOTAL(9,P83)</f>
        <v>27200</v>
      </c>
      <c r="Q82" s="15">
        <f>SUBTOTAL(9,Q83)</f>
        <v>27200</v>
      </c>
      <c r="R82" s="249"/>
    </row>
    <row r="83" spans="1:18" x14ac:dyDescent="0.25">
      <c r="A83" s="52" t="s">
        <v>642</v>
      </c>
      <c r="B83" s="6">
        <v>1</v>
      </c>
      <c r="C83" s="6" t="s">
        <v>78</v>
      </c>
      <c r="D83" s="6" t="s">
        <v>19</v>
      </c>
      <c r="E83" s="45" t="s">
        <v>509</v>
      </c>
      <c r="F83" s="12">
        <v>3400</v>
      </c>
      <c r="G83" s="12">
        <v>1</v>
      </c>
      <c r="H83" s="16">
        <f>H82</f>
        <v>8</v>
      </c>
      <c r="I83" s="16">
        <f>VLOOKUP(C83,Resources!B:G,6,FALSE)</f>
        <v>1</v>
      </c>
      <c r="J83" s="16">
        <f>(H83/G83)*I83*F83</f>
        <v>27200</v>
      </c>
      <c r="K83" s="12">
        <f>IF(E83="M"," ",L83*F83)</f>
        <v>489600</v>
      </c>
      <c r="L83" s="53">
        <f>IF(E83="M"," ",H83/G83)*9*2</f>
        <v>144</v>
      </c>
      <c r="M83" s="16">
        <f>IF($E83="L",$J83,0)</f>
        <v>0</v>
      </c>
      <c r="N83" s="16">
        <f>IF($E83="M",$J83,0)</f>
        <v>0</v>
      </c>
      <c r="O83" s="16">
        <f>IF($E83="P",$J83,0)</f>
        <v>0</v>
      </c>
      <c r="P83" s="16">
        <f>IF($E83="S",$J83,0)</f>
        <v>27200</v>
      </c>
      <c r="Q83" s="16">
        <f>SUM(M83:P83)</f>
        <v>27200</v>
      </c>
      <c r="R83" s="250">
        <v>85</v>
      </c>
    </row>
    <row r="84" spans="1:18" x14ac:dyDescent="0.25">
      <c r="A84" s="49" t="s">
        <v>642</v>
      </c>
      <c r="F84" s="11"/>
      <c r="G84" s="11"/>
      <c r="K84" s="11"/>
      <c r="L84" s="11"/>
    </row>
    <row r="85" spans="1:18" ht="45" x14ac:dyDescent="0.25">
      <c r="A85" s="51">
        <v>17</v>
      </c>
      <c r="B85" s="3" t="s">
        <v>79</v>
      </c>
      <c r="C85" s="3" t="s">
        <v>555</v>
      </c>
      <c r="D85" s="4" t="s">
        <v>52</v>
      </c>
      <c r="E85" s="44"/>
      <c r="F85" s="10"/>
      <c r="G85" s="10"/>
      <c r="H85" s="48">
        <f>VLOOKUP($A85,'Model Inputs'!$A:$C,3,FALSE)</f>
        <v>1</v>
      </c>
      <c r="I85" s="15"/>
      <c r="J85" s="15">
        <f>SUBTOTAL(9,J86)</f>
        <v>3950</v>
      </c>
      <c r="K85" s="10"/>
      <c r="L85" s="15">
        <f>ROUNDUP(MAX(L86)/Workhrs,0)</f>
        <v>1</v>
      </c>
      <c r="M85" s="15">
        <f>SUBTOTAL(9,M86)</f>
        <v>0</v>
      </c>
      <c r="N85" s="15">
        <f>SUBTOTAL(9,N86)</f>
        <v>0</v>
      </c>
      <c r="O85" s="15">
        <f>SUBTOTAL(9,O86)</f>
        <v>0</v>
      </c>
      <c r="P85" s="15">
        <f>SUBTOTAL(9,P86)</f>
        <v>3950</v>
      </c>
      <c r="Q85" s="15">
        <f>SUBTOTAL(9,Q86)</f>
        <v>3950</v>
      </c>
      <c r="R85" s="249"/>
    </row>
    <row r="86" spans="1:18" x14ac:dyDescent="0.25">
      <c r="A86" s="52" t="s">
        <v>642</v>
      </c>
      <c r="B86" s="6">
        <v>1</v>
      </c>
      <c r="C86" s="6" t="s">
        <v>78</v>
      </c>
      <c r="D86" s="6" t="s">
        <v>19</v>
      </c>
      <c r="E86" s="45" t="s">
        <v>509</v>
      </c>
      <c r="F86" s="12">
        <v>3950</v>
      </c>
      <c r="G86" s="12">
        <v>1</v>
      </c>
      <c r="H86" s="16">
        <f>H85</f>
        <v>1</v>
      </c>
      <c r="I86" s="16">
        <f>VLOOKUP(C86,Resources!B:G,6,FALSE)</f>
        <v>1</v>
      </c>
      <c r="J86" s="16">
        <f>(H86/G86)*I86*F86</f>
        <v>3950</v>
      </c>
      <c r="K86" s="12">
        <f>IF(E86="M"," ",L86*F86)</f>
        <v>11850</v>
      </c>
      <c r="L86" s="53">
        <f>IF(E86="M"," ",H86/G86)*3</f>
        <v>3</v>
      </c>
      <c r="M86" s="16">
        <f>IF($E86="L",$J86,0)</f>
        <v>0</v>
      </c>
      <c r="N86" s="16">
        <f>IF($E86="M",$J86,0)</f>
        <v>0</v>
      </c>
      <c r="O86" s="16">
        <f>IF($E86="P",$J86,0)</f>
        <v>0</v>
      </c>
      <c r="P86" s="16">
        <f>IF($E86="S",$J86,0)</f>
        <v>3950</v>
      </c>
      <c r="Q86" s="16">
        <f>SUM(M86:P86)</f>
        <v>3950</v>
      </c>
      <c r="R86" s="250">
        <v>85</v>
      </c>
    </row>
    <row r="87" spans="1:18" x14ac:dyDescent="0.25">
      <c r="A87" s="49" t="s">
        <v>642</v>
      </c>
      <c r="F87" s="11"/>
      <c r="G87" s="11"/>
      <c r="K87" s="11"/>
      <c r="L87" s="11"/>
    </row>
    <row r="88" spans="1:18" ht="45" x14ac:dyDescent="0.25">
      <c r="A88" s="51">
        <v>18</v>
      </c>
      <c r="B88" s="3" t="s">
        <v>81</v>
      </c>
      <c r="C88" s="3" t="s">
        <v>556</v>
      </c>
      <c r="D88" s="4" t="s">
        <v>52</v>
      </c>
      <c r="E88" s="44"/>
      <c r="F88" s="10"/>
      <c r="G88" s="10"/>
      <c r="H88" s="48">
        <f>VLOOKUP($A88,'Model Inputs'!$A:$C,3,FALSE)</f>
        <v>1</v>
      </c>
      <c r="I88" s="15"/>
      <c r="J88" s="15">
        <f>SUBTOTAL(9,J89)</f>
        <v>3950</v>
      </c>
      <c r="K88" s="10"/>
      <c r="L88" s="15">
        <f>ROUNDUP(MAX(L89)/Workhrs,0)</f>
        <v>3</v>
      </c>
      <c r="M88" s="15">
        <f>SUBTOTAL(9,M89)</f>
        <v>0</v>
      </c>
      <c r="N88" s="15">
        <f>SUBTOTAL(9,N89)</f>
        <v>0</v>
      </c>
      <c r="O88" s="15">
        <f>SUBTOTAL(9,O89)</f>
        <v>0</v>
      </c>
      <c r="P88" s="15">
        <f>SUBTOTAL(9,P89)</f>
        <v>3950</v>
      </c>
      <c r="Q88" s="15">
        <f>SUBTOTAL(9,Q89)</f>
        <v>3950</v>
      </c>
      <c r="R88" s="249"/>
    </row>
    <row r="89" spans="1:18" x14ac:dyDescent="0.25">
      <c r="A89" s="52" t="s">
        <v>642</v>
      </c>
      <c r="B89" s="6">
        <v>1</v>
      </c>
      <c r="C89" s="6" t="s">
        <v>78</v>
      </c>
      <c r="D89" s="6" t="s">
        <v>19</v>
      </c>
      <c r="E89" s="45" t="s">
        <v>509</v>
      </c>
      <c r="F89" s="12">
        <v>3950</v>
      </c>
      <c r="G89" s="12">
        <v>1</v>
      </c>
      <c r="H89" s="16">
        <f>H88</f>
        <v>1</v>
      </c>
      <c r="I89" s="16">
        <f>VLOOKUP(C89,Resources!B:G,6,FALSE)</f>
        <v>1</v>
      </c>
      <c r="J89" s="16">
        <f>(H89/G89)*I89*F89</f>
        <v>3950</v>
      </c>
      <c r="K89" s="12">
        <f>IF(E89="M"," ",L89*F89)</f>
        <v>106650</v>
      </c>
      <c r="L89" s="53">
        <f>IF(E89="M"," ",H89/G89)*3*9</f>
        <v>27</v>
      </c>
      <c r="M89" s="16">
        <f>IF($E89="L",$J89,0)</f>
        <v>0</v>
      </c>
      <c r="N89" s="16">
        <f>IF($E89="M",$J89,0)</f>
        <v>0</v>
      </c>
      <c r="O89" s="16">
        <f>IF($E89="P",$J89,0)</f>
        <v>0</v>
      </c>
      <c r="P89" s="16">
        <f>IF($E89="S",$J89,0)</f>
        <v>3950</v>
      </c>
      <c r="Q89" s="16">
        <f>SUM(M89:P89)</f>
        <v>3950</v>
      </c>
      <c r="R89" s="250">
        <v>85</v>
      </c>
    </row>
    <row r="90" spans="1:18" x14ac:dyDescent="0.25">
      <c r="A90" s="49" t="s">
        <v>642</v>
      </c>
      <c r="F90" s="11"/>
      <c r="G90" s="11"/>
      <c r="K90" s="11"/>
      <c r="L90" s="11"/>
    </row>
    <row r="91" spans="1:18" ht="30" x14ac:dyDescent="0.25">
      <c r="A91" s="51" t="s">
        <v>642</v>
      </c>
      <c r="B91" s="3" t="s">
        <v>83</v>
      </c>
      <c r="C91" s="3" t="s">
        <v>84</v>
      </c>
      <c r="D91" s="4"/>
      <c r="E91" s="44"/>
      <c r="F91" s="10"/>
      <c r="G91" s="10"/>
      <c r="H91" s="15"/>
      <c r="I91" s="15"/>
      <c r="J91" s="15"/>
      <c r="K91" s="10"/>
      <c r="L91" s="10"/>
      <c r="M91" s="15"/>
      <c r="N91" s="15"/>
      <c r="O91" s="15"/>
      <c r="P91" s="15"/>
      <c r="Q91" s="15"/>
      <c r="R91" s="249"/>
    </row>
    <row r="92" spans="1:18" ht="45" x14ac:dyDescent="0.25">
      <c r="A92" s="51">
        <v>19</v>
      </c>
      <c r="B92" s="3" t="s">
        <v>85</v>
      </c>
      <c r="C92" s="3" t="s">
        <v>557</v>
      </c>
      <c r="D92" s="4" t="s">
        <v>26</v>
      </c>
      <c r="E92" s="44"/>
      <c r="F92" s="10"/>
      <c r="G92" s="10"/>
      <c r="H92" s="48">
        <f>VLOOKUP($A92,'Model Inputs'!$A:$C,3,FALSE)</f>
        <v>390</v>
      </c>
      <c r="I92" s="15"/>
      <c r="J92" s="15">
        <f>SUBTOTAL(9,J94:J99)</f>
        <v>15382.542537881385</v>
      </c>
      <c r="K92" s="10"/>
      <c r="L92" s="15">
        <f>ROUNDUP(MAX(L94:L99)/Workhrs,0)</f>
        <v>6</v>
      </c>
      <c r="M92" s="15">
        <f>SUBTOTAL(9,M94:M99)</f>
        <v>5184</v>
      </c>
      <c r="N92" s="15">
        <f>SUBTOTAL(9,N94:N99)</f>
        <v>3448.5425378813848</v>
      </c>
      <c r="O92" s="15">
        <f>SUBTOTAL(9,O94:O99)</f>
        <v>6750</v>
      </c>
      <c r="P92" s="15">
        <f>SUBTOTAL(9,P94:P99)</f>
        <v>0</v>
      </c>
      <c r="Q92" s="15">
        <f>SUBTOTAL(9,Q94:Q99)</f>
        <v>15382.542537881385</v>
      </c>
      <c r="R92" s="249"/>
    </row>
    <row r="93" spans="1:18" x14ac:dyDescent="0.25">
      <c r="A93" s="49" t="s">
        <v>642</v>
      </c>
      <c r="B93" s="5">
        <v>1</v>
      </c>
      <c r="C93" s="8" t="s">
        <v>27</v>
      </c>
      <c r="F93" s="11"/>
      <c r="G93" s="11"/>
      <c r="K93" s="11"/>
      <c r="L93" s="11"/>
    </row>
    <row r="94" spans="1:18" x14ac:dyDescent="0.25">
      <c r="A94" s="52" t="s">
        <v>642</v>
      </c>
      <c r="B94" s="6">
        <v>2</v>
      </c>
      <c r="C94" s="6" t="s">
        <v>87</v>
      </c>
      <c r="D94" s="6" t="s">
        <v>26</v>
      </c>
      <c r="E94" s="45" t="s">
        <v>507</v>
      </c>
      <c r="F94" s="12">
        <v>1</v>
      </c>
      <c r="G94" s="12">
        <v>1</v>
      </c>
      <c r="H94" s="16">
        <f>H92*1.277</f>
        <v>498.03</v>
      </c>
      <c r="I94" s="16">
        <f>VLOOKUP(C94,Resources!B:G,6,FALSE)</f>
        <v>3.3</v>
      </c>
      <c r="J94" s="16">
        <f>(H94/G94)*I94*F94</f>
        <v>1643.4989999999998</v>
      </c>
      <c r="K94" s="12" t="str">
        <f>IF(E94="M"," ",L94*F94)</f>
        <v xml:space="preserve"> </v>
      </c>
      <c r="L94" s="12" t="str">
        <f>IF(E94="M"," ",H94/G94)</f>
        <v xml:space="preserve"> </v>
      </c>
      <c r="M94" s="16">
        <f>IF($E94="L",$J94,0)</f>
        <v>0</v>
      </c>
      <c r="N94" s="16">
        <f>IF($E94="M",$J94,0)</f>
        <v>1643.4989999999998</v>
      </c>
      <c r="O94" s="16">
        <f>IF($E94="P",$J94,0)</f>
        <v>0</v>
      </c>
      <c r="P94" s="16">
        <f>IF($E94="S",$J94,0)</f>
        <v>0</v>
      </c>
      <c r="Q94" s="16">
        <f>SUM(M94:P94)</f>
        <v>1643.4989999999998</v>
      </c>
      <c r="R94" s="250">
        <v>87</v>
      </c>
    </row>
    <row r="95" spans="1:18" x14ac:dyDescent="0.25">
      <c r="A95" s="52" t="s">
        <v>642</v>
      </c>
      <c r="B95" s="6">
        <v>3</v>
      </c>
      <c r="C95" s="6" t="s">
        <v>88</v>
      </c>
      <c r="D95" s="6" t="s">
        <v>52</v>
      </c>
      <c r="E95" s="45" t="s">
        <v>507</v>
      </c>
      <c r="F95" s="12">
        <v>1</v>
      </c>
      <c r="G95" s="12">
        <v>1</v>
      </c>
      <c r="H95" s="16">
        <f>H92/29.17</f>
        <v>13.369900582790537</v>
      </c>
      <c r="I95" s="16">
        <f>VLOOKUP(C95,Resources!B:G,6,FALSE)</f>
        <v>65</v>
      </c>
      <c r="J95" s="16">
        <f>(H95/G95)*I95*F95</f>
        <v>869.04353788138496</v>
      </c>
      <c r="K95" s="12" t="str">
        <f>IF(E95="M"," ",L95*F95)</f>
        <v xml:space="preserve"> </v>
      </c>
      <c r="L95" s="12" t="str">
        <f>IF(E95="M"," ",H95/G95)</f>
        <v xml:space="preserve"> </v>
      </c>
      <c r="M95" s="16">
        <f>IF($E95="L",$J95,0)</f>
        <v>0</v>
      </c>
      <c r="N95" s="16">
        <f>IF($E95="M",$J95,0)</f>
        <v>869.04353788138496</v>
      </c>
      <c r="O95" s="16">
        <f>IF($E95="P",$J95,0)</f>
        <v>0</v>
      </c>
      <c r="P95" s="16">
        <f>IF($E95="S",$J95,0)</f>
        <v>0</v>
      </c>
      <c r="Q95" s="16">
        <f>SUM(M95:P95)</f>
        <v>869.04353788138496</v>
      </c>
      <c r="R95" s="250">
        <v>87</v>
      </c>
    </row>
    <row r="96" spans="1:18" x14ac:dyDescent="0.25">
      <c r="A96" s="52" t="s">
        <v>642</v>
      </c>
      <c r="B96" s="6">
        <v>4</v>
      </c>
      <c r="C96" s="6" t="s">
        <v>29</v>
      </c>
      <c r="D96" s="6" t="s">
        <v>30</v>
      </c>
      <c r="E96" s="45" t="s">
        <v>507</v>
      </c>
      <c r="F96" s="12">
        <v>1</v>
      </c>
      <c r="G96" s="12">
        <v>1</v>
      </c>
      <c r="H96" s="16">
        <f>H92/10</f>
        <v>39</v>
      </c>
      <c r="I96" s="16">
        <f>VLOOKUP(C96,Resources!B:G,6,FALSE)</f>
        <v>24</v>
      </c>
      <c r="J96" s="16">
        <f>(H96/G96)*I96*F96</f>
        <v>936</v>
      </c>
      <c r="K96" s="12" t="str">
        <f>IF(E96="M"," ",L96*F96)</f>
        <v xml:space="preserve"> </v>
      </c>
      <c r="L96" s="12" t="str">
        <f>IF(E96="M"," ",H96/G96)</f>
        <v xml:space="preserve"> </v>
      </c>
      <c r="M96" s="16">
        <f>IF($E96="L",$J96,0)</f>
        <v>0</v>
      </c>
      <c r="N96" s="16">
        <f>IF($E96="M",$J96,0)</f>
        <v>936</v>
      </c>
      <c r="O96" s="16">
        <f>IF($E96="P",$J96,0)</f>
        <v>0</v>
      </c>
      <c r="P96" s="16">
        <f>IF($E96="S",$J96,0)</f>
        <v>0</v>
      </c>
      <c r="Q96" s="16">
        <f>SUM(M96:P96)</f>
        <v>936</v>
      </c>
      <c r="R96" s="250" t="s">
        <v>530</v>
      </c>
    </row>
    <row r="97" spans="1:18" x14ac:dyDescent="0.25">
      <c r="A97" s="49" t="s">
        <v>642</v>
      </c>
      <c r="B97" s="5">
        <v>5</v>
      </c>
      <c r="C97" s="8" t="s">
        <v>89</v>
      </c>
      <c r="F97" s="11"/>
      <c r="G97" s="11"/>
      <c r="K97" s="11"/>
      <c r="L97" s="11"/>
    </row>
    <row r="98" spans="1:18" x14ac:dyDescent="0.25">
      <c r="A98" s="52">
        <v>19.009999999999998</v>
      </c>
      <c r="B98" s="6">
        <v>6</v>
      </c>
      <c r="C98" s="6" t="s">
        <v>32</v>
      </c>
      <c r="D98" s="6" t="s">
        <v>33</v>
      </c>
      <c r="E98" s="45" t="s">
        <v>508</v>
      </c>
      <c r="F98" s="12">
        <v>1</v>
      </c>
      <c r="G98" s="48">
        <f>VLOOKUP($A98,'Model Inputs'!$A:$C,3,FALSE)</f>
        <v>7.2222222222222223</v>
      </c>
      <c r="H98" s="16">
        <f>H92</f>
        <v>390</v>
      </c>
      <c r="I98" s="16">
        <f>VLOOKUP(C98,Resources!B:G,6,FALSE)</f>
        <v>125</v>
      </c>
      <c r="J98" s="16">
        <f>(H98/G98)*I98*F98</f>
        <v>6750</v>
      </c>
      <c r="K98" s="12">
        <f>IF(E98="M"," ",L98*F98)</f>
        <v>54</v>
      </c>
      <c r="L98" s="12">
        <f>IF(E98="M"," ",H98/G98)</f>
        <v>54</v>
      </c>
      <c r="M98" s="16">
        <f>IF($E98="L",$J98,0)</f>
        <v>0</v>
      </c>
      <c r="N98" s="16">
        <f>IF($E98="M",$J98,0)</f>
        <v>0</v>
      </c>
      <c r="O98" s="16">
        <f>IF($E98="P",$J98,0)</f>
        <v>6750</v>
      </c>
      <c r="P98" s="16">
        <f>IF($E98="S",$J98,0)</f>
        <v>0</v>
      </c>
      <c r="Q98" s="16">
        <f>SUM(M98:P98)</f>
        <v>6750</v>
      </c>
      <c r="R98" s="250">
        <v>87</v>
      </c>
    </row>
    <row r="99" spans="1:18" x14ac:dyDescent="0.25">
      <c r="A99" s="52" t="s">
        <v>642</v>
      </c>
      <c r="B99" s="6">
        <v>7</v>
      </c>
      <c r="C99" s="6" t="s">
        <v>8</v>
      </c>
      <c r="D99" s="6" t="s">
        <v>33</v>
      </c>
      <c r="E99" s="45" t="s">
        <v>506</v>
      </c>
      <c r="F99" s="12">
        <v>2</v>
      </c>
      <c r="G99" s="12">
        <f>G98</f>
        <v>7.2222222222222223</v>
      </c>
      <c r="H99" s="16">
        <f>H92</f>
        <v>390</v>
      </c>
      <c r="I99" s="16">
        <f>VLOOKUP(C99,Resources!B:G,6,FALSE)</f>
        <v>48</v>
      </c>
      <c r="J99" s="16">
        <f>(H99/G99)*I99*F99</f>
        <v>5184</v>
      </c>
      <c r="K99" s="12">
        <f>IF(E99="M"," ",L99*F99)</f>
        <v>108</v>
      </c>
      <c r="L99" s="12">
        <f>IF(E99="M"," ",H99/G99)</f>
        <v>54</v>
      </c>
      <c r="M99" s="16">
        <f>IF($E99="L",$J99,0)</f>
        <v>5184</v>
      </c>
      <c r="N99" s="16">
        <f>IF($E99="M",$J99,0)</f>
        <v>0</v>
      </c>
      <c r="O99" s="16">
        <f>IF($E99="P",$J99,0)</f>
        <v>0</v>
      </c>
      <c r="P99" s="16">
        <f>IF($E99="S",$J99,0)</f>
        <v>0</v>
      </c>
      <c r="Q99" s="16">
        <f>SUM(M99:P99)</f>
        <v>5184</v>
      </c>
      <c r="R99" s="250">
        <v>87</v>
      </c>
    </row>
    <row r="100" spans="1:18" x14ac:dyDescent="0.25">
      <c r="A100" s="49" t="s">
        <v>642</v>
      </c>
      <c r="F100" s="11"/>
      <c r="G100" s="11"/>
      <c r="K100" s="11"/>
      <c r="L100" s="11"/>
    </row>
    <row r="101" spans="1:18" ht="30" x14ac:dyDescent="0.25">
      <c r="A101" s="51" t="s">
        <v>642</v>
      </c>
      <c r="B101" s="3" t="s">
        <v>90</v>
      </c>
      <c r="C101" s="3" t="s">
        <v>91</v>
      </c>
      <c r="D101" s="4"/>
      <c r="E101" s="44"/>
      <c r="F101" s="10"/>
      <c r="G101" s="10"/>
      <c r="H101" s="15"/>
      <c r="I101" s="15"/>
      <c r="J101" s="15"/>
      <c r="K101" s="10"/>
      <c r="L101" s="10"/>
      <c r="M101" s="15"/>
      <c r="N101" s="15"/>
      <c r="O101" s="15"/>
      <c r="P101" s="15"/>
      <c r="Q101" s="15"/>
      <c r="R101" s="249"/>
    </row>
    <row r="102" spans="1:18" ht="60" x14ac:dyDescent="0.25">
      <c r="A102" s="51">
        <v>20</v>
      </c>
      <c r="B102" s="3" t="s">
        <v>92</v>
      </c>
      <c r="C102" s="3" t="s">
        <v>558</v>
      </c>
      <c r="D102" s="4" t="s">
        <v>94</v>
      </c>
      <c r="E102" s="44"/>
      <c r="F102" s="10"/>
      <c r="G102" s="10"/>
      <c r="H102" s="48">
        <f>VLOOKUP($A102,'Model Inputs'!$A:$C,3,FALSE)</f>
        <v>188</v>
      </c>
      <c r="I102" s="15"/>
      <c r="J102" s="15">
        <f>SUBTOTAL(9,J104:J114)</f>
        <v>13898.474090859092</v>
      </c>
      <c r="K102" s="10"/>
      <c r="L102" s="15">
        <f>ROUNDUP(MAX(L104:L114)/Workhrs,0)</f>
        <v>4</v>
      </c>
      <c r="M102" s="15">
        <f>SUBTOTAL(9,M104:M114)</f>
        <v>360.96</v>
      </c>
      <c r="N102" s="15">
        <f>SUBTOTAL(9,N104:N114)</f>
        <v>7164.3140908590922</v>
      </c>
      <c r="O102" s="15">
        <f>SUBTOTAL(9,O104:O114)</f>
        <v>357.2</v>
      </c>
      <c r="P102" s="15">
        <f>SUBTOTAL(9,P104:P114)</f>
        <v>6016</v>
      </c>
      <c r="Q102" s="15">
        <f>SUBTOTAL(9,Q104:Q114)</f>
        <v>13898.474090859092</v>
      </c>
      <c r="R102" s="249"/>
    </row>
    <row r="103" spans="1:18" x14ac:dyDescent="0.25">
      <c r="A103" s="49" t="s">
        <v>642</v>
      </c>
      <c r="B103" s="5">
        <v>1</v>
      </c>
      <c r="C103" s="8" t="s">
        <v>27</v>
      </c>
      <c r="F103" s="11"/>
      <c r="G103" s="11"/>
      <c r="K103" s="11"/>
      <c r="L103" s="11"/>
    </row>
    <row r="104" spans="1:18" x14ac:dyDescent="0.25">
      <c r="A104" s="52" t="s">
        <v>642</v>
      </c>
      <c r="B104" s="6">
        <v>2</v>
      </c>
      <c r="C104" s="6" t="s">
        <v>95</v>
      </c>
      <c r="D104" s="6" t="s">
        <v>61</v>
      </c>
      <c r="E104" s="45" t="s">
        <v>507</v>
      </c>
      <c r="F104" s="12">
        <v>1</v>
      </c>
      <c r="G104" s="12">
        <v>1</v>
      </c>
      <c r="H104" s="16">
        <f>H102/9.091</f>
        <v>20.67979320206798</v>
      </c>
      <c r="I104" s="16">
        <f>VLOOKUP(C104,Resources!B:G,6,FALSE)</f>
        <v>198</v>
      </c>
      <c r="J104" s="16">
        <f t="shared" ref="J104:J109" si="1">(H104/G104)*I104*F104</f>
        <v>4094.5990540094599</v>
      </c>
      <c r="K104" s="12" t="str">
        <f t="shared" ref="K104:K109" si="2">IF(E104="M"," ",L104*F104)</f>
        <v xml:space="preserve"> </v>
      </c>
      <c r="L104" s="12" t="str">
        <f t="shared" ref="L104:L109" si="3">IF(E104="M"," ",H104/G104)</f>
        <v xml:space="preserve"> </v>
      </c>
      <c r="M104" s="16">
        <f t="shared" ref="M104:M109" si="4">IF($E104="L",$J104,0)</f>
        <v>0</v>
      </c>
      <c r="N104" s="16">
        <f t="shared" ref="N104:N109" si="5">IF($E104="M",$J104,0)</f>
        <v>4094.5990540094599</v>
      </c>
      <c r="O104" s="16">
        <f t="shared" ref="O104:O109" si="6">IF($E104="P",$J104,0)</f>
        <v>0</v>
      </c>
      <c r="P104" s="16">
        <f t="shared" ref="P104:P109" si="7">IF($E104="S",$J104,0)</f>
        <v>0</v>
      </c>
      <c r="Q104" s="16">
        <f t="shared" ref="Q104:Q109" si="8">SUM(M104:P104)</f>
        <v>4094.5990540094599</v>
      </c>
      <c r="R104" s="250" t="s">
        <v>534</v>
      </c>
    </row>
    <row r="105" spans="1:18" x14ac:dyDescent="0.25">
      <c r="A105" s="52" t="s">
        <v>642</v>
      </c>
      <c r="B105" s="6">
        <v>3</v>
      </c>
      <c r="C105" s="6" t="s">
        <v>96</v>
      </c>
      <c r="D105" s="6" t="s">
        <v>97</v>
      </c>
      <c r="E105" s="45" t="s">
        <v>507</v>
      </c>
      <c r="F105" s="12">
        <v>1</v>
      </c>
      <c r="G105" s="12">
        <v>1</v>
      </c>
      <c r="H105" s="16">
        <f>H102*1.3</f>
        <v>244.4</v>
      </c>
      <c r="I105" s="16">
        <f>VLOOKUP(C105,Resources!B:G,6,FALSE)</f>
        <v>6.5</v>
      </c>
      <c r="J105" s="16">
        <f t="shared" si="1"/>
        <v>1588.6000000000001</v>
      </c>
      <c r="K105" s="12" t="str">
        <f t="shared" si="2"/>
        <v xml:space="preserve"> </v>
      </c>
      <c r="L105" s="12" t="str">
        <f t="shared" si="3"/>
        <v xml:space="preserve"> </v>
      </c>
      <c r="M105" s="16">
        <f t="shared" si="4"/>
        <v>0</v>
      </c>
      <c r="N105" s="16">
        <f t="shared" si="5"/>
        <v>1588.6000000000001</v>
      </c>
      <c r="O105" s="16">
        <f t="shared" si="6"/>
        <v>0</v>
      </c>
      <c r="P105" s="16">
        <f t="shared" si="7"/>
        <v>0</v>
      </c>
      <c r="Q105" s="16">
        <f t="shared" si="8"/>
        <v>1588.6000000000001</v>
      </c>
      <c r="R105" s="250" t="s">
        <v>535</v>
      </c>
    </row>
    <row r="106" spans="1:18" x14ac:dyDescent="0.25">
      <c r="A106" s="52" t="s">
        <v>642</v>
      </c>
      <c r="B106" s="6">
        <v>4</v>
      </c>
      <c r="C106" s="6" t="s">
        <v>29</v>
      </c>
      <c r="D106" s="6" t="s">
        <v>30</v>
      </c>
      <c r="E106" s="45" t="s">
        <v>507</v>
      </c>
      <c r="F106" s="12">
        <v>1</v>
      </c>
      <c r="G106" s="12">
        <v>1</v>
      </c>
      <c r="H106" s="16">
        <f>H104</f>
        <v>20.67979320206798</v>
      </c>
      <c r="I106" s="16">
        <f>VLOOKUP(C106,Resources!B:G,6,FALSE)</f>
        <v>24</v>
      </c>
      <c r="J106" s="16">
        <f t="shared" si="1"/>
        <v>496.3150368496315</v>
      </c>
      <c r="K106" s="12" t="str">
        <f t="shared" si="2"/>
        <v xml:space="preserve"> </v>
      </c>
      <c r="L106" s="12" t="str">
        <f t="shared" si="3"/>
        <v xml:space="preserve"> </v>
      </c>
      <c r="M106" s="16">
        <f t="shared" si="4"/>
        <v>0</v>
      </c>
      <c r="N106" s="16">
        <f t="shared" si="5"/>
        <v>496.3150368496315</v>
      </c>
      <c r="O106" s="16">
        <f t="shared" si="6"/>
        <v>0</v>
      </c>
      <c r="P106" s="16">
        <f t="shared" si="7"/>
        <v>0</v>
      </c>
      <c r="Q106" s="16">
        <f t="shared" si="8"/>
        <v>496.3150368496315</v>
      </c>
      <c r="R106" s="250" t="s">
        <v>530</v>
      </c>
    </row>
    <row r="107" spans="1:18" x14ac:dyDescent="0.25">
      <c r="A107" s="52" t="s">
        <v>642</v>
      </c>
      <c r="B107" s="6">
        <v>5</v>
      </c>
      <c r="C107" s="6" t="s">
        <v>511</v>
      </c>
      <c r="D107" s="6" t="s">
        <v>97</v>
      </c>
      <c r="E107" s="45" t="s">
        <v>507</v>
      </c>
      <c r="F107" s="12">
        <v>1</v>
      </c>
      <c r="G107" s="12">
        <v>1</v>
      </c>
      <c r="H107" s="16">
        <f>H105</f>
        <v>244.4</v>
      </c>
      <c r="I107" s="16">
        <f>VLOOKUP(C107,Resources!B:G,6,FALSE)</f>
        <v>1.25</v>
      </c>
      <c r="J107" s="16">
        <f t="shared" si="1"/>
        <v>305.5</v>
      </c>
      <c r="K107" s="12" t="str">
        <f t="shared" si="2"/>
        <v xml:space="preserve"> </v>
      </c>
      <c r="L107" s="12" t="str">
        <f t="shared" si="3"/>
        <v xml:space="preserve"> </v>
      </c>
      <c r="M107" s="16">
        <f t="shared" si="4"/>
        <v>0</v>
      </c>
      <c r="N107" s="16">
        <f t="shared" si="5"/>
        <v>305.5</v>
      </c>
      <c r="O107" s="16">
        <f t="shared" si="6"/>
        <v>0</v>
      </c>
      <c r="P107" s="16">
        <f t="shared" si="7"/>
        <v>0</v>
      </c>
      <c r="Q107" s="16">
        <f t="shared" si="8"/>
        <v>305.5</v>
      </c>
      <c r="R107" s="250" t="s">
        <v>535</v>
      </c>
    </row>
    <row r="108" spans="1:18" x14ac:dyDescent="0.25">
      <c r="A108" s="52" t="s">
        <v>642</v>
      </c>
      <c r="B108" s="6">
        <v>6</v>
      </c>
      <c r="C108" s="6" t="s">
        <v>98</v>
      </c>
      <c r="D108" s="6" t="s">
        <v>99</v>
      </c>
      <c r="E108" s="45" t="s">
        <v>507</v>
      </c>
      <c r="F108" s="12">
        <v>1</v>
      </c>
      <c r="G108" s="12">
        <v>1</v>
      </c>
      <c r="H108" s="16">
        <f>H102</f>
        <v>188</v>
      </c>
      <c r="I108" s="16">
        <f>VLOOKUP(C108,Resources!B:G,6,FALSE)</f>
        <v>3.35</v>
      </c>
      <c r="J108" s="16">
        <f t="shared" si="1"/>
        <v>629.80000000000007</v>
      </c>
      <c r="K108" s="12" t="str">
        <f t="shared" si="2"/>
        <v xml:space="preserve"> </v>
      </c>
      <c r="L108" s="12" t="str">
        <f t="shared" si="3"/>
        <v xml:space="preserve"> </v>
      </c>
      <c r="M108" s="16">
        <f t="shared" si="4"/>
        <v>0</v>
      </c>
      <c r="N108" s="16">
        <f t="shared" si="5"/>
        <v>629.80000000000007</v>
      </c>
      <c r="O108" s="16">
        <f t="shared" si="6"/>
        <v>0</v>
      </c>
      <c r="P108" s="16">
        <f t="shared" si="7"/>
        <v>0</v>
      </c>
      <c r="Q108" s="16">
        <f t="shared" si="8"/>
        <v>629.80000000000007</v>
      </c>
      <c r="R108" s="250" t="s">
        <v>535</v>
      </c>
    </row>
    <row r="109" spans="1:18" x14ac:dyDescent="0.25">
      <c r="A109" s="52" t="s">
        <v>642</v>
      </c>
      <c r="B109" s="6">
        <v>7</v>
      </c>
      <c r="C109" s="6" t="s">
        <v>100</v>
      </c>
      <c r="D109" s="6" t="s">
        <v>19</v>
      </c>
      <c r="E109" s="45" t="s">
        <v>507</v>
      </c>
      <c r="F109" s="12">
        <v>1</v>
      </c>
      <c r="G109" s="12">
        <v>1</v>
      </c>
      <c r="H109" s="16">
        <v>5</v>
      </c>
      <c r="I109" s="16">
        <f>VLOOKUP(C109,Resources!B:G,6,FALSE)</f>
        <v>9.9</v>
      </c>
      <c r="J109" s="16">
        <f t="shared" si="1"/>
        <v>49.5</v>
      </c>
      <c r="K109" s="12" t="str">
        <f t="shared" si="2"/>
        <v xml:space="preserve"> </v>
      </c>
      <c r="L109" s="12" t="str">
        <f t="shared" si="3"/>
        <v xml:space="preserve"> </v>
      </c>
      <c r="M109" s="16">
        <f t="shared" si="4"/>
        <v>0</v>
      </c>
      <c r="N109" s="16">
        <f t="shared" si="5"/>
        <v>49.5</v>
      </c>
      <c r="O109" s="16">
        <f t="shared" si="6"/>
        <v>0</v>
      </c>
      <c r="P109" s="16">
        <f t="shared" si="7"/>
        <v>0</v>
      </c>
      <c r="Q109" s="16">
        <f t="shared" si="8"/>
        <v>49.5</v>
      </c>
      <c r="R109" s="250" t="s">
        <v>535</v>
      </c>
    </row>
    <row r="110" spans="1:18" x14ac:dyDescent="0.25">
      <c r="A110" s="49" t="s">
        <v>642</v>
      </c>
      <c r="B110" s="5">
        <v>8</v>
      </c>
      <c r="C110" s="8" t="s">
        <v>101</v>
      </c>
      <c r="F110" s="11"/>
      <c r="G110" s="11"/>
      <c r="K110" s="11"/>
      <c r="L110" s="11"/>
    </row>
    <row r="111" spans="1:18" x14ac:dyDescent="0.25">
      <c r="A111" s="52">
        <v>20.010000000000002</v>
      </c>
      <c r="B111" s="6">
        <v>9</v>
      </c>
      <c r="C111" s="6" t="s">
        <v>102</v>
      </c>
      <c r="D111" s="6" t="s">
        <v>33</v>
      </c>
      <c r="E111" s="45" t="s">
        <v>508</v>
      </c>
      <c r="F111" s="12">
        <v>1</v>
      </c>
      <c r="G111" s="48">
        <f>VLOOKUP($A111,'Model Inputs'!$A:$C,3,FALSE)</f>
        <v>50</v>
      </c>
      <c r="H111" s="16">
        <f>H102</f>
        <v>188</v>
      </c>
      <c r="I111" s="16">
        <f>VLOOKUP(C111,Resources!B:G,6,FALSE)</f>
        <v>95</v>
      </c>
      <c r="J111" s="16">
        <f>(H111/G111)*I111*F111</f>
        <v>357.2</v>
      </c>
      <c r="K111" s="12">
        <f>IF(E111="M"," ",L111*F111)</f>
        <v>3.76</v>
      </c>
      <c r="L111" s="12">
        <f>IF(E111="M"," ",H111/G111)</f>
        <v>3.76</v>
      </c>
      <c r="M111" s="16">
        <f>IF($E111="L",$J111,0)</f>
        <v>0</v>
      </c>
      <c r="N111" s="16">
        <f>IF($E111="M",$J111,0)</f>
        <v>0</v>
      </c>
      <c r="O111" s="16">
        <f>IF($E111="P",$J111,0)</f>
        <v>357.2</v>
      </c>
      <c r="P111" s="16">
        <f>IF($E111="S",$J111,0)</f>
        <v>0</v>
      </c>
      <c r="Q111" s="16">
        <f>SUM(M111:P111)</f>
        <v>357.2</v>
      </c>
      <c r="R111" s="250">
        <v>73</v>
      </c>
    </row>
    <row r="112" spans="1:18" x14ac:dyDescent="0.25">
      <c r="A112" s="52" t="s">
        <v>642</v>
      </c>
      <c r="B112" s="6">
        <v>10</v>
      </c>
      <c r="C112" s="6" t="s">
        <v>8</v>
      </c>
      <c r="D112" s="6" t="s">
        <v>33</v>
      </c>
      <c r="E112" s="45" t="s">
        <v>506</v>
      </c>
      <c r="F112" s="12">
        <v>2</v>
      </c>
      <c r="G112" s="12">
        <f>G111</f>
        <v>50</v>
      </c>
      <c r="H112" s="16">
        <f>H102</f>
        <v>188</v>
      </c>
      <c r="I112" s="16">
        <f>VLOOKUP(C112,Resources!B:G,6,FALSE)</f>
        <v>48</v>
      </c>
      <c r="J112" s="16">
        <f>(H112/G112)*I112*F112</f>
        <v>360.96</v>
      </c>
      <c r="K112" s="12">
        <f>IF(E112="M"," ",L112*F112)</f>
        <v>7.52</v>
      </c>
      <c r="L112" s="12">
        <f>IF(E112="M"," ",H112/G112)</f>
        <v>3.76</v>
      </c>
      <c r="M112" s="16">
        <f>IF($E112="L",$J112,0)</f>
        <v>360.96</v>
      </c>
      <c r="N112" s="16">
        <f>IF($E112="M",$J112,0)</f>
        <v>0</v>
      </c>
      <c r="O112" s="16">
        <f>IF($E112="P",$J112,0)</f>
        <v>0</v>
      </c>
      <c r="P112" s="16">
        <f>IF($E112="S",$J112,0)</f>
        <v>0</v>
      </c>
      <c r="Q112" s="16">
        <f>SUM(M112:P112)</f>
        <v>360.96</v>
      </c>
      <c r="R112" s="250">
        <v>73</v>
      </c>
    </row>
    <row r="113" spans="1:18" x14ac:dyDescent="0.25">
      <c r="A113" s="49" t="s">
        <v>642</v>
      </c>
      <c r="B113" s="5">
        <v>11</v>
      </c>
      <c r="C113" s="8" t="s">
        <v>103</v>
      </c>
      <c r="F113" s="11"/>
      <c r="G113" s="11"/>
      <c r="K113" s="11"/>
      <c r="L113" s="11"/>
    </row>
    <row r="114" spans="1:18" x14ac:dyDescent="0.25">
      <c r="A114" s="52" t="s">
        <v>642</v>
      </c>
      <c r="B114" s="6">
        <v>12</v>
      </c>
      <c r="C114" s="6" t="s">
        <v>104</v>
      </c>
      <c r="D114" s="6" t="s">
        <v>97</v>
      </c>
      <c r="E114" s="45" t="s">
        <v>509</v>
      </c>
      <c r="F114" s="12">
        <v>1</v>
      </c>
      <c r="G114" s="12">
        <v>1</v>
      </c>
      <c r="H114" s="16">
        <f>H102</f>
        <v>188</v>
      </c>
      <c r="I114" s="16">
        <f>VLOOKUP(C114,Resources!B:G,6,FALSE)</f>
        <v>32</v>
      </c>
      <c r="J114" s="16">
        <f>(H114/G114)*I114*F114</f>
        <v>6016</v>
      </c>
      <c r="K114" s="12">
        <f>IF(E114="M"," ",L114*F114)</f>
        <v>33.840000000000003</v>
      </c>
      <c r="L114" s="53">
        <f>IF(E114="M"," ",H114/G114)*9/50</f>
        <v>33.840000000000003</v>
      </c>
      <c r="M114" s="16">
        <f>IF($E114="L",$J114,0)</f>
        <v>0</v>
      </c>
      <c r="N114" s="16">
        <f>IF($E114="M",$J114,0)</f>
        <v>0</v>
      </c>
      <c r="O114" s="16">
        <f>IF($E114="P",$J114,0)</f>
        <v>0</v>
      </c>
      <c r="P114" s="16">
        <f>IF($E114="S",$J114,0)</f>
        <v>6016</v>
      </c>
      <c r="Q114" s="16">
        <f>SUM(M114:P114)</f>
        <v>6016</v>
      </c>
      <c r="R114" s="250">
        <v>73</v>
      </c>
    </row>
    <row r="115" spans="1:18" x14ac:dyDescent="0.25">
      <c r="A115" s="49" t="s">
        <v>642</v>
      </c>
      <c r="F115" s="11"/>
      <c r="G115" s="11"/>
      <c r="K115" s="11"/>
      <c r="L115" s="11"/>
    </row>
    <row r="116" spans="1:18" ht="60" x14ac:dyDescent="0.25">
      <c r="A116" s="51">
        <v>21</v>
      </c>
      <c r="B116" s="3" t="s">
        <v>105</v>
      </c>
      <c r="C116" s="3" t="s">
        <v>559</v>
      </c>
      <c r="D116" s="4" t="s">
        <v>94</v>
      </c>
      <c r="E116" s="44"/>
      <c r="F116" s="10"/>
      <c r="G116" s="10"/>
      <c r="H116" s="48">
        <f>VLOOKUP($A116,'Model Inputs'!$A:$C,3,FALSE)</f>
        <v>38.1</v>
      </c>
      <c r="I116" s="15"/>
      <c r="J116" s="15">
        <f>SUBTOTAL(9,J118:J128)</f>
        <v>2816.5271960730397</v>
      </c>
      <c r="K116" s="10"/>
      <c r="L116" s="15">
        <f>ROUNDUP(MAX(L118:L128)/Workhrs,0)</f>
        <v>1</v>
      </c>
      <c r="M116" s="15">
        <f>SUBTOTAL(9,M118:M128)</f>
        <v>73.152000000000001</v>
      </c>
      <c r="N116" s="15">
        <f>SUBTOTAL(9,N118:N128)</f>
        <v>1451.7851960730393</v>
      </c>
      <c r="O116" s="15">
        <f>SUBTOTAL(9,O118:O128)</f>
        <v>72.39</v>
      </c>
      <c r="P116" s="15">
        <f>SUBTOTAL(9,P118:P128)</f>
        <v>1219.2</v>
      </c>
      <c r="Q116" s="15">
        <f>SUBTOTAL(9,Q118:Q128)</f>
        <v>2816.5271960730397</v>
      </c>
      <c r="R116" s="249"/>
    </row>
    <row r="117" spans="1:18" x14ac:dyDescent="0.25">
      <c r="A117" s="49" t="s">
        <v>642</v>
      </c>
      <c r="B117" s="5">
        <v>1</v>
      </c>
      <c r="C117" s="8" t="s">
        <v>27</v>
      </c>
      <c r="F117" s="11"/>
      <c r="G117" s="11"/>
      <c r="K117" s="11"/>
      <c r="L117" s="11"/>
    </row>
    <row r="118" spans="1:18" x14ac:dyDescent="0.25">
      <c r="A118" s="52" t="s">
        <v>642</v>
      </c>
      <c r="B118" s="6">
        <v>2</v>
      </c>
      <c r="C118" s="6" t="s">
        <v>95</v>
      </c>
      <c r="D118" s="6" t="s">
        <v>61</v>
      </c>
      <c r="E118" s="45" t="s">
        <v>507</v>
      </c>
      <c r="F118" s="12">
        <v>1</v>
      </c>
      <c r="G118" s="12">
        <v>1</v>
      </c>
      <c r="H118" s="16">
        <f>H116/9.091</f>
        <v>4.1909580904190964</v>
      </c>
      <c r="I118" s="16">
        <f>VLOOKUP(C118,Resources!B:G,6,FALSE)</f>
        <v>198</v>
      </c>
      <c r="J118" s="16">
        <f t="shared" ref="J118:J123" si="9">(H118/G118)*I118*F118</f>
        <v>829.80970190298103</v>
      </c>
      <c r="K118" s="12" t="str">
        <f t="shared" ref="K118:K123" si="10">IF(E118="M"," ",L118*F118)</f>
        <v xml:space="preserve"> </v>
      </c>
      <c r="L118" s="12" t="str">
        <f t="shared" ref="L118:L123" si="11">IF(E118="M"," ",H118/G118)</f>
        <v xml:space="preserve"> </v>
      </c>
      <c r="M118" s="16">
        <f t="shared" ref="M118:M123" si="12">IF($E118="L",$J118,0)</f>
        <v>0</v>
      </c>
      <c r="N118" s="16">
        <f t="shared" ref="N118:N123" si="13">IF($E118="M",$J118,0)</f>
        <v>829.80970190298103</v>
      </c>
      <c r="O118" s="16">
        <f t="shared" ref="O118:O123" si="14">IF($E118="P",$J118,0)</f>
        <v>0</v>
      </c>
      <c r="P118" s="16">
        <f t="shared" ref="P118:P123" si="15">IF($E118="S",$J118,0)</f>
        <v>0</v>
      </c>
      <c r="Q118" s="16">
        <f t="shared" ref="Q118:Q123" si="16">SUM(M118:P118)</f>
        <v>829.80970190298103</v>
      </c>
      <c r="R118" s="250" t="s">
        <v>534</v>
      </c>
    </row>
    <row r="119" spans="1:18" x14ac:dyDescent="0.25">
      <c r="A119" s="52" t="s">
        <v>642</v>
      </c>
      <c r="B119" s="6">
        <v>3</v>
      </c>
      <c r="C119" s="6" t="s">
        <v>96</v>
      </c>
      <c r="D119" s="6" t="s">
        <v>97</v>
      </c>
      <c r="E119" s="45" t="s">
        <v>507</v>
      </c>
      <c r="F119" s="12">
        <v>1</v>
      </c>
      <c r="G119" s="12">
        <v>1</v>
      </c>
      <c r="H119" s="16">
        <f>H116*1.3</f>
        <v>49.53</v>
      </c>
      <c r="I119" s="16">
        <f>VLOOKUP(C119,Resources!B:G,6,FALSE)</f>
        <v>6.5</v>
      </c>
      <c r="J119" s="16">
        <f t="shared" si="9"/>
        <v>321.94499999999999</v>
      </c>
      <c r="K119" s="12" t="str">
        <f t="shared" si="10"/>
        <v xml:space="preserve"> </v>
      </c>
      <c r="L119" s="12" t="str">
        <f t="shared" si="11"/>
        <v xml:space="preserve"> </v>
      </c>
      <c r="M119" s="16">
        <f t="shared" si="12"/>
        <v>0</v>
      </c>
      <c r="N119" s="16">
        <f t="shared" si="13"/>
        <v>321.94499999999999</v>
      </c>
      <c r="O119" s="16">
        <f t="shared" si="14"/>
        <v>0</v>
      </c>
      <c r="P119" s="16">
        <f t="shared" si="15"/>
        <v>0</v>
      </c>
      <c r="Q119" s="16">
        <f t="shared" si="16"/>
        <v>321.94499999999999</v>
      </c>
      <c r="R119" s="250" t="s">
        <v>535</v>
      </c>
    </row>
    <row r="120" spans="1:18" x14ac:dyDescent="0.25">
      <c r="A120" s="52" t="s">
        <v>642</v>
      </c>
      <c r="B120" s="6">
        <v>4</v>
      </c>
      <c r="C120" s="6" t="s">
        <v>29</v>
      </c>
      <c r="D120" s="6" t="s">
        <v>30</v>
      </c>
      <c r="E120" s="45" t="s">
        <v>507</v>
      </c>
      <c r="F120" s="12">
        <v>1</v>
      </c>
      <c r="G120" s="12">
        <v>1</v>
      </c>
      <c r="H120" s="16">
        <f>H118</f>
        <v>4.1909580904190964</v>
      </c>
      <c r="I120" s="16">
        <f>VLOOKUP(C120,Resources!B:G,6,FALSE)</f>
        <v>24</v>
      </c>
      <c r="J120" s="16">
        <f t="shared" si="9"/>
        <v>100.58299417005831</v>
      </c>
      <c r="K120" s="12" t="str">
        <f t="shared" si="10"/>
        <v xml:space="preserve"> </v>
      </c>
      <c r="L120" s="12" t="str">
        <f t="shared" si="11"/>
        <v xml:space="preserve"> </v>
      </c>
      <c r="M120" s="16">
        <f t="shared" si="12"/>
        <v>0</v>
      </c>
      <c r="N120" s="16">
        <f t="shared" si="13"/>
        <v>100.58299417005831</v>
      </c>
      <c r="O120" s="16">
        <f t="shared" si="14"/>
        <v>0</v>
      </c>
      <c r="P120" s="16">
        <f t="shared" si="15"/>
        <v>0</v>
      </c>
      <c r="Q120" s="16">
        <f t="shared" si="16"/>
        <v>100.58299417005831</v>
      </c>
      <c r="R120" s="250" t="s">
        <v>530</v>
      </c>
    </row>
    <row r="121" spans="1:18" x14ac:dyDescent="0.25">
      <c r="A121" s="52" t="s">
        <v>642</v>
      </c>
      <c r="B121" s="6">
        <v>5</v>
      </c>
      <c r="C121" s="6" t="s">
        <v>511</v>
      </c>
      <c r="D121" s="6" t="s">
        <v>97</v>
      </c>
      <c r="E121" s="45" t="s">
        <v>507</v>
      </c>
      <c r="F121" s="12">
        <v>1</v>
      </c>
      <c r="G121" s="12">
        <v>1</v>
      </c>
      <c r="H121" s="16">
        <f>H119</f>
        <v>49.53</v>
      </c>
      <c r="I121" s="16">
        <f>VLOOKUP(C121,Resources!B:G,6,FALSE)</f>
        <v>1.25</v>
      </c>
      <c r="J121" s="16">
        <f t="shared" si="9"/>
        <v>61.912500000000001</v>
      </c>
      <c r="K121" s="12" t="str">
        <f t="shared" si="10"/>
        <v xml:space="preserve"> </v>
      </c>
      <c r="L121" s="12" t="str">
        <f t="shared" si="11"/>
        <v xml:space="preserve"> </v>
      </c>
      <c r="M121" s="16">
        <f t="shared" si="12"/>
        <v>0</v>
      </c>
      <c r="N121" s="16">
        <f t="shared" si="13"/>
        <v>61.912500000000001</v>
      </c>
      <c r="O121" s="16">
        <f t="shared" si="14"/>
        <v>0</v>
      </c>
      <c r="P121" s="16">
        <f t="shared" si="15"/>
        <v>0</v>
      </c>
      <c r="Q121" s="16">
        <f t="shared" si="16"/>
        <v>61.912500000000001</v>
      </c>
      <c r="R121" s="250" t="s">
        <v>535</v>
      </c>
    </row>
    <row r="122" spans="1:18" x14ac:dyDescent="0.25">
      <c r="A122" s="52" t="s">
        <v>642</v>
      </c>
      <c r="B122" s="6">
        <v>6</v>
      </c>
      <c r="C122" s="6" t="s">
        <v>98</v>
      </c>
      <c r="D122" s="6" t="s">
        <v>99</v>
      </c>
      <c r="E122" s="45" t="s">
        <v>507</v>
      </c>
      <c r="F122" s="12">
        <v>1</v>
      </c>
      <c r="G122" s="12">
        <v>1</v>
      </c>
      <c r="H122" s="16">
        <f>H116</f>
        <v>38.1</v>
      </c>
      <c r="I122" s="16">
        <f>VLOOKUP(C122,Resources!B:G,6,FALSE)</f>
        <v>3.35</v>
      </c>
      <c r="J122" s="16">
        <f t="shared" si="9"/>
        <v>127.63500000000001</v>
      </c>
      <c r="K122" s="12" t="str">
        <f t="shared" si="10"/>
        <v xml:space="preserve"> </v>
      </c>
      <c r="L122" s="12" t="str">
        <f t="shared" si="11"/>
        <v xml:space="preserve"> </v>
      </c>
      <c r="M122" s="16">
        <f t="shared" si="12"/>
        <v>0</v>
      </c>
      <c r="N122" s="16">
        <f t="shared" si="13"/>
        <v>127.63500000000001</v>
      </c>
      <c r="O122" s="16">
        <f t="shared" si="14"/>
        <v>0</v>
      </c>
      <c r="P122" s="16">
        <f t="shared" si="15"/>
        <v>0</v>
      </c>
      <c r="Q122" s="16">
        <f t="shared" si="16"/>
        <v>127.63500000000001</v>
      </c>
      <c r="R122" s="250" t="s">
        <v>535</v>
      </c>
    </row>
    <row r="123" spans="1:18" x14ac:dyDescent="0.25">
      <c r="A123" s="52" t="s">
        <v>642</v>
      </c>
      <c r="B123" s="6">
        <v>7</v>
      </c>
      <c r="C123" s="6" t="s">
        <v>100</v>
      </c>
      <c r="D123" s="6" t="s">
        <v>19</v>
      </c>
      <c r="E123" s="45" t="s">
        <v>507</v>
      </c>
      <c r="F123" s="12">
        <v>1</v>
      </c>
      <c r="G123" s="12">
        <v>1</v>
      </c>
      <c r="H123" s="16">
        <v>1</v>
      </c>
      <c r="I123" s="16">
        <f>VLOOKUP(C123,Resources!B:G,6,FALSE)</f>
        <v>9.9</v>
      </c>
      <c r="J123" s="16">
        <f t="shared" si="9"/>
        <v>9.9</v>
      </c>
      <c r="K123" s="12" t="str">
        <f t="shared" si="10"/>
        <v xml:space="preserve"> </v>
      </c>
      <c r="L123" s="12" t="str">
        <f t="shared" si="11"/>
        <v xml:space="preserve"> </v>
      </c>
      <c r="M123" s="16">
        <f t="shared" si="12"/>
        <v>0</v>
      </c>
      <c r="N123" s="16">
        <f t="shared" si="13"/>
        <v>9.9</v>
      </c>
      <c r="O123" s="16">
        <f t="shared" si="14"/>
        <v>0</v>
      </c>
      <c r="P123" s="16">
        <f t="shared" si="15"/>
        <v>0</v>
      </c>
      <c r="Q123" s="16">
        <f t="shared" si="16"/>
        <v>9.9</v>
      </c>
      <c r="R123" s="250" t="s">
        <v>535</v>
      </c>
    </row>
    <row r="124" spans="1:18" x14ac:dyDescent="0.25">
      <c r="A124" s="49" t="s">
        <v>642</v>
      </c>
      <c r="B124" s="5">
        <v>8</v>
      </c>
      <c r="C124" s="8" t="s">
        <v>101</v>
      </c>
      <c r="F124" s="11"/>
      <c r="G124" s="11"/>
      <c r="K124" s="11"/>
      <c r="L124" s="11"/>
    </row>
    <row r="125" spans="1:18" x14ac:dyDescent="0.25">
      <c r="A125" s="52">
        <v>21.01</v>
      </c>
      <c r="B125" s="6">
        <v>9</v>
      </c>
      <c r="C125" s="6" t="s">
        <v>102</v>
      </c>
      <c r="D125" s="6" t="s">
        <v>33</v>
      </c>
      <c r="E125" s="45" t="s">
        <v>508</v>
      </c>
      <c r="F125" s="12">
        <v>1</v>
      </c>
      <c r="G125" s="48">
        <f>VLOOKUP($A125,'Model Inputs'!$A:$C,3,FALSE)</f>
        <v>50</v>
      </c>
      <c r="H125" s="16">
        <f>H116</f>
        <v>38.1</v>
      </c>
      <c r="I125" s="16">
        <f>VLOOKUP(C125,Resources!B:G,6,FALSE)</f>
        <v>95</v>
      </c>
      <c r="J125" s="16">
        <f>(H125/G125)*I125*F125</f>
        <v>72.39</v>
      </c>
      <c r="K125" s="12">
        <f>IF(E125="M"," ",L125*F125)</f>
        <v>0.76200000000000001</v>
      </c>
      <c r="L125" s="12">
        <f>IF(E125="M"," ",H125/G125)</f>
        <v>0.76200000000000001</v>
      </c>
      <c r="M125" s="16">
        <f>IF($E125="L",$J125,0)</f>
        <v>0</v>
      </c>
      <c r="N125" s="16">
        <f>IF($E125="M",$J125,0)</f>
        <v>0</v>
      </c>
      <c r="O125" s="16">
        <f>IF($E125="P",$J125,0)</f>
        <v>72.39</v>
      </c>
      <c r="P125" s="16">
        <f>IF($E125="S",$J125,0)</f>
        <v>0</v>
      </c>
      <c r="Q125" s="16">
        <f>SUM(M125:P125)</f>
        <v>72.39</v>
      </c>
      <c r="R125" s="250">
        <v>73</v>
      </c>
    </row>
    <row r="126" spans="1:18" x14ac:dyDescent="0.25">
      <c r="A126" s="52" t="s">
        <v>642</v>
      </c>
      <c r="B126" s="6">
        <v>10</v>
      </c>
      <c r="C126" s="6" t="s">
        <v>8</v>
      </c>
      <c r="D126" s="6" t="s">
        <v>33</v>
      </c>
      <c r="E126" s="45" t="s">
        <v>506</v>
      </c>
      <c r="F126" s="12">
        <v>2</v>
      </c>
      <c r="G126" s="12">
        <f>G125</f>
        <v>50</v>
      </c>
      <c r="H126" s="16">
        <f>H116</f>
        <v>38.1</v>
      </c>
      <c r="I126" s="16">
        <f>VLOOKUP(C126,Resources!B:G,6,FALSE)</f>
        <v>48</v>
      </c>
      <c r="J126" s="16">
        <f>(H126/G126)*I126*F126</f>
        <v>73.152000000000001</v>
      </c>
      <c r="K126" s="12">
        <f>IF(E126="M"," ",L126*F126)</f>
        <v>1.524</v>
      </c>
      <c r="L126" s="12">
        <f>IF(E126="M"," ",H126/G126)</f>
        <v>0.76200000000000001</v>
      </c>
      <c r="M126" s="16">
        <f>IF($E126="L",$J126,0)</f>
        <v>73.152000000000001</v>
      </c>
      <c r="N126" s="16">
        <f>IF($E126="M",$J126,0)</f>
        <v>0</v>
      </c>
      <c r="O126" s="16">
        <f>IF($E126="P",$J126,0)</f>
        <v>0</v>
      </c>
      <c r="P126" s="16">
        <f>IF($E126="S",$J126,0)</f>
        <v>0</v>
      </c>
      <c r="Q126" s="16">
        <f>SUM(M126:P126)</f>
        <v>73.152000000000001</v>
      </c>
      <c r="R126" s="250">
        <v>73</v>
      </c>
    </row>
    <row r="127" spans="1:18" x14ac:dyDescent="0.25">
      <c r="A127" s="49" t="s">
        <v>642</v>
      </c>
      <c r="B127" s="5">
        <v>11</v>
      </c>
      <c r="C127" s="8" t="s">
        <v>103</v>
      </c>
      <c r="F127" s="11"/>
      <c r="G127" s="11"/>
      <c r="K127" s="11"/>
      <c r="L127" s="11"/>
    </row>
    <row r="128" spans="1:18" x14ac:dyDescent="0.25">
      <c r="A128" s="52" t="s">
        <v>642</v>
      </c>
      <c r="B128" s="6">
        <v>12</v>
      </c>
      <c r="C128" s="6" t="s">
        <v>104</v>
      </c>
      <c r="D128" s="6" t="s">
        <v>97</v>
      </c>
      <c r="E128" s="45" t="s">
        <v>509</v>
      </c>
      <c r="F128" s="12">
        <v>1</v>
      </c>
      <c r="G128" s="12">
        <v>1</v>
      </c>
      <c r="H128" s="16">
        <f>H116</f>
        <v>38.1</v>
      </c>
      <c r="I128" s="16">
        <f>VLOOKUP(C128,Resources!B:G,6,FALSE)</f>
        <v>32</v>
      </c>
      <c r="J128" s="16">
        <f>(H128/G128)*I128*F128</f>
        <v>1219.2</v>
      </c>
      <c r="K128" s="12">
        <f>IF(E128="M"," ",L128*F128)</f>
        <v>6.8580000000000005</v>
      </c>
      <c r="L128" s="53">
        <f>IF(E128="M"," ",H128/G128)*9/50</f>
        <v>6.8580000000000005</v>
      </c>
      <c r="M128" s="16">
        <f>IF($E128="L",$J128,0)</f>
        <v>0</v>
      </c>
      <c r="N128" s="16">
        <f>IF($E128="M",$J128,0)</f>
        <v>0</v>
      </c>
      <c r="O128" s="16">
        <f>IF($E128="P",$J128,0)</f>
        <v>0</v>
      </c>
      <c r="P128" s="16">
        <f>IF($E128="S",$J128,0)</f>
        <v>1219.2</v>
      </c>
      <c r="Q128" s="16">
        <f>SUM(M128:P128)</f>
        <v>1219.2</v>
      </c>
      <c r="R128" s="250">
        <v>73</v>
      </c>
    </row>
    <row r="129" spans="1:18" x14ac:dyDescent="0.25">
      <c r="A129" s="49" t="s">
        <v>642</v>
      </c>
      <c r="F129" s="11"/>
      <c r="G129" s="11"/>
      <c r="K129" s="11"/>
      <c r="L129" s="11"/>
    </row>
    <row r="130" spans="1:18" ht="75" x14ac:dyDescent="0.25">
      <c r="A130" s="51">
        <v>22</v>
      </c>
      <c r="B130" s="3" t="s">
        <v>107</v>
      </c>
      <c r="C130" s="3" t="s">
        <v>560</v>
      </c>
      <c r="D130" s="4" t="s">
        <v>94</v>
      </c>
      <c r="E130" s="44"/>
      <c r="F130" s="10"/>
      <c r="G130" s="10"/>
      <c r="H130" s="48">
        <f>VLOOKUP($A130,'Model Inputs'!$A:$C,3,FALSE)</f>
        <v>240</v>
      </c>
      <c r="I130" s="15"/>
      <c r="J130" s="15">
        <f>SUBTOTAL(9,J132:J142)</f>
        <v>34443.189550376002</v>
      </c>
      <c r="K130" s="10"/>
      <c r="L130" s="15">
        <f>ROUNDUP(MAX(L132:L142)/Workhrs,0)</f>
        <v>5</v>
      </c>
      <c r="M130" s="15">
        <f>SUBTOTAL(9,M132:M142)</f>
        <v>460.79999999999995</v>
      </c>
      <c r="N130" s="15">
        <f>SUBTOTAL(9,N132:N142)</f>
        <v>17926.389550376</v>
      </c>
      <c r="O130" s="15">
        <f>SUBTOTAL(9,O132:O142)</f>
        <v>456</v>
      </c>
      <c r="P130" s="15">
        <f>SUBTOTAL(9,P132:P142)</f>
        <v>15600</v>
      </c>
      <c r="Q130" s="15">
        <f>SUBTOTAL(9,Q132:Q142)</f>
        <v>34443.189550376002</v>
      </c>
      <c r="R130" s="249"/>
    </row>
    <row r="131" spans="1:18" x14ac:dyDescent="0.25">
      <c r="A131" s="49" t="s">
        <v>642</v>
      </c>
      <c r="B131" s="5">
        <v>1</v>
      </c>
      <c r="C131" s="8" t="s">
        <v>27</v>
      </c>
      <c r="F131" s="11"/>
      <c r="G131" s="11"/>
      <c r="K131" s="11"/>
      <c r="L131" s="11"/>
    </row>
    <row r="132" spans="1:18" x14ac:dyDescent="0.25">
      <c r="A132" s="52" t="s">
        <v>642</v>
      </c>
      <c r="B132" s="6">
        <v>2</v>
      </c>
      <c r="C132" s="6" t="s">
        <v>109</v>
      </c>
      <c r="D132" s="6" t="s">
        <v>61</v>
      </c>
      <c r="E132" s="45" t="s">
        <v>507</v>
      </c>
      <c r="F132" s="12">
        <v>1</v>
      </c>
      <c r="G132" s="12">
        <v>1</v>
      </c>
      <c r="H132" s="16">
        <f>H130/5.348</f>
        <v>44.876589379207182</v>
      </c>
      <c r="I132" s="16">
        <f>VLOOKUP(C132,Resources!B:G,6,FALSE)</f>
        <v>312</v>
      </c>
      <c r="J132" s="16">
        <f t="shared" ref="J132:J137" si="17">(H132/G132)*I132*F132</f>
        <v>14001.495886312641</v>
      </c>
      <c r="K132" s="12" t="str">
        <f t="shared" ref="K132:K137" si="18">IF(E132="M"," ",L132*F132)</f>
        <v xml:space="preserve"> </v>
      </c>
      <c r="L132" s="12" t="str">
        <f t="shared" ref="L132:L137" si="19">IF(E132="M"," ",H132/G132)</f>
        <v xml:space="preserve"> </v>
      </c>
      <c r="M132" s="16">
        <f t="shared" ref="M132:M137" si="20">IF($E132="L",$J132,0)</f>
        <v>0</v>
      </c>
      <c r="N132" s="16">
        <f t="shared" ref="N132:N137" si="21">IF($E132="M",$J132,0)</f>
        <v>14001.495886312641</v>
      </c>
      <c r="O132" s="16">
        <f t="shared" ref="O132:O137" si="22">IF($E132="P",$J132,0)</f>
        <v>0</v>
      </c>
      <c r="P132" s="16">
        <f t="shared" ref="P132:P137" si="23">IF($E132="S",$J132,0)</f>
        <v>0</v>
      </c>
      <c r="Q132" s="16">
        <f t="shared" ref="Q132:Q137" si="24">SUM(M132:P132)</f>
        <v>14001.495886312641</v>
      </c>
      <c r="R132" s="250" t="s">
        <v>536</v>
      </c>
    </row>
    <row r="133" spans="1:18" x14ac:dyDescent="0.25">
      <c r="A133" s="52" t="s">
        <v>642</v>
      </c>
      <c r="B133" s="6">
        <v>3</v>
      </c>
      <c r="C133" s="6" t="s">
        <v>96</v>
      </c>
      <c r="D133" s="6" t="s">
        <v>97</v>
      </c>
      <c r="E133" s="45" t="s">
        <v>507</v>
      </c>
      <c r="F133" s="12">
        <v>1</v>
      </c>
      <c r="G133" s="12">
        <v>1</v>
      </c>
      <c r="H133" s="16">
        <f>H130*1.3</f>
        <v>312</v>
      </c>
      <c r="I133" s="16">
        <f>VLOOKUP(C133,Resources!B:G,6,FALSE)</f>
        <v>6.5</v>
      </c>
      <c r="J133" s="16">
        <f t="shared" si="17"/>
        <v>2028</v>
      </c>
      <c r="K133" s="12" t="str">
        <f t="shared" si="18"/>
        <v xml:space="preserve"> </v>
      </c>
      <c r="L133" s="12" t="str">
        <f t="shared" si="19"/>
        <v xml:space="preserve"> </v>
      </c>
      <c r="M133" s="16">
        <f t="shared" si="20"/>
        <v>0</v>
      </c>
      <c r="N133" s="16">
        <f t="shared" si="21"/>
        <v>2028</v>
      </c>
      <c r="O133" s="16">
        <f t="shared" si="22"/>
        <v>0</v>
      </c>
      <c r="P133" s="16">
        <f t="shared" si="23"/>
        <v>0</v>
      </c>
      <c r="Q133" s="16">
        <f t="shared" si="24"/>
        <v>2028</v>
      </c>
      <c r="R133" s="250" t="s">
        <v>535</v>
      </c>
    </row>
    <row r="134" spans="1:18" x14ac:dyDescent="0.25">
      <c r="A134" s="52" t="s">
        <v>642</v>
      </c>
      <c r="B134" s="6">
        <v>4</v>
      </c>
      <c r="C134" s="6" t="s">
        <v>29</v>
      </c>
      <c r="D134" s="6" t="s">
        <v>30</v>
      </c>
      <c r="E134" s="45" t="s">
        <v>507</v>
      </c>
      <c r="F134" s="12">
        <v>1</v>
      </c>
      <c r="G134" s="12">
        <v>1</v>
      </c>
      <c r="H134" s="16">
        <f>H130/9.091</f>
        <v>26.399736002639976</v>
      </c>
      <c r="I134" s="16">
        <f>VLOOKUP(C134,Resources!B:G,6,FALSE)</f>
        <v>24</v>
      </c>
      <c r="J134" s="16">
        <f t="shared" si="17"/>
        <v>633.59366406335948</v>
      </c>
      <c r="K134" s="12" t="str">
        <f t="shared" si="18"/>
        <v xml:space="preserve"> </v>
      </c>
      <c r="L134" s="12" t="str">
        <f t="shared" si="19"/>
        <v xml:space="preserve"> </v>
      </c>
      <c r="M134" s="16">
        <f t="shared" si="20"/>
        <v>0</v>
      </c>
      <c r="N134" s="16">
        <f t="shared" si="21"/>
        <v>633.59366406335948</v>
      </c>
      <c r="O134" s="16">
        <f t="shared" si="22"/>
        <v>0</v>
      </c>
      <c r="P134" s="16">
        <f t="shared" si="23"/>
        <v>0</v>
      </c>
      <c r="Q134" s="16">
        <f t="shared" si="24"/>
        <v>633.59366406335948</v>
      </c>
      <c r="R134" s="250" t="s">
        <v>530</v>
      </c>
    </row>
    <row r="135" spans="1:18" x14ac:dyDescent="0.25">
      <c r="A135" s="52" t="s">
        <v>642</v>
      </c>
      <c r="B135" s="6">
        <v>5</v>
      </c>
      <c r="C135" s="6" t="s">
        <v>511</v>
      </c>
      <c r="D135" s="6" t="s">
        <v>97</v>
      </c>
      <c r="E135" s="45" t="s">
        <v>507</v>
      </c>
      <c r="F135" s="12">
        <v>1</v>
      </c>
      <c r="G135" s="12">
        <v>1</v>
      </c>
      <c r="H135" s="16">
        <f>H133</f>
        <v>312</v>
      </c>
      <c r="I135" s="16">
        <f>VLOOKUP(C135,Resources!B:G,6,FALSE)</f>
        <v>1.25</v>
      </c>
      <c r="J135" s="16">
        <f t="shared" si="17"/>
        <v>390</v>
      </c>
      <c r="K135" s="12" t="str">
        <f t="shared" si="18"/>
        <v xml:space="preserve"> </v>
      </c>
      <c r="L135" s="12" t="str">
        <f t="shared" si="19"/>
        <v xml:space="preserve"> </v>
      </c>
      <c r="M135" s="16">
        <f t="shared" si="20"/>
        <v>0</v>
      </c>
      <c r="N135" s="16">
        <f t="shared" si="21"/>
        <v>390</v>
      </c>
      <c r="O135" s="16">
        <f t="shared" si="22"/>
        <v>0</v>
      </c>
      <c r="P135" s="16">
        <f t="shared" si="23"/>
        <v>0</v>
      </c>
      <c r="Q135" s="16">
        <f t="shared" si="24"/>
        <v>390</v>
      </c>
      <c r="R135" s="250" t="s">
        <v>535</v>
      </c>
    </row>
    <row r="136" spans="1:18" x14ac:dyDescent="0.25">
      <c r="A136" s="52" t="s">
        <v>642</v>
      </c>
      <c r="B136" s="6">
        <v>6</v>
      </c>
      <c r="C136" s="6" t="s">
        <v>98</v>
      </c>
      <c r="D136" s="6" t="s">
        <v>99</v>
      </c>
      <c r="E136" s="45" t="s">
        <v>507</v>
      </c>
      <c r="F136" s="12">
        <v>1</v>
      </c>
      <c r="G136" s="12">
        <v>1</v>
      </c>
      <c r="H136" s="16">
        <f>H130</f>
        <v>240</v>
      </c>
      <c r="I136" s="16">
        <f>VLOOKUP(C136,Resources!B:G,6,FALSE)</f>
        <v>3.35</v>
      </c>
      <c r="J136" s="16">
        <f t="shared" si="17"/>
        <v>804</v>
      </c>
      <c r="K136" s="12" t="str">
        <f t="shared" si="18"/>
        <v xml:space="preserve"> </v>
      </c>
      <c r="L136" s="12" t="str">
        <f t="shared" si="19"/>
        <v xml:space="preserve"> </v>
      </c>
      <c r="M136" s="16">
        <f t="shared" si="20"/>
        <v>0</v>
      </c>
      <c r="N136" s="16">
        <f t="shared" si="21"/>
        <v>804</v>
      </c>
      <c r="O136" s="16">
        <f t="shared" si="22"/>
        <v>0</v>
      </c>
      <c r="P136" s="16">
        <f t="shared" si="23"/>
        <v>0</v>
      </c>
      <c r="Q136" s="16">
        <f t="shared" si="24"/>
        <v>804</v>
      </c>
      <c r="R136" s="250" t="s">
        <v>535</v>
      </c>
    </row>
    <row r="137" spans="1:18" x14ac:dyDescent="0.25">
      <c r="A137" s="52" t="s">
        <v>642</v>
      </c>
      <c r="B137" s="6">
        <v>7</v>
      </c>
      <c r="C137" s="6" t="s">
        <v>100</v>
      </c>
      <c r="D137" s="6" t="s">
        <v>19</v>
      </c>
      <c r="E137" s="45" t="s">
        <v>507</v>
      </c>
      <c r="F137" s="12">
        <v>1</v>
      </c>
      <c r="G137" s="12">
        <v>1</v>
      </c>
      <c r="H137" s="16">
        <v>7</v>
      </c>
      <c r="I137" s="16">
        <f>VLOOKUP(C137,Resources!B:G,6,FALSE)</f>
        <v>9.9</v>
      </c>
      <c r="J137" s="16">
        <f t="shared" si="17"/>
        <v>69.3</v>
      </c>
      <c r="K137" s="12" t="str">
        <f t="shared" si="18"/>
        <v xml:space="preserve"> </v>
      </c>
      <c r="L137" s="12" t="str">
        <f t="shared" si="19"/>
        <v xml:space="preserve"> </v>
      </c>
      <c r="M137" s="16">
        <f t="shared" si="20"/>
        <v>0</v>
      </c>
      <c r="N137" s="16">
        <f t="shared" si="21"/>
        <v>69.3</v>
      </c>
      <c r="O137" s="16">
        <f t="shared" si="22"/>
        <v>0</v>
      </c>
      <c r="P137" s="16">
        <f t="shared" si="23"/>
        <v>0</v>
      </c>
      <c r="Q137" s="16">
        <f t="shared" si="24"/>
        <v>69.3</v>
      </c>
      <c r="R137" s="250" t="s">
        <v>535</v>
      </c>
    </row>
    <row r="138" spans="1:18" x14ac:dyDescent="0.25">
      <c r="A138" s="49" t="s">
        <v>642</v>
      </c>
      <c r="B138" s="5">
        <v>8</v>
      </c>
      <c r="C138" s="8" t="s">
        <v>101</v>
      </c>
      <c r="F138" s="11"/>
      <c r="G138" s="11"/>
      <c r="K138" s="11"/>
      <c r="L138" s="11"/>
    </row>
    <row r="139" spans="1:18" x14ac:dyDescent="0.25">
      <c r="A139" s="52">
        <v>22.01</v>
      </c>
      <c r="B139" s="6">
        <v>9</v>
      </c>
      <c r="C139" s="6" t="s">
        <v>102</v>
      </c>
      <c r="D139" s="6" t="s">
        <v>33</v>
      </c>
      <c r="E139" s="45" t="s">
        <v>508</v>
      </c>
      <c r="F139" s="12">
        <v>1</v>
      </c>
      <c r="G139" s="48">
        <f>VLOOKUP($A139,'Model Inputs'!$A:$C,3,FALSE)</f>
        <v>50</v>
      </c>
      <c r="H139" s="16">
        <f>H130</f>
        <v>240</v>
      </c>
      <c r="I139" s="16">
        <f>VLOOKUP(C139,Resources!B:G,6,FALSE)</f>
        <v>95</v>
      </c>
      <c r="J139" s="16">
        <f>(H139/G139)*I139*F139</f>
        <v>456</v>
      </c>
      <c r="K139" s="12">
        <f>IF(E139="M"," ",L139*F139)</f>
        <v>4.8</v>
      </c>
      <c r="L139" s="12">
        <f>IF(E139="M"," ",H139/G139)</f>
        <v>4.8</v>
      </c>
      <c r="M139" s="16">
        <f>IF($E139="L",$J139,0)</f>
        <v>0</v>
      </c>
      <c r="N139" s="16">
        <f>IF($E139="M",$J139,0)</f>
        <v>0</v>
      </c>
      <c r="O139" s="16">
        <f>IF($E139="P",$J139,0)</f>
        <v>456</v>
      </c>
      <c r="P139" s="16">
        <f>IF($E139="S",$J139,0)</f>
        <v>0</v>
      </c>
      <c r="Q139" s="16">
        <f>SUM(M139:P139)</f>
        <v>456</v>
      </c>
      <c r="R139" s="250">
        <v>73</v>
      </c>
    </row>
    <row r="140" spans="1:18" x14ac:dyDescent="0.25">
      <c r="A140" s="52" t="s">
        <v>642</v>
      </c>
      <c r="B140" s="6">
        <v>10</v>
      </c>
      <c r="C140" s="6" t="s">
        <v>8</v>
      </c>
      <c r="D140" s="6" t="s">
        <v>33</v>
      </c>
      <c r="E140" s="45" t="s">
        <v>506</v>
      </c>
      <c r="F140" s="12">
        <v>2</v>
      </c>
      <c r="G140" s="12">
        <f>G139</f>
        <v>50</v>
      </c>
      <c r="H140" s="16">
        <f>H130</f>
        <v>240</v>
      </c>
      <c r="I140" s="16">
        <f>VLOOKUP(C140,Resources!B:G,6,FALSE)</f>
        <v>48</v>
      </c>
      <c r="J140" s="16">
        <f>(H140/G140)*I140*F140</f>
        <v>460.79999999999995</v>
      </c>
      <c r="K140" s="12">
        <f>IF(E140="M"," ",L140*F140)</f>
        <v>9.6</v>
      </c>
      <c r="L140" s="12">
        <f>IF(E140="M"," ",H140/G140)</f>
        <v>4.8</v>
      </c>
      <c r="M140" s="16">
        <f>IF($E140="L",$J140,0)</f>
        <v>460.79999999999995</v>
      </c>
      <c r="N140" s="16">
        <f>IF($E140="M",$J140,0)</f>
        <v>0</v>
      </c>
      <c r="O140" s="16">
        <f>IF($E140="P",$J140,0)</f>
        <v>0</v>
      </c>
      <c r="P140" s="16">
        <f>IF($E140="S",$J140,0)</f>
        <v>0</v>
      </c>
      <c r="Q140" s="16">
        <f>SUM(M140:P140)</f>
        <v>460.79999999999995</v>
      </c>
      <c r="R140" s="250">
        <v>73</v>
      </c>
    </row>
    <row r="141" spans="1:18" x14ac:dyDescent="0.25">
      <c r="A141" s="49" t="s">
        <v>642</v>
      </c>
      <c r="B141" s="5">
        <v>11</v>
      </c>
      <c r="C141" s="8" t="s">
        <v>103</v>
      </c>
      <c r="F141" s="11"/>
      <c r="G141" s="11"/>
      <c r="K141" s="11"/>
      <c r="L141" s="11"/>
    </row>
    <row r="142" spans="1:18" x14ac:dyDescent="0.25">
      <c r="A142" s="52" t="s">
        <v>642</v>
      </c>
      <c r="B142" s="6">
        <v>12</v>
      </c>
      <c r="C142" s="6" t="s">
        <v>110</v>
      </c>
      <c r="D142" s="6" t="s">
        <v>97</v>
      </c>
      <c r="E142" s="45" t="s">
        <v>509</v>
      </c>
      <c r="F142" s="12">
        <v>1</v>
      </c>
      <c r="G142" s="12">
        <v>1</v>
      </c>
      <c r="H142" s="16">
        <f>H130</f>
        <v>240</v>
      </c>
      <c r="I142" s="16">
        <f>VLOOKUP(C142,Resources!B:G,6,FALSE)</f>
        <v>65</v>
      </c>
      <c r="J142" s="16">
        <f>(H142/G142)*I142*F142</f>
        <v>15600</v>
      </c>
      <c r="K142" s="12">
        <f>IF(E142="M"," ",L142*F142)</f>
        <v>43.2</v>
      </c>
      <c r="L142" s="53">
        <f>IF(E142="M"," ",H142/G142)*9/50</f>
        <v>43.2</v>
      </c>
      <c r="M142" s="16">
        <f>IF($E142="L",$J142,0)</f>
        <v>0</v>
      </c>
      <c r="N142" s="16">
        <f>IF($E142="M",$J142,0)</f>
        <v>0</v>
      </c>
      <c r="O142" s="16">
        <f>IF($E142="P",$J142,0)</f>
        <v>0</v>
      </c>
      <c r="P142" s="16">
        <f>IF($E142="S",$J142,0)</f>
        <v>15600</v>
      </c>
      <c r="Q142" s="16">
        <f>SUM(M142:P142)</f>
        <v>15600</v>
      </c>
      <c r="R142" s="250">
        <v>73</v>
      </c>
    </row>
    <row r="143" spans="1:18" x14ac:dyDescent="0.25">
      <c r="A143" s="49" t="s">
        <v>642</v>
      </c>
      <c r="F143" s="11"/>
      <c r="G143" s="11"/>
      <c r="K143" s="11"/>
      <c r="L143" s="11"/>
    </row>
    <row r="144" spans="1:18" ht="30" x14ac:dyDescent="0.25">
      <c r="A144" s="51" t="s">
        <v>642</v>
      </c>
      <c r="B144" s="3" t="s">
        <v>111</v>
      </c>
      <c r="C144" s="3" t="s">
        <v>112</v>
      </c>
      <c r="D144" s="4"/>
      <c r="E144" s="44"/>
      <c r="F144" s="10"/>
      <c r="G144" s="10"/>
      <c r="H144" s="15"/>
      <c r="I144" s="15"/>
      <c r="J144" s="15"/>
      <c r="K144" s="10"/>
      <c r="L144" s="10"/>
      <c r="M144" s="15"/>
      <c r="N144" s="15"/>
      <c r="O144" s="15"/>
      <c r="P144" s="15"/>
      <c r="Q144" s="15"/>
      <c r="R144" s="249"/>
    </row>
    <row r="145" spans="1:18" ht="60" x14ac:dyDescent="0.25">
      <c r="A145" s="51">
        <v>23</v>
      </c>
      <c r="B145" s="3" t="s">
        <v>113</v>
      </c>
      <c r="C145" s="3" t="s">
        <v>561</v>
      </c>
      <c r="D145" s="4" t="s">
        <v>94</v>
      </c>
      <c r="E145" s="44"/>
      <c r="F145" s="10"/>
      <c r="G145" s="10"/>
      <c r="H145" s="48">
        <f>VLOOKUP($A145,'Model Inputs'!$A:$C,3,FALSE)</f>
        <v>677</v>
      </c>
      <c r="I145" s="15"/>
      <c r="J145" s="15">
        <f>SUBTOTAL(9,J147:J175)</f>
        <v>456355.22600835306</v>
      </c>
      <c r="K145" s="10"/>
      <c r="L145" s="15">
        <f>ROUNDUP(MAX(L147:L175)/Workhrs,0)</f>
        <v>91</v>
      </c>
      <c r="M145" s="15">
        <f>SUBTOTAL(9,M147:M175)</f>
        <v>16476.012253992842</v>
      </c>
      <c r="N145" s="15">
        <f>SUBTOTAL(9,N147:N175)</f>
        <v>87299.842286792802</v>
      </c>
      <c r="O145" s="15">
        <f>SUBTOTAL(9,O147:O175)</f>
        <v>35492.166080361945</v>
      </c>
      <c r="P145" s="15">
        <f>SUBTOTAL(9,P147:P175)</f>
        <v>317087.20538720541</v>
      </c>
      <c r="Q145" s="15">
        <f>SUBTOTAL(9,Q147:Q175)</f>
        <v>456355.22600835306</v>
      </c>
      <c r="R145" s="249"/>
    </row>
    <row r="146" spans="1:18" x14ac:dyDescent="0.25">
      <c r="A146" s="49" t="s">
        <v>642</v>
      </c>
      <c r="B146" s="5">
        <v>1</v>
      </c>
      <c r="C146" s="8" t="s">
        <v>27</v>
      </c>
      <c r="F146" s="11"/>
      <c r="G146" s="11"/>
      <c r="K146" s="11"/>
      <c r="L146" s="11"/>
    </row>
    <row r="147" spans="1:18" x14ac:dyDescent="0.25">
      <c r="A147" s="52" t="s">
        <v>642</v>
      </c>
      <c r="B147" s="6">
        <v>2</v>
      </c>
      <c r="C147" s="6" t="s">
        <v>115</v>
      </c>
      <c r="D147" s="6" t="s">
        <v>54</v>
      </c>
      <c r="E147" s="45" t="s">
        <v>507</v>
      </c>
      <c r="F147" s="12">
        <v>1</v>
      </c>
      <c r="G147" s="12">
        <v>1</v>
      </c>
      <c r="H147" s="16">
        <f>H145/270.8</f>
        <v>2.5</v>
      </c>
      <c r="I147" s="16">
        <f>VLOOKUP(C147,Resources!B:G,6,FALSE)</f>
        <v>2200</v>
      </c>
      <c r="J147" s="16">
        <f t="shared" ref="J147:J159" si="25">(H147/G147)*I147*F147</f>
        <v>5500</v>
      </c>
      <c r="K147" s="12" t="str">
        <f t="shared" ref="K147:K159" si="26">IF(E147="M"," ",L147*F147)</f>
        <v xml:space="preserve"> </v>
      </c>
      <c r="L147" s="12" t="str">
        <f t="shared" ref="L147:L159" si="27">IF(E147="M"," ",H147/G147)</f>
        <v xml:space="preserve"> </v>
      </c>
      <c r="M147" s="16">
        <f t="shared" ref="M147:M159" si="28">IF($E147="L",$J147,0)</f>
        <v>0</v>
      </c>
      <c r="N147" s="16">
        <f t="shared" ref="N147:N159" si="29">IF($E147="M",$J147,0)</f>
        <v>5500</v>
      </c>
      <c r="O147" s="16">
        <f t="shared" ref="O147:O159" si="30">IF($E147="P",$J147,0)</f>
        <v>0</v>
      </c>
      <c r="P147" s="16">
        <f t="shared" ref="P147:P159" si="31">IF($E147="S",$J147,0)</f>
        <v>0</v>
      </c>
      <c r="Q147" s="16">
        <f t="shared" ref="Q147:Q159" si="32">SUM(M147:P147)</f>
        <v>5500</v>
      </c>
      <c r="R147" s="250" t="s">
        <v>537</v>
      </c>
    </row>
    <row r="148" spans="1:18" x14ac:dyDescent="0.25">
      <c r="A148" s="52" t="s">
        <v>642</v>
      </c>
      <c r="B148" s="6">
        <v>3</v>
      </c>
      <c r="C148" s="6" t="s">
        <v>96</v>
      </c>
      <c r="D148" s="6" t="s">
        <v>97</v>
      </c>
      <c r="E148" s="45" t="s">
        <v>507</v>
      </c>
      <c r="F148" s="12">
        <v>1</v>
      </c>
      <c r="G148" s="12">
        <v>1</v>
      </c>
      <c r="H148" s="16">
        <f>H145*1.517</f>
        <v>1027.009</v>
      </c>
      <c r="I148" s="16">
        <f>VLOOKUP(C148,Resources!B:G,6,FALSE)</f>
        <v>6.5</v>
      </c>
      <c r="J148" s="16">
        <f t="shared" si="25"/>
        <v>6675.5585000000001</v>
      </c>
      <c r="K148" s="12" t="str">
        <f t="shared" si="26"/>
        <v xml:space="preserve"> </v>
      </c>
      <c r="L148" s="12" t="str">
        <f t="shared" si="27"/>
        <v xml:space="preserve"> </v>
      </c>
      <c r="M148" s="16">
        <f t="shared" si="28"/>
        <v>0</v>
      </c>
      <c r="N148" s="16">
        <f t="shared" si="29"/>
        <v>6675.5585000000001</v>
      </c>
      <c r="O148" s="16">
        <f t="shared" si="30"/>
        <v>0</v>
      </c>
      <c r="P148" s="16">
        <f t="shared" si="31"/>
        <v>0</v>
      </c>
      <c r="Q148" s="16">
        <f t="shared" si="32"/>
        <v>6675.5585000000001</v>
      </c>
      <c r="R148" s="250" t="s">
        <v>535</v>
      </c>
    </row>
    <row r="149" spans="1:18" x14ac:dyDescent="0.25">
      <c r="A149" s="52" t="s">
        <v>642</v>
      </c>
      <c r="B149" s="6">
        <v>4</v>
      </c>
      <c r="C149" s="6" t="s">
        <v>95</v>
      </c>
      <c r="D149" s="6" t="s">
        <v>61</v>
      </c>
      <c r="E149" s="45" t="s">
        <v>507</v>
      </c>
      <c r="F149" s="12">
        <v>1</v>
      </c>
      <c r="G149" s="12">
        <v>1</v>
      </c>
      <c r="H149" s="16">
        <f>H145/2.881</f>
        <v>234.98785144047207</v>
      </c>
      <c r="I149" s="16">
        <f>VLOOKUP(C149,Resources!B:G,6,FALSE)</f>
        <v>198</v>
      </c>
      <c r="J149" s="16">
        <f t="shared" si="25"/>
        <v>46527.594585213468</v>
      </c>
      <c r="K149" s="12" t="str">
        <f t="shared" si="26"/>
        <v xml:space="preserve"> </v>
      </c>
      <c r="L149" s="12" t="str">
        <f t="shared" si="27"/>
        <v xml:space="preserve"> </v>
      </c>
      <c r="M149" s="16">
        <f t="shared" si="28"/>
        <v>0</v>
      </c>
      <c r="N149" s="16">
        <f t="shared" si="29"/>
        <v>46527.594585213468</v>
      </c>
      <c r="O149" s="16">
        <f t="shared" si="30"/>
        <v>0</v>
      </c>
      <c r="P149" s="16">
        <f t="shared" si="31"/>
        <v>0</v>
      </c>
      <c r="Q149" s="16">
        <f t="shared" si="32"/>
        <v>46527.594585213468</v>
      </c>
      <c r="R149" s="250" t="s">
        <v>538</v>
      </c>
    </row>
    <row r="150" spans="1:18" x14ac:dyDescent="0.25">
      <c r="A150" s="52" t="s">
        <v>642</v>
      </c>
      <c r="B150" s="6">
        <v>5</v>
      </c>
      <c r="C150" s="6" t="s">
        <v>116</v>
      </c>
      <c r="D150" s="6" t="s">
        <v>30</v>
      </c>
      <c r="E150" s="45" t="s">
        <v>507</v>
      </c>
      <c r="F150" s="12">
        <v>1</v>
      </c>
      <c r="G150" s="12">
        <v>1</v>
      </c>
      <c r="H150" s="16">
        <f>H145/1.709</f>
        <v>396.13809245172615</v>
      </c>
      <c r="I150" s="16">
        <f>VLOOKUP(C150,Resources!B:G,6,FALSE)</f>
        <v>42.5</v>
      </c>
      <c r="J150" s="16">
        <f t="shared" si="25"/>
        <v>16835.868929198361</v>
      </c>
      <c r="K150" s="12" t="str">
        <f t="shared" si="26"/>
        <v xml:space="preserve"> </v>
      </c>
      <c r="L150" s="12" t="str">
        <f t="shared" si="27"/>
        <v xml:space="preserve"> </v>
      </c>
      <c r="M150" s="16">
        <f t="shared" si="28"/>
        <v>0</v>
      </c>
      <c r="N150" s="16">
        <f t="shared" si="29"/>
        <v>16835.868929198361</v>
      </c>
      <c r="O150" s="16">
        <f t="shared" si="30"/>
        <v>0</v>
      </c>
      <c r="P150" s="16">
        <f t="shared" si="31"/>
        <v>0</v>
      </c>
      <c r="Q150" s="16">
        <f t="shared" si="32"/>
        <v>16835.868929198361</v>
      </c>
      <c r="R150" s="250" t="s">
        <v>539</v>
      </c>
    </row>
    <row r="151" spans="1:18" x14ac:dyDescent="0.25">
      <c r="A151" s="52" t="s">
        <v>642</v>
      </c>
      <c r="B151" s="6">
        <v>6</v>
      </c>
      <c r="C151" s="6" t="s">
        <v>117</v>
      </c>
      <c r="D151" s="6" t="s">
        <v>97</v>
      </c>
      <c r="E151" s="45" t="s">
        <v>507</v>
      </c>
      <c r="F151" s="12">
        <v>1</v>
      </c>
      <c r="G151" s="12">
        <v>1</v>
      </c>
      <c r="H151" s="16">
        <f>H145*3.545</f>
        <v>2399.9650000000001</v>
      </c>
      <c r="I151" s="16">
        <f>VLOOKUP(C151,Resources!B:G,6,FALSE)</f>
        <v>1.05</v>
      </c>
      <c r="J151" s="16">
        <f t="shared" si="25"/>
        <v>2519.9632500000002</v>
      </c>
      <c r="K151" s="12" t="str">
        <f t="shared" si="26"/>
        <v xml:space="preserve"> </v>
      </c>
      <c r="L151" s="12" t="str">
        <f t="shared" si="27"/>
        <v xml:space="preserve"> </v>
      </c>
      <c r="M151" s="16">
        <f t="shared" si="28"/>
        <v>0</v>
      </c>
      <c r="N151" s="16">
        <f t="shared" si="29"/>
        <v>2519.9632500000002</v>
      </c>
      <c r="O151" s="16">
        <f t="shared" si="30"/>
        <v>0</v>
      </c>
      <c r="P151" s="16">
        <f t="shared" si="31"/>
        <v>0</v>
      </c>
      <c r="Q151" s="16">
        <f t="shared" si="32"/>
        <v>2519.9632500000002</v>
      </c>
      <c r="R151" s="250">
        <v>222</v>
      </c>
    </row>
    <row r="152" spans="1:18" x14ac:dyDescent="0.25">
      <c r="A152" s="52" t="s">
        <v>642</v>
      </c>
      <c r="B152" s="6">
        <v>7</v>
      </c>
      <c r="C152" s="6" t="s">
        <v>118</v>
      </c>
      <c r="D152" s="6" t="s">
        <v>52</v>
      </c>
      <c r="E152" s="45" t="s">
        <v>507</v>
      </c>
      <c r="F152" s="12">
        <v>1</v>
      </c>
      <c r="G152" s="12">
        <v>1</v>
      </c>
      <c r="H152" s="16">
        <f>H145/10.919</f>
        <v>62.002014836523486</v>
      </c>
      <c r="I152" s="16">
        <f>VLOOKUP(C152,Resources!B:G,6,FALSE)</f>
        <v>8</v>
      </c>
      <c r="J152" s="16">
        <f t="shared" si="25"/>
        <v>496.01611869218789</v>
      </c>
      <c r="K152" s="12" t="str">
        <f t="shared" si="26"/>
        <v xml:space="preserve"> </v>
      </c>
      <c r="L152" s="12" t="str">
        <f t="shared" si="27"/>
        <v xml:space="preserve"> </v>
      </c>
      <c r="M152" s="16">
        <f t="shared" si="28"/>
        <v>0</v>
      </c>
      <c r="N152" s="16">
        <f t="shared" si="29"/>
        <v>496.01611869218789</v>
      </c>
      <c r="O152" s="16">
        <f t="shared" si="30"/>
        <v>0</v>
      </c>
      <c r="P152" s="16">
        <f t="shared" si="31"/>
        <v>0</v>
      </c>
      <c r="Q152" s="16">
        <f t="shared" si="32"/>
        <v>496.01611869218789</v>
      </c>
      <c r="R152" s="250" t="s">
        <v>537</v>
      </c>
    </row>
    <row r="153" spans="1:18" x14ac:dyDescent="0.25">
      <c r="A153" s="52" t="s">
        <v>642</v>
      </c>
      <c r="B153" s="6">
        <v>8</v>
      </c>
      <c r="C153" s="6" t="s">
        <v>119</v>
      </c>
      <c r="D153" s="6" t="s">
        <v>52</v>
      </c>
      <c r="E153" s="45" t="s">
        <v>507</v>
      </c>
      <c r="F153" s="12">
        <v>1</v>
      </c>
      <c r="G153" s="12">
        <v>1</v>
      </c>
      <c r="H153" s="16">
        <f>H152</f>
        <v>62.002014836523486</v>
      </c>
      <c r="I153" s="16">
        <f>VLOOKUP(C153,Resources!B:G,6,FALSE)</f>
        <v>1.4</v>
      </c>
      <c r="J153" s="16">
        <f t="shared" si="25"/>
        <v>86.802820771132872</v>
      </c>
      <c r="K153" s="12" t="str">
        <f t="shared" si="26"/>
        <v xml:space="preserve"> </v>
      </c>
      <c r="L153" s="12" t="str">
        <f t="shared" si="27"/>
        <v xml:space="preserve"> </v>
      </c>
      <c r="M153" s="16">
        <f t="shared" si="28"/>
        <v>0</v>
      </c>
      <c r="N153" s="16">
        <f t="shared" si="29"/>
        <v>86.802820771132872</v>
      </c>
      <c r="O153" s="16">
        <f t="shared" si="30"/>
        <v>0</v>
      </c>
      <c r="P153" s="16">
        <f t="shared" si="31"/>
        <v>0</v>
      </c>
      <c r="Q153" s="16">
        <f t="shared" si="32"/>
        <v>86.802820771132872</v>
      </c>
      <c r="R153" s="250" t="s">
        <v>537</v>
      </c>
    </row>
    <row r="154" spans="1:18" x14ac:dyDescent="0.25">
      <c r="A154" s="52" t="s">
        <v>642</v>
      </c>
      <c r="B154" s="6">
        <v>9</v>
      </c>
      <c r="C154" s="6" t="s">
        <v>120</v>
      </c>
      <c r="D154" s="6" t="s">
        <v>26</v>
      </c>
      <c r="E154" s="45" t="s">
        <v>507</v>
      </c>
      <c r="F154" s="12">
        <v>1</v>
      </c>
      <c r="G154" s="12">
        <v>1</v>
      </c>
      <c r="H154" s="16">
        <f>H145/6.155</f>
        <v>109.9918765231519</v>
      </c>
      <c r="I154" s="16">
        <f>VLOOKUP(C154,Resources!B:G,6,FALSE)</f>
        <v>3</v>
      </c>
      <c r="J154" s="16">
        <f t="shared" si="25"/>
        <v>329.97562956945569</v>
      </c>
      <c r="K154" s="12" t="str">
        <f t="shared" si="26"/>
        <v xml:space="preserve"> </v>
      </c>
      <c r="L154" s="12" t="str">
        <f t="shared" si="27"/>
        <v xml:space="preserve"> </v>
      </c>
      <c r="M154" s="16">
        <f t="shared" si="28"/>
        <v>0</v>
      </c>
      <c r="N154" s="16">
        <f t="shared" si="29"/>
        <v>329.97562956945569</v>
      </c>
      <c r="O154" s="16">
        <f t="shared" si="30"/>
        <v>0</v>
      </c>
      <c r="P154" s="16">
        <f t="shared" si="31"/>
        <v>0</v>
      </c>
      <c r="Q154" s="16">
        <f t="shared" si="32"/>
        <v>329.97562956945569</v>
      </c>
      <c r="R154" s="250" t="s">
        <v>540</v>
      </c>
    </row>
    <row r="155" spans="1:18" x14ac:dyDescent="0.25">
      <c r="A155" s="52" t="s">
        <v>642</v>
      </c>
      <c r="B155" s="6">
        <v>10</v>
      </c>
      <c r="C155" s="6" t="s">
        <v>87</v>
      </c>
      <c r="D155" s="6" t="s">
        <v>26</v>
      </c>
      <c r="E155" s="45" t="s">
        <v>507</v>
      </c>
      <c r="F155" s="12">
        <v>1</v>
      </c>
      <c r="G155" s="12">
        <v>1</v>
      </c>
      <c r="H155" s="16">
        <f>H145/1.079</f>
        <v>627.43280815569972</v>
      </c>
      <c r="I155" s="16">
        <f>VLOOKUP(C155,Resources!B:G,6,FALSE)</f>
        <v>3.3</v>
      </c>
      <c r="J155" s="16">
        <f t="shared" si="25"/>
        <v>2070.5282669138091</v>
      </c>
      <c r="K155" s="12" t="str">
        <f t="shared" si="26"/>
        <v xml:space="preserve"> </v>
      </c>
      <c r="L155" s="12" t="str">
        <f t="shared" si="27"/>
        <v xml:space="preserve"> </v>
      </c>
      <c r="M155" s="16">
        <f t="shared" si="28"/>
        <v>0</v>
      </c>
      <c r="N155" s="16">
        <f t="shared" si="29"/>
        <v>2070.5282669138091</v>
      </c>
      <c r="O155" s="16">
        <f t="shared" si="30"/>
        <v>0</v>
      </c>
      <c r="P155" s="16">
        <f t="shared" si="31"/>
        <v>0</v>
      </c>
      <c r="Q155" s="16">
        <f t="shared" si="32"/>
        <v>2070.5282669138091</v>
      </c>
      <c r="R155" s="250">
        <v>87</v>
      </c>
    </row>
    <row r="156" spans="1:18" x14ac:dyDescent="0.25">
      <c r="A156" s="52" t="s">
        <v>642</v>
      </c>
      <c r="B156" s="6">
        <v>11</v>
      </c>
      <c r="C156" s="6" t="s">
        <v>88</v>
      </c>
      <c r="D156" s="6" t="s">
        <v>52</v>
      </c>
      <c r="E156" s="45" t="s">
        <v>507</v>
      </c>
      <c r="F156" s="12">
        <v>1</v>
      </c>
      <c r="G156" s="12">
        <v>1</v>
      </c>
      <c r="H156" s="16">
        <f>H145/25.074</f>
        <v>27.000079763898857</v>
      </c>
      <c r="I156" s="16">
        <f>VLOOKUP(C156,Resources!B:G,6,FALSE)</f>
        <v>65</v>
      </c>
      <c r="J156" s="16">
        <f t="shared" si="25"/>
        <v>1755.0051846534257</v>
      </c>
      <c r="K156" s="12" t="str">
        <f t="shared" si="26"/>
        <v xml:space="preserve"> </v>
      </c>
      <c r="L156" s="12" t="str">
        <f t="shared" si="27"/>
        <v xml:space="preserve"> </v>
      </c>
      <c r="M156" s="16">
        <f t="shared" si="28"/>
        <v>0</v>
      </c>
      <c r="N156" s="16">
        <f t="shared" si="29"/>
        <v>1755.0051846534257</v>
      </c>
      <c r="O156" s="16">
        <f t="shared" si="30"/>
        <v>0</v>
      </c>
      <c r="P156" s="16">
        <f t="shared" si="31"/>
        <v>0</v>
      </c>
      <c r="Q156" s="16">
        <f t="shared" si="32"/>
        <v>1755.0051846534257</v>
      </c>
      <c r="R156" s="250">
        <v>87</v>
      </c>
    </row>
    <row r="157" spans="1:18" x14ac:dyDescent="0.25">
      <c r="A157" s="52" t="s">
        <v>642</v>
      </c>
      <c r="B157" s="6">
        <v>12</v>
      </c>
      <c r="C157" s="6" t="s">
        <v>88</v>
      </c>
      <c r="D157" s="6" t="s">
        <v>52</v>
      </c>
      <c r="E157" s="45" t="s">
        <v>507</v>
      </c>
      <c r="F157" s="12">
        <v>1</v>
      </c>
      <c r="G157" s="12">
        <v>1</v>
      </c>
      <c r="H157" s="16">
        <f>H145/14.212</f>
        <v>47.635800731775966</v>
      </c>
      <c r="I157" s="16">
        <f>VLOOKUP(C157,Resources!B:G,6,FALSE)</f>
        <v>65</v>
      </c>
      <c r="J157" s="16">
        <f t="shared" si="25"/>
        <v>3096.3270475654376</v>
      </c>
      <c r="K157" s="12" t="str">
        <f t="shared" si="26"/>
        <v xml:space="preserve"> </v>
      </c>
      <c r="L157" s="12" t="str">
        <f t="shared" si="27"/>
        <v xml:space="preserve"> </v>
      </c>
      <c r="M157" s="16">
        <f t="shared" si="28"/>
        <v>0</v>
      </c>
      <c r="N157" s="16">
        <f t="shared" si="29"/>
        <v>3096.3270475654376</v>
      </c>
      <c r="O157" s="16">
        <f t="shared" si="30"/>
        <v>0</v>
      </c>
      <c r="P157" s="16">
        <f t="shared" si="31"/>
        <v>0</v>
      </c>
      <c r="Q157" s="16">
        <f t="shared" si="32"/>
        <v>3096.3270475654376</v>
      </c>
      <c r="R157" s="250">
        <v>87</v>
      </c>
    </row>
    <row r="158" spans="1:18" x14ac:dyDescent="0.25">
      <c r="A158" s="52" t="s">
        <v>642</v>
      </c>
      <c r="B158" s="6">
        <v>13</v>
      </c>
      <c r="C158" s="6" t="s">
        <v>121</v>
      </c>
      <c r="D158" s="6" t="s">
        <v>26</v>
      </c>
      <c r="E158" s="45" t="s">
        <v>507</v>
      </c>
      <c r="F158" s="12">
        <v>1</v>
      </c>
      <c r="G158" s="12">
        <v>1</v>
      </c>
      <c r="H158" s="16">
        <f>H145</f>
        <v>677</v>
      </c>
      <c r="I158" s="16">
        <f>VLOOKUP(C158,Resources!B:G,6,FALSE)</f>
        <v>1.1000000000000001</v>
      </c>
      <c r="J158" s="16">
        <f t="shared" si="25"/>
        <v>744.7</v>
      </c>
      <c r="K158" s="12" t="str">
        <f t="shared" si="26"/>
        <v xml:space="preserve"> </v>
      </c>
      <c r="L158" s="12" t="str">
        <f t="shared" si="27"/>
        <v xml:space="preserve"> </v>
      </c>
      <c r="M158" s="16">
        <f t="shared" si="28"/>
        <v>0</v>
      </c>
      <c r="N158" s="16">
        <f t="shared" si="29"/>
        <v>744.7</v>
      </c>
      <c r="O158" s="16">
        <f t="shared" si="30"/>
        <v>0</v>
      </c>
      <c r="P158" s="16">
        <f t="shared" si="31"/>
        <v>0</v>
      </c>
      <c r="Q158" s="16">
        <f t="shared" si="32"/>
        <v>744.7</v>
      </c>
      <c r="R158" s="250" t="s">
        <v>537</v>
      </c>
    </row>
    <row r="159" spans="1:18" x14ac:dyDescent="0.25">
      <c r="A159" s="52" t="s">
        <v>642</v>
      </c>
      <c r="B159" s="6">
        <v>14</v>
      </c>
      <c r="C159" s="6" t="s">
        <v>122</v>
      </c>
      <c r="D159" s="6" t="s">
        <v>19</v>
      </c>
      <c r="E159" s="45" t="s">
        <v>507</v>
      </c>
      <c r="F159" s="12">
        <v>1</v>
      </c>
      <c r="G159" s="12">
        <v>1</v>
      </c>
      <c r="H159" s="16">
        <f>H156</f>
        <v>27.000079763898857</v>
      </c>
      <c r="I159" s="16">
        <f>VLOOKUP(C159,Resources!B:G,6,FALSE)</f>
        <v>24.5</v>
      </c>
      <c r="J159" s="16">
        <f t="shared" si="25"/>
        <v>661.50195421552201</v>
      </c>
      <c r="K159" s="12" t="str">
        <f t="shared" si="26"/>
        <v xml:space="preserve"> </v>
      </c>
      <c r="L159" s="12" t="str">
        <f t="shared" si="27"/>
        <v xml:space="preserve"> </v>
      </c>
      <c r="M159" s="16">
        <f t="shared" si="28"/>
        <v>0</v>
      </c>
      <c r="N159" s="16">
        <f t="shared" si="29"/>
        <v>661.50195421552201</v>
      </c>
      <c r="O159" s="16">
        <f t="shared" si="30"/>
        <v>0</v>
      </c>
      <c r="P159" s="16">
        <f t="shared" si="31"/>
        <v>0</v>
      </c>
      <c r="Q159" s="16">
        <f t="shared" si="32"/>
        <v>661.50195421552201</v>
      </c>
      <c r="R159" s="250" t="s">
        <v>537</v>
      </c>
    </row>
    <row r="160" spans="1:18" x14ac:dyDescent="0.25">
      <c r="A160" s="49" t="s">
        <v>642</v>
      </c>
      <c r="B160" s="5">
        <v>15</v>
      </c>
      <c r="C160" s="8" t="s">
        <v>123</v>
      </c>
      <c r="F160" s="11"/>
      <c r="G160" s="11"/>
      <c r="K160" s="11"/>
      <c r="L160" s="11"/>
    </row>
    <row r="161" spans="1:18" x14ac:dyDescent="0.25">
      <c r="A161" s="52" t="s">
        <v>642</v>
      </c>
      <c r="B161" s="6">
        <v>16</v>
      </c>
      <c r="C161" s="6" t="s">
        <v>518</v>
      </c>
      <c r="D161" s="6" t="s">
        <v>26</v>
      </c>
      <c r="E161" s="45" t="s">
        <v>509</v>
      </c>
      <c r="F161" s="12">
        <v>1</v>
      </c>
      <c r="G161" s="12">
        <v>1</v>
      </c>
      <c r="H161" s="16">
        <f>H145/1.188</f>
        <v>569.86531986531986</v>
      </c>
      <c r="I161" s="16">
        <f>VLOOKUP(C161,Resources!B:G,6,FALSE)</f>
        <v>95</v>
      </c>
      <c r="J161" s="16">
        <f>(H161/G161)*I161*F161</f>
        <v>54137.205387205388</v>
      </c>
      <c r="K161" s="12">
        <f>IF(E161="M"," ",L161*F161)</f>
        <v>128.21969696969697</v>
      </c>
      <c r="L161" s="12">
        <f>IF(E161="M"," ",H161/G161)*9/40</f>
        <v>128.21969696969697</v>
      </c>
      <c r="M161" s="16">
        <f>IF($E161="L",$J161,0)</f>
        <v>0</v>
      </c>
      <c r="N161" s="16">
        <f>IF($E161="M",$J161,0)</f>
        <v>0</v>
      </c>
      <c r="O161" s="16">
        <f>IF($E161="P",$J161,0)</f>
        <v>0</v>
      </c>
      <c r="P161" s="16">
        <f>IF($E161="S",$J161,0)</f>
        <v>54137.205387205388</v>
      </c>
      <c r="Q161" s="16">
        <f>SUM(M161:P161)</f>
        <v>54137.205387205388</v>
      </c>
      <c r="R161" s="250">
        <v>135</v>
      </c>
    </row>
    <row r="162" spans="1:18" x14ac:dyDescent="0.25">
      <c r="A162" s="49" t="s">
        <v>642</v>
      </c>
      <c r="B162" s="5">
        <v>17</v>
      </c>
      <c r="C162" s="8" t="s">
        <v>124</v>
      </c>
      <c r="F162" s="11"/>
      <c r="G162" s="11"/>
      <c r="K162" s="11"/>
      <c r="L162" s="11"/>
    </row>
    <row r="163" spans="1:18" x14ac:dyDescent="0.25">
      <c r="A163" s="52" t="s">
        <v>642</v>
      </c>
      <c r="B163" s="6">
        <v>18</v>
      </c>
      <c r="C163" s="6" t="s">
        <v>523</v>
      </c>
      <c r="D163" s="6" t="s">
        <v>97</v>
      </c>
      <c r="E163" s="45" t="s">
        <v>509</v>
      </c>
      <c r="F163" s="12">
        <v>1</v>
      </c>
      <c r="G163" s="12">
        <v>1</v>
      </c>
      <c r="H163" s="16">
        <f>H145</f>
        <v>677</v>
      </c>
      <c r="I163" s="16">
        <f>VLOOKUP(C163,Resources!B:G,6,FALSE)</f>
        <v>350</v>
      </c>
      <c r="J163" s="16">
        <f>(H163/G163)*I163*F163</f>
        <v>236950</v>
      </c>
      <c r="K163" s="12">
        <f>IF(E163="M"," ",L163*F163)</f>
        <v>812.4</v>
      </c>
      <c r="L163" s="53">
        <f>IF(E163="M"," ",H163/G163)*9/7.5</f>
        <v>812.4</v>
      </c>
      <c r="M163" s="16">
        <f>IF($E163="L",$J163,0)</f>
        <v>0</v>
      </c>
      <c r="N163" s="16">
        <f>IF($E163="M",$J163,0)</f>
        <v>0</v>
      </c>
      <c r="O163" s="16">
        <f>IF($E163="P",$J163,0)</f>
        <v>0</v>
      </c>
      <c r="P163" s="16">
        <f>IF($E163="S",$J163,0)</f>
        <v>236950</v>
      </c>
      <c r="Q163" s="16">
        <f>SUM(M163:P163)</f>
        <v>236950</v>
      </c>
      <c r="R163" s="250">
        <v>132</v>
      </c>
    </row>
    <row r="164" spans="1:18" x14ac:dyDescent="0.25">
      <c r="A164" s="52" t="s">
        <v>642</v>
      </c>
      <c r="B164" s="6">
        <v>20</v>
      </c>
      <c r="C164" s="6" t="s">
        <v>32</v>
      </c>
      <c r="D164" s="6" t="s">
        <v>33</v>
      </c>
      <c r="E164" s="45" t="s">
        <v>508</v>
      </c>
      <c r="F164" s="12">
        <v>1</v>
      </c>
      <c r="G164" s="12">
        <v>1</v>
      </c>
      <c r="H164" s="16">
        <f>H145/5.641</f>
        <v>120.01418188264492</v>
      </c>
      <c r="I164" s="16">
        <f>VLOOKUP(C164,Resources!B:G,6,FALSE)</f>
        <v>125</v>
      </c>
      <c r="J164" s="16">
        <f>(H164/G164)*I164*F164</f>
        <v>15001.772735330615</v>
      </c>
      <c r="K164" s="12">
        <f>IF(E164="M"," ",L164*F164)</f>
        <v>120.01418188264492</v>
      </c>
      <c r="L164" s="12">
        <f>IF(E164="M"," ",H164/G164)</f>
        <v>120.01418188264492</v>
      </c>
      <c r="M164" s="16">
        <f>IF($E164="L",$J164,0)</f>
        <v>0</v>
      </c>
      <c r="N164" s="16">
        <f>IF($E164="M",$J164,0)</f>
        <v>0</v>
      </c>
      <c r="O164" s="16">
        <f>IF($E164="P",$J164,0)</f>
        <v>15001.772735330615</v>
      </c>
      <c r="P164" s="16">
        <f>IF($E164="S",$J164,0)</f>
        <v>0</v>
      </c>
      <c r="Q164" s="16">
        <f>SUM(M164:P164)</f>
        <v>15001.772735330615</v>
      </c>
      <c r="R164" s="250">
        <v>132</v>
      </c>
    </row>
    <row r="165" spans="1:18" x14ac:dyDescent="0.25">
      <c r="A165" s="52" t="s">
        <v>642</v>
      </c>
      <c r="B165" s="6">
        <v>21</v>
      </c>
      <c r="C165" s="6" t="s">
        <v>125</v>
      </c>
      <c r="D165" s="6" t="s">
        <v>19</v>
      </c>
      <c r="E165" s="45" t="s">
        <v>509</v>
      </c>
      <c r="F165" s="12">
        <v>650</v>
      </c>
      <c r="G165" s="12">
        <v>1</v>
      </c>
      <c r="H165" s="16">
        <f>H145/16.925</f>
        <v>40</v>
      </c>
      <c r="I165" s="16">
        <f>VLOOKUP(C165,Resources!B:G,6,FALSE)</f>
        <v>1</v>
      </c>
      <c r="J165" s="16">
        <f>(H165/G165)*I165*F165</f>
        <v>26000</v>
      </c>
      <c r="K165" s="12">
        <f>IF(E165="M"," ",L165*F165)</f>
        <v>26000</v>
      </c>
      <c r="L165" s="12">
        <f>IF(E165="M"," ",H165/G165)</f>
        <v>40</v>
      </c>
      <c r="M165" s="16">
        <f>IF($E165="L",$J165,0)</f>
        <v>0</v>
      </c>
      <c r="N165" s="16">
        <f>IF($E165="M",$J165,0)</f>
        <v>0</v>
      </c>
      <c r="O165" s="16">
        <f>IF($E165="P",$J165,0)</f>
        <v>0</v>
      </c>
      <c r="P165" s="16">
        <f>IF($E165="S",$J165,0)</f>
        <v>26000</v>
      </c>
      <c r="Q165" s="16">
        <f>SUM(M165:P165)</f>
        <v>26000</v>
      </c>
      <c r="R165" s="250" t="s">
        <v>539</v>
      </c>
    </row>
    <row r="166" spans="1:18" x14ac:dyDescent="0.25">
      <c r="A166" s="49" t="s">
        <v>642</v>
      </c>
      <c r="B166" s="5">
        <v>22</v>
      </c>
      <c r="C166" s="8" t="s">
        <v>126</v>
      </c>
      <c r="F166" s="11"/>
      <c r="G166" s="11"/>
      <c r="K166" s="11"/>
      <c r="L166" s="11"/>
    </row>
    <row r="167" spans="1:18" x14ac:dyDescent="0.25">
      <c r="A167" s="52">
        <v>23.01</v>
      </c>
      <c r="B167" s="6">
        <v>23</v>
      </c>
      <c r="C167" s="6" t="s">
        <v>32</v>
      </c>
      <c r="D167" s="6" t="s">
        <v>33</v>
      </c>
      <c r="E167" s="45" t="s">
        <v>508</v>
      </c>
      <c r="F167" s="12">
        <v>1</v>
      </c>
      <c r="G167" s="48">
        <f>VLOOKUP($A167,'Model Inputs'!$A:$C,3,FALSE)</f>
        <v>7.2220000000000004</v>
      </c>
      <c r="H167" s="16">
        <f>H155</f>
        <v>627.43280815569972</v>
      </c>
      <c r="I167" s="16">
        <f>VLOOKUP(C167,Resources!B:G,6,FALSE)</f>
        <v>125</v>
      </c>
      <c r="J167" s="16">
        <f>(H167/G167)*I167*F167</f>
        <v>10859.7481334066</v>
      </c>
      <c r="K167" s="12">
        <f>IF(E167="M"," ",L167*F167)</f>
        <v>86.877985067252794</v>
      </c>
      <c r="L167" s="12">
        <f>IF(E167="M"," ",H167/G167)</f>
        <v>86.877985067252794</v>
      </c>
      <c r="M167" s="16">
        <f>IF($E167="L",$J167,0)</f>
        <v>0</v>
      </c>
      <c r="N167" s="16">
        <f>IF($E167="M",$J167,0)</f>
        <v>0</v>
      </c>
      <c r="O167" s="16">
        <f>IF($E167="P",$J167,0)</f>
        <v>10859.7481334066</v>
      </c>
      <c r="P167" s="16">
        <f>IF($E167="S",$J167,0)</f>
        <v>0</v>
      </c>
      <c r="Q167" s="16">
        <f>SUM(M167:P167)</f>
        <v>10859.7481334066</v>
      </c>
      <c r="R167" s="250">
        <v>87</v>
      </c>
    </row>
    <row r="168" spans="1:18" x14ac:dyDescent="0.25">
      <c r="A168" s="52" t="s">
        <v>642</v>
      </c>
      <c r="B168" s="6">
        <v>24</v>
      </c>
      <c r="C168" s="6" t="s">
        <v>8</v>
      </c>
      <c r="D168" s="6" t="s">
        <v>33</v>
      </c>
      <c r="E168" s="45" t="s">
        <v>506</v>
      </c>
      <c r="F168" s="12">
        <v>2</v>
      </c>
      <c r="G168" s="12">
        <f>G167</f>
        <v>7.2220000000000004</v>
      </c>
      <c r="H168" s="16">
        <f>H167</f>
        <v>627.43280815569972</v>
      </c>
      <c r="I168" s="16">
        <f>VLOOKUP(C168,Resources!B:G,6,FALSE)</f>
        <v>48</v>
      </c>
      <c r="J168" s="16">
        <f>(H168/G168)*I168*F168</f>
        <v>8340.2865664562687</v>
      </c>
      <c r="K168" s="12">
        <f>IF(E168="M"," ",L168*F168)</f>
        <v>173.75597013450559</v>
      </c>
      <c r="L168" s="12">
        <f>IF(E168="M"," ",H168/G168)</f>
        <v>86.877985067252794</v>
      </c>
      <c r="M168" s="16">
        <f>IF($E168="L",$J168,0)</f>
        <v>8340.2865664562687</v>
      </c>
      <c r="N168" s="16">
        <f>IF($E168="M",$J168,0)</f>
        <v>0</v>
      </c>
      <c r="O168" s="16">
        <f>IF($E168="P",$J168,0)</f>
        <v>0</v>
      </c>
      <c r="P168" s="16">
        <f>IF($E168="S",$J168,0)</f>
        <v>0</v>
      </c>
      <c r="Q168" s="16">
        <f>SUM(M168:P168)</f>
        <v>8340.2865664562687</v>
      </c>
      <c r="R168" s="250">
        <v>87</v>
      </c>
    </row>
    <row r="169" spans="1:18" x14ac:dyDescent="0.25">
      <c r="A169" s="49" t="s">
        <v>642</v>
      </c>
      <c r="B169" s="5">
        <v>25</v>
      </c>
      <c r="C169" s="8" t="s">
        <v>127</v>
      </c>
      <c r="F169" s="11"/>
      <c r="G169" s="11"/>
      <c r="K169" s="11"/>
      <c r="L169" s="11"/>
    </row>
    <row r="170" spans="1:18" x14ac:dyDescent="0.25">
      <c r="A170" s="52">
        <v>23.02</v>
      </c>
      <c r="B170" s="6">
        <v>26</v>
      </c>
      <c r="C170" s="6" t="s">
        <v>102</v>
      </c>
      <c r="D170" s="6" t="s">
        <v>33</v>
      </c>
      <c r="E170" s="45" t="s">
        <v>508</v>
      </c>
      <c r="F170" s="12">
        <v>1</v>
      </c>
      <c r="G170" s="48">
        <f>VLOOKUP($A170,'Model Inputs'!$A:$C,3,FALSE)</f>
        <v>10</v>
      </c>
      <c r="H170" s="16">
        <f>H145/1.709</f>
        <v>396.13809245172615</v>
      </c>
      <c r="I170" s="16">
        <f>VLOOKUP(C170,Resources!B:G,6,FALSE)</f>
        <v>95</v>
      </c>
      <c r="J170" s="16">
        <f>(H170/G170)*I170*F170</f>
        <v>3763.3118782913989</v>
      </c>
      <c r="K170" s="12">
        <f>IF(E170="M"," ",L170*F170)</f>
        <v>39.613809245172618</v>
      </c>
      <c r="L170" s="12">
        <f>IF(E170="M"," ",H170/G170)</f>
        <v>39.613809245172618</v>
      </c>
      <c r="M170" s="16">
        <f>IF($E170="L",$J170,0)</f>
        <v>0</v>
      </c>
      <c r="N170" s="16">
        <f>IF($E170="M",$J170,0)</f>
        <v>0</v>
      </c>
      <c r="O170" s="16">
        <f>IF($E170="P",$J170,0)</f>
        <v>3763.3118782913989</v>
      </c>
      <c r="P170" s="16">
        <f>IF($E170="S",$J170,0)</f>
        <v>0</v>
      </c>
      <c r="Q170" s="16">
        <f>SUM(M170:P170)</f>
        <v>3763.3118782913989</v>
      </c>
      <c r="R170" s="250">
        <v>132</v>
      </c>
    </row>
    <row r="171" spans="1:18" x14ac:dyDescent="0.25">
      <c r="A171" s="52" t="s">
        <v>642</v>
      </c>
      <c r="B171" s="6">
        <v>27</v>
      </c>
      <c r="C171" s="6" t="s">
        <v>8</v>
      </c>
      <c r="D171" s="6" t="s">
        <v>33</v>
      </c>
      <c r="E171" s="45" t="s">
        <v>506</v>
      </c>
      <c r="F171" s="12">
        <v>2</v>
      </c>
      <c r="G171" s="12">
        <f>G170</f>
        <v>10</v>
      </c>
      <c r="H171" s="16">
        <f>H170</f>
        <v>396.13809245172615</v>
      </c>
      <c r="I171" s="16">
        <f>VLOOKUP(C171,Resources!B:G,6,FALSE)</f>
        <v>48</v>
      </c>
      <c r="J171" s="16">
        <f>(H171/G171)*I171*F171</f>
        <v>3802.9256875365713</v>
      </c>
      <c r="K171" s="12">
        <f>IF(E171="M"," ",L171*F171)</f>
        <v>79.227618490345236</v>
      </c>
      <c r="L171" s="12">
        <f>IF(E171="M"," ",H171/G171)</f>
        <v>39.613809245172618</v>
      </c>
      <c r="M171" s="16">
        <f>IF($E171="L",$J171,0)</f>
        <v>3802.9256875365713</v>
      </c>
      <c r="N171" s="16">
        <f>IF($E171="M",$J171,0)</f>
        <v>0</v>
      </c>
      <c r="O171" s="16">
        <f>IF($E171="P",$J171,0)</f>
        <v>0</v>
      </c>
      <c r="P171" s="16">
        <f>IF($E171="S",$J171,0)</f>
        <v>0</v>
      </c>
      <c r="Q171" s="16">
        <f>SUM(M171:P171)</f>
        <v>3802.9256875365713</v>
      </c>
      <c r="R171" s="250">
        <v>132</v>
      </c>
    </row>
    <row r="172" spans="1:18" x14ac:dyDescent="0.25">
      <c r="A172" s="49" t="s">
        <v>642</v>
      </c>
      <c r="B172" s="5">
        <v>28</v>
      </c>
      <c r="C172" s="8" t="s">
        <v>128</v>
      </c>
      <c r="F172" s="11"/>
      <c r="G172" s="11"/>
      <c r="K172" s="11"/>
      <c r="L172" s="11"/>
    </row>
    <row r="173" spans="1:18" x14ac:dyDescent="0.25">
      <c r="A173" s="52">
        <v>23.03</v>
      </c>
      <c r="B173" s="6">
        <v>29</v>
      </c>
      <c r="C173" s="6" t="s">
        <v>102</v>
      </c>
      <c r="D173" s="6" t="s">
        <v>33</v>
      </c>
      <c r="E173" s="45" t="s">
        <v>508</v>
      </c>
      <c r="F173" s="12">
        <v>1</v>
      </c>
      <c r="G173" s="48">
        <f>VLOOKUP($A173,'Model Inputs'!$A:$C,3,FALSE)</f>
        <v>15</v>
      </c>
      <c r="H173" s="16">
        <f>H145</f>
        <v>677</v>
      </c>
      <c r="I173" s="16">
        <f>VLOOKUP(C173,Resources!B:G,6,FALSE)</f>
        <v>95</v>
      </c>
      <c r="J173" s="16">
        <f>(H173/G173)*I173*F173</f>
        <v>4287.666666666667</v>
      </c>
      <c r="K173" s="12">
        <f>IF(E173="M"," ",L173*F173)</f>
        <v>45.133333333333333</v>
      </c>
      <c r="L173" s="12">
        <f>IF(E173="M"," ",H173/G173)</f>
        <v>45.133333333333333</v>
      </c>
      <c r="M173" s="16">
        <f>IF($E173="L",$J173,0)</f>
        <v>0</v>
      </c>
      <c r="N173" s="16">
        <f>IF($E173="M",$J173,0)</f>
        <v>0</v>
      </c>
      <c r="O173" s="16">
        <f>IF($E173="P",$J173,0)</f>
        <v>4287.666666666667</v>
      </c>
      <c r="P173" s="16">
        <f>IF($E173="S",$J173,0)</f>
        <v>0</v>
      </c>
      <c r="Q173" s="16">
        <f>SUM(M173:P173)</f>
        <v>4287.666666666667</v>
      </c>
      <c r="R173" s="250">
        <v>52</v>
      </c>
    </row>
    <row r="174" spans="1:18" x14ac:dyDescent="0.25">
      <c r="A174" s="52" t="s">
        <v>642</v>
      </c>
      <c r="B174" s="6">
        <v>30</v>
      </c>
      <c r="C174" s="6" t="s">
        <v>129</v>
      </c>
      <c r="D174" s="6" t="s">
        <v>33</v>
      </c>
      <c r="E174" s="45" t="s">
        <v>508</v>
      </c>
      <c r="F174" s="12">
        <v>1</v>
      </c>
      <c r="G174" s="12">
        <f>G173</f>
        <v>15</v>
      </c>
      <c r="H174" s="16">
        <f>H145</f>
        <v>677</v>
      </c>
      <c r="I174" s="16">
        <f>VLOOKUP(C174,Resources!B:G,6,FALSE)</f>
        <v>35</v>
      </c>
      <c r="J174" s="16">
        <f>(H174/G174)*I174*F174</f>
        <v>1579.6666666666667</v>
      </c>
      <c r="K174" s="12">
        <f>IF(E174="M"," ",L174*F174)</f>
        <v>45.133333333333333</v>
      </c>
      <c r="L174" s="12">
        <f>IF(E174="M"," ",H174/G174)</f>
        <v>45.133333333333333</v>
      </c>
      <c r="M174" s="16">
        <f>IF($E174="L",$J174,0)</f>
        <v>0</v>
      </c>
      <c r="N174" s="16">
        <f>IF($E174="M",$J174,0)</f>
        <v>0</v>
      </c>
      <c r="O174" s="16">
        <f>IF($E174="P",$J174,0)</f>
        <v>1579.6666666666667</v>
      </c>
      <c r="P174" s="16">
        <f>IF($E174="S",$J174,0)</f>
        <v>0</v>
      </c>
      <c r="Q174" s="16">
        <f>SUM(M174:P174)</f>
        <v>1579.6666666666667</v>
      </c>
      <c r="R174" s="250">
        <v>52</v>
      </c>
    </row>
    <row r="175" spans="1:18" x14ac:dyDescent="0.25">
      <c r="A175" s="52" t="s">
        <v>642</v>
      </c>
      <c r="B175" s="6">
        <v>31</v>
      </c>
      <c r="C175" s="6" t="s">
        <v>8</v>
      </c>
      <c r="D175" s="6" t="s">
        <v>33</v>
      </c>
      <c r="E175" s="45" t="s">
        <v>506</v>
      </c>
      <c r="F175" s="12">
        <v>2</v>
      </c>
      <c r="G175" s="12">
        <f>G173</f>
        <v>15</v>
      </c>
      <c r="H175" s="16">
        <f>H145</f>
        <v>677</v>
      </c>
      <c r="I175" s="16">
        <f>VLOOKUP(C175,Resources!B:G,6,FALSE)</f>
        <v>48</v>
      </c>
      <c r="J175" s="16">
        <f>(H175/G175)*I175*F175</f>
        <v>4332.8</v>
      </c>
      <c r="K175" s="12">
        <f>IF(E175="M"," ",L175*F175)</f>
        <v>90.266666666666666</v>
      </c>
      <c r="L175" s="12">
        <f>IF(E175="M"," ",H175/G175)</f>
        <v>45.133333333333333</v>
      </c>
      <c r="M175" s="16">
        <f>IF($E175="L",$J175,0)</f>
        <v>4332.8</v>
      </c>
      <c r="N175" s="16">
        <f>IF($E175="M",$J175,0)</f>
        <v>0</v>
      </c>
      <c r="O175" s="16">
        <f>IF($E175="P",$J175,0)</f>
        <v>0</v>
      </c>
      <c r="P175" s="16">
        <f>IF($E175="S",$J175,0)</f>
        <v>0</v>
      </c>
      <c r="Q175" s="16">
        <f>SUM(M175:P175)</f>
        <v>4332.8</v>
      </c>
      <c r="R175" s="250">
        <v>52</v>
      </c>
    </row>
    <row r="176" spans="1:18" x14ac:dyDescent="0.25">
      <c r="A176" s="49" t="s">
        <v>642</v>
      </c>
      <c r="F176" s="11"/>
      <c r="G176" s="11"/>
      <c r="K176" s="11"/>
      <c r="L176" s="11"/>
    </row>
    <row r="177" spans="1:18" ht="30" x14ac:dyDescent="0.25">
      <c r="A177" s="51" t="s">
        <v>642</v>
      </c>
      <c r="B177" s="3" t="s">
        <v>130</v>
      </c>
      <c r="C177" s="3" t="s">
        <v>131</v>
      </c>
      <c r="D177" s="4"/>
      <c r="E177" s="44"/>
      <c r="F177" s="10"/>
      <c r="G177" s="10"/>
      <c r="H177" s="15"/>
      <c r="I177" s="15"/>
      <c r="J177" s="15"/>
      <c r="K177" s="10"/>
      <c r="L177" s="10"/>
      <c r="M177" s="15"/>
      <c r="N177" s="15"/>
      <c r="O177" s="15"/>
      <c r="P177" s="15"/>
      <c r="Q177" s="15"/>
      <c r="R177" s="249"/>
    </row>
    <row r="178" spans="1:18" ht="45" x14ac:dyDescent="0.25">
      <c r="A178" s="51">
        <v>24</v>
      </c>
      <c r="B178" s="3" t="s">
        <v>132</v>
      </c>
      <c r="C178" s="3" t="s">
        <v>562</v>
      </c>
      <c r="D178" s="4" t="s">
        <v>59</v>
      </c>
      <c r="E178" s="44"/>
      <c r="F178" s="10"/>
      <c r="G178" s="10"/>
      <c r="H178" s="48">
        <f>VLOOKUP($A178,'Model Inputs'!$A:$C,3,FALSE)</f>
        <v>380</v>
      </c>
      <c r="I178" s="15"/>
      <c r="J178" s="15">
        <f>SUBTOTAL(9,J180:J183)</f>
        <v>3690.2222222222222</v>
      </c>
      <c r="K178" s="10"/>
      <c r="L178" s="15">
        <f>ROUNDUP(MAX(L180:L183)/Workhrs,0)</f>
        <v>1</v>
      </c>
      <c r="M178" s="15">
        <f>SUBTOTAL(9,M180:M183)</f>
        <v>1216</v>
      </c>
      <c r="N178" s="15">
        <f>SUBTOTAL(9,N180:N183)</f>
        <v>0</v>
      </c>
      <c r="O178" s="15">
        <f>SUBTOTAL(9,O180:O183)</f>
        <v>2474.2222222222222</v>
      </c>
      <c r="P178" s="15">
        <f>SUBTOTAL(9,P180:P183)</f>
        <v>0</v>
      </c>
      <c r="Q178" s="15">
        <f>SUBTOTAL(9,Q180:Q183)</f>
        <v>3690.2222222222222</v>
      </c>
      <c r="R178" s="249"/>
    </row>
    <row r="179" spans="1:18" x14ac:dyDescent="0.25">
      <c r="A179" s="49" t="s">
        <v>642</v>
      </c>
      <c r="B179" s="5">
        <v>1</v>
      </c>
      <c r="C179" s="8" t="s">
        <v>134</v>
      </c>
      <c r="F179" s="11"/>
      <c r="G179" s="11"/>
      <c r="K179" s="11"/>
      <c r="L179" s="11"/>
    </row>
    <row r="180" spans="1:18" x14ac:dyDescent="0.25">
      <c r="A180" s="52">
        <v>24.01</v>
      </c>
      <c r="B180" s="6">
        <v>2</v>
      </c>
      <c r="C180" s="6" t="s">
        <v>70</v>
      </c>
      <c r="D180" s="6" t="s">
        <v>33</v>
      </c>
      <c r="E180" s="45" t="s">
        <v>508</v>
      </c>
      <c r="F180" s="12">
        <v>1</v>
      </c>
      <c r="G180" s="48">
        <f>VLOOKUP($A180,'Model Inputs'!$A:$C,3,FALSE)</f>
        <v>150</v>
      </c>
      <c r="H180" s="16">
        <f>H178/0.3</f>
        <v>1266.6666666666667</v>
      </c>
      <c r="I180" s="16">
        <f>VLOOKUP(C180,Resources!B:G,6,FALSE)</f>
        <v>135</v>
      </c>
      <c r="J180" s="16">
        <f>(H180/G180)*I180*F180</f>
        <v>1140</v>
      </c>
      <c r="K180" s="12">
        <f>IF(E180="M"," ",L180*F180)</f>
        <v>8.4444444444444446</v>
      </c>
      <c r="L180" s="12">
        <f>IF(E180="M"," ",H180/G180)</f>
        <v>8.4444444444444446</v>
      </c>
      <c r="M180" s="16">
        <f>IF($E180="L",$J180,0)</f>
        <v>0</v>
      </c>
      <c r="N180" s="16">
        <f>IF($E180="M",$J180,0)</f>
        <v>0</v>
      </c>
      <c r="O180" s="16">
        <f>IF($E180="P",$J180,0)</f>
        <v>1140</v>
      </c>
      <c r="P180" s="16">
        <f>IF($E180="S",$J180,0)</f>
        <v>0</v>
      </c>
      <c r="Q180" s="16">
        <f>SUM(M180:P180)</f>
        <v>1140</v>
      </c>
      <c r="R180" s="250">
        <v>61</v>
      </c>
    </row>
    <row r="181" spans="1:18" x14ac:dyDescent="0.25">
      <c r="A181" s="52" t="s">
        <v>642</v>
      </c>
      <c r="B181" s="6">
        <v>3</v>
      </c>
      <c r="C181" s="6" t="s">
        <v>135</v>
      </c>
      <c r="D181" s="6" t="s">
        <v>33</v>
      </c>
      <c r="E181" s="45" t="s">
        <v>508</v>
      </c>
      <c r="F181" s="12">
        <v>1</v>
      </c>
      <c r="G181" s="12">
        <f>G180</f>
        <v>150</v>
      </c>
      <c r="H181" s="16">
        <f>H180</f>
        <v>1266.6666666666667</v>
      </c>
      <c r="I181" s="16">
        <f>VLOOKUP(C181,Resources!B:G,6,FALSE)</f>
        <v>58</v>
      </c>
      <c r="J181" s="16">
        <f>(H181/G181)*I181*F181</f>
        <v>489.77777777777777</v>
      </c>
      <c r="K181" s="12">
        <f>IF(E181="M"," ",L181*F181)</f>
        <v>8.4444444444444446</v>
      </c>
      <c r="L181" s="12">
        <f>IF(E181="M"," ",H181/G181)</f>
        <v>8.4444444444444446</v>
      </c>
      <c r="M181" s="16">
        <f>IF($E181="L",$J181,0)</f>
        <v>0</v>
      </c>
      <c r="N181" s="16">
        <f>IF($E181="M",$J181,0)</f>
        <v>0</v>
      </c>
      <c r="O181" s="16">
        <f>IF($E181="P",$J181,0)</f>
        <v>489.77777777777777</v>
      </c>
      <c r="P181" s="16">
        <f>IF($E181="S",$J181,0)</f>
        <v>0</v>
      </c>
      <c r="Q181" s="16">
        <f>SUM(M181:P181)</f>
        <v>489.77777777777777</v>
      </c>
      <c r="R181" s="250">
        <v>61</v>
      </c>
    </row>
    <row r="182" spans="1:18" x14ac:dyDescent="0.25">
      <c r="A182" s="52" t="s">
        <v>642</v>
      </c>
      <c r="B182" s="6">
        <v>4</v>
      </c>
      <c r="C182" s="6" t="s">
        <v>136</v>
      </c>
      <c r="D182" s="6" t="s">
        <v>33</v>
      </c>
      <c r="E182" s="45" t="s">
        <v>508</v>
      </c>
      <c r="F182" s="12">
        <v>1</v>
      </c>
      <c r="G182" s="12">
        <f>G180</f>
        <v>150</v>
      </c>
      <c r="H182" s="16">
        <f>H180</f>
        <v>1266.6666666666667</v>
      </c>
      <c r="I182" s="16">
        <f>VLOOKUP(C182,Resources!B:G,6,FALSE)</f>
        <v>100</v>
      </c>
      <c r="J182" s="16">
        <f>(H182/G182)*I182*F182</f>
        <v>844.44444444444446</v>
      </c>
      <c r="K182" s="12">
        <f>IF(E182="M"," ",L182*F182)</f>
        <v>8.4444444444444446</v>
      </c>
      <c r="L182" s="12">
        <f>IF(E182="M"," ",H182/G182)</f>
        <v>8.4444444444444446</v>
      </c>
      <c r="M182" s="16">
        <f>IF($E182="L",$J182,0)</f>
        <v>0</v>
      </c>
      <c r="N182" s="16">
        <f>IF($E182="M",$J182,0)</f>
        <v>0</v>
      </c>
      <c r="O182" s="16">
        <f>IF($E182="P",$J182,0)</f>
        <v>844.44444444444446</v>
      </c>
      <c r="P182" s="16">
        <f>IF($E182="S",$J182,0)</f>
        <v>0</v>
      </c>
      <c r="Q182" s="16">
        <f>SUM(M182:P182)</f>
        <v>844.44444444444446</v>
      </c>
      <c r="R182" s="250">
        <v>61</v>
      </c>
    </row>
    <row r="183" spans="1:18" x14ac:dyDescent="0.25">
      <c r="A183" s="52" t="s">
        <v>642</v>
      </c>
      <c r="B183" s="6">
        <v>5</v>
      </c>
      <c r="C183" s="6" t="s">
        <v>8</v>
      </c>
      <c r="D183" s="6" t="s">
        <v>33</v>
      </c>
      <c r="E183" s="45" t="s">
        <v>506</v>
      </c>
      <c r="F183" s="12">
        <v>3</v>
      </c>
      <c r="G183" s="12">
        <f>G180</f>
        <v>150</v>
      </c>
      <c r="H183" s="16">
        <f>H180</f>
        <v>1266.6666666666667</v>
      </c>
      <c r="I183" s="16">
        <f>VLOOKUP(C183,Resources!B:G,6,FALSE)</f>
        <v>48</v>
      </c>
      <c r="J183" s="16">
        <f>(H183/G183)*I183*F183</f>
        <v>1216</v>
      </c>
      <c r="K183" s="12">
        <f>IF(E183="M"," ",L183*F183)</f>
        <v>25.333333333333336</v>
      </c>
      <c r="L183" s="12">
        <f>IF(E183="M"," ",H183/G183)</f>
        <v>8.4444444444444446</v>
      </c>
      <c r="M183" s="16">
        <f>IF($E183="L",$J183,0)</f>
        <v>1216</v>
      </c>
      <c r="N183" s="16">
        <f>IF($E183="M",$J183,0)</f>
        <v>0</v>
      </c>
      <c r="O183" s="16">
        <f>IF($E183="P",$J183,0)</f>
        <v>0</v>
      </c>
      <c r="P183" s="16">
        <f>IF($E183="S",$J183,0)</f>
        <v>0</v>
      </c>
      <c r="Q183" s="16">
        <f>SUM(M183:P183)</f>
        <v>1216</v>
      </c>
      <c r="R183" s="250">
        <v>61</v>
      </c>
    </row>
    <row r="184" spans="1:18" x14ac:dyDescent="0.25">
      <c r="A184" s="49" t="s">
        <v>642</v>
      </c>
      <c r="F184" s="11"/>
      <c r="G184" s="11"/>
      <c r="K184" s="11"/>
      <c r="L184" s="11"/>
    </row>
    <row r="185" spans="1:18" ht="30" x14ac:dyDescent="0.25">
      <c r="A185" s="51">
        <v>25</v>
      </c>
      <c r="B185" s="3" t="s">
        <v>137</v>
      </c>
      <c r="C185" s="3" t="s">
        <v>563</v>
      </c>
      <c r="D185" s="4" t="s">
        <v>59</v>
      </c>
      <c r="E185" s="44"/>
      <c r="F185" s="10"/>
      <c r="G185" s="10"/>
      <c r="H185" s="48">
        <f>VLOOKUP($A185,'Model Inputs'!$A:$C,3,FALSE)</f>
        <v>1000</v>
      </c>
      <c r="I185" s="15"/>
      <c r="J185" s="15">
        <f>SUBTOTAL(9,J186:J190)</f>
        <v>10548.387096774193</v>
      </c>
      <c r="K185" s="10"/>
      <c r="L185" s="15">
        <f>ROUNDUP(MAX(L186:L190)/Workhrs,0)</f>
        <v>2</v>
      </c>
      <c r="M185" s="15">
        <f>SUBTOTAL(9,M186:M190)</f>
        <v>2322.5806451612907</v>
      </c>
      <c r="N185" s="15">
        <f>SUBTOTAL(9,N186:N190)</f>
        <v>0</v>
      </c>
      <c r="O185" s="15">
        <f>SUBTOTAL(9,O186:O190)</f>
        <v>8225.8064516129016</v>
      </c>
      <c r="P185" s="15">
        <f>SUBTOTAL(9,P186:P190)</f>
        <v>0</v>
      </c>
      <c r="Q185" s="15">
        <f>SUBTOTAL(9,Q186:Q190)</f>
        <v>10548.387096774193</v>
      </c>
      <c r="R185" s="249"/>
    </row>
    <row r="186" spans="1:18" x14ac:dyDescent="0.25">
      <c r="A186" s="52">
        <v>25.01</v>
      </c>
      <c r="B186" s="6">
        <v>1</v>
      </c>
      <c r="C186" s="6" t="s">
        <v>139</v>
      </c>
      <c r="D186" s="6" t="s">
        <v>33</v>
      </c>
      <c r="E186" s="45" t="s">
        <v>508</v>
      </c>
      <c r="F186" s="12">
        <v>1</v>
      </c>
      <c r="G186" s="48">
        <f>VLOOKUP($A186,'Model Inputs'!$A:$C,3,FALSE)</f>
        <v>62</v>
      </c>
      <c r="H186" s="16">
        <f>H185</f>
        <v>1000</v>
      </c>
      <c r="I186" s="16">
        <f>VLOOKUP(C186,Resources!B:G,6,FALSE)</f>
        <v>125</v>
      </c>
      <c r="J186" s="16">
        <f>(H186/G186)*I186*F186</f>
        <v>2016.1290322580644</v>
      </c>
      <c r="K186" s="12">
        <f>IF(E186="M"," ",L186*F186)</f>
        <v>16.129032258064516</v>
      </c>
      <c r="L186" s="12">
        <f>IF(E186="M"," ",H186/G186)</f>
        <v>16.129032258064516</v>
      </c>
      <c r="M186" s="16">
        <f>IF($E186="L",$J186,0)</f>
        <v>0</v>
      </c>
      <c r="N186" s="16">
        <f>IF($E186="M",$J186,0)</f>
        <v>0</v>
      </c>
      <c r="O186" s="16">
        <f>IF($E186="P",$J186,0)</f>
        <v>2016.1290322580644</v>
      </c>
      <c r="P186" s="16">
        <f>IF($E186="S",$J186,0)</f>
        <v>0</v>
      </c>
      <c r="Q186" s="16">
        <f>SUM(M186:P186)</f>
        <v>2016.1290322580644</v>
      </c>
      <c r="R186" s="250">
        <v>54</v>
      </c>
    </row>
    <row r="187" spans="1:18" x14ac:dyDescent="0.25">
      <c r="A187" s="52" t="s">
        <v>642</v>
      </c>
      <c r="B187" s="6">
        <v>2</v>
      </c>
      <c r="C187" s="6" t="s">
        <v>140</v>
      </c>
      <c r="D187" s="6" t="s">
        <v>33</v>
      </c>
      <c r="E187" s="45" t="s">
        <v>508</v>
      </c>
      <c r="F187" s="12">
        <v>2</v>
      </c>
      <c r="G187" s="12">
        <f>G186</f>
        <v>62</v>
      </c>
      <c r="H187" s="16">
        <f>H185</f>
        <v>1000</v>
      </c>
      <c r="I187" s="16">
        <f>VLOOKUP(C187,Resources!B:G,6,FALSE)</f>
        <v>95</v>
      </c>
      <c r="J187" s="16">
        <f>(H187/G187)*I187*F187</f>
        <v>3064.516129032258</v>
      </c>
      <c r="K187" s="12">
        <f>IF(E187="M"," ",L187*F187)</f>
        <v>32.258064516129032</v>
      </c>
      <c r="L187" s="12">
        <f>IF(E187="M"," ",H187/G187)</f>
        <v>16.129032258064516</v>
      </c>
      <c r="M187" s="16">
        <f>IF($E187="L",$J187,0)</f>
        <v>0</v>
      </c>
      <c r="N187" s="16">
        <f>IF($E187="M",$J187,0)</f>
        <v>0</v>
      </c>
      <c r="O187" s="16">
        <f>IF($E187="P",$J187,0)</f>
        <v>3064.516129032258</v>
      </c>
      <c r="P187" s="16">
        <f>IF($E187="S",$J187,0)</f>
        <v>0</v>
      </c>
      <c r="Q187" s="16">
        <f>SUM(M187:P187)</f>
        <v>3064.516129032258</v>
      </c>
      <c r="R187" s="250">
        <v>54</v>
      </c>
    </row>
    <row r="188" spans="1:18" x14ac:dyDescent="0.25">
      <c r="A188" s="52" t="s">
        <v>642</v>
      </c>
      <c r="B188" s="6">
        <v>3</v>
      </c>
      <c r="C188" s="6" t="s">
        <v>102</v>
      </c>
      <c r="D188" s="6" t="s">
        <v>33</v>
      </c>
      <c r="E188" s="45" t="s">
        <v>508</v>
      </c>
      <c r="F188" s="12">
        <v>1</v>
      </c>
      <c r="G188" s="12">
        <f>G186</f>
        <v>62</v>
      </c>
      <c r="H188" s="16">
        <f>H185</f>
        <v>1000</v>
      </c>
      <c r="I188" s="16">
        <f>VLOOKUP(C188,Resources!B:G,6,FALSE)</f>
        <v>95</v>
      </c>
      <c r="J188" s="16">
        <f>(H188/G188)*I188*F188</f>
        <v>1532.258064516129</v>
      </c>
      <c r="K188" s="12">
        <f>IF(E188="M"," ",L188*F188)</f>
        <v>16.129032258064516</v>
      </c>
      <c r="L188" s="12">
        <f>IF(E188="M"," ",H188/G188)</f>
        <v>16.129032258064516</v>
      </c>
      <c r="M188" s="16">
        <f>IF($E188="L",$J188,0)</f>
        <v>0</v>
      </c>
      <c r="N188" s="16">
        <f>IF($E188="M",$J188,0)</f>
        <v>0</v>
      </c>
      <c r="O188" s="16">
        <f>IF($E188="P",$J188,0)</f>
        <v>1532.258064516129</v>
      </c>
      <c r="P188" s="16">
        <f>IF($E188="S",$J188,0)</f>
        <v>0</v>
      </c>
      <c r="Q188" s="16">
        <f>SUM(M188:P188)</f>
        <v>1532.258064516129</v>
      </c>
      <c r="R188" s="250">
        <v>54</v>
      </c>
    </row>
    <row r="189" spans="1:18" x14ac:dyDescent="0.25">
      <c r="A189" s="52" t="s">
        <v>642</v>
      </c>
      <c r="B189" s="6">
        <v>4</v>
      </c>
      <c r="C189" s="6" t="s">
        <v>136</v>
      </c>
      <c r="D189" s="6" t="s">
        <v>33</v>
      </c>
      <c r="E189" s="45" t="s">
        <v>508</v>
      </c>
      <c r="F189" s="12">
        <v>1</v>
      </c>
      <c r="G189" s="12">
        <f>G186</f>
        <v>62</v>
      </c>
      <c r="H189" s="16">
        <f>H185</f>
        <v>1000</v>
      </c>
      <c r="I189" s="16">
        <f>VLOOKUP(C189,Resources!B:G,6,FALSE)</f>
        <v>100</v>
      </c>
      <c r="J189" s="16">
        <f>(H189/G189)*I189*F189</f>
        <v>1612.9032258064517</v>
      </c>
      <c r="K189" s="12">
        <f>IF(E189="M"," ",L189*F189)</f>
        <v>16.129032258064516</v>
      </c>
      <c r="L189" s="12">
        <f>IF(E189="M"," ",H189/G189)</f>
        <v>16.129032258064516</v>
      </c>
      <c r="M189" s="16">
        <f>IF($E189="L",$J189,0)</f>
        <v>0</v>
      </c>
      <c r="N189" s="16">
        <f>IF($E189="M",$J189,0)</f>
        <v>0</v>
      </c>
      <c r="O189" s="16">
        <f>IF($E189="P",$J189,0)</f>
        <v>1612.9032258064517</v>
      </c>
      <c r="P189" s="16">
        <f>IF($E189="S",$J189,0)</f>
        <v>0</v>
      </c>
      <c r="Q189" s="16">
        <f>SUM(M189:P189)</f>
        <v>1612.9032258064517</v>
      </c>
      <c r="R189" s="250">
        <v>54</v>
      </c>
    </row>
    <row r="190" spans="1:18" x14ac:dyDescent="0.25">
      <c r="A190" s="52" t="s">
        <v>642</v>
      </c>
      <c r="B190" s="6">
        <v>5</v>
      </c>
      <c r="C190" s="6" t="s">
        <v>8</v>
      </c>
      <c r="D190" s="6" t="s">
        <v>33</v>
      </c>
      <c r="E190" s="45" t="s">
        <v>506</v>
      </c>
      <c r="F190" s="12">
        <v>3</v>
      </c>
      <c r="G190" s="12">
        <f>G186</f>
        <v>62</v>
      </c>
      <c r="H190" s="16">
        <f>H185</f>
        <v>1000</v>
      </c>
      <c r="I190" s="16">
        <f>VLOOKUP(C190,Resources!B:G,6,FALSE)</f>
        <v>48</v>
      </c>
      <c r="J190" s="16">
        <f>(H190/G190)*I190*F190</f>
        <v>2322.5806451612907</v>
      </c>
      <c r="K190" s="12">
        <f>IF(E190="M"," ",L190*F190)</f>
        <v>48.387096774193552</v>
      </c>
      <c r="L190" s="12">
        <f>IF(E190="M"," ",H190/G190)</f>
        <v>16.129032258064516</v>
      </c>
      <c r="M190" s="16">
        <f>IF($E190="L",$J190,0)</f>
        <v>2322.5806451612907</v>
      </c>
      <c r="N190" s="16">
        <f>IF($E190="M",$J190,0)</f>
        <v>0</v>
      </c>
      <c r="O190" s="16">
        <f>IF($E190="P",$J190,0)</f>
        <v>0</v>
      </c>
      <c r="P190" s="16">
        <f>IF($E190="S",$J190,0)</f>
        <v>0</v>
      </c>
      <c r="Q190" s="16">
        <f>SUM(M190:P190)</f>
        <v>2322.5806451612907</v>
      </c>
      <c r="R190" s="250">
        <v>54</v>
      </c>
    </row>
    <row r="191" spans="1:18" x14ac:dyDescent="0.25">
      <c r="A191" s="49" t="s">
        <v>642</v>
      </c>
      <c r="F191" s="11"/>
      <c r="G191" s="11"/>
      <c r="K191" s="11"/>
      <c r="L191" s="11"/>
    </row>
    <row r="192" spans="1:18" ht="30" x14ac:dyDescent="0.25">
      <c r="A192" s="51" t="s">
        <v>642</v>
      </c>
      <c r="B192" s="3" t="s">
        <v>141</v>
      </c>
      <c r="C192" s="3" t="s">
        <v>142</v>
      </c>
      <c r="D192" s="4"/>
      <c r="E192" s="44"/>
      <c r="F192" s="10"/>
      <c r="G192" s="10"/>
      <c r="H192" s="15"/>
      <c r="I192" s="15"/>
      <c r="J192" s="15"/>
      <c r="K192" s="10"/>
      <c r="L192" s="10"/>
      <c r="M192" s="15"/>
      <c r="N192" s="15"/>
      <c r="O192" s="15"/>
      <c r="P192" s="15"/>
      <c r="Q192" s="15"/>
      <c r="R192" s="249"/>
    </row>
    <row r="193" spans="1:18" ht="30" x14ac:dyDescent="0.25">
      <c r="A193" s="51">
        <v>26</v>
      </c>
      <c r="B193" s="3" t="s">
        <v>143</v>
      </c>
      <c r="C193" s="3" t="s">
        <v>564</v>
      </c>
      <c r="D193" s="4" t="s">
        <v>94</v>
      </c>
      <c r="E193" s="44"/>
      <c r="F193" s="10"/>
      <c r="G193" s="10"/>
      <c r="H193" s="48">
        <f>VLOOKUP($A193,'Model Inputs'!$A:$C,3,FALSE)</f>
        <v>9000</v>
      </c>
      <c r="I193" s="15"/>
      <c r="J193" s="15">
        <f>SUBTOTAL(9,J194:J197)</f>
        <v>9925.7142857142862</v>
      </c>
      <c r="K193" s="10"/>
      <c r="L193" s="15">
        <f>ROUNDUP(MAX(L194:L197)/Workhrs,0)</f>
        <v>3</v>
      </c>
      <c r="M193" s="15">
        <f>SUBTOTAL(9,M194:M197)</f>
        <v>2468.5714285714284</v>
      </c>
      <c r="N193" s="15">
        <f>SUBTOTAL(9,N194:N197)</f>
        <v>0</v>
      </c>
      <c r="O193" s="15">
        <f>SUBTOTAL(9,O194:O197)</f>
        <v>7457.1428571428578</v>
      </c>
      <c r="P193" s="15">
        <f>SUBTOTAL(9,P194:P197)</f>
        <v>0</v>
      </c>
      <c r="Q193" s="15">
        <f>SUBTOTAL(9,Q194:Q197)</f>
        <v>9925.7142857142862</v>
      </c>
      <c r="R193" s="249"/>
    </row>
    <row r="194" spans="1:18" x14ac:dyDescent="0.25">
      <c r="A194" s="52">
        <v>26.01</v>
      </c>
      <c r="B194" s="6">
        <v>1</v>
      </c>
      <c r="C194" s="6" t="s">
        <v>70</v>
      </c>
      <c r="D194" s="6" t="s">
        <v>33</v>
      </c>
      <c r="E194" s="45" t="s">
        <v>508</v>
      </c>
      <c r="F194" s="12">
        <v>1</v>
      </c>
      <c r="G194" s="48">
        <f>VLOOKUP($A194,'Model Inputs'!$A:$C,3,FALSE)</f>
        <v>350</v>
      </c>
      <c r="H194" s="16">
        <f>H193</f>
        <v>9000</v>
      </c>
      <c r="I194" s="16">
        <f>VLOOKUP(C194,Resources!B:G,6,FALSE)</f>
        <v>135</v>
      </c>
      <c r="J194" s="16">
        <f>(H194/G194)*I194*F194</f>
        <v>3471.4285714285716</v>
      </c>
      <c r="K194" s="12">
        <f>IF(E194="M"," ",L194*F194)</f>
        <v>25.714285714285715</v>
      </c>
      <c r="L194" s="12">
        <f>IF(E194="M"," ",H194/G194)</f>
        <v>25.714285714285715</v>
      </c>
      <c r="M194" s="16">
        <f>IF($E194="L",$J194,0)</f>
        <v>0</v>
      </c>
      <c r="N194" s="16">
        <f>IF($E194="M",$J194,0)</f>
        <v>0</v>
      </c>
      <c r="O194" s="16">
        <f>IF($E194="P",$J194,0)</f>
        <v>3471.4285714285716</v>
      </c>
      <c r="P194" s="16">
        <f>IF($E194="S",$J194,0)</f>
        <v>0</v>
      </c>
      <c r="Q194" s="16">
        <f>SUM(M194:P194)</f>
        <v>3471.4285714285716</v>
      </c>
      <c r="R194" s="250">
        <v>59</v>
      </c>
    </row>
    <row r="195" spans="1:18" x14ac:dyDescent="0.25">
      <c r="A195" s="52" t="s">
        <v>642</v>
      </c>
      <c r="B195" s="6">
        <v>2</v>
      </c>
      <c r="C195" s="6" t="s">
        <v>136</v>
      </c>
      <c r="D195" s="6" t="s">
        <v>33</v>
      </c>
      <c r="E195" s="45" t="s">
        <v>508</v>
      </c>
      <c r="F195" s="12">
        <v>1</v>
      </c>
      <c r="G195" s="12">
        <f>G194</f>
        <v>350</v>
      </c>
      <c r="H195" s="16">
        <f>H193</f>
        <v>9000</v>
      </c>
      <c r="I195" s="16">
        <f>VLOOKUP(C195,Resources!B:G,6,FALSE)</f>
        <v>100</v>
      </c>
      <c r="J195" s="16">
        <f>(H195/G195)*I195*F195</f>
        <v>2571.4285714285716</v>
      </c>
      <c r="K195" s="12">
        <f>IF(E195="M"," ",L195*F195)</f>
        <v>25.714285714285715</v>
      </c>
      <c r="L195" s="12">
        <f>IF(E195="M"," ",H195/G195)</f>
        <v>25.714285714285715</v>
      </c>
      <c r="M195" s="16">
        <f>IF($E195="L",$J195,0)</f>
        <v>0</v>
      </c>
      <c r="N195" s="16">
        <f>IF($E195="M",$J195,0)</f>
        <v>0</v>
      </c>
      <c r="O195" s="16">
        <f>IF($E195="P",$J195,0)</f>
        <v>2571.4285714285716</v>
      </c>
      <c r="P195" s="16">
        <f>IF($E195="S",$J195,0)</f>
        <v>0</v>
      </c>
      <c r="Q195" s="16">
        <f>SUM(M195:P195)</f>
        <v>2571.4285714285716</v>
      </c>
      <c r="R195" s="250">
        <v>59</v>
      </c>
    </row>
    <row r="196" spans="1:18" x14ac:dyDescent="0.25">
      <c r="A196" s="52" t="s">
        <v>642</v>
      </c>
      <c r="B196" s="6">
        <v>3</v>
      </c>
      <c r="C196" s="6" t="s">
        <v>145</v>
      </c>
      <c r="D196" s="6" t="s">
        <v>33</v>
      </c>
      <c r="E196" s="45" t="s">
        <v>508</v>
      </c>
      <c r="F196" s="12">
        <v>1</v>
      </c>
      <c r="G196" s="12">
        <f>G194</f>
        <v>350</v>
      </c>
      <c r="H196" s="16">
        <f>H193</f>
        <v>9000</v>
      </c>
      <c r="I196" s="16">
        <f>VLOOKUP(C196,Resources!B:G,6,FALSE)</f>
        <v>55</v>
      </c>
      <c r="J196" s="16">
        <f>(H196/G196)*I196*F196</f>
        <v>1414.2857142857144</v>
      </c>
      <c r="K196" s="12">
        <f>IF(E196="M"," ",L196*F196)</f>
        <v>25.714285714285715</v>
      </c>
      <c r="L196" s="12">
        <f>IF(E196="M"," ",H196/G196)</f>
        <v>25.714285714285715</v>
      </c>
      <c r="M196" s="16">
        <f>IF($E196="L",$J196,0)</f>
        <v>0</v>
      </c>
      <c r="N196" s="16">
        <f>IF($E196="M",$J196,0)</f>
        <v>0</v>
      </c>
      <c r="O196" s="16">
        <f>IF($E196="P",$J196,0)</f>
        <v>1414.2857142857144</v>
      </c>
      <c r="P196" s="16">
        <f>IF($E196="S",$J196,0)</f>
        <v>0</v>
      </c>
      <c r="Q196" s="16">
        <f>SUM(M196:P196)</f>
        <v>1414.2857142857144</v>
      </c>
      <c r="R196" s="250">
        <v>59</v>
      </c>
    </row>
    <row r="197" spans="1:18" x14ac:dyDescent="0.25">
      <c r="A197" s="52" t="s">
        <v>642</v>
      </c>
      <c r="B197" s="6">
        <v>4</v>
      </c>
      <c r="C197" s="6" t="s">
        <v>8</v>
      </c>
      <c r="D197" s="6" t="s">
        <v>33</v>
      </c>
      <c r="E197" s="45" t="s">
        <v>506</v>
      </c>
      <c r="F197" s="12">
        <v>2</v>
      </c>
      <c r="G197" s="12">
        <f>G194</f>
        <v>350</v>
      </c>
      <c r="H197" s="16">
        <f>H193</f>
        <v>9000</v>
      </c>
      <c r="I197" s="16">
        <f>VLOOKUP(C197,Resources!B:G,6,FALSE)</f>
        <v>48</v>
      </c>
      <c r="J197" s="16">
        <f>(H197/G197)*I197*F197</f>
        <v>2468.5714285714284</v>
      </c>
      <c r="K197" s="12">
        <f>IF(E197="M"," ",L197*F197)</f>
        <v>51.428571428571431</v>
      </c>
      <c r="L197" s="12">
        <f>IF(E197="M"," ",H197/G197)</f>
        <v>25.714285714285715</v>
      </c>
      <c r="M197" s="16">
        <f>IF($E197="L",$J197,0)</f>
        <v>2468.5714285714284</v>
      </c>
      <c r="N197" s="16">
        <f>IF($E197="M",$J197,0)</f>
        <v>0</v>
      </c>
      <c r="O197" s="16">
        <f>IF($E197="P",$J197,0)</f>
        <v>0</v>
      </c>
      <c r="P197" s="16">
        <f>IF($E197="S",$J197,0)</f>
        <v>0</v>
      </c>
      <c r="Q197" s="16">
        <f>SUM(M197:P197)</f>
        <v>2468.5714285714284</v>
      </c>
      <c r="R197" s="250">
        <v>59</v>
      </c>
    </row>
    <row r="198" spans="1:18" x14ac:dyDescent="0.25">
      <c r="A198" s="49" t="s">
        <v>642</v>
      </c>
      <c r="F198" s="11"/>
      <c r="G198" s="11"/>
      <c r="K198" s="11"/>
      <c r="L198" s="11"/>
    </row>
    <row r="199" spans="1:18" ht="30" x14ac:dyDescent="0.25">
      <c r="A199" s="51" t="s">
        <v>642</v>
      </c>
      <c r="B199" s="3" t="s">
        <v>146</v>
      </c>
      <c r="C199" s="3" t="s">
        <v>147</v>
      </c>
      <c r="D199" s="4"/>
      <c r="E199" s="44"/>
      <c r="F199" s="10"/>
      <c r="G199" s="10"/>
      <c r="H199" s="15"/>
      <c r="I199" s="15"/>
      <c r="J199" s="15"/>
      <c r="K199" s="10"/>
      <c r="L199" s="10"/>
      <c r="M199" s="15"/>
      <c r="N199" s="15"/>
      <c r="O199" s="15"/>
      <c r="P199" s="15"/>
      <c r="Q199" s="15"/>
      <c r="R199" s="249"/>
    </row>
    <row r="200" spans="1:18" ht="45" x14ac:dyDescent="0.25">
      <c r="A200" s="51">
        <v>27</v>
      </c>
      <c r="B200" s="3" t="s">
        <v>148</v>
      </c>
      <c r="C200" s="3" t="s">
        <v>565</v>
      </c>
      <c r="D200" s="4" t="s">
        <v>59</v>
      </c>
      <c r="E200" s="44"/>
      <c r="F200" s="10"/>
      <c r="G200" s="10"/>
      <c r="H200" s="48">
        <f>VLOOKUP($A200,'Model Inputs'!$A:$C,3,FALSE)</f>
        <v>125</v>
      </c>
      <c r="I200" s="15"/>
      <c r="J200" s="15">
        <f>SUBTOTAL(9,J202:J213)</f>
        <v>15087.861111111109</v>
      </c>
      <c r="K200" s="10"/>
      <c r="L200" s="15">
        <f>ROUNDUP(MAX(L202:L213)/Workhrs,0)</f>
        <v>1</v>
      </c>
      <c r="M200" s="15">
        <f>SUBTOTAL(9,M202:M213)</f>
        <v>648</v>
      </c>
      <c r="N200" s="15">
        <f>SUBTOTAL(9,N202:N213)</f>
        <v>10500</v>
      </c>
      <c r="O200" s="15">
        <f>SUBTOTAL(9,O202:O213)</f>
        <v>3939.8611111111113</v>
      </c>
      <c r="P200" s="15">
        <f>SUBTOTAL(9,P202:P213)</f>
        <v>0</v>
      </c>
      <c r="Q200" s="15">
        <f>SUBTOTAL(9,Q202:Q214)</f>
        <v>16887.861111111109</v>
      </c>
      <c r="R200" s="249"/>
    </row>
    <row r="201" spans="1:18" x14ac:dyDescent="0.25">
      <c r="A201" s="49" t="s">
        <v>642</v>
      </c>
      <c r="B201" s="5">
        <v>1</v>
      </c>
      <c r="C201" s="8" t="s">
        <v>27</v>
      </c>
      <c r="F201" s="11"/>
      <c r="G201" s="11"/>
      <c r="K201" s="11"/>
      <c r="L201" s="11"/>
    </row>
    <row r="202" spans="1:18" x14ac:dyDescent="0.25">
      <c r="A202" s="52" t="s">
        <v>642</v>
      </c>
      <c r="B202" s="6">
        <v>2</v>
      </c>
      <c r="C202" s="6" t="s">
        <v>150</v>
      </c>
      <c r="D202" s="6" t="s">
        <v>30</v>
      </c>
      <c r="E202" s="45" t="s">
        <v>507</v>
      </c>
      <c r="F202" s="12">
        <v>1</v>
      </c>
      <c r="G202" s="12">
        <v>1</v>
      </c>
      <c r="H202" s="16">
        <f>H200*2.4</f>
        <v>300</v>
      </c>
      <c r="I202" s="16">
        <f>VLOOKUP(C202,Resources!B:G,6,FALSE)</f>
        <v>31</v>
      </c>
      <c r="J202" s="16">
        <f>(H202/G202)*I202*F202</f>
        <v>9300</v>
      </c>
      <c r="K202" s="12" t="str">
        <f>IF(E202="M"," ",L202*F202)</f>
        <v xml:space="preserve"> </v>
      </c>
      <c r="L202" s="12" t="str">
        <f>IF(E202="M"," ",H202/G202)</f>
        <v xml:space="preserve"> </v>
      </c>
      <c r="M202" s="16">
        <f>IF($E202="L",$J202,0)</f>
        <v>0</v>
      </c>
      <c r="N202" s="16">
        <f>IF($E202="M",$J202,0)</f>
        <v>9300</v>
      </c>
      <c r="O202" s="16">
        <f>IF($E202="P",$J202,0)</f>
        <v>0</v>
      </c>
      <c r="P202" s="16">
        <f>IF($E202="S",$J202,0)</f>
        <v>0</v>
      </c>
      <c r="Q202" s="16">
        <f>SUM(M202:P202)</f>
        <v>9300</v>
      </c>
      <c r="R202" s="250" t="s">
        <v>541</v>
      </c>
    </row>
    <row r="203" spans="1:18" x14ac:dyDescent="0.25">
      <c r="A203" s="52" t="s">
        <v>642</v>
      </c>
      <c r="B203" s="6">
        <v>3</v>
      </c>
      <c r="C203" s="6" t="s">
        <v>151</v>
      </c>
      <c r="D203" s="6" t="s">
        <v>30</v>
      </c>
      <c r="E203" s="45" t="s">
        <v>507</v>
      </c>
      <c r="F203" s="12">
        <v>1</v>
      </c>
      <c r="G203" s="12">
        <v>1</v>
      </c>
      <c r="H203" s="16">
        <f>H202</f>
        <v>300</v>
      </c>
      <c r="I203" s="16">
        <f>VLOOKUP(C203,Resources!B:G,6,FALSE)</f>
        <v>4</v>
      </c>
      <c r="J203" s="16">
        <f>(H203/G203)*I203*F203</f>
        <v>1200</v>
      </c>
      <c r="K203" s="12" t="str">
        <f>IF(E203="M"," ",L203*F203)</f>
        <v xml:space="preserve"> </v>
      </c>
      <c r="L203" s="12" t="str">
        <f>IF(E203="M"," ",H203/G203)</f>
        <v xml:space="preserve"> </v>
      </c>
      <c r="M203" s="16">
        <f>IF($E203="L",$J203,0)</f>
        <v>0</v>
      </c>
      <c r="N203" s="16">
        <f>IF($E203="M",$J203,0)</f>
        <v>1200</v>
      </c>
      <c r="O203" s="16">
        <f>IF($E203="P",$J203,0)</f>
        <v>0</v>
      </c>
      <c r="P203" s="16">
        <f>IF($E203="S",$J203,0)</f>
        <v>0</v>
      </c>
      <c r="Q203" s="16">
        <f>SUM(M203:P203)</f>
        <v>1200</v>
      </c>
      <c r="R203" s="250" t="s">
        <v>541</v>
      </c>
    </row>
    <row r="204" spans="1:18" x14ac:dyDescent="0.25">
      <c r="A204" s="49" t="s">
        <v>642</v>
      </c>
      <c r="B204" s="5">
        <v>4</v>
      </c>
      <c r="C204" s="8" t="s">
        <v>152</v>
      </c>
      <c r="F204" s="11"/>
      <c r="G204" s="11"/>
      <c r="K204" s="11"/>
      <c r="L204" s="11"/>
    </row>
    <row r="205" spans="1:18" x14ac:dyDescent="0.25">
      <c r="A205" s="52">
        <v>27.01</v>
      </c>
      <c r="B205" s="6">
        <v>5</v>
      </c>
      <c r="C205" s="6" t="s">
        <v>70</v>
      </c>
      <c r="D205" s="6" t="s">
        <v>33</v>
      </c>
      <c r="E205" s="45" t="s">
        <v>508</v>
      </c>
      <c r="F205" s="12">
        <v>1</v>
      </c>
      <c r="G205" s="48">
        <f>VLOOKUP($A205,'Model Inputs'!$A:$C,3,FALSE)</f>
        <v>44.444444444444443</v>
      </c>
      <c r="H205" s="16">
        <f>H202</f>
        <v>300</v>
      </c>
      <c r="I205" s="16">
        <f>VLOOKUP(C205,Resources!B:G,6,FALSE)</f>
        <v>135</v>
      </c>
      <c r="J205" s="16">
        <f>(H205/G205)*I205*F205</f>
        <v>911.25</v>
      </c>
      <c r="K205" s="12">
        <f>IF(E205="M"," ",L205*F205)</f>
        <v>6.75</v>
      </c>
      <c r="L205" s="12">
        <f>IF(E205="M"," ",H205/G205)</f>
        <v>6.75</v>
      </c>
      <c r="M205" s="16">
        <f>IF($E205="L",$J205,0)</f>
        <v>0</v>
      </c>
      <c r="N205" s="16">
        <f>IF($E205="M",$J205,0)</f>
        <v>0</v>
      </c>
      <c r="O205" s="16">
        <f>IF($E205="P",$J205,0)</f>
        <v>911.25</v>
      </c>
      <c r="P205" s="16">
        <f>IF($E205="S",$J205,0)</f>
        <v>0</v>
      </c>
      <c r="Q205" s="16">
        <f>SUM(M205:P205)</f>
        <v>911.25</v>
      </c>
      <c r="R205" s="250">
        <v>62</v>
      </c>
    </row>
    <row r="206" spans="1:18" x14ac:dyDescent="0.25">
      <c r="A206" s="52" t="s">
        <v>642</v>
      </c>
      <c r="B206" s="6">
        <v>6</v>
      </c>
      <c r="C206" s="6" t="s">
        <v>136</v>
      </c>
      <c r="D206" s="6" t="s">
        <v>33</v>
      </c>
      <c r="E206" s="45" t="s">
        <v>508</v>
      </c>
      <c r="F206" s="12">
        <v>1</v>
      </c>
      <c r="G206" s="12">
        <f>G205</f>
        <v>44.444444444444443</v>
      </c>
      <c r="H206" s="16">
        <f>H202</f>
        <v>300</v>
      </c>
      <c r="I206" s="16">
        <f>VLOOKUP(C206,Resources!B:G,6,FALSE)</f>
        <v>100</v>
      </c>
      <c r="J206" s="16">
        <f>(H206/G206)*I206*F206</f>
        <v>675</v>
      </c>
      <c r="K206" s="12">
        <f>IF(E206="M"," ",L206*F206)</f>
        <v>6.75</v>
      </c>
      <c r="L206" s="12">
        <f>IF(E206="M"," ",H206/G206)</f>
        <v>6.75</v>
      </c>
      <c r="M206" s="16">
        <f>IF($E206="L",$J206,0)</f>
        <v>0</v>
      </c>
      <c r="N206" s="16">
        <f>IF($E206="M",$J206,0)</f>
        <v>0</v>
      </c>
      <c r="O206" s="16">
        <f>IF($E206="P",$J206,0)</f>
        <v>675</v>
      </c>
      <c r="P206" s="16">
        <f>IF($E206="S",$J206,0)</f>
        <v>0</v>
      </c>
      <c r="Q206" s="16">
        <f>SUM(M206:P206)</f>
        <v>675</v>
      </c>
      <c r="R206" s="250">
        <v>62</v>
      </c>
    </row>
    <row r="207" spans="1:18" x14ac:dyDescent="0.25">
      <c r="A207" s="52" t="s">
        <v>642</v>
      </c>
      <c r="B207" s="6">
        <v>7</v>
      </c>
      <c r="C207" s="6" t="s">
        <v>145</v>
      </c>
      <c r="D207" s="6" t="s">
        <v>33</v>
      </c>
      <c r="E207" s="45" t="s">
        <v>508</v>
      </c>
      <c r="F207" s="12">
        <v>1</v>
      </c>
      <c r="G207" s="12">
        <f>G205</f>
        <v>44.444444444444443</v>
      </c>
      <c r="H207" s="16">
        <f>H202</f>
        <v>300</v>
      </c>
      <c r="I207" s="16">
        <f>VLOOKUP(C207,Resources!B:G,6,FALSE)</f>
        <v>55</v>
      </c>
      <c r="J207" s="16">
        <f>(H207/G207)*I207*F207</f>
        <v>371.25</v>
      </c>
      <c r="K207" s="12">
        <f>IF(E207="M"," ",L207*F207)</f>
        <v>6.75</v>
      </c>
      <c r="L207" s="12">
        <f>IF(E207="M"," ",H207/G207)</f>
        <v>6.75</v>
      </c>
      <c r="M207" s="16">
        <f>IF($E207="L",$J207,0)</f>
        <v>0</v>
      </c>
      <c r="N207" s="16">
        <f>IF($E207="M",$J207,0)</f>
        <v>0</v>
      </c>
      <c r="O207" s="16">
        <f>IF($E207="P",$J207,0)</f>
        <v>371.25</v>
      </c>
      <c r="P207" s="16">
        <f>IF($E207="S",$J207,0)</f>
        <v>0</v>
      </c>
      <c r="Q207" s="16">
        <f>SUM(M207:P207)</f>
        <v>371.25</v>
      </c>
      <c r="R207" s="250">
        <v>62</v>
      </c>
    </row>
    <row r="208" spans="1:18" x14ac:dyDescent="0.25">
      <c r="A208" s="52" t="s">
        <v>642</v>
      </c>
      <c r="B208" s="6">
        <v>8</v>
      </c>
      <c r="C208" s="6" t="s">
        <v>153</v>
      </c>
      <c r="D208" s="6" t="s">
        <v>33</v>
      </c>
      <c r="E208" s="45" t="s">
        <v>508</v>
      </c>
      <c r="F208" s="12">
        <v>1</v>
      </c>
      <c r="G208" s="12">
        <f>G205</f>
        <v>44.444444444444443</v>
      </c>
      <c r="H208" s="16">
        <f>H202</f>
        <v>300</v>
      </c>
      <c r="I208" s="16">
        <f>VLOOKUP(C208,Resources!B:G,6,FALSE)</f>
        <v>55</v>
      </c>
      <c r="J208" s="16">
        <f>(H208/G208)*I208*F208</f>
        <v>371.25</v>
      </c>
      <c r="K208" s="12">
        <f>IF(E208="M"," ",L208*F208)</f>
        <v>6.75</v>
      </c>
      <c r="L208" s="12">
        <f>IF(E208="M"," ",H208/G208)</f>
        <v>6.75</v>
      </c>
      <c r="M208" s="16">
        <f>IF($E208="L",$J208,0)</f>
        <v>0</v>
      </c>
      <c r="N208" s="16">
        <f>IF($E208="M",$J208,0)</f>
        <v>0</v>
      </c>
      <c r="O208" s="16">
        <f>IF($E208="P",$J208,0)</f>
        <v>371.25</v>
      </c>
      <c r="P208" s="16">
        <f>IF($E208="S",$J208,0)</f>
        <v>0</v>
      </c>
      <c r="Q208" s="16">
        <f>SUM(M208:P208)</f>
        <v>371.25</v>
      </c>
      <c r="R208" s="250">
        <v>62</v>
      </c>
    </row>
    <row r="209" spans="1:18" x14ac:dyDescent="0.25">
      <c r="A209" s="52" t="s">
        <v>642</v>
      </c>
      <c r="B209" s="6">
        <v>9</v>
      </c>
      <c r="C209" s="6" t="s">
        <v>8</v>
      </c>
      <c r="D209" s="6" t="s">
        <v>33</v>
      </c>
      <c r="E209" s="45" t="s">
        <v>506</v>
      </c>
      <c r="F209" s="12">
        <v>2</v>
      </c>
      <c r="G209" s="12">
        <f>G205</f>
        <v>44.444444444444443</v>
      </c>
      <c r="H209" s="16">
        <f>H202</f>
        <v>300</v>
      </c>
      <c r="I209" s="16">
        <f>VLOOKUP(C209,Resources!B:G,6,FALSE)</f>
        <v>48</v>
      </c>
      <c r="J209" s="16">
        <f>(H209/G209)*I209*F209</f>
        <v>648</v>
      </c>
      <c r="K209" s="12">
        <f>IF(E209="M"," ",L209*F209)</f>
        <v>13.5</v>
      </c>
      <c r="L209" s="12">
        <f>IF(E209="M"," ",H209/G209)</f>
        <v>6.75</v>
      </c>
      <c r="M209" s="16">
        <f>IF($E209="L",$J209,0)</f>
        <v>648</v>
      </c>
      <c r="N209" s="16">
        <f>IF($E209="M",$J209,0)</f>
        <v>0</v>
      </c>
      <c r="O209" s="16">
        <f>IF($E209="P",$J209,0)</f>
        <v>0</v>
      </c>
      <c r="P209" s="16">
        <f>IF($E209="S",$J209,0)</f>
        <v>0</v>
      </c>
      <c r="Q209" s="16">
        <f>SUM(M209:P209)</f>
        <v>648</v>
      </c>
      <c r="R209" s="250">
        <v>62</v>
      </c>
    </row>
    <row r="210" spans="1:18" x14ac:dyDescent="0.25">
      <c r="A210" s="49" t="s">
        <v>642</v>
      </c>
      <c r="B210" s="5">
        <v>10</v>
      </c>
      <c r="C210" s="8" t="s">
        <v>154</v>
      </c>
      <c r="F210" s="11"/>
      <c r="G210" s="11"/>
      <c r="K210" s="11"/>
      <c r="L210" s="11"/>
    </row>
    <row r="211" spans="1:18" x14ac:dyDescent="0.25">
      <c r="A211" s="52">
        <v>27.02</v>
      </c>
      <c r="B211" s="6">
        <v>11</v>
      </c>
      <c r="C211" s="6" t="s">
        <v>70</v>
      </c>
      <c r="D211" s="6" t="s">
        <v>33</v>
      </c>
      <c r="E211" s="45" t="s">
        <v>508</v>
      </c>
      <c r="F211" s="12">
        <v>1</v>
      </c>
      <c r="G211" s="48">
        <f>VLOOKUP($A211,'Model Inputs'!$A:$C,3,FALSE)</f>
        <v>150</v>
      </c>
      <c r="H211" s="16">
        <f>H200/0.15</f>
        <v>833.33333333333337</v>
      </c>
      <c r="I211" s="16">
        <f>VLOOKUP(C211,Resources!B:G,6,FALSE)</f>
        <v>135</v>
      </c>
      <c r="J211" s="16">
        <f>(H211/G211)*I211*F211</f>
        <v>750.00000000000011</v>
      </c>
      <c r="K211" s="12">
        <f>IF(E211="M"," ",L211*F211)</f>
        <v>5.5555555555555562</v>
      </c>
      <c r="L211" s="12">
        <f>IF(E211="M"," ",H211/G211)</f>
        <v>5.5555555555555562</v>
      </c>
      <c r="M211" s="16">
        <f>IF($E211="L",$J211,0)</f>
        <v>0</v>
      </c>
      <c r="N211" s="16">
        <f>IF($E211="M",$J211,0)</f>
        <v>0</v>
      </c>
      <c r="O211" s="16">
        <f>IF($E211="P",$J211,0)</f>
        <v>750.00000000000011</v>
      </c>
      <c r="P211" s="16">
        <f>IF($E211="S",$J211,0)</f>
        <v>0</v>
      </c>
      <c r="Q211" s="16">
        <f>SUM(M211:P211)</f>
        <v>750.00000000000011</v>
      </c>
      <c r="R211" s="250">
        <v>63</v>
      </c>
    </row>
    <row r="212" spans="1:18" x14ac:dyDescent="0.25">
      <c r="A212" s="52" t="s">
        <v>642</v>
      </c>
      <c r="B212" s="6">
        <v>12</v>
      </c>
      <c r="C212" s="6" t="s">
        <v>136</v>
      </c>
      <c r="D212" s="6" t="s">
        <v>33</v>
      </c>
      <c r="E212" s="45" t="s">
        <v>508</v>
      </c>
      <c r="F212" s="12">
        <v>1</v>
      </c>
      <c r="G212" s="12">
        <f>G211</f>
        <v>150</v>
      </c>
      <c r="H212" s="16">
        <f>H211</f>
        <v>833.33333333333337</v>
      </c>
      <c r="I212" s="16">
        <f>VLOOKUP(C212,Resources!B:G,6,FALSE)</f>
        <v>100</v>
      </c>
      <c r="J212" s="16">
        <f>(H212/G212)*I212*F212</f>
        <v>555.55555555555566</v>
      </c>
      <c r="K212" s="12">
        <f>IF(E212="M"," ",L212*F212)</f>
        <v>5.5555555555555562</v>
      </c>
      <c r="L212" s="12">
        <f>IF(E212="M"," ",H212/G212)</f>
        <v>5.5555555555555562</v>
      </c>
      <c r="M212" s="16">
        <f>IF($E212="L",$J212,0)</f>
        <v>0</v>
      </c>
      <c r="N212" s="16">
        <f>IF($E212="M",$J212,0)</f>
        <v>0</v>
      </c>
      <c r="O212" s="16">
        <f>IF($E212="P",$J212,0)</f>
        <v>555.55555555555566</v>
      </c>
      <c r="P212" s="16">
        <f>IF($E212="S",$J212,0)</f>
        <v>0</v>
      </c>
      <c r="Q212" s="16">
        <f>SUM(M212:P212)</f>
        <v>555.55555555555566</v>
      </c>
      <c r="R212" s="250">
        <v>63</v>
      </c>
    </row>
    <row r="213" spans="1:18" x14ac:dyDescent="0.25">
      <c r="A213" s="52" t="s">
        <v>642</v>
      </c>
      <c r="B213" s="6">
        <v>13</v>
      </c>
      <c r="C213" s="6" t="s">
        <v>153</v>
      </c>
      <c r="D213" s="6" t="s">
        <v>33</v>
      </c>
      <c r="E213" s="45" t="s">
        <v>508</v>
      </c>
      <c r="F213" s="12">
        <v>1</v>
      </c>
      <c r="G213" s="12">
        <f>G211</f>
        <v>150</v>
      </c>
      <c r="H213" s="16">
        <f>H211</f>
        <v>833.33333333333337</v>
      </c>
      <c r="I213" s="16">
        <f>VLOOKUP(C213,Resources!B:G,6,FALSE)</f>
        <v>55</v>
      </c>
      <c r="J213" s="16">
        <f>(H213/G213)*I213*F213</f>
        <v>305.5555555555556</v>
      </c>
      <c r="K213" s="12">
        <f>IF(E213="M"," ",L213*F213)</f>
        <v>5.5555555555555562</v>
      </c>
      <c r="L213" s="12">
        <f>IF(E213="M"," ",H213/G213)</f>
        <v>5.5555555555555562</v>
      </c>
      <c r="M213" s="16">
        <f>IF($E213="L",$J213,0)</f>
        <v>0</v>
      </c>
      <c r="N213" s="16">
        <f>IF($E213="M",$J213,0)</f>
        <v>0</v>
      </c>
      <c r="O213" s="16">
        <f>IF($E213="P",$J213,0)</f>
        <v>305.5555555555556</v>
      </c>
      <c r="P213" s="16">
        <f>IF($E213="S",$J213,0)</f>
        <v>0</v>
      </c>
      <c r="Q213" s="16">
        <f>SUM(M213:P213)</f>
        <v>305.5555555555556</v>
      </c>
      <c r="R213" s="250">
        <v>63</v>
      </c>
    </row>
    <row r="214" spans="1:18" x14ac:dyDescent="0.25">
      <c r="A214" s="52" t="s">
        <v>642</v>
      </c>
      <c r="B214" s="6">
        <v>14</v>
      </c>
      <c r="C214" s="6" t="s">
        <v>8</v>
      </c>
      <c r="D214" s="6" t="s">
        <v>33</v>
      </c>
      <c r="E214" s="45" t="s">
        <v>506</v>
      </c>
      <c r="F214" s="12">
        <v>2</v>
      </c>
      <c r="G214" s="12">
        <f>G209</f>
        <v>44.444444444444443</v>
      </c>
      <c r="H214" s="16">
        <f>H211</f>
        <v>833.33333333333337</v>
      </c>
      <c r="I214" s="16">
        <f>VLOOKUP(C214,Resources!B:G,6,FALSE)</f>
        <v>48</v>
      </c>
      <c r="J214" s="16">
        <f>(H214/G214)*I214*F214</f>
        <v>1800</v>
      </c>
      <c r="K214" s="12">
        <f>IF(E214="M"," ",L214*F214)</f>
        <v>37.5</v>
      </c>
      <c r="L214" s="12">
        <f>IF(E214="M"," ",H214/G214)</f>
        <v>18.75</v>
      </c>
      <c r="M214" s="16">
        <f>IF($E214="L",$J214,0)</f>
        <v>1800</v>
      </c>
      <c r="N214" s="16">
        <f>IF($E214="M",$J214,0)</f>
        <v>0</v>
      </c>
      <c r="O214" s="16">
        <f>IF($E214="P",$J214,0)</f>
        <v>0</v>
      </c>
      <c r="P214" s="16">
        <f>IF($E214="S",$J214,0)</f>
        <v>0</v>
      </c>
      <c r="Q214" s="16">
        <f>SUM(M214:P214)</f>
        <v>1800</v>
      </c>
      <c r="R214" s="250">
        <v>63</v>
      </c>
    </row>
    <row r="215" spans="1:18" x14ac:dyDescent="0.25">
      <c r="A215" s="49" t="s">
        <v>642</v>
      </c>
      <c r="F215" s="11"/>
      <c r="G215" s="11"/>
      <c r="K215" s="11"/>
      <c r="L215" s="11"/>
    </row>
    <row r="216" spans="1:18" ht="45" x14ac:dyDescent="0.25">
      <c r="A216" s="51">
        <v>28</v>
      </c>
      <c r="B216" s="3" t="s">
        <v>155</v>
      </c>
      <c r="C216" s="3" t="s">
        <v>566</v>
      </c>
      <c r="D216" s="4" t="s">
        <v>59</v>
      </c>
      <c r="E216" s="44"/>
      <c r="F216" s="10"/>
      <c r="G216" s="10"/>
      <c r="H216" s="48">
        <f>VLOOKUP($A216,'Model Inputs'!$A:$C,3,FALSE)</f>
        <v>190</v>
      </c>
      <c r="I216" s="15"/>
      <c r="J216" s="15">
        <f>SUBTOTAL(9,J218:J230)</f>
        <v>23360.783678425018</v>
      </c>
      <c r="K216" s="10"/>
      <c r="L216" s="15">
        <f>ROUNDUP(SUM(MAX(L221:L225),MAX(L227:L230))/Workhrs,0)</f>
        <v>2</v>
      </c>
      <c r="M216" s="15">
        <f>SUBTOTAL(9,M218:M230)</f>
        <v>1700.2639673455556</v>
      </c>
      <c r="N216" s="15">
        <f>SUBTOTAL(9,N218:N230)</f>
        <v>15960</v>
      </c>
      <c r="O216" s="15">
        <f>SUBTOTAL(9,O218:O230)</f>
        <v>5700.5197110794643</v>
      </c>
      <c r="P216" s="15">
        <f>SUBTOTAL(9,P218:P230)</f>
        <v>0</v>
      </c>
      <c r="Q216" s="15">
        <f>SUBTOTAL(9,Q218:Q230)</f>
        <v>23360.783678425018</v>
      </c>
      <c r="R216" s="249"/>
    </row>
    <row r="217" spans="1:18" x14ac:dyDescent="0.25">
      <c r="A217" s="49" t="s">
        <v>642</v>
      </c>
      <c r="B217" s="5">
        <v>1</v>
      </c>
      <c r="C217" s="8" t="s">
        <v>27</v>
      </c>
      <c r="F217" s="11"/>
      <c r="G217" s="11"/>
      <c r="K217" s="11"/>
      <c r="L217" s="11"/>
    </row>
    <row r="218" spans="1:18" x14ac:dyDescent="0.25">
      <c r="A218" s="52" t="s">
        <v>642</v>
      </c>
      <c r="B218" s="6">
        <v>2</v>
      </c>
      <c r="C218" s="6" t="s">
        <v>150</v>
      </c>
      <c r="D218" s="6" t="s">
        <v>30</v>
      </c>
      <c r="E218" s="45" t="s">
        <v>507</v>
      </c>
      <c r="F218" s="12">
        <v>1</v>
      </c>
      <c r="G218" s="12">
        <v>1</v>
      </c>
      <c r="H218" s="16">
        <f>H216*2.4</f>
        <v>456</v>
      </c>
      <c r="I218" s="16">
        <f>VLOOKUP(C218,Resources!B:G,6,FALSE)</f>
        <v>31</v>
      </c>
      <c r="J218" s="16">
        <f>(H218/G218)*I218*F218</f>
        <v>14136</v>
      </c>
      <c r="K218" s="12" t="str">
        <f>IF(E218="M"," ",L218*F218)</f>
        <v xml:space="preserve"> </v>
      </c>
      <c r="L218" s="12" t="str">
        <f>IF(E218="M"," ",H218/G218)</f>
        <v xml:space="preserve"> </v>
      </c>
      <c r="M218" s="16">
        <f>IF($E218="L",$J218,0)</f>
        <v>0</v>
      </c>
      <c r="N218" s="16">
        <f>IF($E218="M",$J218,0)</f>
        <v>14136</v>
      </c>
      <c r="O218" s="16">
        <f>IF($E218="P",$J218,0)</f>
        <v>0</v>
      </c>
      <c r="P218" s="16">
        <f>IF($E218="S",$J218,0)</f>
        <v>0</v>
      </c>
      <c r="Q218" s="16">
        <f>SUM(M218:P218)</f>
        <v>14136</v>
      </c>
      <c r="R218" s="250" t="s">
        <v>542</v>
      </c>
    </row>
    <row r="219" spans="1:18" x14ac:dyDescent="0.25">
      <c r="A219" s="52" t="s">
        <v>642</v>
      </c>
      <c r="B219" s="6">
        <v>3</v>
      </c>
      <c r="C219" s="6" t="s">
        <v>151</v>
      </c>
      <c r="D219" s="6" t="s">
        <v>30</v>
      </c>
      <c r="E219" s="45" t="s">
        <v>507</v>
      </c>
      <c r="F219" s="12">
        <v>1</v>
      </c>
      <c r="G219" s="12">
        <v>1</v>
      </c>
      <c r="H219" s="16">
        <f>H218</f>
        <v>456</v>
      </c>
      <c r="I219" s="16">
        <f>VLOOKUP(C219,Resources!B:G,6,FALSE)</f>
        <v>4</v>
      </c>
      <c r="J219" s="16">
        <f>(H219/G219)*I219*F219</f>
        <v>1824</v>
      </c>
      <c r="K219" s="12" t="str">
        <f>IF(E219="M"," ",L219*F219)</f>
        <v xml:space="preserve"> </v>
      </c>
      <c r="L219" s="12" t="str">
        <f>IF(E219="M"," ",H219/G219)</f>
        <v xml:space="preserve"> </v>
      </c>
      <c r="M219" s="16">
        <f>IF($E219="L",$J219,0)</f>
        <v>0</v>
      </c>
      <c r="N219" s="16">
        <f>IF($E219="M",$J219,0)</f>
        <v>1824</v>
      </c>
      <c r="O219" s="16">
        <f>IF($E219="P",$J219,0)</f>
        <v>0</v>
      </c>
      <c r="P219" s="16">
        <f>IF($E219="S",$J219,0)</f>
        <v>0</v>
      </c>
      <c r="Q219" s="16">
        <f>SUM(M219:P219)</f>
        <v>1824</v>
      </c>
      <c r="R219" s="250" t="s">
        <v>542</v>
      </c>
    </row>
    <row r="220" spans="1:18" x14ac:dyDescent="0.25">
      <c r="A220" s="49" t="s">
        <v>642</v>
      </c>
      <c r="B220" s="5">
        <v>4</v>
      </c>
      <c r="C220" s="8" t="s">
        <v>152</v>
      </c>
      <c r="F220" s="11"/>
      <c r="G220" s="11"/>
      <c r="K220" s="11"/>
      <c r="L220" s="11"/>
    </row>
    <row r="221" spans="1:18" x14ac:dyDescent="0.25">
      <c r="A221" s="52">
        <v>28.01</v>
      </c>
      <c r="B221" s="6">
        <v>5</v>
      </c>
      <c r="C221" s="6" t="s">
        <v>70</v>
      </c>
      <c r="D221" s="6" t="s">
        <v>33</v>
      </c>
      <c r="E221" s="45" t="s">
        <v>508</v>
      </c>
      <c r="F221" s="12">
        <v>1</v>
      </c>
      <c r="G221" s="48">
        <f>VLOOKUP($A221,'Model Inputs'!$A:$C,3,FALSE)</f>
        <v>44.444000000000003</v>
      </c>
      <c r="H221" s="16">
        <f>H218</f>
        <v>456</v>
      </c>
      <c r="I221" s="16">
        <f>VLOOKUP(C221,Resources!B:G,6,FALSE)</f>
        <v>135</v>
      </c>
      <c r="J221" s="16">
        <f>(H221/G221)*I221*F221</f>
        <v>1385.1138511385113</v>
      </c>
      <c r="K221" s="12">
        <f>IF(E221="M"," ",L221*F221)</f>
        <v>10.260102601026009</v>
      </c>
      <c r="L221" s="12">
        <f>IF(E221="M"," ",H221/G221)</f>
        <v>10.260102601026009</v>
      </c>
      <c r="M221" s="16">
        <f>IF($E221="L",$J221,0)</f>
        <v>0</v>
      </c>
      <c r="N221" s="16">
        <f>IF($E221="M",$J221,0)</f>
        <v>0</v>
      </c>
      <c r="O221" s="16">
        <f>IF($E221="P",$J221,0)</f>
        <v>1385.1138511385113</v>
      </c>
      <c r="P221" s="16">
        <f>IF($E221="S",$J221,0)</f>
        <v>0</v>
      </c>
      <c r="Q221" s="16">
        <f>SUM(M221:P221)</f>
        <v>1385.1138511385113</v>
      </c>
      <c r="R221" s="250">
        <v>62</v>
      </c>
    </row>
    <row r="222" spans="1:18" x14ac:dyDescent="0.25">
      <c r="A222" s="52" t="s">
        <v>642</v>
      </c>
      <c r="B222" s="6">
        <v>6</v>
      </c>
      <c r="C222" s="6" t="s">
        <v>136</v>
      </c>
      <c r="D222" s="6" t="s">
        <v>33</v>
      </c>
      <c r="E222" s="45" t="s">
        <v>508</v>
      </c>
      <c r="F222" s="12">
        <v>1</v>
      </c>
      <c r="G222" s="12">
        <f>G221</f>
        <v>44.444000000000003</v>
      </c>
      <c r="H222" s="16">
        <f>H218</f>
        <v>456</v>
      </c>
      <c r="I222" s="16">
        <f>VLOOKUP(C222,Resources!B:G,6,FALSE)</f>
        <v>100</v>
      </c>
      <c r="J222" s="16">
        <f>(H222/G222)*I222*F222</f>
        <v>1026.010260102601</v>
      </c>
      <c r="K222" s="12">
        <f>IF(E222="M"," ",L222*F222)</f>
        <v>10.260102601026009</v>
      </c>
      <c r="L222" s="12">
        <f>IF(E222="M"," ",H222/G222)</f>
        <v>10.260102601026009</v>
      </c>
      <c r="M222" s="16">
        <f>IF($E222="L",$J222,0)</f>
        <v>0</v>
      </c>
      <c r="N222" s="16">
        <f>IF($E222="M",$J222,0)</f>
        <v>0</v>
      </c>
      <c r="O222" s="16">
        <f>IF($E222="P",$J222,0)</f>
        <v>1026.010260102601</v>
      </c>
      <c r="P222" s="16">
        <f>IF($E222="S",$J222,0)</f>
        <v>0</v>
      </c>
      <c r="Q222" s="16">
        <f>SUM(M222:P222)</f>
        <v>1026.010260102601</v>
      </c>
      <c r="R222" s="250">
        <v>62</v>
      </c>
    </row>
    <row r="223" spans="1:18" x14ac:dyDescent="0.25">
      <c r="A223" s="52" t="s">
        <v>642</v>
      </c>
      <c r="B223" s="6">
        <v>7</v>
      </c>
      <c r="C223" s="6" t="s">
        <v>145</v>
      </c>
      <c r="D223" s="6" t="s">
        <v>33</v>
      </c>
      <c r="E223" s="45" t="s">
        <v>508</v>
      </c>
      <c r="F223" s="12">
        <v>1</v>
      </c>
      <c r="G223" s="12">
        <f>G221</f>
        <v>44.444000000000003</v>
      </c>
      <c r="H223" s="16">
        <f>H218</f>
        <v>456</v>
      </c>
      <c r="I223" s="16">
        <f>VLOOKUP(C223,Resources!B:G,6,FALSE)</f>
        <v>55</v>
      </c>
      <c r="J223" s="16">
        <f>(H223/G223)*I223*F223</f>
        <v>564.30564305643054</v>
      </c>
      <c r="K223" s="12">
        <f>IF(E223="M"," ",L223*F223)</f>
        <v>10.260102601026009</v>
      </c>
      <c r="L223" s="12">
        <f>IF(E223="M"," ",H223/G223)</f>
        <v>10.260102601026009</v>
      </c>
      <c r="M223" s="16">
        <f>IF($E223="L",$J223,0)</f>
        <v>0</v>
      </c>
      <c r="N223" s="16">
        <f>IF($E223="M",$J223,0)</f>
        <v>0</v>
      </c>
      <c r="O223" s="16">
        <f>IF($E223="P",$J223,0)</f>
        <v>564.30564305643054</v>
      </c>
      <c r="P223" s="16">
        <f>IF($E223="S",$J223,0)</f>
        <v>0</v>
      </c>
      <c r="Q223" s="16">
        <f>SUM(M223:P223)</f>
        <v>564.30564305643054</v>
      </c>
      <c r="R223" s="250">
        <v>62</v>
      </c>
    </row>
    <row r="224" spans="1:18" x14ac:dyDescent="0.25">
      <c r="A224" s="52" t="s">
        <v>642</v>
      </c>
      <c r="B224" s="6">
        <v>8</v>
      </c>
      <c r="C224" s="6" t="s">
        <v>153</v>
      </c>
      <c r="D224" s="6" t="s">
        <v>33</v>
      </c>
      <c r="E224" s="45" t="s">
        <v>508</v>
      </c>
      <c r="F224" s="12">
        <v>1</v>
      </c>
      <c r="G224" s="12">
        <f>G221</f>
        <v>44.444000000000003</v>
      </c>
      <c r="H224" s="16">
        <f>H218</f>
        <v>456</v>
      </c>
      <c r="I224" s="16">
        <f>VLOOKUP(C224,Resources!B:G,6,FALSE)</f>
        <v>55</v>
      </c>
      <c r="J224" s="16">
        <f>(H224/G224)*I224*F224</f>
        <v>564.30564305643054</v>
      </c>
      <c r="K224" s="12">
        <f>IF(E224="M"," ",L224*F224)</f>
        <v>10.260102601026009</v>
      </c>
      <c r="L224" s="12">
        <f>IF(E224="M"," ",H224/G224)</f>
        <v>10.260102601026009</v>
      </c>
      <c r="M224" s="16">
        <f>IF($E224="L",$J224,0)</f>
        <v>0</v>
      </c>
      <c r="N224" s="16">
        <f>IF($E224="M",$J224,0)</f>
        <v>0</v>
      </c>
      <c r="O224" s="16">
        <f>IF($E224="P",$J224,0)</f>
        <v>564.30564305643054</v>
      </c>
      <c r="P224" s="16">
        <f>IF($E224="S",$J224,0)</f>
        <v>0</v>
      </c>
      <c r="Q224" s="16">
        <f>SUM(M224:P224)</f>
        <v>564.30564305643054</v>
      </c>
      <c r="R224" s="250">
        <v>62</v>
      </c>
    </row>
    <row r="225" spans="1:18" x14ac:dyDescent="0.25">
      <c r="A225" s="52" t="s">
        <v>642</v>
      </c>
      <c r="B225" s="6">
        <v>9</v>
      </c>
      <c r="C225" s="6" t="s">
        <v>8</v>
      </c>
      <c r="D225" s="6" t="s">
        <v>33</v>
      </c>
      <c r="E225" s="45" t="s">
        <v>506</v>
      </c>
      <c r="F225" s="12">
        <v>2</v>
      </c>
      <c r="G225" s="12">
        <f>G221</f>
        <v>44.444000000000003</v>
      </c>
      <c r="H225" s="16">
        <f>H218</f>
        <v>456</v>
      </c>
      <c r="I225" s="16">
        <f>VLOOKUP(C225,Resources!B:G,6,FALSE)</f>
        <v>48</v>
      </c>
      <c r="J225" s="16">
        <f>(H225/G225)*I225*F225</f>
        <v>984.96984969849689</v>
      </c>
      <c r="K225" s="12">
        <f>IF(E225="M"," ",L225*F225)</f>
        <v>20.520205202052018</v>
      </c>
      <c r="L225" s="12">
        <f>IF(E225="M"," ",H225/G225)</f>
        <v>10.260102601026009</v>
      </c>
      <c r="M225" s="16">
        <f>IF($E225="L",$J225,0)</f>
        <v>984.96984969849689</v>
      </c>
      <c r="N225" s="16">
        <f>IF($E225="M",$J225,0)</f>
        <v>0</v>
      </c>
      <c r="O225" s="16">
        <f>IF($E225="P",$J225,0)</f>
        <v>0</v>
      </c>
      <c r="P225" s="16">
        <f>IF($E225="S",$J225,0)</f>
        <v>0</v>
      </c>
      <c r="Q225" s="16">
        <f>SUM(M225:P225)</f>
        <v>984.96984969849689</v>
      </c>
      <c r="R225" s="250">
        <v>62</v>
      </c>
    </row>
    <row r="226" spans="1:18" x14ac:dyDescent="0.25">
      <c r="A226" s="49" t="s">
        <v>642</v>
      </c>
      <c r="B226" s="5">
        <v>10</v>
      </c>
      <c r="C226" s="8" t="s">
        <v>154</v>
      </c>
      <c r="F226" s="11"/>
      <c r="G226" s="11"/>
      <c r="K226" s="11"/>
      <c r="L226" s="11"/>
    </row>
    <row r="227" spans="1:18" x14ac:dyDescent="0.25">
      <c r="A227" s="52">
        <v>28.02</v>
      </c>
      <c r="B227" s="6">
        <v>11</v>
      </c>
      <c r="C227" s="6" t="s">
        <v>70</v>
      </c>
      <c r="D227" s="6" t="s">
        <v>33</v>
      </c>
      <c r="E227" s="45" t="s">
        <v>508</v>
      </c>
      <c r="F227" s="12">
        <v>1</v>
      </c>
      <c r="G227" s="48">
        <f>VLOOKUP($A227,'Model Inputs'!$A:$C,3,FALSE)</f>
        <v>170</v>
      </c>
      <c r="H227" s="16">
        <f>H216/0.15</f>
        <v>1266.6666666666667</v>
      </c>
      <c r="I227" s="16">
        <f>VLOOKUP(C227,Resources!B:G,6,FALSE)</f>
        <v>135</v>
      </c>
      <c r="J227" s="16">
        <f>(H227/G227)*I227*F227</f>
        <v>1005.8823529411765</v>
      </c>
      <c r="K227" s="12">
        <f>IF(E227="M"," ",L227*F227)</f>
        <v>7.4509803921568629</v>
      </c>
      <c r="L227" s="12">
        <f>IF(E227="M"," ",H227/G227)</f>
        <v>7.4509803921568629</v>
      </c>
      <c r="M227" s="16">
        <f>IF($E227="L",$J227,0)</f>
        <v>0</v>
      </c>
      <c r="N227" s="16">
        <f>IF($E227="M",$J227,0)</f>
        <v>0</v>
      </c>
      <c r="O227" s="16">
        <f>IF($E227="P",$J227,0)</f>
        <v>1005.8823529411765</v>
      </c>
      <c r="P227" s="16">
        <f>IF($E227="S",$J227,0)</f>
        <v>0</v>
      </c>
      <c r="Q227" s="16">
        <f>SUM(M227:P227)</f>
        <v>1005.8823529411765</v>
      </c>
      <c r="R227" s="250">
        <v>63</v>
      </c>
    </row>
    <row r="228" spans="1:18" x14ac:dyDescent="0.25">
      <c r="A228" s="52" t="s">
        <v>642</v>
      </c>
      <c r="B228" s="6">
        <v>12</v>
      </c>
      <c r="C228" s="6" t="s">
        <v>136</v>
      </c>
      <c r="D228" s="6" t="s">
        <v>33</v>
      </c>
      <c r="E228" s="45" t="s">
        <v>508</v>
      </c>
      <c r="F228" s="12">
        <v>1</v>
      </c>
      <c r="G228" s="12">
        <f>G227</f>
        <v>170</v>
      </c>
      <c r="H228" s="16">
        <f>H227</f>
        <v>1266.6666666666667</v>
      </c>
      <c r="I228" s="16">
        <f>VLOOKUP(C228,Resources!B:G,6,FALSE)</f>
        <v>100</v>
      </c>
      <c r="J228" s="16">
        <f>(H228/G228)*I228*F228</f>
        <v>745.0980392156863</v>
      </c>
      <c r="K228" s="12">
        <f>IF(E228="M"," ",L228*F228)</f>
        <v>7.4509803921568629</v>
      </c>
      <c r="L228" s="12">
        <f>IF(E228="M"," ",H228/G228)</f>
        <v>7.4509803921568629</v>
      </c>
      <c r="M228" s="16">
        <f>IF($E228="L",$J228,0)</f>
        <v>0</v>
      </c>
      <c r="N228" s="16">
        <f>IF($E228="M",$J228,0)</f>
        <v>0</v>
      </c>
      <c r="O228" s="16">
        <f>IF($E228="P",$J228,0)</f>
        <v>745.0980392156863</v>
      </c>
      <c r="P228" s="16">
        <f>IF($E228="S",$J228,0)</f>
        <v>0</v>
      </c>
      <c r="Q228" s="16">
        <f>SUM(M228:P228)</f>
        <v>745.0980392156863</v>
      </c>
      <c r="R228" s="250">
        <v>63</v>
      </c>
    </row>
    <row r="229" spans="1:18" x14ac:dyDescent="0.25">
      <c r="A229" s="52" t="s">
        <v>642</v>
      </c>
      <c r="B229" s="6">
        <v>13</v>
      </c>
      <c r="C229" s="6" t="s">
        <v>153</v>
      </c>
      <c r="D229" s="6" t="s">
        <v>33</v>
      </c>
      <c r="E229" s="45" t="s">
        <v>508</v>
      </c>
      <c r="F229" s="12">
        <v>1</v>
      </c>
      <c r="G229" s="12">
        <f>G227</f>
        <v>170</v>
      </c>
      <c r="H229" s="16">
        <f>H227</f>
        <v>1266.6666666666667</v>
      </c>
      <c r="I229" s="16">
        <f>VLOOKUP(C229,Resources!B:G,6,FALSE)</f>
        <v>55</v>
      </c>
      <c r="J229" s="16">
        <f>(H229/G229)*I229*F229</f>
        <v>409.80392156862746</v>
      </c>
      <c r="K229" s="12">
        <f>IF(E229="M"," ",L229*F229)</f>
        <v>7.4509803921568629</v>
      </c>
      <c r="L229" s="12">
        <f>IF(E229="M"," ",H229/G229)</f>
        <v>7.4509803921568629</v>
      </c>
      <c r="M229" s="16">
        <f>IF($E229="L",$J229,0)</f>
        <v>0</v>
      </c>
      <c r="N229" s="16">
        <f>IF($E229="M",$J229,0)</f>
        <v>0</v>
      </c>
      <c r="O229" s="16">
        <f>IF($E229="P",$J229,0)</f>
        <v>409.80392156862746</v>
      </c>
      <c r="P229" s="16">
        <f>IF($E229="S",$J229,0)</f>
        <v>0</v>
      </c>
      <c r="Q229" s="16">
        <f>SUM(M229:P229)</f>
        <v>409.80392156862746</v>
      </c>
      <c r="R229" s="250">
        <v>63</v>
      </c>
    </row>
    <row r="230" spans="1:18" x14ac:dyDescent="0.25">
      <c r="A230" s="52" t="s">
        <v>642</v>
      </c>
      <c r="B230" s="6">
        <v>14</v>
      </c>
      <c r="C230" s="6" t="s">
        <v>8</v>
      </c>
      <c r="D230" s="6" t="s">
        <v>33</v>
      </c>
      <c r="E230" s="45" t="s">
        <v>506</v>
      </c>
      <c r="F230" s="12">
        <v>2</v>
      </c>
      <c r="G230" s="12">
        <f>G227</f>
        <v>170</v>
      </c>
      <c r="H230" s="16">
        <f>H227</f>
        <v>1266.6666666666667</v>
      </c>
      <c r="I230" s="16">
        <f>VLOOKUP(C230,Resources!B:G,6,FALSE)</f>
        <v>48</v>
      </c>
      <c r="J230" s="16">
        <f>(H230/G230)*I230*F230</f>
        <v>715.29411764705878</v>
      </c>
      <c r="K230" s="12">
        <f>IF(E230="M"," ",L230*F230)</f>
        <v>14.901960784313726</v>
      </c>
      <c r="L230" s="12">
        <f>IF(E230="M"," ",H230/G230)</f>
        <v>7.4509803921568629</v>
      </c>
      <c r="M230" s="16">
        <f>IF($E230="L",$J230,0)</f>
        <v>715.29411764705878</v>
      </c>
      <c r="N230" s="16">
        <f>IF($E230="M",$J230,0)</f>
        <v>0</v>
      </c>
      <c r="O230" s="16">
        <f>IF($E230="P",$J230,0)</f>
        <v>0</v>
      </c>
      <c r="P230" s="16">
        <f>IF($E230="S",$J230,0)</f>
        <v>0</v>
      </c>
      <c r="Q230" s="16">
        <f>SUM(M230:P230)</f>
        <v>715.29411764705878</v>
      </c>
      <c r="R230" s="250">
        <v>63</v>
      </c>
    </row>
    <row r="231" spans="1:18" x14ac:dyDescent="0.25">
      <c r="A231" s="49" t="s">
        <v>642</v>
      </c>
      <c r="F231" s="11"/>
      <c r="G231" s="11"/>
      <c r="K231" s="11"/>
      <c r="L231" s="11"/>
    </row>
    <row r="232" spans="1:18" ht="45" x14ac:dyDescent="0.25">
      <c r="A232" s="51">
        <v>29</v>
      </c>
      <c r="B232" s="3" t="s">
        <v>157</v>
      </c>
      <c r="C232" s="3" t="s">
        <v>567</v>
      </c>
      <c r="D232" s="4" t="s">
        <v>59</v>
      </c>
      <c r="E232" s="44"/>
      <c r="F232" s="10"/>
      <c r="G232" s="10"/>
      <c r="H232" s="48">
        <f>VLOOKUP($A232,'Model Inputs'!$A:$C,3,FALSE)</f>
        <v>36</v>
      </c>
      <c r="I232" s="15"/>
      <c r="J232" s="15">
        <f>SUBTOTAL(9,J234:J246)</f>
        <v>6019.8834308343085</v>
      </c>
      <c r="K232" s="10"/>
      <c r="L232" s="15">
        <f>ROUNDUP(SUM(MAX(L237:L241),MAX(L243:L246))/Workhrs,0)</f>
        <v>1</v>
      </c>
      <c r="M232" s="15">
        <f>SUBTOTAL(9,M234:M246)</f>
        <v>709.63448834488338</v>
      </c>
      <c r="N232" s="15">
        <f>SUBTOTAL(9,N234:N246)</f>
        <v>3023.9999999999995</v>
      </c>
      <c r="O232" s="15">
        <f>SUBTOTAL(9,O234:O246)</f>
        <v>2286.2489424894247</v>
      </c>
      <c r="P232" s="15">
        <f>SUBTOTAL(9,P234:P246)</f>
        <v>0</v>
      </c>
      <c r="Q232" s="15">
        <f>SUBTOTAL(9,Q234:Q246)</f>
        <v>6019.8834308343085</v>
      </c>
      <c r="R232" s="249"/>
    </row>
    <row r="233" spans="1:18" x14ac:dyDescent="0.25">
      <c r="A233" s="49" t="s">
        <v>642</v>
      </c>
      <c r="B233" s="5">
        <v>1</v>
      </c>
      <c r="C233" s="8" t="s">
        <v>27</v>
      </c>
      <c r="F233" s="11"/>
      <c r="G233" s="11"/>
      <c r="K233" s="11"/>
      <c r="L233" s="11"/>
    </row>
    <row r="234" spans="1:18" x14ac:dyDescent="0.25">
      <c r="A234" s="52" t="s">
        <v>642</v>
      </c>
      <c r="B234" s="6">
        <v>2</v>
      </c>
      <c r="C234" s="6" t="s">
        <v>150</v>
      </c>
      <c r="D234" s="6" t="s">
        <v>30</v>
      </c>
      <c r="E234" s="45" t="s">
        <v>507</v>
      </c>
      <c r="F234" s="12">
        <v>1</v>
      </c>
      <c r="G234" s="12">
        <v>1</v>
      </c>
      <c r="H234" s="16">
        <f>H232*2.4</f>
        <v>86.399999999999991</v>
      </c>
      <c r="I234" s="16">
        <f>VLOOKUP(C234,Resources!B:G,6,FALSE)</f>
        <v>31</v>
      </c>
      <c r="J234" s="16">
        <f>(H234/G234)*I234*F234</f>
        <v>2678.3999999999996</v>
      </c>
      <c r="K234" s="12" t="str">
        <f>IF(E234="M"," ",L234*F234)</f>
        <v xml:space="preserve"> </v>
      </c>
      <c r="L234" s="12" t="str">
        <f>IF(E234="M"," ",H234/G234)</f>
        <v xml:space="preserve"> </v>
      </c>
      <c r="M234" s="16">
        <f>IF($E234="L",$J234,0)</f>
        <v>0</v>
      </c>
      <c r="N234" s="16">
        <f>IF($E234="M",$J234,0)</f>
        <v>2678.3999999999996</v>
      </c>
      <c r="O234" s="16">
        <f>IF($E234="P",$J234,0)</f>
        <v>0</v>
      </c>
      <c r="P234" s="16">
        <f>IF($E234="S",$J234,0)</f>
        <v>0</v>
      </c>
      <c r="Q234" s="16">
        <f>SUM(M234:P234)</f>
        <v>2678.3999999999996</v>
      </c>
      <c r="R234" s="250" t="s">
        <v>542</v>
      </c>
    </row>
    <row r="235" spans="1:18" x14ac:dyDescent="0.25">
      <c r="A235" s="52" t="s">
        <v>642</v>
      </c>
      <c r="B235" s="6">
        <v>3</v>
      </c>
      <c r="C235" s="6" t="s">
        <v>151</v>
      </c>
      <c r="D235" s="6" t="s">
        <v>30</v>
      </c>
      <c r="E235" s="45" t="s">
        <v>507</v>
      </c>
      <c r="F235" s="12">
        <v>1</v>
      </c>
      <c r="G235" s="12">
        <v>1</v>
      </c>
      <c r="H235" s="16">
        <f>H234</f>
        <v>86.399999999999991</v>
      </c>
      <c r="I235" s="16">
        <f>VLOOKUP(C235,Resources!B:G,6,FALSE)</f>
        <v>4</v>
      </c>
      <c r="J235" s="16">
        <f>(H235/G235)*I235*F235</f>
        <v>345.59999999999997</v>
      </c>
      <c r="K235" s="12" t="str">
        <f>IF(E235="M"," ",L235*F235)</f>
        <v xml:space="preserve"> </v>
      </c>
      <c r="L235" s="12" t="str">
        <f>IF(E235="M"," ",H235/G235)</f>
        <v xml:space="preserve"> </v>
      </c>
      <c r="M235" s="16">
        <f>IF($E235="L",$J235,0)</f>
        <v>0</v>
      </c>
      <c r="N235" s="16">
        <f>IF($E235="M",$J235,0)</f>
        <v>345.59999999999997</v>
      </c>
      <c r="O235" s="16">
        <f>IF($E235="P",$J235,0)</f>
        <v>0</v>
      </c>
      <c r="P235" s="16">
        <f>IF($E235="S",$J235,0)</f>
        <v>0</v>
      </c>
      <c r="Q235" s="16">
        <f>SUM(M235:P235)</f>
        <v>345.59999999999997</v>
      </c>
      <c r="R235" s="250" t="s">
        <v>542</v>
      </c>
    </row>
    <row r="236" spans="1:18" x14ac:dyDescent="0.25">
      <c r="A236" s="49" t="s">
        <v>642</v>
      </c>
      <c r="B236" s="5">
        <v>4</v>
      </c>
      <c r="C236" s="8" t="s">
        <v>152</v>
      </c>
      <c r="F236" s="11"/>
      <c r="G236" s="11"/>
      <c r="K236" s="11"/>
      <c r="L236" s="11"/>
    </row>
    <row r="237" spans="1:18" x14ac:dyDescent="0.25">
      <c r="A237" s="52">
        <v>29.01</v>
      </c>
      <c r="B237" s="6">
        <v>5</v>
      </c>
      <c r="C237" s="6" t="s">
        <v>70</v>
      </c>
      <c r="D237" s="6" t="s">
        <v>33</v>
      </c>
      <c r="E237" s="45" t="s">
        <v>508</v>
      </c>
      <c r="F237" s="12">
        <v>1</v>
      </c>
      <c r="G237" s="48">
        <f>VLOOKUP($A237,'Model Inputs'!$A:$C,3,FALSE)</f>
        <v>33.332999999999998</v>
      </c>
      <c r="H237" s="16">
        <f>H234</f>
        <v>86.399999999999991</v>
      </c>
      <c r="I237" s="16">
        <f>VLOOKUP(C237,Resources!B:G,6,FALSE)</f>
        <v>135</v>
      </c>
      <c r="J237" s="16">
        <f>(H237/G237)*I237*F237</f>
        <v>349.92349923499233</v>
      </c>
      <c r="K237" s="12">
        <f>IF(E237="M"," ",L237*F237)</f>
        <v>2.5920259202592026</v>
      </c>
      <c r="L237" s="12">
        <f>IF(E237="M"," ",H237/G237)</f>
        <v>2.5920259202592026</v>
      </c>
      <c r="M237" s="16">
        <f>IF($E237="L",$J237,0)</f>
        <v>0</v>
      </c>
      <c r="N237" s="16">
        <f>IF($E237="M",$J237,0)</f>
        <v>0</v>
      </c>
      <c r="O237" s="16">
        <f>IF($E237="P",$J237,0)</f>
        <v>349.92349923499233</v>
      </c>
      <c r="P237" s="16">
        <f>IF($E237="S",$J237,0)</f>
        <v>0</v>
      </c>
      <c r="Q237" s="16">
        <f>SUM(M237:P237)</f>
        <v>349.92349923499233</v>
      </c>
      <c r="R237" s="250">
        <v>62</v>
      </c>
    </row>
    <row r="238" spans="1:18" x14ac:dyDescent="0.25">
      <c r="A238" s="52" t="s">
        <v>642</v>
      </c>
      <c r="B238" s="6">
        <v>6</v>
      </c>
      <c r="C238" s="6" t="s">
        <v>136</v>
      </c>
      <c r="D238" s="6" t="s">
        <v>33</v>
      </c>
      <c r="E238" s="45" t="s">
        <v>508</v>
      </c>
      <c r="F238" s="12">
        <v>1</v>
      </c>
      <c r="G238" s="12">
        <f>G237</f>
        <v>33.332999999999998</v>
      </c>
      <c r="H238" s="16">
        <f>H234</f>
        <v>86.399999999999991</v>
      </c>
      <c r="I238" s="16">
        <f>VLOOKUP(C238,Resources!B:G,6,FALSE)</f>
        <v>100</v>
      </c>
      <c r="J238" s="16">
        <f>(H238/G238)*I238*F238</f>
        <v>259.20259202592024</v>
      </c>
      <c r="K238" s="12">
        <f>IF(E238="M"," ",L238*F238)</f>
        <v>2.5920259202592026</v>
      </c>
      <c r="L238" s="12">
        <f>IF(E238="M"," ",H238/G238)</f>
        <v>2.5920259202592026</v>
      </c>
      <c r="M238" s="16">
        <f>IF($E238="L",$J238,0)</f>
        <v>0</v>
      </c>
      <c r="N238" s="16">
        <f>IF($E238="M",$J238,0)</f>
        <v>0</v>
      </c>
      <c r="O238" s="16">
        <f>IF($E238="P",$J238,0)</f>
        <v>259.20259202592024</v>
      </c>
      <c r="P238" s="16">
        <f>IF($E238="S",$J238,0)</f>
        <v>0</v>
      </c>
      <c r="Q238" s="16">
        <f>SUM(M238:P238)</f>
        <v>259.20259202592024</v>
      </c>
      <c r="R238" s="250">
        <v>62</v>
      </c>
    </row>
    <row r="239" spans="1:18" x14ac:dyDescent="0.25">
      <c r="A239" s="52" t="s">
        <v>642</v>
      </c>
      <c r="B239" s="6">
        <v>7</v>
      </c>
      <c r="C239" s="6" t="s">
        <v>145</v>
      </c>
      <c r="D239" s="6" t="s">
        <v>33</v>
      </c>
      <c r="E239" s="45" t="s">
        <v>508</v>
      </c>
      <c r="F239" s="12">
        <v>1</v>
      </c>
      <c r="G239" s="12">
        <f>G237</f>
        <v>33.332999999999998</v>
      </c>
      <c r="H239" s="16">
        <f>H234</f>
        <v>86.399999999999991</v>
      </c>
      <c r="I239" s="16">
        <f>VLOOKUP(C239,Resources!B:G,6,FALSE)</f>
        <v>55</v>
      </c>
      <c r="J239" s="16">
        <f>(H239/G239)*I239*F239</f>
        <v>142.56142561425614</v>
      </c>
      <c r="K239" s="12">
        <f>IF(E239="M"," ",L239*F239)</f>
        <v>2.5920259202592026</v>
      </c>
      <c r="L239" s="12">
        <f>IF(E239="M"," ",H239/G239)</f>
        <v>2.5920259202592026</v>
      </c>
      <c r="M239" s="16">
        <f>IF($E239="L",$J239,0)</f>
        <v>0</v>
      </c>
      <c r="N239" s="16">
        <f>IF($E239="M",$J239,0)</f>
        <v>0</v>
      </c>
      <c r="O239" s="16">
        <f>IF($E239="P",$J239,0)</f>
        <v>142.56142561425614</v>
      </c>
      <c r="P239" s="16">
        <f>IF($E239="S",$J239,0)</f>
        <v>0</v>
      </c>
      <c r="Q239" s="16">
        <f>SUM(M239:P239)</f>
        <v>142.56142561425614</v>
      </c>
      <c r="R239" s="250">
        <v>62</v>
      </c>
    </row>
    <row r="240" spans="1:18" x14ac:dyDescent="0.25">
      <c r="A240" s="52" t="s">
        <v>642</v>
      </c>
      <c r="B240" s="6">
        <v>8</v>
      </c>
      <c r="C240" s="6" t="s">
        <v>153</v>
      </c>
      <c r="D240" s="6" t="s">
        <v>33</v>
      </c>
      <c r="E240" s="45" t="s">
        <v>508</v>
      </c>
      <c r="F240" s="12">
        <v>1</v>
      </c>
      <c r="G240" s="12">
        <f>G237</f>
        <v>33.332999999999998</v>
      </c>
      <c r="H240" s="16">
        <f>H234</f>
        <v>86.399999999999991</v>
      </c>
      <c r="I240" s="16">
        <f>VLOOKUP(C240,Resources!B:G,6,FALSE)</f>
        <v>55</v>
      </c>
      <c r="J240" s="16">
        <f>(H240/G240)*I240*F240</f>
        <v>142.56142561425614</v>
      </c>
      <c r="K240" s="12">
        <f>IF(E240="M"," ",L240*F240)</f>
        <v>2.5920259202592026</v>
      </c>
      <c r="L240" s="12">
        <f>IF(E240="M"," ",H240/G240)</f>
        <v>2.5920259202592026</v>
      </c>
      <c r="M240" s="16">
        <f>IF($E240="L",$J240,0)</f>
        <v>0</v>
      </c>
      <c r="N240" s="16">
        <f>IF($E240="M",$J240,0)</f>
        <v>0</v>
      </c>
      <c r="O240" s="16">
        <f>IF($E240="P",$J240,0)</f>
        <v>142.56142561425614</v>
      </c>
      <c r="P240" s="16">
        <f>IF($E240="S",$J240,0)</f>
        <v>0</v>
      </c>
      <c r="Q240" s="16">
        <f>SUM(M240:P240)</f>
        <v>142.56142561425614</v>
      </c>
      <c r="R240" s="250">
        <v>62</v>
      </c>
    </row>
    <row r="241" spans="1:18" x14ac:dyDescent="0.25">
      <c r="A241" s="52" t="s">
        <v>642</v>
      </c>
      <c r="B241" s="6">
        <v>9</v>
      </c>
      <c r="C241" s="6" t="s">
        <v>8</v>
      </c>
      <c r="D241" s="6" t="s">
        <v>33</v>
      </c>
      <c r="E241" s="45" t="s">
        <v>506</v>
      </c>
      <c r="F241" s="12">
        <v>2</v>
      </c>
      <c r="G241" s="12">
        <f>G237</f>
        <v>33.332999999999998</v>
      </c>
      <c r="H241" s="16">
        <f>H234</f>
        <v>86.399999999999991</v>
      </c>
      <c r="I241" s="16">
        <f>VLOOKUP(C241,Resources!B:G,6,FALSE)</f>
        <v>48</v>
      </c>
      <c r="J241" s="16">
        <f>(H241/G241)*I241*F241</f>
        <v>248.83448834488345</v>
      </c>
      <c r="K241" s="12">
        <f>IF(E241="M"," ",L241*F241)</f>
        <v>5.1840518405184053</v>
      </c>
      <c r="L241" s="12">
        <f>IF(E241="M"," ",H241/G241)</f>
        <v>2.5920259202592026</v>
      </c>
      <c r="M241" s="16">
        <f>IF($E241="L",$J241,0)</f>
        <v>248.83448834488345</v>
      </c>
      <c r="N241" s="16">
        <f>IF($E241="M",$J241,0)</f>
        <v>0</v>
      </c>
      <c r="O241" s="16">
        <f>IF($E241="P",$J241,0)</f>
        <v>0</v>
      </c>
      <c r="P241" s="16">
        <f>IF($E241="S",$J241,0)</f>
        <v>0</v>
      </c>
      <c r="Q241" s="16">
        <f>SUM(M241:P241)</f>
        <v>248.83448834488345</v>
      </c>
      <c r="R241" s="250">
        <v>62</v>
      </c>
    </row>
    <row r="242" spans="1:18" x14ac:dyDescent="0.25">
      <c r="A242" s="49" t="s">
        <v>642</v>
      </c>
      <c r="B242" s="5">
        <v>10</v>
      </c>
      <c r="C242" s="8" t="s">
        <v>154</v>
      </c>
      <c r="F242" s="11"/>
      <c r="G242" s="11"/>
      <c r="K242" s="11"/>
      <c r="L242" s="11"/>
    </row>
    <row r="243" spans="1:18" x14ac:dyDescent="0.25">
      <c r="A243" s="52">
        <v>29.02</v>
      </c>
      <c r="B243" s="6">
        <v>11</v>
      </c>
      <c r="C243" s="6" t="s">
        <v>70</v>
      </c>
      <c r="D243" s="6" t="s">
        <v>33</v>
      </c>
      <c r="E243" s="45" t="s">
        <v>508</v>
      </c>
      <c r="F243" s="12">
        <v>1</v>
      </c>
      <c r="G243" s="48">
        <f>VLOOKUP($A243,'Model Inputs'!$A:$C,3,FALSE)</f>
        <v>50</v>
      </c>
      <c r="H243" s="16">
        <f>H232/0.15</f>
        <v>240</v>
      </c>
      <c r="I243" s="16">
        <f>VLOOKUP(C243,Resources!B:G,6,FALSE)</f>
        <v>135</v>
      </c>
      <c r="J243" s="16">
        <f>(H243/G243)*I243*F243</f>
        <v>648</v>
      </c>
      <c r="K243" s="12">
        <f>IF(E243="M"," ",L243*F243)</f>
        <v>4.8</v>
      </c>
      <c r="L243" s="12">
        <f>IF(E243="M"," ",H243/G243)</f>
        <v>4.8</v>
      </c>
      <c r="M243" s="16">
        <f>IF($E243="L",$J243,0)</f>
        <v>0</v>
      </c>
      <c r="N243" s="16">
        <f>IF($E243="M",$J243,0)</f>
        <v>0</v>
      </c>
      <c r="O243" s="16">
        <f>IF($E243="P",$J243,0)</f>
        <v>648</v>
      </c>
      <c r="P243" s="16">
        <f>IF($E243="S",$J243,0)</f>
        <v>0</v>
      </c>
      <c r="Q243" s="16">
        <f>SUM(M243:P243)</f>
        <v>648</v>
      </c>
      <c r="R243" s="250">
        <v>63</v>
      </c>
    </row>
    <row r="244" spans="1:18" x14ac:dyDescent="0.25">
      <c r="A244" s="52" t="s">
        <v>642</v>
      </c>
      <c r="B244" s="6">
        <v>12</v>
      </c>
      <c r="C244" s="6" t="s">
        <v>136</v>
      </c>
      <c r="D244" s="6" t="s">
        <v>33</v>
      </c>
      <c r="E244" s="45" t="s">
        <v>508</v>
      </c>
      <c r="F244" s="12">
        <v>1</v>
      </c>
      <c r="G244" s="12">
        <f>G243</f>
        <v>50</v>
      </c>
      <c r="H244" s="16">
        <f>H243</f>
        <v>240</v>
      </c>
      <c r="I244" s="16">
        <f>VLOOKUP(C244,Resources!B:G,6,FALSE)</f>
        <v>100</v>
      </c>
      <c r="J244" s="16">
        <f>(H244/G244)*I244*F244</f>
        <v>480</v>
      </c>
      <c r="K244" s="12">
        <f>IF(E244="M"," ",L244*F244)</f>
        <v>4.8</v>
      </c>
      <c r="L244" s="12">
        <f>IF(E244="M"," ",H244/G244)</f>
        <v>4.8</v>
      </c>
      <c r="M244" s="16">
        <f>IF($E244="L",$J244,0)</f>
        <v>0</v>
      </c>
      <c r="N244" s="16">
        <f>IF($E244="M",$J244,0)</f>
        <v>0</v>
      </c>
      <c r="O244" s="16">
        <f>IF($E244="P",$J244,0)</f>
        <v>480</v>
      </c>
      <c r="P244" s="16">
        <f>IF($E244="S",$J244,0)</f>
        <v>0</v>
      </c>
      <c r="Q244" s="16">
        <f>SUM(M244:P244)</f>
        <v>480</v>
      </c>
      <c r="R244" s="250">
        <v>63</v>
      </c>
    </row>
    <row r="245" spans="1:18" x14ac:dyDescent="0.25">
      <c r="A245" s="52" t="s">
        <v>642</v>
      </c>
      <c r="B245" s="6">
        <v>13</v>
      </c>
      <c r="C245" s="6" t="s">
        <v>153</v>
      </c>
      <c r="D245" s="6" t="s">
        <v>33</v>
      </c>
      <c r="E245" s="45" t="s">
        <v>508</v>
      </c>
      <c r="F245" s="12">
        <v>1</v>
      </c>
      <c r="G245" s="12">
        <f>G243</f>
        <v>50</v>
      </c>
      <c r="H245" s="16">
        <f>H243</f>
        <v>240</v>
      </c>
      <c r="I245" s="16">
        <f>VLOOKUP(C245,Resources!B:G,6,FALSE)</f>
        <v>55</v>
      </c>
      <c r="J245" s="16">
        <f>(H245/G245)*I245*F245</f>
        <v>264</v>
      </c>
      <c r="K245" s="12">
        <f>IF(E245="M"," ",L245*F245)</f>
        <v>4.8</v>
      </c>
      <c r="L245" s="12">
        <f>IF(E245="M"," ",H245/G245)</f>
        <v>4.8</v>
      </c>
      <c r="M245" s="16">
        <f>IF($E245="L",$J245,0)</f>
        <v>0</v>
      </c>
      <c r="N245" s="16">
        <f>IF($E245="M",$J245,0)</f>
        <v>0</v>
      </c>
      <c r="O245" s="16">
        <f>IF($E245="P",$J245,0)</f>
        <v>264</v>
      </c>
      <c r="P245" s="16">
        <f>IF($E245="S",$J245,0)</f>
        <v>0</v>
      </c>
      <c r="Q245" s="16">
        <f>SUM(M245:P245)</f>
        <v>264</v>
      </c>
      <c r="R245" s="250">
        <v>63</v>
      </c>
    </row>
    <row r="246" spans="1:18" x14ac:dyDescent="0.25">
      <c r="A246" s="52" t="s">
        <v>642</v>
      </c>
      <c r="B246" s="6">
        <v>14</v>
      </c>
      <c r="C246" s="6" t="s">
        <v>8</v>
      </c>
      <c r="D246" s="6" t="s">
        <v>33</v>
      </c>
      <c r="E246" s="45" t="s">
        <v>506</v>
      </c>
      <c r="F246" s="12">
        <v>2</v>
      </c>
      <c r="G246" s="12">
        <f>G243</f>
        <v>50</v>
      </c>
      <c r="H246" s="16">
        <f>H243</f>
        <v>240</v>
      </c>
      <c r="I246" s="16">
        <f>VLOOKUP(C246,Resources!B:G,6,FALSE)</f>
        <v>48</v>
      </c>
      <c r="J246" s="16">
        <f>(H246/G246)*I246*F246</f>
        <v>460.79999999999995</v>
      </c>
      <c r="K246" s="12">
        <f>IF(E246="M"," ",L246*F246)</f>
        <v>9.6</v>
      </c>
      <c r="L246" s="12">
        <f>IF(E246="M"," ",H246/G246)</f>
        <v>4.8</v>
      </c>
      <c r="M246" s="16">
        <f>IF($E246="L",$J246,0)</f>
        <v>460.79999999999995</v>
      </c>
      <c r="N246" s="16">
        <f>IF($E246="M",$J246,0)</f>
        <v>0</v>
      </c>
      <c r="O246" s="16">
        <f>IF($E246="P",$J246,0)</f>
        <v>0</v>
      </c>
      <c r="P246" s="16">
        <f>IF($E246="S",$J246,0)</f>
        <v>0</v>
      </c>
      <c r="Q246" s="16">
        <f>SUM(M246:P246)</f>
        <v>460.79999999999995</v>
      </c>
      <c r="R246" s="250">
        <v>63</v>
      </c>
    </row>
    <row r="247" spans="1:18" x14ac:dyDescent="0.25">
      <c r="A247" s="49" t="s">
        <v>642</v>
      </c>
      <c r="F247" s="11"/>
      <c r="G247" s="11"/>
      <c r="K247" s="11"/>
      <c r="L247" s="11"/>
    </row>
    <row r="248" spans="1:18" ht="30" x14ac:dyDescent="0.25">
      <c r="A248" s="51" t="s">
        <v>642</v>
      </c>
      <c r="B248" s="3" t="s">
        <v>159</v>
      </c>
      <c r="C248" s="3" t="s">
        <v>160</v>
      </c>
      <c r="D248" s="4"/>
      <c r="E248" s="44"/>
      <c r="F248" s="10"/>
      <c r="G248" s="10"/>
      <c r="H248" s="15"/>
      <c r="I248" s="15"/>
      <c r="J248" s="15"/>
      <c r="K248" s="10"/>
      <c r="L248" s="10"/>
      <c r="M248" s="15"/>
      <c r="N248" s="15"/>
      <c r="O248" s="15"/>
      <c r="P248" s="15"/>
      <c r="Q248" s="15"/>
      <c r="R248" s="249"/>
    </row>
    <row r="249" spans="1:18" ht="120" x14ac:dyDescent="0.25">
      <c r="A249" s="51">
        <v>30</v>
      </c>
      <c r="B249" s="3" t="s">
        <v>161</v>
      </c>
      <c r="C249" s="3" t="s">
        <v>568</v>
      </c>
      <c r="D249" s="4" t="s">
        <v>94</v>
      </c>
      <c r="E249" s="44"/>
      <c r="F249" s="10"/>
      <c r="G249" s="10"/>
      <c r="H249" s="48">
        <f>VLOOKUP($A249,'Model Inputs'!$A:$C,3,FALSE)</f>
        <v>955</v>
      </c>
      <c r="I249" s="15"/>
      <c r="J249" s="15">
        <f>SUBTOTAL(9,J250)</f>
        <v>17548.125</v>
      </c>
      <c r="K249" s="10"/>
      <c r="L249" s="15">
        <f>ROUNDUP(H250/5000,0)</f>
        <v>1</v>
      </c>
      <c r="M249" s="15">
        <f>SUBTOTAL(9,M250)</f>
        <v>0</v>
      </c>
      <c r="N249" s="15">
        <f>SUBTOTAL(9,N250)</f>
        <v>0</v>
      </c>
      <c r="O249" s="15">
        <f>SUBTOTAL(9,O250)</f>
        <v>0</v>
      </c>
      <c r="P249" s="15">
        <f>SUBTOTAL(9,P250)</f>
        <v>17548.125</v>
      </c>
      <c r="Q249" s="15">
        <f>SUBTOTAL(9,Q250)</f>
        <v>17548.125</v>
      </c>
      <c r="R249" s="249"/>
    </row>
    <row r="250" spans="1:18" x14ac:dyDescent="0.25">
      <c r="A250" s="52" t="s">
        <v>642</v>
      </c>
      <c r="B250" s="6">
        <v>1</v>
      </c>
      <c r="C250" s="6" t="s">
        <v>163</v>
      </c>
      <c r="D250" s="6" t="s">
        <v>97</v>
      </c>
      <c r="E250" s="45" t="s">
        <v>509</v>
      </c>
      <c r="F250" s="12">
        <v>1</v>
      </c>
      <c r="G250" s="12">
        <v>1</v>
      </c>
      <c r="H250" s="16">
        <f>H249*1.05</f>
        <v>1002.75</v>
      </c>
      <c r="I250" s="16">
        <f>VLOOKUP(C250,Resources!B:G,6,FALSE)</f>
        <v>17.5</v>
      </c>
      <c r="J250" s="16">
        <f>(H250/G250)*I250*F250</f>
        <v>17548.125</v>
      </c>
      <c r="K250" s="12">
        <f>IF(E250="M"," ",L250*F250)</f>
        <v>4.5123749999999996</v>
      </c>
      <c r="L250" s="53">
        <f>IF(E250="M"," ",H250/G250)/(2000/9)</f>
        <v>4.5123749999999996</v>
      </c>
      <c r="M250" s="16">
        <f>IF($E250="L",$J250,0)</f>
        <v>0</v>
      </c>
      <c r="N250" s="16">
        <f>IF($E250="M",$J250,0)</f>
        <v>0</v>
      </c>
      <c r="O250" s="16">
        <f>IF($E250="P",$J250,0)</f>
        <v>0</v>
      </c>
      <c r="P250" s="16">
        <f>IF($E250="S",$J250,0)</f>
        <v>17548.125</v>
      </c>
      <c r="Q250" s="16">
        <f>SUM(M250:P250)</f>
        <v>17548.125</v>
      </c>
      <c r="R250" s="250">
        <v>64</v>
      </c>
    </row>
    <row r="251" spans="1:18" x14ac:dyDescent="0.25">
      <c r="A251" s="49" t="s">
        <v>642</v>
      </c>
      <c r="F251" s="11"/>
      <c r="G251" s="11"/>
      <c r="K251" s="11"/>
      <c r="L251" s="11"/>
    </row>
    <row r="252" spans="1:18" ht="30" x14ac:dyDescent="0.25">
      <c r="A252" s="51" t="s">
        <v>642</v>
      </c>
      <c r="B252" s="3" t="s">
        <v>164</v>
      </c>
      <c r="C252" s="3" t="s">
        <v>165</v>
      </c>
      <c r="D252" s="4"/>
      <c r="E252" s="44"/>
      <c r="F252" s="10"/>
      <c r="G252" s="10"/>
      <c r="H252" s="15"/>
      <c r="I252" s="15"/>
      <c r="J252" s="15"/>
      <c r="K252" s="10"/>
      <c r="L252" s="10"/>
      <c r="M252" s="15"/>
      <c r="N252" s="15"/>
      <c r="O252" s="15"/>
      <c r="P252" s="15"/>
      <c r="Q252" s="15"/>
      <c r="R252" s="249"/>
    </row>
    <row r="253" spans="1:18" ht="75" x14ac:dyDescent="0.25">
      <c r="A253" s="51">
        <v>31</v>
      </c>
      <c r="B253" s="3" t="s">
        <v>166</v>
      </c>
      <c r="C253" s="3" t="s">
        <v>569</v>
      </c>
      <c r="D253" s="4" t="s">
        <v>30</v>
      </c>
      <c r="E253" s="44"/>
      <c r="F253" s="10"/>
      <c r="G253" s="10"/>
      <c r="H253" s="48">
        <f>VLOOKUP($A253,'Model Inputs'!$A:$C,3,FALSE)</f>
        <v>80</v>
      </c>
      <c r="I253" s="15"/>
      <c r="J253" s="15">
        <f>SUBTOTAL(9,J254)</f>
        <v>39160</v>
      </c>
      <c r="K253" s="10"/>
      <c r="L253" s="15">
        <f>ROUNDUP(H254/220,0)</f>
        <v>1</v>
      </c>
      <c r="M253" s="15">
        <f>SUBTOTAL(9,M254)</f>
        <v>0</v>
      </c>
      <c r="N253" s="15">
        <f>SUBTOTAL(9,N254)</f>
        <v>0</v>
      </c>
      <c r="O253" s="15">
        <f>SUBTOTAL(9,O254)</f>
        <v>0</v>
      </c>
      <c r="P253" s="15">
        <f>SUBTOTAL(9,P254)</f>
        <v>39160</v>
      </c>
      <c r="Q253" s="15">
        <f>SUBTOTAL(9,Q254)</f>
        <v>39160</v>
      </c>
      <c r="R253" s="249"/>
    </row>
    <row r="254" spans="1:18" x14ac:dyDescent="0.25">
      <c r="A254" s="52" t="s">
        <v>642</v>
      </c>
      <c r="B254" s="6">
        <v>1</v>
      </c>
      <c r="C254" s="6" t="s">
        <v>168</v>
      </c>
      <c r="D254" s="6" t="s">
        <v>30</v>
      </c>
      <c r="E254" s="45" t="s">
        <v>509</v>
      </c>
      <c r="F254" s="12">
        <v>1</v>
      </c>
      <c r="G254" s="12">
        <v>1</v>
      </c>
      <c r="H254" s="16">
        <f>H253*1.1</f>
        <v>88</v>
      </c>
      <c r="I254" s="16">
        <f>VLOOKUP(C254,Resources!B:G,6,FALSE)</f>
        <v>445</v>
      </c>
      <c r="J254" s="16">
        <f>(H254/G254)*I254*F254</f>
        <v>39160</v>
      </c>
      <c r="K254" s="12">
        <f>IF(E254="M"," ",L254*F254)</f>
        <v>3.96</v>
      </c>
      <c r="L254" s="53">
        <f>IF(E254="M"," ",H254/G254)/(200/9)</f>
        <v>3.96</v>
      </c>
      <c r="M254" s="16">
        <f>IF($E254="L",$J254,0)</f>
        <v>0</v>
      </c>
      <c r="N254" s="16">
        <f>IF($E254="M",$J254,0)</f>
        <v>0</v>
      </c>
      <c r="O254" s="16">
        <f>IF($E254="P",$J254,0)</f>
        <v>0</v>
      </c>
      <c r="P254" s="16">
        <f>IF($E254="S",$J254,0)</f>
        <v>39160</v>
      </c>
      <c r="Q254" s="16">
        <f>SUM(M254:P254)</f>
        <v>39160</v>
      </c>
      <c r="R254" s="250">
        <v>65</v>
      </c>
    </row>
    <row r="255" spans="1:18" x14ac:dyDescent="0.25">
      <c r="A255" s="49" t="s">
        <v>642</v>
      </c>
      <c r="F255" s="11"/>
      <c r="G255" s="11"/>
      <c r="K255" s="11"/>
      <c r="L255" s="11"/>
    </row>
    <row r="256" spans="1:18" ht="30" x14ac:dyDescent="0.25">
      <c r="A256" s="51" t="s">
        <v>642</v>
      </c>
      <c r="B256" s="3" t="s">
        <v>169</v>
      </c>
      <c r="C256" s="3" t="s">
        <v>170</v>
      </c>
      <c r="D256" s="4"/>
      <c r="E256" s="44"/>
      <c r="F256" s="10"/>
      <c r="G256" s="10"/>
      <c r="H256" s="15"/>
      <c r="I256" s="15"/>
      <c r="J256" s="15"/>
      <c r="K256" s="10"/>
      <c r="L256" s="10"/>
      <c r="M256" s="15"/>
      <c r="N256" s="15"/>
      <c r="O256" s="15"/>
      <c r="P256" s="15"/>
      <c r="Q256" s="15"/>
      <c r="R256" s="249"/>
    </row>
    <row r="257" spans="1:18" ht="30" x14ac:dyDescent="0.25">
      <c r="A257" s="51" t="s">
        <v>642</v>
      </c>
      <c r="B257" s="3" t="s">
        <v>171</v>
      </c>
      <c r="C257" s="3" t="s">
        <v>172</v>
      </c>
      <c r="D257" s="4"/>
      <c r="E257" s="44"/>
      <c r="F257" s="10"/>
      <c r="G257" s="10"/>
      <c r="H257" s="15"/>
      <c r="I257" s="15"/>
      <c r="J257" s="15"/>
      <c r="K257" s="10"/>
      <c r="L257" s="10"/>
      <c r="M257" s="15"/>
      <c r="N257" s="15"/>
      <c r="O257" s="15"/>
      <c r="P257" s="15"/>
      <c r="Q257" s="15"/>
      <c r="R257" s="249"/>
    </row>
    <row r="258" spans="1:18" ht="45" x14ac:dyDescent="0.25">
      <c r="A258" s="51">
        <v>32</v>
      </c>
      <c r="B258" s="3" t="s">
        <v>173</v>
      </c>
      <c r="C258" s="3" t="s">
        <v>570</v>
      </c>
      <c r="D258" s="4" t="s">
        <v>19</v>
      </c>
      <c r="E258" s="44"/>
      <c r="F258" s="10"/>
      <c r="G258" s="10"/>
      <c r="H258" s="48">
        <f>VLOOKUP($A258,'Model Inputs'!$A:$C,3,FALSE)</f>
        <v>1</v>
      </c>
      <c r="I258" s="15"/>
      <c r="J258" s="15">
        <f>SUBTOTAL(9,J260:J263)</f>
        <v>84579.6</v>
      </c>
      <c r="K258" s="10"/>
      <c r="L258" s="15">
        <f>ROUNDUP(MAX(L260:L263)/Workhrs,0)</f>
        <v>13</v>
      </c>
      <c r="M258" s="15">
        <f>SUBTOTAL(9,M260:M263)</f>
        <v>0</v>
      </c>
      <c r="N258" s="15">
        <f>SUBTOTAL(9,N260:N263)</f>
        <v>9699.6</v>
      </c>
      <c r="O258" s="15">
        <f>SUBTOTAL(9,O260:O263)</f>
        <v>0</v>
      </c>
      <c r="P258" s="15">
        <f>SUBTOTAL(9,P260:P263)</f>
        <v>74880</v>
      </c>
      <c r="Q258" s="15">
        <f>SUBTOTAL(9,Q260:Q263)</f>
        <v>84579.6</v>
      </c>
      <c r="R258" s="249"/>
    </row>
    <row r="259" spans="1:18" x14ac:dyDescent="0.25">
      <c r="A259" s="49" t="s">
        <v>642</v>
      </c>
      <c r="B259" s="5">
        <v>1</v>
      </c>
      <c r="C259" s="8" t="s">
        <v>27</v>
      </c>
      <c r="F259" s="11"/>
      <c r="G259" s="11"/>
      <c r="K259" s="11"/>
      <c r="L259" s="11"/>
    </row>
    <row r="260" spans="1:18" x14ac:dyDescent="0.25">
      <c r="A260" s="52" t="s">
        <v>642</v>
      </c>
      <c r="B260" s="6">
        <v>2</v>
      </c>
      <c r="C260" s="6" t="s">
        <v>175</v>
      </c>
      <c r="D260" s="6" t="s">
        <v>61</v>
      </c>
      <c r="E260" s="45" t="s">
        <v>507</v>
      </c>
      <c r="F260" s="12">
        <v>1</v>
      </c>
      <c r="G260" s="12">
        <v>1</v>
      </c>
      <c r="H260" s="16">
        <f>H258*35.2</f>
        <v>35.200000000000003</v>
      </c>
      <c r="I260" s="16">
        <f>VLOOKUP(C260,Resources!B:G,6,FALSE)</f>
        <v>198</v>
      </c>
      <c r="J260" s="16">
        <f>(H260/G260)*I260*F260</f>
        <v>6969.6</v>
      </c>
      <c r="K260" s="12" t="str">
        <f>IF(E260="M"," ",L260*F260)</f>
        <v xml:space="preserve"> </v>
      </c>
      <c r="L260" s="12" t="str">
        <f>IF(E260="M"," ",H260/G260)</f>
        <v xml:space="preserve"> </v>
      </c>
      <c r="M260" s="16">
        <f>IF($E260="L",$J260,0)</f>
        <v>0</v>
      </c>
      <c r="N260" s="16">
        <f>IF($E260="M",$J260,0)</f>
        <v>6969.6</v>
      </c>
      <c r="O260" s="16">
        <f>IF($E260="P",$J260,0)</f>
        <v>0</v>
      </c>
      <c r="P260" s="16">
        <f>IF($E260="S",$J260,0)</f>
        <v>0</v>
      </c>
      <c r="Q260" s="16">
        <f>SUM(M260:P260)</f>
        <v>6969.6</v>
      </c>
      <c r="R260" s="250">
        <v>121</v>
      </c>
    </row>
    <row r="261" spans="1:18" x14ac:dyDescent="0.25">
      <c r="A261" s="52" t="s">
        <v>642</v>
      </c>
      <c r="B261" s="6">
        <v>3</v>
      </c>
      <c r="C261" s="6" t="s">
        <v>96</v>
      </c>
      <c r="D261" s="6" t="s">
        <v>97</v>
      </c>
      <c r="E261" s="45" t="s">
        <v>507</v>
      </c>
      <c r="F261" s="12">
        <v>1</v>
      </c>
      <c r="G261" s="12">
        <v>1</v>
      </c>
      <c r="H261" s="16">
        <f>H258*420</f>
        <v>420</v>
      </c>
      <c r="I261" s="16">
        <f>VLOOKUP(C261,Resources!B:G,6,FALSE)</f>
        <v>6.5</v>
      </c>
      <c r="J261" s="16">
        <f>(H261/G261)*I261*F261</f>
        <v>2730</v>
      </c>
      <c r="K261" s="12" t="str">
        <f>IF(E261="M"," ",L261*F261)</f>
        <v xml:space="preserve"> </v>
      </c>
      <c r="L261" s="12" t="str">
        <f>IF(E261="M"," ",H261/G261)</f>
        <v xml:space="preserve"> </v>
      </c>
      <c r="M261" s="16">
        <f>IF($E261="L",$J261,0)</f>
        <v>0</v>
      </c>
      <c r="N261" s="16">
        <f>IF($E261="M",$J261,0)</f>
        <v>2730</v>
      </c>
      <c r="O261" s="16">
        <f>IF($E261="P",$J261,0)</f>
        <v>0</v>
      </c>
      <c r="P261" s="16">
        <f>IF($E261="S",$J261,0)</f>
        <v>0</v>
      </c>
      <c r="Q261" s="16">
        <f>SUM(M261:P261)</f>
        <v>2730</v>
      </c>
      <c r="R261" s="250">
        <v>121</v>
      </c>
    </row>
    <row r="262" spans="1:18" x14ac:dyDescent="0.25">
      <c r="A262" s="49" t="s">
        <v>642</v>
      </c>
      <c r="B262" s="5">
        <v>4</v>
      </c>
      <c r="C262" s="8" t="s">
        <v>176</v>
      </c>
      <c r="F262" s="11"/>
      <c r="G262" s="11"/>
      <c r="K262" s="11"/>
      <c r="L262" s="11"/>
    </row>
    <row r="263" spans="1:18" x14ac:dyDescent="0.25">
      <c r="A263" s="52" t="s">
        <v>642</v>
      </c>
      <c r="B263" s="6">
        <v>5</v>
      </c>
      <c r="C263" s="9" t="s">
        <v>519</v>
      </c>
      <c r="D263" s="6" t="s">
        <v>52</v>
      </c>
      <c r="E263" s="45" t="s">
        <v>509</v>
      </c>
      <c r="F263" s="12">
        <v>13</v>
      </c>
      <c r="G263" s="12">
        <v>1</v>
      </c>
      <c r="H263" s="16">
        <f>H258</f>
        <v>1</v>
      </c>
      <c r="I263" s="16">
        <f>VLOOKUP(C263,Resources!B:G,6,FALSE)</f>
        <v>5760</v>
      </c>
      <c r="J263" s="16">
        <f>(H263/G263)*I263*F263</f>
        <v>74880</v>
      </c>
      <c r="K263" s="12">
        <f>IF(E263="M"," ",L263*F263)</f>
        <v>1521</v>
      </c>
      <c r="L263" s="53">
        <f>IF(E263="M"," ",H263/G263)*F263*9</f>
        <v>117</v>
      </c>
      <c r="M263" s="16">
        <f>IF($E263="L",$J263,0)</f>
        <v>0</v>
      </c>
      <c r="N263" s="16">
        <f>IF($E263="M",$J263,0)</f>
        <v>0</v>
      </c>
      <c r="O263" s="16">
        <f>IF($E263="P",$J263,0)</f>
        <v>0</v>
      </c>
      <c r="P263" s="16">
        <f>IF($E263="S",$J263,0)</f>
        <v>74880</v>
      </c>
      <c r="Q263" s="16">
        <f>SUM(M263:P263)</f>
        <v>74880</v>
      </c>
      <c r="R263" s="250">
        <v>121</v>
      </c>
    </row>
    <row r="264" spans="1:18" x14ac:dyDescent="0.25">
      <c r="A264" s="49" t="s">
        <v>642</v>
      </c>
      <c r="F264" s="11"/>
      <c r="G264" s="11"/>
      <c r="K264" s="11"/>
      <c r="L264" s="11"/>
    </row>
    <row r="265" spans="1:18" ht="30" x14ac:dyDescent="0.25">
      <c r="A265" s="51" t="s">
        <v>642</v>
      </c>
      <c r="B265" s="3" t="s">
        <v>177</v>
      </c>
      <c r="C265" s="3" t="s">
        <v>178</v>
      </c>
      <c r="D265" s="4"/>
      <c r="E265" s="44"/>
      <c r="F265" s="10"/>
      <c r="G265" s="10"/>
      <c r="H265" s="15"/>
      <c r="I265" s="15"/>
      <c r="J265" s="15"/>
      <c r="K265" s="10"/>
      <c r="L265" s="10"/>
      <c r="M265" s="15"/>
      <c r="N265" s="15"/>
      <c r="O265" s="15"/>
      <c r="P265" s="15"/>
      <c r="Q265" s="15"/>
      <c r="R265" s="249"/>
    </row>
    <row r="266" spans="1:18" ht="30" x14ac:dyDescent="0.25">
      <c r="A266" s="51">
        <v>32.5</v>
      </c>
      <c r="B266" s="3" t="s">
        <v>179</v>
      </c>
      <c r="C266" s="3" t="s">
        <v>180</v>
      </c>
      <c r="D266" s="4" t="s">
        <v>17</v>
      </c>
      <c r="E266" s="44"/>
      <c r="F266" s="10"/>
      <c r="G266" s="10"/>
      <c r="H266" s="15">
        <v>1</v>
      </c>
      <c r="I266" s="15"/>
      <c r="J266" s="15">
        <f>SUBTOTAL(9,J268:J285)</f>
        <v>57531</v>
      </c>
      <c r="K266" s="10"/>
      <c r="L266" s="55">
        <v>0</v>
      </c>
      <c r="M266" s="15">
        <f>SUBTOTAL(9,M268:M285)</f>
        <v>28800</v>
      </c>
      <c r="N266" s="15">
        <f>SUBTOTAL(9,N268:N285)</f>
        <v>0</v>
      </c>
      <c r="O266" s="15">
        <f>SUBTOTAL(9,O268:O285)</f>
        <v>0</v>
      </c>
      <c r="P266" s="15">
        <f>SUBTOTAL(9,P268:P285)</f>
        <v>28731</v>
      </c>
      <c r="Q266" s="15">
        <f>SUBTOTAL(9,Q268:Q285)</f>
        <v>57531</v>
      </c>
      <c r="R266" s="249"/>
    </row>
    <row r="267" spans="1:18" x14ac:dyDescent="0.25">
      <c r="A267" s="52" t="s">
        <v>642</v>
      </c>
      <c r="B267" s="6">
        <v>1</v>
      </c>
      <c r="C267" s="6" t="s">
        <v>181</v>
      </c>
      <c r="D267" s="6"/>
      <c r="E267" s="45"/>
      <c r="F267" s="12"/>
      <c r="G267" s="12"/>
      <c r="H267" s="16"/>
      <c r="I267" s="16"/>
      <c r="J267" s="16"/>
      <c r="K267" s="12"/>
      <c r="L267" s="12"/>
      <c r="M267" s="16"/>
      <c r="N267" s="16"/>
      <c r="O267" s="16"/>
      <c r="P267" s="16"/>
      <c r="Q267" s="16"/>
      <c r="R267" s="250"/>
    </row>
    <row r="268" spans="1:18" x14ac:dyDescent="0.25">
      <c r="A268" s="52" t="s">
        <v>642</v>
      </c>
      <c r="B268" s="6">
        <v>2</v>
      </c>
      <c r="C268" s="6" t="s">
        <v>182</v>
      </c>
      <c r="D268" s="6" t="s">
        <v>52</v>
      </c>
      <c r="E268" s="45" t="s">
        <v>509</v>
      </c>
      <c r="F268" s="12">
        <v>1</v>
      </c>
      <c r="G268" s="12">
        <v>1</v>
      </c>
      <c r="H268" s="16">
        <v>4</v>
      </c>
      <c r="I268" s="16">
        <f>VLOOKUP(C268,Resources!B:G,6,FALSE)</f>
        <v>172</v>
      </c>
      <c r="J268" s="16">
        <f t="shared" ref="J268:J285" si="33">(H268/G268)*I268*F268</f>
        <v>688</v>
      </c>
      <c r="K268" s="12">
        <f t="shared" ref="K268:K285" si="34">IF(E268="M"," ",L268*F268)</f>
        <v>4</v>
      </c>
      <c r="L268" s="12">
        <f t="shared" ref="L268:L285" si="35">IF(E268="M"," ",H268/G268)</f>
        <v>4</v>
      </c>
      <c r="M268" s="16">
        <f t="shared" ref="M268:M285" si="36">IF($E268="L",$J268,0)</f>
        <v>0</v>
      </c>
      <c r="N268" s="16">
        <f t="shared" ref="N268:N285" si="37">IF($E268="M",$J268,0)</f>
        <v>0</v>
      </c>
      <c r="O268" s="16">
        <f t="shared" ref="O268:O285" si="38">IF($E268="P",$J268,0)</f>
        <v>0</v>
      </c>
      <c r="P268" s="16">
        <f t="shared" ref="P268:P285" si="39">IF($E268="S",$J268,0)</f>
        <v>688</v>
      </c>
      <c r="Q268" s="16">
        <f t="shared" ref="Q268:Q285" si="40">SUM(M268:P268)</f>
        <v>688</v>
      </c>
      <c r="R268" s="250">
        <v>13</v>
      </c>
    </row>
    <row r="269" spans="1:18" x14ac:dyDescent="0.25">
      <c r="A269" s="52" t="s">
        <v>642</v>
      </c>
      <c r="B269" s="6">
        <v>3</v>
      </c>
      <c r="C269" s="6" t="s">
        <v>182</v>
      </c>
      <c r="D269" s="6" t="s">
        <v>52</v>
      </c>
      <c r="E269" s="45" t="s">
        <v>509</v>
      </c>
      <c r="F269" s="12">
        <v>1</v>
      </c>
      <c r="G269" s="12">
        <v>1</v>
      </c>
      <c r="H269" s="16">
        <v>4</v>
      </c>
      <c r="I269" s="16">
        <f>VLOOKUP(C269,Resources!B:G,6,FALSE)</f>
        <v>172</v>
      </c>
      <c r="J269" s="16">
        <f t="shared" si="33"/>
        <v>688</v>
      </c>
      <c r="K269" s="12">
        <f t="shared" si="34"/>
        <v>4</v>
      </c>
      <c r="L269" s="12">
        <f t="shared" si="35"/>
        <v>4</v>
      </c>
      <c r="M269" s="16">
        <f t="shared" si="36"/>
        <v>0</v>
      </c>
      <c r="N269" s="16">
        <f t="shared" si="37"/>
        <v>0</v>
      </c>
      <c r="O269" s="16">
        <f t="shared" si="38"/>
        <v>0</v>
      </c>
      <c r="P269" s="16">
        <f t="shared" si="39"/>
        <v>688</v>
      </c>
      <c r="Q269" s="16">
        <f t="shared" si="40"/>
        <v>688</v>
      </c>
      <c r="R269" s="250">
        <v>13</v>
      </c>
    </row>
    <row r="270" spans="1:18" x14ac:dyDescent="0.25">
      <c r="A270" s="52" t="s">
        <v>642</v>
      </c>
      <c r="B270" s="6">
        <v>4</v>
      </c>
      <c r="C270" s="6" t="s">
        <v>182</v>
      </c>
      <c r="D270" s="6" t="s">
        <v>52</v>
      </c>
      <c r="E270" s="45" t="s">
        <v>509</v>
      </c>
      <c r="F270" s="12">
        <v>1</v>
      </c>
      <c r="G270" s="12">
        <v>1</v>
      </c>
      <c r="H270" s="16">
        <v>4</v>
      </c>
      <c r="I270" s="16">
        <f>VLOOKUP(C270,Resources!B:G,6,FALSE)</f>
        <v>172</v>
      </c>
      <c r="J270" s="16">
        <f t="shared" si="33"/>
        <v>688</v>
      </c>
      <c r="K270" s="12">
        <f t="shared" si="34"/>
        <v>4</v>
      </c>
      <c r="L270" s="12">
        <f t="shared" si="35"/>
        <v>4</v>
      </c>
      <c r="M270" s="16">
        <f t="shared" si="36"/>
        <v>0</v>
      </c>
      <c r="N270" s="16">
        <f t="shared" si="37"/>
        <v>0</v>
      </c>
      <c r="O270" s="16">
        <f t="shared" si="38"/>
        <v>0</v>
      </c>
      <c r="P270" s="16">
        <f t="shared" si="39"/>
        <v>688</v>
      </c>
      <c r="Q270" s="16">
        <f t="shared" si="40"/>
        <v>688</v>
      </c>
      <c r="R270" s="250">
        <v>13</v>
      </c>
    </row>
    <row r="271" spans="1:18" x14ac:dyDescent="0.25">
      <c r="A271" s="52" t="s">
        <v>642</v>
      </c>
      <c r="B271" s="6">
        <v>5</v>
      </c>
      <c r="C271" s="6" t="s">
        <v>182</v>
      </c>
      <c r="D271" s="6" t="s">
        <v>52</v>
      </c>
      <c r="E271" s="45" t="s">
        <v>509</v>
      </c>
      <c r="F271" s="12">
        <v>1</v>
      </c>
      <c r="G271" s="12">
        <v>1</v>
      </c>
      <c r="H271" s="16">
        <v>8</v>
      </c>
      <c r="I271" s="16">
        <f>VLOOKUP(C271,Resources!B:G,6,FALSE)</f>
        <v>172</v>
      </c>
      <c r="J271" s="16">
        <f t="shared" si="33"/>
        <v>1376</v>
      </c>
      <c r="K271" s="12">
        <f t="shared" si="34"/>
        <v>8</v>
      </c>
      <c r="L271" s="12">
        <f t="shared" si="35"/>
        <v>8</v>
      </c>
      <c r="M271" s="16">
        <f t="shared" si="36"/>
        <v>0</v>
      </c>
      <c r="N271" s="16">
        <f t="shared" si="37"/>
        <v>0</v>
      </c>
      <c r="O271" s="16">
        <f t="shared" si="38"/>
        <v>0</v>
      </c>
      <c r="P271" s="16">
        <f t="shared" si="39"/>
        <v>1376</v>
      </c>
      <c r="Q271" s="16">
        <f t="shared" si="40"/>
        <v>1376</v>
      </c>
      <c r="R271" s="250">
        <v>13</v>
      </c>
    </row>
    <row r="272" spans="1:18" x14ac:dyDescent="0.25">
      <c r="A272" s="52" t="s">
        <v>642</v>
      </c>
      <c r="B272" s="6">
        <v>6</v>
      </c>
      <c r="C272" s="6" t="s">
        <v>182</v>
      </c>
      <c r="D272" s="6" t="s">
        <v>52</v>
      </c>
      <c r="E272" s="45" t="s">
        <v>509</v>
      </c>
      <c r="F272" s="12">
        <v>1</v>
      </c>
      <c r="G272" s="12">
        <v>1</v>
      </c>
      <c r="H272" s="16">
        <v>2</v>
      </c>
      <c r="I272" s="16">
        <f>VLOOKUP(C272,Resources!B:G,6,FALSE)</f>
        <v>172</v>
      </c>
      <c r="J272" s="16">
        <f t="shared" si="33"/>
        <v>344</v>
      </c>
      <c r="K272" s="12">
        <f t="shared" si="34"/>
        <v>2</v>
      </c>
      <c r="L272" s="12">
        <f t="shared" si="35"/>
        <v>2</v>
      </c>
      <c r="M272" s="16">
        <f t="shared" si="36"/>
        <v>0</v>
      </c>
      <c r="N272" s="16">
        <f t="shared" si="37"/>
        <v>0</v>
      </c>
      <c r="O272" s="16">
        <f t="shared" si="38"/>
        <v>0</v>
      </c>
      <c r="P272" s="16">
        <f t="shared" si="39"/>
        <v>344</v>
      </c>
      <c r="Q272" s="16">
        <f t="shared" si="40"/>
        <v>344</v>
      </c>
      <c r="R272" s="250">
        <v>13</v>
      </c>
    </row>
    <row r="273" spans="1:18" x14ac:dyDescent="0.25">
      <c r="A273" s="52" t="s">
        <v>642</v>
      </c>
      <c r="B273" s="6">
        <v>7</v>
      </c>
      <c r="C273" s="6" t="s">
        <v>182</v>
      </c>
      <c r="D273" s="6" t="s">
        <v>52</v>
      </c>
      <c r="E273" s="45" t="s">
        <v>509</v>
      </c>
      <c r="F273" s="12">
        <v>1</v>
      </c>
      <c r="G273" s="12">
        <v>1</v>
      </c>
      <c r="H273" s="16">
        <v>2</v>
      </c>
      <c r="I273" s="16">
        <f>VLOOKUP(C273,Resources!B:G,6,FALSE)</f>
        <v>172</v>
      </c>
      <c r="J273" s="16">
        <f t="shared" si="33"/>
        <v>344</v>
      </c>
      <c r="K273" s="12">
        <f t="shared" si="34"/>
        <v>2</v>
      </c>
      <c r="L273" s="12">
        <f t="shared" si="35"/>
        <v>2</v>
      </c>
      <c r="M273" s="16">
        <f t="shared" si="36"/>
        <v>0</v>
      </c>
      <c r="N273" s="16">
        <f t="shared" si="37"/>
        <v>0</v>
      </c>
      <c r="O273" s="16">
        <f t="shared" si="38"/>
        <v>0</v>
      </c>
      <c r="P273" s="16">
        <f t="shared" si="39"/>
        <v>344</v>
      </c>
      <c r="Q273" s="16">
        <f t="shared" si="40"/>
        <v>344</v>
      </c>
      <c r="R273" s="250">
        <v>13</v>
      </c>
    </row>
    <row r="274" spans="1:18" x14ac:dyDescent="0.25">
      <c r="A274" s="52" t="s">
        <v>642</v>
      </c>
      <c r="B274" s="6">
        <v>8</v>
      </c>
      <c r="C274" s="6" t="s">
        <v>182</v>
      </c>
      <c r="D274" s="6" t="s">
        <v>52</v>
      </c>
      <c r="E274" s="45" t="s">
        <v>509</v>
      </c>
      <c r="F274" s="12">
        <v>1</v>
      </c>
      <c r="G274" s="12">
        <v>1</v>
      </c>
      <c r="H274" s="16">
        <v>12</v>
      </c>
      <c r="I274" s="16">
        <f>VLOOKUP(C274,Resources!B:G,6,FALSE)</f>
        <v>172</v>
      </c>
      <c r="J274" s="16">
        <f t="shared" si="33"/>
        <v>2064</v>
      </c>
      <c r="K274" s="12">
        <f t="shared" si="34"/>
        <v>12</v>
      </c>
      <c r="L274" s="12">
        <f t="shared" si="35"/>
        <v>12</v>
      </c>
      <c r="M274" s="16">
        <f t="shared" si="36"/>
        <v>0</v>
      </c>
      <c r="N274" s="16">
        <f t="shared" si="37"/>
        <v>0</v>
      </c>
      <c r="O274" s="16">
        <f t="shared" si="38"/>
        <v>0</v>
      </c>
      <c r="P274" s="16">
        <f t="shared" si="39"/>
        <v>2064</v>
      </c>
      <c r="Q274" s="16">
        <f t="shared" si="40"/>
        <v>2064</v>
      </c>
      <c r="R274" s="250">
        <v>13</v>
      </c>
    </row>
    <row r="275" spans="1:18" x14ac:dyDescent="0.25">
      <c r="A275" s="52" t="s">
        <v>642</v>
      </c>
      <c r="B275" s="6">
        <v>9</v>
      </c>
      <c r="C275" s="6" t="s">
        <v>182</v>
      </c>
      <c r="D275" s="6" t="s">
        <v>52</v>
      </c>
      <c r="E275" s="45" t="s">
        <v>509</v>
      </c>
      <c r="F275" s="12">
        <v>1</v>
      </c>
      <c r="G275" s="12">
        <v>1</v>
      </c>
      <c r="H275" s="16">
        <v>12</v>
      </c>
      <c r="I275" s="16">
        <f>VLOOKUP(C275,Resources!B:G,6,FALSE)</f>
        <v>172</v>
      </c>
      <c r="J275" s="16">
        <f t="shared" si="33"/>
        <v>2064</v>
      </c>
      <c r="K275" s="12">
        <f t="shared" si="34"/>
        <v>12</v>
      </c>
      <c r="L275" s="12">
        <f t="shared" si="35"/>
        <v>12</v>
      </c>
      <c r="M275" s="16">
        <f t="shared" si="36"/>
        <v>0</v>
      </c>
      <c r="N275" s="16">
        <f t="shared" si="37"/>
        <v>0</v>
      </c>
      <c r="O275" s="16">
        <f t="shared" si="38"/>
        <v>0</v>
      </c>
      <c r="P275" s="16">
        <f t="shared" si="39"/>
        <v>2064</v>
      </c>
      <c r="Q275" s="16">
        <f t="shared" si="40"/>
        <v>2064</v>
      </c>
      <c r="R275" s="250">
        <v>13</v>
      </c>
    </row>
    <row r="276" spans="1:18" x14ac:dyDescent="0.25">
      <c r="A276" s="52" t="s">
        <v>642</v>
      </c>
      <c r="B276" s="6">
        <v>12</v>
      </c>
      <c r="C276" s="6" t="s">
        <v>183</v>
      </c>
      <c r="D276" s="6" t="s">
        <v>52</v>
      </c>
      <c r="E276" s="45" t="s">
        <v>509</v>
      </c>
      <c r="F276" s="12">
        <v>1</v>
      </c>
      <c r="G276" s="12">
        <v>1</v>
      </c>
      <c r="H276" s="16">
        <v>24</v>
      </c>
      <c r="I276" s="16">
        <f>VLOOKUP(C276,Resources!B:G,6,FALSE)</f>
        <v>225</v>
      </c>
      <c r="J276" s="16">
        <f t="shared" si="33"/>
        <v>5400</v>
      </c>
      <c r="K276" s="12">
        <f t="shared" si="34"/>
        <v>24</v>
      </c>
      <c r="L276" s="12">
        <f t="shared" si="35"/>
        <v>24</v>
      </c>
      <c r="M276" s="16">
        <f t="shared" si="36"/>
        <v>0</v>
      </c>
      <c r="N276" s="16">
        <f t="shared" si="37"/>
        <v>0</v>
      </c>
      <c r="O276" s="16">
        <f t="shared" si="38"/>
        <v>0</v>
      </c>
      <c r="P276" s="16">
        <f t="shared" si="39"/>
        <v>5400</v>
      </c>
      <c r="Q276" s="16">
        <f t="shared" si="40"/>
        <v>5400</v>
      </c>
      <c r="R276" s="250">
        <v>13</v>
      </c>
    </row>
    <row r="277" spans="1:18" x14ac:dyDescent="0.25">
      <c r="A277" s="52" t="s">
        <v>642</v>
      </c>
      <c r="B277" s="6">
        <v>13</v>
      </c>
      <c r="C277" s="6" t="s">
        <v>183</v>
      </c>
      <c r="D277" s="6" t="s">
        <v>52</v>
      </c>
      <c r="E277" s="45" t="s">
        <v>509</v>
      </c>
      <c r="F277" s="12">
        <v>1</v>
      </c>
      <c r="G277" s="12">
        <v>1</v>
      </c>
      <c r="H277" s="16">
        <v>24</v>
      </c>
      <c r="I277" s="16">
        <f>VLOOKUP(C277,Resources!B:G,6,FALSE)</f>
        <v>225</v>
      </c>
      <c r="J277" s="16">
        <f t="shared" si="33"/>
        <v>5400</v>
      </c>
      <c r="K277" s="12">
        <f t="shared" si="34"/>
        <v>24</v>
      </c>
      <c r="L277" s="12">
        <f t="shared" si="35"/>
        <v>24</v>
      </c>
      <c r="M277" s="16">
        <f t="shared" si="36"/>
        <v>0</v>
      </c>
      <c r="N277" s="16">
        <f t="shared" si="37"/>
        <v>0</v>
      </c>
      <c r="O277" s="16">
        <f t="shared" si="38"/>
        <v>0</v>
      </c>
      <c r="P277" s="16">
        <f t="shared" si="39"/>
        <v>5400</v>
      </c>
      <c r="Q277" s="16">
        <f t="shared" si="40"/>
        <v>5400</v>
      </c>
      <c r="R277" s="250">
        <v>13</v>
      </c>
    </row>
    <row r="278" spans="1:18" x14ac:dyDescent="0.25">
      <c r="A278" s="52" t="s">
        <v>642</v>
      </c>
      <c r="B278" s="6">
        <v>14</v>
      </c>
      <c r="C278" s="6" t="s">
        <v>183</v>
      </c>
      <c r="D278" s="6" t="s">
        <v>52</v>
      </c>
      <c r="E278" s="45" t="s">
        <v>509</v>
      </c>
      <c r="F278" s="12">
        <v>1</v>
      </c>
      <c r="G278" s="12">
        <v>1</v>
      </c>
      <c r="H278" s="16">
        <v>6</v>
      </c>
      <c r="I278" s="16">
        <f>VLOOKUP(C278,Resources!B:G,6,FALSE)</f>
        <v>225</v>
      </c>
      <c r="J278" s="16">
        <f t="shared" si="33"/>
        <v>1350</v>
      </c>
      <c r="K278" s="12">
        <f t="shared" si="34"/>
        <v>6</v>
      </c>
      <c r="L278" s="12">
        <f t="shared" si="35"/>
        <v>6</v>
      </c>
      <c r="M278" s="16">
        <f t="shared" si="36"/>
        <v>0</v>
      </c>
      <c r="N278" s="16">
        <f t="shared" si="37"/>
        <v>0</v>
      </c>
      <c r="O278" s="16">
        <f t="shared" si="38"/>
        <v>0</v>
      </c>
      <c r="P278" s="16">
        <f t="shared" si="39"/>
        <v>1350</v>
      </c>
      <c r="Q278" s="16">
        <f t="shared" si="40"/>
        <v>1350</v>
      </c>
      <c r="R278" s="250">
        <v>13</v>
      </c>
    </row>
    <row r="279" spans="1:18" x14ac:dyDescent="0.25">
      <c r="A279" s="52" t="s">
        <v>642</v>
      </c>
      <c r="B279" s="6">
        <v>15</v>
      </c>
      <c r="C279" s="6" t="s">
        <v>183</v>
      </c>
      <c r="D279" s="6" t="s">
        <v>52</v>
      </c>
      <c r="E279" s="45" t="s">
        <v>509</v>
      </c>
      <c r="F279" s="12">
        <v>1</v>
      </c>
      <c r="G279" s="12">
        <v>1</v>
      </c>
      <c r="H279" s="16">
        <v>2</v>
      </c>
      <c r="I279" s="16">
        <f>VLOOKUP(C279,Resources!B:G,6,FALSE)</f>
        <v>225</v>
      </c>
      <c r="J279" s="16">
        <f t="shared" si="33"/>
        <v>450</v>
      </c>
      <c r="K279" s="12">
        <f t="shared" si="34"/>
        <v>2</v>
      </c>
      <c r="L279" s="12">
        <f t="shared" si="35"/>
        <v>2</v>
      </c>
      <c r="M279" s="16">
        <f t="shared" si="36"/>
        <v>0</v>
      </c>
      <c r="N279" s="16">
        <f t="shared" si="37"/>
        <v>0</v>
      </c>
      <c r="O279" s="16">
        <f t="shared" si="38"/>
        <v>0</v>
      </c>
      <c r="P279" s="16">
        <f t="shared" si="39"/>
        <v>450</v>
      </c>
      <c r="Q279" s="16">
        <f t="shared" si="40"/>
        <v>450</v>
      </c>
      <c r="R279" s="250">
        <v>13</v>
      </c>
    </row>
    <row r="280" spans="1:18" x14ac:dyDescent="0.25">
      <c r="A280" s="52" t="s">
        <v>642</v>
      </c>
      <c r="B280" s="6">
        <v>16</v>
      </c>
      <c r="C280" s="6" t="s">
        <v>183</v>
      </c>
      <c r="D280" s="6" t="s">
        <v>52</v>
      </c>
      <c r="E280" s="45" t="s">
        <v>509</v>
      </c>
      <c r="F280" s="12">
        <v>1</v>
      </c>
      <c r="G280" s="12">
        <v>1</v>
      </c>
      <c r="H280" s="16">
        <v>6</v>
      </c>
      <c r="I280" s="16">
        <f>VLOOKUP(C280,Resources!B:G,6,FALSE)</f>
        <v>225</v>
      </c>
      <c r="J280" s="16">
        <f t="shared" si="33"/>
        <v>1350</v>
      </c>
      <c r="K280" s="12">
        <f t="shared" si="34"/>
        <v>6</v>
      </c>
      <c r="L280" s="12">
        <f t="shared" si="35"/>
        <v>6</v>
      </c>
      <c r="M280" s="16">
        <f t="shared" si="36"/>
        <v>0</v>
      </c>
      <c r="N280" s="16">
        <f t="shared" si="37"/>
        <v>0</v>
      </c>
      <c r="O280" s="16">
        <f t="shared" si="38"/>
        <v>0</v>
      </c>
      <c r="P280" s="16">
        <f t="shared" si="39"/>
        <v>1350</v>
      </c>
      <c r="Q280" s="16">
        <f t="shared" si="40"/>
        <v>1350</v>
      </c>
      <c r="R280" s="250">
        <v>13</v>
      </c>
    </row>
    <row r="281" spans="1:18" x14ac:dyDescent="0.25">
      <c r="A281" s="52" t="s">
        <v>642</v>
      </c>
      <c r="B281" s="6">
        <v>17</v>
      </c>
      <c r="C281" s="6" t="s">
        <v>183</v>
      </c>
      <c r="D281" s="6" t="s">
        <v>52</v>
      </c>
      <c r="E281" s="45" t="s">
        <v>509</v>
      </c>
      <c r="F281" s="12">
        <v>1</v>
      </c>
      <c r="G281" s="12">
        <v>1</v>
      </c>
      <c r="H281" s="16">
        <v>2</v>
      </c>
      <c r="I281" s="16">
        <f>VLOOKUP(C281,Resources!B:G,6,FALSE)</f>
        <v>225</v>
      </c>
      <c r="J281" s="16">
        <f t="shared" si="33"/>
        <v>450</v>
      </c>
      <c r="K281" s="12">
        <f t="shared" si="34"/>
        <v>2</v>
      </c>
      <c r="L281" s="12">
        <f t="shared" si="35"/>
        <v>2</v>
      </c>
      <c r="M281" s="16">
        <f t="shared" si="36"/>
        <v>0</v>
      </c>
      <c r="N281" s="16">
        <f t="shared" si="37"/>
        <v>0</v>
      </c>
      <c r="O281" s="16">
        <f t="shared" si="38"/>
        <v>0</v>
      </c>
      <c r="P281" s="16">
        <f t="shared" si="39"/>
        <v>450</v>
      </c>
      <c r="Q281" s="16">
        <f t="shared" si="40"/>
        <v>450</v>
      </c>
      <c r="R281" s="250">
        <v>13</v>
      </c>
    </row>
    <row r="282" spans="1:18" x14ac:dyDescent="0.25">
      <c r="A282" s="52" t="s">
        <v>642</v>
      </c>
      <c r="B282" s="6">
        <v>18</v>
      </c>
      <c r="C282" s="6" t="s">
        <v>183</v>
      </c>
      <c r="D282" s="6" t="s">
        <v>52</v>
      </c>
      <c r="E282" s="45" t="s">
        <v>509</v>
      </c>
      <c r="F282" s="12">
        <v>1</v>
      </c>
      <c r="G282" s="12">
        <v>1</v>
      </c>
      <c r="H282" s="16">
        <v>2</v>
      </c>
      <c r="I282" s="16">
        <f>VLOOKUP(C282,Resources!B:G,6,FALSE)</f>
        <v>225</v>
      </c>
      <c r="J282" s="16">
        <f t="shared" si="33"/>
        <v>450</v>
      </c>
      <c r="K282" s="12">
        <f t="shared" si="34"/>
        <v>2</v>
      </c>
      <c r="L282" s="12">
        <f t="shared" si="35"/>
        <v>2</v>
      </c>
      <c r="M282" s="16">
        <f t="shared" si="36"/>
        <v>0</v>
      </c>
      <c r="N282" s="16">
        <f t="shared" si="37"/>
        <v>0</v>
      </c>
      <c r="O282" s="16">
        <f t="shared" si="38"/>
        <v>0</v>
      </c>
      <c r="P282" s="16">
        <f t="shared" si="39"/>
        <v>450</v>
      </c>
      <c r="Q282" s="16">
        <f t="shared" si="40"/>
        <v>450</v>
      </c>
      <c r="R282" s="250">
        <v>13</v>
      </c>
    </row>
    <row r="283" spans="1:18" x14ac:dyDescent="0.25">
      <c r="A283" s="52" t="s">
        <v>642</v>
      </c>
      <c r="B283" s="6">
        <v>19</v>
      </c>
      <c r="C283" s="6" t="s">
        <v>183</v>
      </c>
      <c r="D283" s="6" t="s">
        <v>52</v>
      </c>
      <c r="E283" s="45" t="s">
        <v>509</v>
      </c>
      <c r="F283" s="12">
        <v>1</v>
      </c>
      <c r="G283" s="12">
        <v>1</v>
      </c>
      <c r="H283" s="16">
        <v>1</v>
      </c>
      <c r="I283" s="16">
        <f>VLOOKUP(C283,Resources!B:G,6,FALSE)</f>
        <v>225</v>
      </c>
      <c r="J283" s="16">
        <f t="shared" si="33"/>
        <v>225</v>
      </c>
      <c r="K283" s="12">
        <f t="shared" si="34"/>
        <v>1</v>
      </c>
      <c r="L283" s="12">
        <f t="shared" si="35"/>
        <v>1</v>
      </c>
      <c r="M283" s="16">
        <f t="shared" si="36"/>
        <v>0</v>
      </c>
      <c r="N283" s="16">
        <f t="shared" si="37"/>
        <v>0</v>
      </c>
      <c r="O283" s="16">
        <f t="shared" si="38"/>
        <v>0</v>
      </c>
      <c r="P283" s="16">
        <f t="shared" si="39"/>
        <v>225</v>
      </c>
      <c r="Q283" s="16">
        <f t="shared" si="40"/>
        <v>225</v>
      </c>
      <c r="R283" s="250">
        <v>13</v>
      </c>
    </row>
    <row r="284" spans="1:18" x14ac:dyDescent="0.25">
      <c r="A284" s="52" t="s">
        <v>642</v>
      </c>
      <c r="B284" s="6">
        <v>20</v>
      </c>
      <c r="C284" s="6" t="s">
        <v>183</v>
      </c>
      <c r="D284" s="6" t="s">
        <v>52</v>
      </c>
      <c r="E284" s="45" t="s">
        <v>509</v>
      </c>
      <c r="F284" s="12">
        <v>1</v>
      </c>
      <c r="G284" s="12">
        <v>1</v>
      </c>
      <c r="H284" s="16">
        <v>24</v>
      </c>
      <c r="I284" s="16">
        <f>VLOOKUP(C284,Resources!B:G,6,FALSE)</f>
        <v>225</v>
      </c>
      <c r="J284" s="16">
        <f t="shared" si="33"/>
        <v>5400</v>
      </c>
      <c r="K284" s="12">
        <f t="shared" si="34"/>
        <v>24</v>
      </c>
      <c r="L284" s="12">
        <f t="shared" si="35"/>
        <v>24</v>
      </c>
      <c r="M284" s="16">
        <f t="shared" si="36"/>
        <v>0</v>
      </c>
      <c r="N284" s="16">
        <f t="shared" si="37"/>
        <v>0</v>
      </c>
      <c r="O284" s="16">
        <f t="shared" si="38"/>
        <v>0</v>
      </c>
      <c r="P284" s="16">
        <f t="shared" si="39"/>
        <v>5400</v>
      </c>
      <c r="Q284" s="16">
        <f t="shared" si="40"/>
        <v>5400</v>
      </c>
      <c r="R284" s="250">
        <v>13</v>
      </c>
    </row>
    <row r="285" spans="1:18" x14ac:dyDescent="0.25">
      <c r="A285" s="52" t="s">
        <v>642</v>
      </c>
      <c r="B285" s="6">
        <v>22</v>
      </c>
      <c r="C285" s="6" t="s">
        <v>184</v>
      </c>
      <c r="D285" s="6" t="s">
        <v>33</v>
      </c>
      <c r="E285" s="45" t="s">
        <v>506</v>
      </c>
      <c r="F285" s="12">
        <v>1</v>
      </c>
      <c r="G285" s="12">
        <v>1</v>
      </c>
      <c r="H285" s="16">
        <v>600</v>
      </c>
      <c r="I285" s="16">
        <f>VLOOKUP(C285,Resources!B:G,6,FALSE)</f>
        <v>48</v>
      </c>
      <c r="J285" s="16">
        <f t="shared" si="33"/>
        <v>28800</v>
      </c>
      <c r="K285" s="12">
        <f t="shared" si="34"/>
        <v>600</v>
      </c>
      <c r="L285" s="12">
        <f t="shared" si="35"/>
        <v>600</v>
      </c>
      <c r="M285" s="16">
        <f t="shared" si="36"/>
        <v>28800</v>
      </c>
      <c r="N285" s="16">
        <f t="shared" si="37"/>
        <v>0</v>
      </c>
      <c r="O285" s="16">
        <f t="shared" si="38"/>
        <v>0</v>
      </c>
      <c r="P285" s="16">
        <f t="shared" si="39"/>
        <v>0</v>
      </c>
      <c r="Q285" s="16">
        <f t="shared" si="40"/>
        <v>28800</v>
      </c>
      <c r="R285" s="250">
        <v>916</v>
      </c>
    </row>
    <row r="286" spans="1:18" x14ac:dyDescent="0.25">
      <c r="A286" s="49" t="s">
        <v>642</v>
      </c>
      <c r="F286" s="11"/>
      <c r="G286" s="11"/>
      <c r="K286" s="11"/>
      <c r="L286" s="11"/>
    </row>
    <row r="287" spans="1:18" ht="30" x14ac:dyDescent="0.25">
      <c r="A287" s="51">
        <v>33</v>
      </c>
      <c r="B287" s="3" t="s">
        <v>185</v>
      </c>
      <c r="C287" s="3" t="s">
        <v>186</v>
      </c>
      <c r="D287" s="4" t="s">
        <v>17</v>
      </c>
      <c r="E287" s="44"/>
      <c r="F287" s="10"/>
      <c r="G287" s="10"/>
      <c r="H287" s="48">
        <f>VLOOKUP($A287,'Model Inputs'!$A:$C,3,FALSE)</f>
        <v>1</v>
      </c>
      <c r="I287" s="15"/>
      <c r="J287" s="15">
        <f>SUBTOTAL(9,J288)</f>
        <v>15945</v>
      </c>
      <c r="K287" s="10"/>
      <c r="L287" s="55">
        <v>0</v>
      </c>
      <c r="M287" s="15">
        <f>SUBTOTAL(9,M288)</f>
        <v>0</v>
      </c>
      <c r="N287" s="15">
        <f>SUBTOTAL(9,N288)</f>
        <v>0</v>
      </c>
      <c r="O287" s="15">
        <f>SUBTOTAL(9,O288)</f>
        <v>0</v>
      </c>
      <c r="P287" s="15">
        <f>SUBTOTAL(9,P288)</f>
        <v>15945</v>
      </c>
      <c r="Q287" s="15">
        <f>SUBTOTAL(9,Q288)</f>
        <v>15945</v>
      </c>
      <c r="R287" s="249"/>
    </row>
    <row r="288" spans="1:18" x14ac:dyDescent="0.25">
      <c r="A288" s="52" t="s">
        <v>642</v>
      </c>
      <c r="B288" s="6">
        <v>1</v>
      </c>
      <c r="C288" s="6" t="s">
        <v>187</v>
      </c>
      <c r="D288" s="6" t="s">
        <v>19</v>
      </c>
      <c r="E288" s="45" t="s">
        <v>509</v>
      </c>
      <c r="F288" s="12">
        <v>15945</v>
      </c>
      <c r="G288" s="12">
        <v>1</v>
      </c>
      <c r="H288" s="16">
        <f>H287</f>
        <v>1</v>
      </c>
      <c r="I288" s="16">
        <f>VLOOKUP(C288,Resources!B:G,6,FALSE)</f>
        <v>1</v>
      </c>
      <c r="J288" s="16">
        <f>(H288/G288)*I288*F288</f>
        <v>15945</v>
      </c>
      <c r="K288" s="12">
        <f>IF(E288="M"," ",L288*F288)</f>
        <v>15945</v>
      </c>
      <c r="L288" s="12">
        <f>IF(E288="M"," ",H288/G288)</f>
        <v>1</v>
      </c>
      <c r="M288" s="16">
        <f>IF($E288="L",$J288,0)</f>
        <v>0</v>
      </c>
      <c r="N288" s="16">
        <f>IF($E288="M",$J288,0)</f>
        <v>0</v>
      </c>
      <c r="O288" s="16">
        <f>IF($E288="P",$J288,0)</f>
        <v>0</v>
      </c>
      <c r="P288" s="16">
        <f>IF($E288="S",$J288,0)</f>
        <v>15945</v>
      </c>
      <c r="Q288" s="16">
        <f>SUM(M288:P288)</f>
        <v>15945</v>
      </c>
      <c r="R288" s="250">
        <v>11</v>
      </c>
    </row>
    <row r="289" spans="1:18" x14ac:dyDescent="0.25">
      <c r="A289" s="49" t="s">
        <v>642</v>
      </c>
      <c r="F289" s="11"/>
      <c r="G289" s="11"/>
      <c r="K289" s="11"/>
      <c r="L289" s="11"/>
    </row>
    <row r="290" spans="1:18" ht="30" x14ac:dyDescent="0.25">
      <c r="A290" s="51">
        <v>34</v>
      </c>
      <c r="B290" s="3" t="s">
        <v>188</v>
      </c>
      <c r="C290" s="3" t="s">
        <v>189</v>
      </c>
      <c r="D290" s="4" t="s">
        <v>17</v>
      </c>
      <c r="E290" s="44"/>
      <c r="F290" s="10"/>
      <c r="G290" s="10"/>
      <c r="H290" s="48">
        <f>VLOOKUP($A290,'Model Inputs'!$A:$C,3,FALSE)</f>
        <v>1</v>
      </c>
      <c r="I290" s="15"/>
      <c r="J290" s="15">
        <f>SUBTOTAL(9,J291)</f>
        <v>7390</v>
      </c>
      <c r="K290" s="10"/>
      <c r="L290" s="15">
        <f>ROUNDUP(MAX(L291)/Workhrs,0)</f>
        <v>5</v>
      </c>
      <c r="M290" s="15">
        <f>SUBTOTAL(9,M291)</f>
        <v>0</v>
      </c>
      <c r="N290" s="15">
        <f>SUBTOTAL(9,N291)</f>
        <v>0</v>
      </c>
      <c r="O290" s="15">
        <f>SUBTOTAL(9,O291)</f>
        <v>0</v>
      </c>
      <c r="P290" s="15">
        <f>SUBTOTAL(9,P291)</f>
        <v>7390</v>
      </c>
      <c r="Q290" s="15">
        <f>SUBTOTAL(9,Q291)</f>
        <v>7390</v>
      </c>
      <c r="R290" s="249"/>
    </row>
    <row r="291" spans="1:18" x14ac:dyDescent="0.25">
      <c r="A291" s="52" t="s">
        <v>642</v>
      </c>
      <c r="B291" s="6">
        <v>1</v>
      </c>
      <c r="C291" s="6" t="s">
        <v>187</v>
      </c>
      <c r="D291" s="6" t="s">
        <v>19</v>
      </c>
      <c r="E291" s="45" t="s">
        <v>509</v>
      </c>
      <c r="F291" s="12">
        <v>7390</v>
      </c>
      <c r="G291" s="12">
        <v>1</v>
      </c>
      <c r="H291" s="16">
        <f>H290</f>
        <v>1</v>
      </c>
      <c r="I291" s="16">
        <f>VLOOKUP(C291,Resources!B:G,6,FALSE)</f>
        <v>1</v>
      </c>
      <c r="J291" s="16">
        <f>(H291/G291)*I291*F291</f>
        <v>7390</v>
      </c>
      <c r="K291" s="12">
        <f>IF(E291="M"," ",L291*F291)</f>
        <v>332550</v>
      </c>
      <c r="L291" s="53">
        <f>IF(E291="M"," ",H291/G291)*45</f>
        <v>45</v>
      </c>
      <c r="M291" s="16">
        <f>IF($E291="L",$J291,0)</f>
        <v>0</v>
      </c>
      <c r="N291" s="16">
        <f>IF($E291="M",$J291,0)</f>
        <v>0</v>
      </c>
      <c r="O291" s="16">
        <f>IF($E291="P",$J291,0)</f>
        <v>0</v>
      </c>
      <c r="P291" s="16">
        <f>IF($E291="S",$J291,0)</f>
        <v>7390</v>
      </c>
      <c r="Q291" s="16">
        <f>SUM(M291:P291)</f>
        <v>7390</v>
      </c>
      <c r="R291" s="250">
        <v>12</v>
      </c>
    </row>
    <row r="292" spans="1:18" x14ac:dyDescent="0.25">
      <c r="A292" s="49" t="s">
        <v>642</v>
      </c>
      <c r="F292" s="11"/>
      <c r="G292" s="11"/>
      <c r="K292" s="11"/>
      <c r="L292" s="11"/>
    </row>
    <row r="293" spans="1:18" ht="30" x14ac:dyDescent="0.25">
      <c r="A293" s="51">
        <v>35</v>
      </c>
      <c r="B293" s="3" t="s">
        <v>190</v>
      </c>
      <c r="C293" s="3" t="s">
        <v>191</v>
      </c>
      <c r="D293" s="4" t="s">
        <v>17</v>
      </c>
      <c r="E293" s="44"/>
      <c r="F293" s="10"/>
      <c r="G293" s="10"/>
      <c r="H293" s="48">
        <f>VLOOKUP($A293,'Model Inputs'!$A:$C,3,FALSE)</f>
        <v>1</v>
      </c>
      <c r="I293" s="15"/>
      <c r="J293" s="15">
        <f>SUBTOTAL(9,J294)</f>
        <v>1998</v>
      </c>
      <c r="K293" s="10"/>
      <c r="L293" s="15">
        <f>ROUNDUP(MAX(L294)/Workhrs,0)</f>
        <v>2</v>
      </c>
      <c r="M293" s="15">
        <f>SUBTOTAL(9,M294)</f>
        <v>0</v>
      </c>
      <c r="N293" s="15">
        <f>SUBTOTAL(9,N294)</f>
        <v>0</v>
      </c>
      <c r="O293" s="15">
        <f>SUBTOTAL(9,O294)</f>
        <v>0</v>
      </c>
      <c r="P293" s="15">
        <f>SUBTOTAL(9,P294)</f>
        <v>1998</v>
      </c>
      <c r="Q293" s="15">
        <f>SUBTOTAL(9,Q294)</f>
        <v>1998</v>
      </c>
      <c r="R293" s="249"/>
    </row>
    <row r="294" spans="1:18" x14ac:dyDescent="0.25">
      <c r="A294" s="52" t="s">
        <v>642</v>
      </c>
      <c r="B294" s="6">
        <v>1</v>
      </c>
      <c r="C294" s="6" t="s">
        <v>192</v>
      </c>
      <c r="D294" s="6" t="s">
        <v>33</v>
      </c>
      <c r="E294" s="45" t="s">
        <v>509</v>
      </c>
      <c r="F294" s="12">
        <v>14.8</v>
      </c>
      <c r="G294" s="12">
        <v>1</v>
      </c>
      <c r="H294" s="16">
        <f>H293</f>
        <v>1</v>
      </c>
      <c r="I294" s="16">
        <f>VLOOKUP(C294,Resources!B:G,6,FALSE)</f>
        <v>135</v>
      </c>
      <c r="J294" s="16">
        <f>(H294/G294)*I294*F294</f>
        <v>1998</v>
      </c>
      <c r="K294" s="12">
        <f>IF(E294="M"," ",L294*F294)</f>
        <v>219.04000000000002</v>
      </c>
      <c r="L294" s="53">
        <f>IF(E294="M"," ",H294/G294)*F294</f>
        <v>14.8</v>
      </c>
      <c r="M294" s="16">
        <f>IF($E294="L",$J294,0)</f>
        <v>0</v>
      </c>
      <c r="N294" s="16">
        <f>IF($E294="M",$J294,0)</f>
        <v>0</v>
      </c>
      <c r="O294" s="16">
        <f>IF($E294="P",$J294,0)</f>
        <v>0</v>
      </c>
      <c r="P294" s="16">
        <f>IF($E294="S",$J294,0)</f>
        <v>1998</v>
      </c>
      <c r="Q294" s="16">
        <f>SUM(M294:P294)</f>
        <v>1998</v>
      </c>
      <c r="R294" s="250">
        <v>15</v>
      </c>
    </row>
    <row r="295" spans="1:18" x14ac:dyDescent="0.25">
      <c r="A295" s="49" t="s">
        <v>642</v>
      </c>
      <c r="F295" s="11"/>
      <c r="G295" s="11"/>
      <c r="K295" s="11"/>
      <c r="L295" s="11"/>
    </row>
    <row r="296" spans="1:18" ht="30" x14ac:dyDescent="0.25">
      <c r="A296" s="51" t="s">
        <v>642</v>
      </c>
      <c r="B296" s="3" t="s">
        <v>193</v>
      </c>
      <c r="C296" s="3" t="s">
        <v>194</v>
      </c>
      <c r="D296" s="4"/>
      <c r="E296" s="44"/>
      <c r="F296" s="10"/>
      <c r="G296" s="10"/>
      <c r="H296" s="15"/>
      <c r="I296" s="15"/>
      <c r="J296" s="15"/>
      <c r="K296" s="10"/>
      <c r="L296" s="10"/>
      <c r="M296" s="15"/>
      <c r="N296" s="15"/>
      <c r="O296" s="15"/>
      <c r="P296" s="15"/>
      <c r="Q296" s="15"/>
      <c r="R296" s="249"/>
    </row>
    <row r="297" spans="1:18" ht="30" x14ac:dyDescent="0.25">
      <c r="A297" s="51" t="s">
        <v>642</v>
      </c>
      <c r="B297" s="3" t="s">
        <v>195</v>
      </c>
      <c r="C297" s="3" t="s">
        <v>196</v>
      </c>
      <c r="D297" s="4"/>
      <c r="E297" s="44"/>
      <c r="F297" s="10"/>
      <c r="G297" s="10"/>
      <c r="H297" s="15"/>
      <c r="I297" s="15"/>
      <c r="J297" s="15"/>
      <c r="K297" s="10"/>
      <c r="L297" s="10"/>
      <c r="M297" s="15"/>
      <c r="N297" s="15"/>
      <c r="O297" s="15"/>
      <c r="P297" s="15"/>
      <c r="Q297" s="15"/>
      <c r="R297" s="249"/>
    </row>
    <row r="298" spans="1:18" ht="30" x14ac:dyDescent="0.25">
      <c r="A298" s="51" t="s">
        <v>642</v>
      </c>
      <c r="B298" s="3" t="s">
        <v>197</v>
      </c>
      <c r="C298" s="3" t="s">
        <v>198</v>
      </c>
      <c r="D298" s="4"/>
      <c r="E298" s="44"/>
      <c r="F298" s="10"/>
      <c r="G298" s="10"/>
      <c r="H298" s="15"/>
      <c r="I298" s="15"/>
      <c r="J298" s="15"/>
      <c r="K298" s="10"/>
      <c r="L298" s="10"/>
      <c r="M298" s="15"/>
      <c r="N298" s="15"/>
      <c r="O298" s="15"/>
      <c r="P298" s="15"/>
      <c r="Q298" s="15"/>
      <c r="R298" s="249"/>
    </row>
    <row r="299" spans="1:18" ht="60" x14ac:dyDescent="0.25">
      <c r="A299" s="51">
        <v>36</v>
      </c>
      <c r="B299" s="3" t="s">
        <v>199</v>
      </c>
      <c r="C299" s="3" t="s">
        <v>571</v>
      </c>
      <c r="D299" s="4" t="s">
        <v>26</v>
      </c>
      <c r="E299" s="44"/>
      <c r="F299" s="10"/>
      <c r="G299" s="10"/>
      <c r="H299" s="48">
        <f>VLOOKUP($A299,'Model Inputs'!$A:$C,3,FALSE)</f>
        <v>253</v>
      </c>
      <c r="I299" s="15"/>
      <c r="J299" s="15">
        <f>SUBTOTAL(9,J300)</f>
        <v>3795</v>
      </c>
      <c r="K299" s="10"/>
      <c r="L299" s="15">
        <f>ROUNDUP(MAX(L300)/Workhrs,0)</f>
        <v>4</v>
      </c>
      <c r="M299" s="15">
        <f>SUBTOTAL(9,M300)</f>
        <v>0</v>
      </c>
      <c r="N299" s="15">
        <f>SUBTOTAL(9,N300)</f>
        <v>0</v>
      </c>
      <c r="O299" s="15">
        <f>SUBTOTAL(9,O300)</f>
        <v>0</v>
      </c>
      <c r="P299" s="15">
        <f>SUBTOTAL(9,P300)</f>
        <v>3795</v>
      </c>
      <c r="Q299" s="15">
        <f>SUBTOTAL(9,Q300)</f>
        <v>3795</v>
      </c>
      <c r="R299" s="249"/>
    </row>
    <row r="300" spans="1:18" x14ac:dyDescent="0.25">
      <c r="A300" s="52" t="s">
        <v>642</v>
      </c>
      <c r="B300" s="6">
        <v>1</v>
      </c>
      <c r="C300" s="6" t="s">
        <v>78</v>
      </c>
      <c r="D300" s="6" t="s">
        <v>19</v>
      </c>
      <c r="E300" s="45" t="s">
        <v>509</v>
      </c>
      <c r="F300" s="12">
        <v>15</v>
      </c>
      <c r="G300" s="12">
        <v>1</v>
      </c>
      <c r="H300" s="16">
        <f>H299</f>
        <v>253</v>
      </c>
      <c r="I300" s="16">
        <f>VLOOKUP(C300,Resources!B:G,6,FALSE)</f>
        <v>1</v>
      </c>
      <c r="J300" s="16">
        <f>(H300/G300)*I300*F300</f>
        <v>3795</v>
      </c>
      <c r="K300" s="12">
        <f>IF(E300="M"," ",L300*F300)</f>
        <v>506.25</v>
      </c>
      <c r="L300" s="53">
        <f>F300*9/4</f>
        <v>33.75</v>
      </c>
      <c r="M300" s="16">
        <f>IF($E300="L",$J300,0)</f>
        <v>0</v>
      </c>
      <c r="N300" s="16">
        <f>IF($E300="M",$J300,0)</f>
        <v>0</v>
      </c>
      <c r="O300" s="16">
        <f>IF($E300="P",$J300,0)</f>
        <v>0</v>
      </c>
      <c r="P300" s="16">
        <f>IF($E300="S",$J300,0)</f>
        <v>3795</v>
      </c>
      <c r="Q300" s="16">
        <f>SUM(M300:P300)</f>
        <v>3795</v>
      </c>
      <c r="R300" s="250">
        <v>103</v>
      </c>
    </row>
    <row r="301" spans="1:18" x14ac:dyDescent="0.25">
      <c r="A301" s="49" t="s">
        <v>642</v>
      </c>
      <c r="F301" s="11"/>
      <c r="G301" s="11"/>
      <c r="K301" s="11"/>
      <c r="L301" s="11"/>
    </row>
    <row r="302" spans="1:18" ht="75" x14ac:dyDescent="0.25">
      <c r="A302" s="51" t="s">
        <v>642</v>
      </c>
      <c r="B302" s="3" t="s">
        <v>201</v>
      </c>
      <c r="C302" s="3" t="s">
        <v>202</v>
      </c>
      <c r="D302" s="4"/>
      <c r="E302" s="44"/>
      <c r="F302" s="10"/>
      <c r="G302" s="10"/>
      <c r="H302" s="15"/>
      <c r="I302" s="15"/>
      <c r="J302" s="15"/>
      <c r="K302" s="10"/>
      <c r="L302" s="10"/>
      <c r="M302" s="15"/>
      <c r="N302" s="15"/>
      <c r="O302" s="15"/>
      <c r="P302" s="15"/>
      <c r="Q302" s="15"/>
      <c r="R302" s="249"/>
    </row>
    <row r="303" spans="1:18" ht="90" x14ac:dyDescent="0.25">
      <c r="A303" s="51">
        <v>37</v>
      </c>
      <c r="B303" s="3" t="s">
        <v>203</v>
      </c>
      <c r="C303" s="3" t="s">
        <v>572</v>
      </c>
      <c r="D303" s="4" t="s">
        <v>204</v>
      </c>
      <c r="E303" s="44"/>
      <c r="F303" s="10"/>
      <c r="G303" s="10"/>
      <c r="H303" s="48">
        <f>VLOOKUP($A303,'Model Inputs'!$A:$C,3,FALSE)</f>
        <v>6</v>
      </c>
      <c r="I303" s="15"/>
      <c r="J303" s="15">
        <f>SUBTOTAL(9,J304)</f>
        <v>8100</v>
      </c>
      <c r="K303" s="10"/>
      <c r="L303" s="15">
        <f t="shared" ref="L303" si="41">MAX(L304)</f>
        <v>0</v>
      </c>
      <c r="M303" s="15">
        <f>SUBTOTAL(9,M304)</f>
        <v>0</v>
      </c>
      <c r="N303" s="15">
        <f>SUBTOTAL(9,N304)</f>
        <v>0</v>
      </c>
      <c r="O303" s="15">
        <f>SUBTOTAL(9,O304)</f>
        <v>0</v>
      </c>
      <c r="P303" s="15">
        <f>SUBTOTAL(9,P304)</f>
        <v>8100</v>
      </c>
      <c r="Q303" s="15">
        <f>SUBTOTAL(9,Q304)</f>
        <v>8100</v>
      </c>
      <c r="R303" s="249"/>
    </row>
    <row r="304" spans="1:18" x14ac:dyDescent="0.25">
      <c r="A304" s="52" t="s">
        <v>642</v>
      </c>
      <c r="B304" s="6">
        <v>1</v>
      </c>
      <c r="C304" s="6" t="s">
        <v>78</v>
      </c>
      <c r="D304" s="6" t="s">
        <v>19</v>
      </c>
      <c r="E304" s="45" t="s">
        <v>509</v>
      </c>
      <c r="F304" s="12">
        <v>1350</v>
      </c>
      <c r="G304" s="12">
        <v>1</v>
      </c>
      <c r="H304" s="16">
        <f>H303</f>
        <v>6</v>
      </c>
      <c r="I304" s="16">
        <f>VLOOKUP(C304,Resources!B:G,6,FALSE)</f>
        <v>1</v>
      </c>
      <c r="J304" s="16">
        <f>(H304/G304)*I304*F304</f>
        <v>8100</v>
      </c>
      <c r="K304" s="12">
        <f>IF(E304="M"," ",L304*F304)</f>
        <v>0</v>
      </c>
      <c r="L304" s="53"/>
      <c r="M304" s="16">
        <f>IF($E304="L",$J304,0)</f>
        <v>0</v>
      </c>
      <c r="N304" s="16">
        <f>IF($E304="M",$J304,0)</f>
        <v>0</v>
      </c>
      <c r="O304" s="16">
        <f>IF($E304="P",$J304,0)</f>
        <v>0</v>
      </c>
      <c r="P304" s="16">
        <f>IF($E304="S",$J304,0)</f>
        <v>8100</v>
      </c>
      <c r="Q304" s="16">
        <f>SUM(M304:P304)</f>
        <v>8100</v>
      </c>
      <c r="R304" s="250">
        <v>103</v>
      </c>
    </row>
    <row r="305" spans="1:18" x14ac:dyDescent="0.25">
      <c r="A305" s="49" t="s">
        <v>642</v>
      </c>
      <c r="F305" s="11"/>
      <c r="G305" s="11"/>
      <c r="K305" s="11"/>
      <c r="L305" s="11"/>
    </row>
    <row r="306" spans="1:18" ht="60" x14ac:dyDescent="0.25">
      <c r="A306" s="51" t="s">
        <v>642</v>
      </c>
      <c r="B306" s="3" t="s">
        <v>205</v>
      </c>
      <c r="C306" s="3" t="s">
        <v>206</v>
      </c>
      <c r="D306" s="4"/>
      <c r="E306" s="44"/>
      <c r="F306" s="10"/>
      <c r="G306" s="10"/>
      <c r="H306" s="15"/>
      <c r="I306" s="15"/>
      <c r="J306" s="15"/>
      <c r="K306" s="10"/>
      <c r="L306" s="10"/>
      <c r="M306" s="15"/>
      <c r="N306" s="15"/>
      <c r="O306" s="15"/>
      <c r="P306" s="15"/>
      <c r="Q306" s="15"/>
      <c r="R306" s="249"/>
    </row>
    <row r="307" spans="1:18" ht="75" x14ac:dyDescent="0.25">
      <c r="A307" s="51">
        <v>38</v>
      </c>
      <c r="B307" s="3" t="s">
        <v>207</v>
      </c>
      <c r="C307" s="3" t="s">
        <v>573</v>
      </c>
      <c r="D307" s="4" t="s">
        <v>204</v>
      </c>
      <c r="E307" s="44"/>
      <c r="F307" s="10"/>
      <c r="G307" s="10"/>
      <c r="H307" s="48">
        <f>VLOOKUP($A307,'Model Inputs'!$A:$C,3,FALSE)</f>
        <v>2</v>
      </c>
      <c r="I307" s="15"/>
      <c r="J307" s="15">
        <f>SUBTOTAL(9,J308)</f>
        <v>240</v>
      </c>
      <c r="K307" s="10"/>
      <c r="L307" s="15">
        <f t="shared" ref="L307" si="42">MAX(L308)</f>
        <v>0</v>
      </c>
      <c r="M307" s="15">
        <f>SUBTOTAL(9,M308)</f>
        <v>0</v>
      </c>
      <c r="N307" s="15">
        <f>SUBTOTAL(9,N308)</f>
        <v>0</v>
      </c>
      <c r="O307" s="15">
        <f>SUBTOTAL(9,O308)</f>
        <v>0</v>
      </c>
      <c r="P307" s="15">
        <f>SUBTOTAL(9,P308)</f>
        <v>240</v>
      </c>
      <c r="Q307" s="15">
        <f>SUBTOTAL(9,Q308)</f>
        <v>240</v>
      </c>
      <c r="R307" s="249"/>
    </row>
    <row r="308" spans="1:18" x14ac:dyDescent="0.25">
      <c r="A308" s="52" t="s">
        <v>642</v>
      </c>
      <c r="B308" s="6">
        <v>1</v>
      </c>
      <c r="C308" s="6" t="s">
        <v>78</v>
      </c>
      <c r="D308" s="6" t="s">
        <v>19</v>
      </c>
      <c r="E308" s="45" t="s">
        <v>509</v>
      </c>
      <c r="F308" s="12">
        <v>120</v>
      </c>
      <c r="G308" s="12">
        <v>1</v>
      </c>
      <c r="H308" s="16">
        <f>H307</f>
        <v>2</v>
      </c>
      <c r="I308" s="16">
        <f>VLOOKUP(C308,Resources!B:G,6,FALSE)</f>
        <v>1</v>
      </c>
      <c r="J308" s="16">
        <f>(H308/G308)*I308*F308</f>
        <v>240</v>
      </c>
      <c r="K308" s="12">
        <f>IF(E308="M"," ",L308*F308)</f>
        <v>0</v>
      </c>
      <c r="L308" s="53"/>
      <c r="M308" s="16">
        <f>IF($E308="L",$J308,0)</f>
        <v>0</v>
      </c>
      <c r="N308" s="16">
        <f>IF($E308="M",$J308,0)</f>
        <v>0</v>
      </c>
      <c r="O308" s="16">
        <f>IF($E308="P",$J308,0)</f>
        <v>0</v>
      </c>
      <c r="P308" s="16">
        <f>IF($E308="S",$J308,0)</f>
        <v>240</v>
      </c>
      <c r="Q308" s="16">
        <f>SUM(M308:P308)</f>
        <v>240</v>
      </c>
      <c r="R308" s="250">
        <v>103</v>
      </c>
    </row>
    <row r="309" spans="1:18" x14ac:dyDescent="0.25">
      <c r="A309" s="49" t="s">
        <v>642</v>
      </c>
      <c r="F309" s="11"/>
      <c r="G309" s="11"/>
      <c r="K309" s="11"/>
      <c r="L309" s="11"/>
    </row>
    <row r="310" spans="1:18" ht="30" x14ac:dyDescent="0.25">
      <c r="A310" s="51">
        <v>39</v>
      </c>
      <c r="B310" s="3" t="s">
        <v>209</v>
      </c>
      <c r="C310" s="3" t="s">
        <v>574</v>
      </c>
      <c r="D310" s="4" t="s">
        <v>204</v>
      </c>
      <c r="E310" s="44"/>
      <c r="F310" s="10"/>
      <c r="G310" s="10"/>
      <c r="H310" s="48">
        <f>VLOOKUP($A310,'Model Inputs'!$A:$C,3,FALSE)</f>
        <v>3</v>
      </c>
      <c r="I310" s="15"/>
      <c r="J310" s="15">
        <f>SUBTOTAL(9,J311)</f>
        <v>360</v>
      </c>
      <c r="K310" s="10"/>
      <c r="L310" s="15">
        <f t="shared" ref="L310" si="43">MAX(L311)</f>
        <v>0</v>
      </c>
      <c r="M310" s="15">
        <f>SUBTOTAL(9,M311)</f>
        <v>0</v>
      </c>
      <c r="N310" s="15">
        <f>SUBTOTAL(9,N311)</f>
        <v>0</v>
      </c>
      <c r="O310" s="15">
        <f>SUBTOTAL(9,O311)</f>
        <v>0</v>
      </c>
      <c r="P310" s="15">
        <f>SUBTOTAL(9,P311)</f>
        <v>360</v>
      </c>
      <c r="Q310" s="15">
        <f>SUBTOTAL(9,Q311)</f>
        <v>360</v>
      </c>
      <c r="R310" s="249"/>
    </row>
    <row r="311" spans="1:18" x14ac:dyDescent="0.25">
      <c r="A311" s="52" t="s">
        <v>642</v>
      </c>
      <c r="B311" s="6">
        <v>1</v>
      </c>
      <c r="C311" s="6" t="s">
        <v>78</v>
      </c>
      <c r="D311" s="6" t="s">
        <v>19</v>
      </c>
      <c r="E311" s="45" t="s">
        <v>509</v>
      </c>
      <c r="F311" s="12">
        <v>120</v>
      </c>
      <c r="G311" s="12">
        <v>1</v>
      </c>
      <c r="H311" s="16">
        <f>H310</f>
        <v>3</v>
      </c>
      <c r="I311" s="16">
        <f>VLOOKUP(C311,Resources!B:G,6,FALSE)</f>
        <v>1</v>
      </c>
      <c r="J311" s="16">
        <f>(H311/G311)*I311*F311</f>
        <v>360</v>
      </c>
      <c r="K311" s="12">
        <f>IF(E311="M"," ",L311*F311)</f>
        <v>0</v>
      </c>
      <c r="L311" s="53"/>
      <c r="M311" s="16">
        <f>IF($E311="L",$J311,0)</f>
        <v>0</v>
      </c>
      <c r="N311" s="16">
        <f>IF($E311="M",$J311,0)</f>
        <v>0</v>
      </c>
      <c r="O311" s="16">
        <f>IF($E311="P",$J311,0)</f>
        <v>0</v>
      </c>
      <c r="P311" s="16">
        <f>IF($E311="S",$J311,0)</f>
        <v>360</v>
      </c>
      <c r="Q311" s="16">
        <f>SUM(M311:P311)</f>
        <v>360</v>
      </c>
      <c r="R311" s="250">
        <v>103</v>
      </c>
    </row>
    <row r="312" spans="1:18" x14ac:dyDescent="0.25">
      <c r="A312" s="49" t="s">
        <v>642</v>
      </c>
      <c r="F312" s="11"/>
      <c r="G312" s="11"/>
      <c r="K312" s="11"/>
      <c r="L312" s="11"/>
    </row>
    <row r="313" spans="1:18" ht="30" x14ac:dyDescent="0.25">
      <c r="A313" s="51">
        <v>40</v>
      </c>
      <c r="B313" s="3" t="s">
        <v>211</v>
      </c>
      <c r="C313" s="3" t="s">
        <v>575</v>
      </c>
      <c r="D313" s="4" t="s">
        <v>204</v>
      </c>
      <c r="E313" s="44"/>
      <c r="F313" s="10"/>
      <c r="G313" s="10"/>
      <c r="H313" s="48">
        <f>VLOOKUP($A313,'Model Inputs'!$A:$C,3,FALSE)</f>
        <v>2</v>
      </c>
      <c r="I313" s="15"/>
      <c r="J313" s="15">
        <f>SUBTOTAL(9,J314)</f>
        <v>280</v>
      </c>
      <c r="K313" s="10"/>
      <c r="L313" s="15">
        <f t="shared" ref="L313" si="44">MAX(L314)</f>
        <v>0</v>
      </c>
      <c r="M313" s="15">
        <f>SUBTOTAL(9,M314)</f>
        <v>0</v>
      </c>
      <c r="N313" s="15">
        <f>SUBTOTAL(9,N314)</f>
        <v>0</v>
      </c>
      <c r="O313" s="15">
        <f>SUBTOTAL(9,O314)</f>
        <v>0</v>
      </c>
      <c r="P313" s="15">
        <f>SUBTOTAL(9,P314)</f>
        <v>280</v>
      </c>
      <c r="Q313" s="15">
        <f>SUBTOTAL(9,Q314)</f>
        <v>280</v>
      </c>
      <c r="R313" s="249"/>
    </row>
    <row r="314" spans="1:18" x14ac:dyDescent="0.25">
      <c r="A314" s="52" t="s">
        <v>642</v>
      </c>
      <c r="B314" s="6">
        <v>1</v>
      </c>
      <c r="C314" s="6" t="s">
        <v>78</v>
      </c>
      <c r="D314" s="6" t="s">
        <v>19</v>
      </c>
      <c r="E314" s="45" t="s">
        <v>509</v>
      </c>
      <c r="F314" s="12">
        <v>140</v>
      </c>
      <c r="G314" s="12">
        <v>1</v>
      </c>
      <c r="H314" s="16">
        <f>H313</f>
        <v>2</v>
      </c>
      <c r="I314" s="16">
        <f>VLOOKUP(C314,Resources!B:G,6,FALSE)</f>
        <v>1</v>
      </c>
      <c r="J314" s="16">
        <f>(H314/G314)*I314*F314</f>
        <v>280</v>
      </c>
      <c r="K314" s="12">
        <f>IF(E314="M"," ",L314*F314)</f>
        <v>0</v>
      </c>
      <c r="L314" s="53"/>
      <c r="M314" s="16">
        <f>IF($E314="L",$J314,0)</f>
        <v>0</v>
      </c>
      <c r="N314" s="16">
        <f>IF($E314="M",$J314,0)</f>
        <v>0</v>
      </c>
      <c r="O314" s="16">
        <f>IF($E314="P",$J314,0)</f>
        <v>0</v>
      </c>
      <c r="P314" s="16">
        <f>IF($E314="S",$J314,0)</f>
        <v>280</v>
      </c>
      <c r="Q314" s="16">
        <f>SUM(M314:P314)</f>
        <v>280</v>
      </c>
      <c r="R314" s="250">
        <v>103</v>
      </c>
    </row>
    <row r="315" spans="1:18" x14ac:dyDescent="0.25">
      <c r="A315" s="49" t="s">
        <v>642</v>
      </c>
      <c r="F315" s="11"/>
      <c r="G315" s="11"/>
      <c r="K315" s="11"/>
      <c r="L315" s="11"/>
    </row>
    <row r="316" spans="1:18" ht="75" x14ac:dyDescent="0.25">
      <c r="A316" s="51" t="s">
        <v>642</v>
      </c>
      <c r="B316" s="3" t="s">
        <v>213</v>
      </c>
      <c r="C316" s="3" t="s">
        <v>214</v>
      </c>
      <c r="D316" s="4"/>
      <c r="E316" s="44"/>
      <c r="F316" s="10"/>
      <c r="G316" s="10"/>
      <c r="H316" s="15"/>
      <c r="I316" s="15"/>
      <c r="J316" s="15"/>
      <c r="K316" s="10"/>
      <c r="L316" s="10"/>
      <c r="M316" s="15"/>
      <c r="N316" s="15"/>
      <c r="O316" s="15"/>
      <c r="P316" s="15"/>
      <c r="Q316" s="15"/>
      <c r="R316" s="249"/>
    </row>
    <row r="317" spans="1:18" ht="90" x14ac:dyDescent="0.25">
      <c r="A317" s="51">
        <v>41</v>
      </c>
      <c r="B317" s="3" t="s">
        <v>215</v>
      </c>
      <c r="C317" s="3" t="s">
        <v>576</v>
      </c>
      <c r="D317" s="4" t="s">
        <v>204</v>
      </c>
      <c r="E317" s="44"/>
      <c r="F317" s="10"/>
      <c r="G317" s="10"/>
      <c r="H317" s="48">
        <f>VLOOKUP($A317,'Model Inputs'!$A:$C,3,FALSE)</f>
        <v>3</v>
      </c>
      <c r="I317" s="15"/>
      <c r="J317" s="15">
        <f>SUBTOTAL(9,J318)</f>
        <v>840</v>
      </c>
      <c r="K317" s="10"/>
      <c r="L317" s="15">
        <f t="shared" ref="L317" si="45">MAX(L318)</f>
        <v>0</v>
      </c>
      <c r="M317" s="15">
        <f>SUBTOTAL(9,M318)</f>
        <v>0</v>
      </c>
      <c r="N317" s="15">
        <f>SUBTOTAL(9,N318)</f>
        <v>0</v>
      </c>
      <c r="O317" s="15">
        <f>SUBTOTAL(9,O318)</f>
        <v>0</v>
      </c>
      <c r="P317" s="15">
        <f>SUBTOTAL(9,P318)</f>
        <v>840</v>
      </c>
      <c r="Q317" s="15">
        <f>SUBTOTAL(9,Q318)</f>
        <v>840</v>
      </c>
      <c r="R317" s="249"/>
    </row>
    <row r="318" spans="1:18" x14ac:dyDescent="0.25">
      <c r="A318" s="52" t="s">
        <v>642</v>
      </c>
      <c r="B318" s="6">
        <v>1</v>
      </c>
      <c r="C318" s="6" t="s">
        <v>78</v>
      </c>
      <c r="D318" s="6" t="s">
        <v>19</v>
      </c>
      <c r="E318" s="45" t="s">
        <v>509</v>
      </c>
      <c r="F318" s="12">
        <v>280</v>
      </c>
      <c r="G318" s="12">
        <v>1</v>
      </c>
      <c r="H318" s="16">
        <f>H317</f>
        <v>3</v>
      </c>
      <c r="I318" s="16">
        <f>VLOOKUP(C318,Resources!B:G,6,FALSE)</f>
        <v>1</v>
      </c>
      <c r="J318" s="16">
        <f>(H318/G318)*I318*F318</f>
        <v>840</v>
      </c>
      <c r="K318" s="12">
        <f>IF(E318="M"," ",L318*F318)</f>
        <v>0</v>
      </c>
      <c r="L318" s="53"/>
      <c r="M318" s="16">
        <f>IF($E318="L",$J318,0)</f>
        <v>0</v>
      </c>
      <c r="N318" s="16">
        <f>IF($E318="M",$J318,0)</f>
        <v>0</v>
      </c>
      <c r="O318" s="16">
        <f>IF($E318="P",$J318,0)</f>
        <v>0</v>
      </c>
      <c r="P318" s="16">
        <f>IF($E318="S",$J318,0)</f>
        <v>840</v>
      </c>
      <c r="Q318" s="16">
        <f>SUM(M318:P318)</f>
        <v>840</v>
      </c>
      <c r="R318" s="250">
        <v>103</v>
      </c>
    </row>
    <row r="319" spans="1:18" x14ac:dyDescent="0.25">
      <c r="A319" s="49" t="s">
        <v>642</v>
      </c>
      <c r="F319" s="11"/>
      <c r="G319" s="11"/>
      <c r="K319" s="11"/>
      <c r="L319" s="11"/>
    </row>
    <row r="320" spans="1:18" ht="75" x14ac:dyDescent="0.25">
      <c r="A320" s="51" t="s">
        <v>642</v>
      </c>
      <c r="B320" s="3" t="s">
        <v>217</v>
      </c>
      <c r="C320" s="3" t="s">
        <v>218</v>
      </c>
      <c r="D320" s="4"/>
      <c r="E320" s="44"/>
      <c r="F320" s="10"/>
      <c r="G320" s="10"/>
      <c r="H320" s="15"/>
      <c r="I320" s="15"/>
      <c r="J320" s="15"/>
      <c r="K320" s="10"/>
      <c r="L320" s="10"/>
      <c r="M320" s="15"/>
      <c r="N320" s="15"/>
      <c r="O320" s="15"/>
      <c r="P320" s="15"/>
      <c r="Q320" s="15"/>
      <c r="R320" s="249"/>
    </row>
    <row r="321" spans="1:18" ht="90" x14ac:dyDescent="0.25">
      <c r="A321" s="51">
        <v>42</v>
      </c>
      <c r="B321" s="3" t="s">
        <v>219</v>
      </c>
      <c r="C321" s="3" t="s">
        <v>577</v>
      </c>
      <c r="D321" s="4" t="s">
        <v>204</v>
      </c>
      <c r="E321" s="44"/>
      <c r="F321" s="10"/>
      <c r="G321" s="10"/>
      <c r="H321" s="48">
        <f>VLOOKUP($A321,'Model Inputs'!$A:$C,3,FALSE)</f>
        <v>2</v>
      </c>
      <c r="I321" s="15"/>
      <c r="J321" s="15">
        <f>SUBTOTAL(9,J322)</f>
        <v>560</v>
      </c>
      <c r="K321" s="10"/>
      <c r="L321" s="15">
        <f t="shared" ref="L321" si="46">MAX(L322)</f>
        <v>0</v>
      </c>
      <c r="M321" s="15">
        <f>SUBTOTAL(9,M322)</f>
        <v>0</v>
      </c>
      <c r="N321" s="15">
        <f>SUBTOTAL(9,N322)</f>
        <v>0</v>
      </c>
      <c r="O321" s="15">
        <f>SUBTOTAL(9,O322)</f>
        <v>0</v>
      </c>
      <c r="P321" s="15">
        <f>SUBTOTAL(9,P322)</f>
        <v>560</v>
      </c>
      <c r="Q321" s="15">
        <f>SUBTOTAL(9,Q322)</f>
        <v>560</v>
      </c>
      <c r="R321" s="249"/>
    </row>
    <row r="322" spans="1:18" x14ac:dyDescent="0.25">
      <c r="A322" s="52" t="s">
        <v>642</v>
      </c>
      <c r="B322" s="6">
        <v>1</v>
      </c>
      <c r="C322" s="6" t="s">
        <v>78</v>
      </c>
      <c r="D322" s="6" t="s">
        <v>19</v>
      </c>
      <c r="E322" s="45" t="s">
        <v>509</v>
      </c>
      <c r="F322" s="12">
        <v>280</v>
      </c>
      <c r="G322" s="12">
        <v>1</v>
      </c>
      <c r="H322" s="16">
        <f>H321</f>
        <v>2</v>
      </c>
      <c r="I322" s="16">
        <f>VLOOKUP(C322,Resources!B:G,6,FALSE)</f>
        <v>1</v>
      </c>
      <c r="J322" s="16">
        <f>(H322/G322)*I322*F322</f>
        <v>560</v>
      </c>
      <c r="K322" s="12">
        <f>IF(E322="M"," ",L322*F322)</f>
        <v>0</v>
      </c>
      <c r="L322" s="53"/>
      <c r="M322" s="16">
        <f>IF($E322="L",$J322,0)</f>
        <v>0</v>
      </c>
      <c r="N322" s="16">
        <f>IF($E322="M",$J322,0)</f>
        <v>0</v>
      </c>
      <c r="O322" s="16">
        <f>IF($E322="P",$J322,0)</f>
        <v>0</v>
      </c>
      <c r="P322" s="16">
        <f>IF($E322="S",$J322,0)</f>
        <v>560</v>
      </c>
      <c r="Q322" s="16">
        <f>SUM(M322:P322)</f>
        <v>560</v>
      </c>
      <c r="R322" s="250">
        <v>103</v>
      </c>
    </row>
    <row r="323" spans="1:18" x14ac:dyDescent="0.25">
      <c r="A323" s="49" t="s">
        <v>642</v>
      </c>
      <c r="F323" s="11"/>
      <c r="G323" s="11"/>
      <c r="K323" s="11"/>
      <c r="L323" s="11"/>
    </row>
    <row r="324" spans="1:18" ht="45" x14ac:dyDescent="0.25">
      <c r="A324" s="51">
        <v>43</v>
      </c>
      <c r="B324" s="3" t="s">
        <v>221</v>
      </c>
      <c r="C324" s="3" t="s">
        <v>578</v>
      </c>
      <c r="D324" s="4" t="s">
        <v>204</v>
      </c>
      <c r="E324" s="44"/>
      <c r="F324" s="10"/>
      <c r="G324" s="10"/>
      <c r="H324" s="48">
        <f>VLOOKUP($A324,'Model Inputs'!$A:$C,3,FALSE)</f>
        <v>2</v>
      </c>
      <c r="I324" s="15"/>
      <c r="J324" s="15">
        <f>SUBTOTAL(9,J325)</f>
        <v>600</v>
      </c>
      <c r="K324" s="10"/>
      <c r="L324" s="15">
        <f t="shared" ref="L324" si="47">MAX(L325)</f>
        <v>0</v>
      </c>
      <c r="M324" s="15">
        <f>SUBTOTAL(9,M325)</f>
        <v>0</v>
      </c>
      <c r="N324" s="15">
        <f>SUBTOTAL(9,N325)</f>
        <v>0</v>
      </c>
      <c r="O324" s="15">
        <f>SUBTOTAL(9,O325)</f>
        <v>0</v>
      </c>
      <c r="P324" s="15">
        <f>SUBTOTAL(9,P325)</f>
        <v>600</v>
      </c>
      <c r="Q324" s="15">
        <f>SUBTOTAL(9,Q325)</f>
        <v>600</v>
      </c>
      <c r="R324" s="249"/>
    </row>
    <row r="325" spans="1:18" x14ac:dyDescent="0.25">
      <c r="A325" s="52" t="s">
        <v>642</v>
      </c>
      <c r="B325" s="6">
        <v>1</v>
      </c>
      <c r="C325" s="6" t="s">
        <v>78</v>
      </c>
      <c r="D325" s="6" t="s">
        <v>19</v>
      </c>
      <c r="E325" s="45" t="s">
        <v>509</v>
      </c>
      <c r="F325" s="12">
        <v>300</v>
      </c>
      <c r="G325" s="12">
        <v>1</v>
      </c>
      <c r="H325" s="16">
        <f>H324</f>
        <v>2</v>
      </c>
      <c r="I325" s="16">
        <f>VLOOKUP(C325,Resources!B:G,6,FALSE)</f>
        <v>1</v>
      </c>
      <c r="J325" s="16">
        <f>(H325/G325)*I325*F325</f>
        <v>600</v>
      </c>
      <c r="K325" s="12">
        <f>IF(E325="M"," ",L325*F325)</f>
        <v>0</v>
      </c>
      <c r="L325" s="53"/>
      <c r="M325" s="16">
        <f>IF($E325="L",$J325,0)</f>
        <v>0</v>
      </c>
      <c r="N325" s="16">
        <f>IF($E325="M",$J325,0)</f>
        <v>0</v>
      </c>
      <c r="O325" s="16">
        <f>IF($E325="P",$J325,0)</f>
        <v>0</v>
      </c>
      <c r="P325" s="16">
        <f>IF($E325="S",$J325,0)</f>
        <v>600</v>
      </c>
      <c r="Q325" s="16">
        <f>SUM(M325:P325)</f>
        <v>600</v>
      </c>
      <c r="R325" s="250">
        <v>103</v>
      </c>
    </row>
    <row r="326" spans="1:18" x14ac:dyDescent="0.25">
      <c r="A326" s="49" t="s">
        <v>642</v>
      </c>
      <c r="F326" s="11"/>
      <c r="G326" s="11"/>
      <c r="K326" s="11"/>
      <c r="L326" s="11"/>
    </row>
    <row r="327" spans="1:18" ht="45" x14ac:dyDescent="0.25">
      <c r="A327" s="51">
        <v>44</v>
      </c>
      <c r="B327" s="3" t="s">
        <v>223</v>
      </c>
      <c r="C327" s="3" t="s">
        <v>579</v>
      </c>
      <c r="D327" s="4" t="s">
        <v>204</v>
      </c>
      <c r="E327" s="44"/>
      <c r="F327" s="10"/>
      <c r="G327" s="10"/>
      <c r="H327" s="48">
        <f>VLOOKUP($A327,'Model Inputs'!$A:$C,3,FALSE)</f>
        <v>2</v>
      </c>
      <c r="I327" s="15"/>
      <c r="J327" s="15">
        <f>SUBTOTAL(9,J328)</f>
        <v>260</v>
      </c>
      <c r="K327" s="10"/>
      <c r="L327" s="15">
        <f t="shared" ref="L327" si="48">MAX(L328)</f>
        <v>0</v>
      </c>
      <c r="M327" s="15">
        <f>SUBTOTAL(9,M328)</f>
        <v>0</v>
      </c>
      <c r="N327" s="15">
        <f>SUBTOTAL(9,N328)</f>
        <v>0</v>
      </c>
      <c r="O327" s="15">
        <f>SUBTOTAL(9,O328)</f>
        <v>0</v>
      </c>
      <c r="P327" s="15">
        <f>SUBTOTAL(9,P328)</f>
        <v>260</v>
      </c>
      <c r="Q327" s="15">
        <f>SUBTOTAL(9,Q328)</f>
        <v>260</v>
      </c>
      <c r="R327" s="249"/>
    </row>
    <row r="328" spans="1:18" x14ac:dyDescent="0.25">
      <c r="A328" s="52" t="s">
        <v>642</v>
      </c>
      <c r="B328" s="6">
        <v>1</v>
      </c>
      <c r="C328" s="6" t="s">
        <v>78</v>
      </c>
      <c r="D328" s="6" t="s">
        <v>19</v>
      </c>
      <c r="E328" s="45" t="s">
        <v>509</v>
      </c>
      <c r="F328" s="12">
        <v>130</v>
      </c>
      <c r="G328" s="12">
        <v>1</v>
      </c>
      <c r="H328" s="16">
        <f>H327</f>
        <v>2</v>
      </c>
      <c r="I328" s="16">
        <f>VLOOKUP(C328,Resources!B:G,6,FALSE)</f>
        <v>1</v>
      </c>
      <c r="J328" s="16">
        <f>(H328/G328)*I328*F328</f>
        <v>260</v>
      </c>
      <c r="K328" s="12">
        <f>IF(E328="M"," ",L328*F328)</f>
        <v>0</v>
      </c>
      <c r="L328" s="53"/>
      <c r="M328" s="16">
        <f>IF($E328="L",$J328,0)</f>
        <v>0</v>
      </c>
      <c r="N328" s="16">
        <f>IF($E328="M",$J328,0)</f>
        <v>0</v>
      </c>
      <c r="O328" s="16">
        <f>IF($E328="P",$J328,0)</f>
        <v>0</v>
      </c>
      <c r="P328" s="16">
        <f>IF($E328="S",$J328,0)</f>
        <v>260</v>
      </c>
      <c r="Q328" s="16">
        <f>SUM(M328:P328)</f>
        <v>260</v>
      </c>
      <c r="R328" s="250">
        <v>103</v>
      </c>
    </row>
    <row r="329" spans="1:18" x14ac:dyDescent="0.25">
      <c r="A329" s="49" t="s">
        <v>642</v>
      </c>
      <c r="F329" s="11"/>
      <c r="G329" s="11"/>
      <c r="K329" s="11"/>
      <c r="L329" s="11"/>
    </row>
    <row r="330" spans="1:18" ht="30" x14ac:dyDescent="0.25">
      <c r="A330" s="51">
        <v>45</v>
      </c>
      <c r="B330" s="3" t="s">
        <v>225</v>
      </c>
      <c r="C330" s="3" t="s">
        <v>580</v>
      </c>
      <c r="D330" s="4" t="s">
        <v>204</v>
      </c>
      <c r="E330" s="44"/>
      <c r="F330" s="10"/>
      <c r="G330" s="10"/>
      <c r="H330" s="48">
        <f>VLOOKUP($A330,'Model Inputs'!$A:$C,3,FALSE)</f>
        <v>2</v>
      </c>
      <c r="I330" s="15"/>
      <c r="J330" s="15">
        <f>SUBTOTAL(9,J331)</f>
        <v>200</v>
      </c>
      <c r="K330" s="10"/>
      <c r="L330" s="15">
        <f t="shared" ref="L330" si="49">MAX(L331)</f>
        <v>0</v>
      </c>
      <c r="M330" s="15">
        <f>SUBTOTAL(9,M331)</f>
        <v>0</v>
      </c>
      <c r="N330" s="15">
        <f>SUBTOTAL(9,N331)</f>
        <v>0</v>
      </c>
      <c r="O330" s="15">
        <f>SUBTOTAL(9,O331)</f>
        <v>0</v>
      </c>
      <c r="P330" s="15">
        <f>SUBTOTAL(9,P331)</f>
        <v>200</v>
      </c>
      <c r="Q330" s="15">
        <f>SUBTOTAL(9,Q331)</f>
        <v>200</v>
      </c>
      <c r="R330" s="249"/>
    </row>
    <row r="331" spans="1:18" x14ac:dyDescent="0.25">
      <c r="A331" s="52" t="s">
        <v>642</v>
      </c>
      <c r="B331" s="6">
        <v>1</v>
      </c>
      <c r="C331" s="6" t="s">
        <v>78</v>
      </c>
      <c r="D331" s="6" t="s">
        <v>19</v>
      </c>
      <c r="E331" s="45" t="s">
        <v>509</v>
      </c>
      <c r="F331" s="12">
        <v>100</v>
      </c>
      <c r="G331" s="12">
        <v>1</v>
      </c>
      <c r="H331" s="16">
        <f>H330</f>
        <v>2</v>
      </c>
      <c r="I331" s="16">
        <f>VLOOKUP(C331,Resources!B:G,6,FALSE)</f>
        <v>1</v>
      </c>
      <c r="J331" s="16">
        <f>(H331/G331)*I331*F331</f>
        <v>200</v>
      </c>
      <c r="K331" s="12">
        <f>IF(E331="M"," ",L331*F331)</f>
        <v>0</v>
      </c>
      <c r="L331" s="53"/>
      <c r="M331" s="16">
        <f>IF($E331="L",$J331,0)</f>
        <v>0</v>
      </c>
      <c r="N331" s="16">
        <f>IF($E331="M",$J331,0)</f>
        <v>0</v>
      </c>
      <c r="O331" s="16">
        <f>IF($E331="P",$J331,0)</f>
        <v>0</v>
      </c>
      <c r="P331" s="16">
        <f>IF($E331="S",$J331,0)</f>
        <v>200</v>
      </c>
      <c r="Q331" s="16">
        <f>SUM(M331:P331)</f>
        <v>200</v>
      </c>
      <c r="R331" s="250">
        <v>103</v>
      </c>
    </row>
    <row r="332" spans="1:18" x14ac:dyDescent="0.25">
      <c r="A332" s="49" t="s">
        <v>642</v>
      </c>
      <c r="F332" s="11"/>
      <c r="G332" s="11"/>
      <c r="K332" s="11"/>
      <c r="L332" s="11"/>
    </row>
    <row r="333" spans="1:18" ht="60" x14ac:dyDescent="0.25">
      <c r="A333" s="51">
        <v>46</v>
      </c>
      <c r="B333" s="3" t="s">
        <v>227</v>
      </c>
      <c r="C333" s="3" t="s">
        <v>581</v>
      </c>
      <c r="D333" s="4" t="s">
        <v>204</v>
      </c>
      <c r="E333" s="44"/>
      <c r="F333" s="10"/>
      <c r="G333" s="10"/>
      <c r="H333" s="48">
        <f>VLOOKUP($A333,'Model Inputs'!$A:$C,3,FALSE)</f>
        <v>2</v>
      </c>
      <c r="I333" s="15"/>
      <c r="J333" s="15">
        <f>SUBTOTAL(9,J334)</f>
        <v>1040</v>
      </c>
      <c r="K333" s="10"/>
      <c r="L333" s="15">
        <f t="shared" ref="L333" si="50">MAX(L334)</f>
        <v>0</v>
      </c>
      <c r="M333" s="15">
        <f>SUBTOTAL(9,M334)</f>
        <v>0</v>
      </c>
      <c r="N333" s="15">
        <f>SUBTOTAL(9,N334)</f>
        <v>0</v>
      </c>
      <c r="O333" s="15">
        <f>SUBTOTAL(9,O334)</f>
        <v>0</v>
      </c>
      <c r="P333" s="15">
        <f>SUBTOTAL(9,P334)</f>
        <v>1040</v>
      </c>
      <c r="Q333" s="15">
        <f>SUBTOTAL(9,Q334)</f>
        <v>1040</v>
      </c>
      <c r="R333" s="249"/>
    </row>
    <row r="334" spans="1:18" x14ac:dyDescent="0.25">
      <c r="A334" s="52" t="s">
        <v>642</v>
      </c>
      <c r="B334" s="6">
        <v>1</v>
      </c>
      <c r="C334" s="6" t="s">
        <v>78</v>
      </c>
      <c r="D334" s="6" t="s">
        <v>19</v>
      </c>
      <c r="E334" s="45" t="s">
        <v>509</v>
      </c>
      <c r="F334" s="12">
        <v>520</v>
      </c>
      <c r="G334" s="12">
        <v>1</v>
      </c>
      <c r="H334" s="16">
        <f>H333</f>
        <v>2</v>
      </c>
      <c r="I334" s="16">
        <f>VLOOKUP(C334,Resources!B:G,6,FALSE)</f>
        <v>1</v>
      </c>
      <c r="J334" s="16">
        <f>(H334/G334)*I334*F334</f>
        <v>1040</v>
      </c>
      <c r="K334" s="12">
        <f>IF(E334="M"," ",L334*F334)</f>
        <v>0</v>
      </c>
      <c r="L334" s="53"/>
      <c r="M334" s="16">
        <f>IF($E334="L",$J334,0)</f>
        <v>0</v>
      </c>
      <c r="N334" s="16">
        <f>IF($E334="M",$J334,0)</f>
        <v>0</v>
      </c>
      <c r="O334" s="16">
        <f>IF($E334="P",$J334,0)</f>
        <v>0</v>
      </c>
      <c r="P334" s="16">
        <f>IF($E334="S",$J334,0)</f>
        <v>1040</v>
      </c>
      <c r="Q334" s="16">
        <f>SUM(M334:P334)</f>
        <v>1040</v>
      </c>
      <c r="R334" s="250">
        <v>103</v>
      </c>
    </row>
    <row r="335" spans="1:18" x14ac:dyDescent="0.25">
      <c r="A335" s="49" t="s">
        <v>642</v>
      </c>
      <c r="F335" s="11"/>
      <c r="G335" s="11"/>
      <c r="K335" s="11"/>
      <c r="L335" s="11"/>
    </row>
    <row r="336" spans="1:18" ht="75" x14ac:dyDescent="0.25">
      <c r="A336" s="51" t="s">
        <v>642</v>
      </c>
      <c r="B336" s="3" t="s">
        <v>229</v>
      </c>
      <c r="C336" s="3" t="s">
        <v>230</v>
      </c>
      <c r="D336" s="4"/>
      <c r="E336" s="44"/>
      <c r="F336" s="10"/>
      <c r="G336" s="10"/>
      <c r="H336" s="15"/>
      <c r="I336" s="15"/>
      <c r="J336" s="15"/>
      <c r="K336" s="10"/>
      <c r="L336" s="10"/>
      <c r="M336" s="15"/>
      <c r="N336" s="15"/>
      <c r="O336" s="15"/>
      <c r="P336" s="15"/>
      <c r="Q336" s="15"/>
      <c r="R336" s="249"/>
    </row>
    <row r="337" spans="1:18" ht="90" x14ac:dyDescent="0.25">
      <c r="A337" s="51">
        <v>47</v>
      </c>
      <c r="B337" s="3" t="s">
        <v>231</v>
      </c>
      <c r="C337" s="3" t="s">
        <v>582</v>
      </c>
      <c r="D337" s="4" t="s">
        <v>204</v>
      </c>
      <c r="E337" s="44"/>
      <c r="F337" s="10"/>
      <c r="G337" s="10"/>
      <c r="H337" s="48">
        <f>VLOOKUP($A337,'Model Inputs'!$A:$C,3,FALSE)</f>
        <v>7</v>
      </c>
      <c r="I337" s="15"/>
      <c r="J337" s="15">
        <f>SUBTOTAL(9,J338)</f>
        <v>700</v>
      </c>
      <c r="K337" s="10"/>
      <c r="L337" s="15">
        <f t="shared" ref="L337" si="51">MAX(L338)</f>
        <v>0</v>
      </c>
      <c r="M337" s="15">
        <f>SUBTOTAL(9,M338)</f>
        <v>0</v>
      </c>
      <c r="N337" s="15">
        <f>SUBTOTAL(9,N338)</f>
        <v>0</v>
      </c>
      <c r="O337" s="15">
        <f>SUBTOTAL(9,O338)</f>
        <v>0</v>
      </c>
      <c r="P337" s="15">
        <f>SUBTOTAL(9,P338)</f>
        <v>700</v>
      </c>
      <c r="Q337" s="15">
        <f>SUBTOTAL(9,Q338)</f>
        <v>700</v>
      </c>
      <c r="R337" s="249"/>
    </row>
    <row r="338" spans="1:18" x14ac:dyDescent="0.25">
      <c r="A338" s="52" t="s">
        <v>642</v>
      </c>
      <c r="B338" s="6">
        <v>1</v>
      </c>
      <c r="C338" s="6" t="s">
        <v>78</v>
      </c>
      <c r="D338" s="6" t="s">
        <v>19</v>
      </c>
      <c r="E338" s="45" t="s">
        <v>509</v>
      </c>
      <c r="F338" s="12">
        <v>100</v>
      </c>
      <c r="G338" s="12">
        <v>1</v>
      </c>
      <c r="H338" s="16">
        <f>H337</f>
        <v>7</v>
      </c>
      <c r="I338" s="16">
        <f>VLOOKUP(C338,Resources!B:G,6,FALSE)</f>
        <v>1</v>
      </c>
      <c r="J338" s="16">
        <f>(H338/G338)*I338*F338</f>
        <v>700</v>
      </c>
      <c r="K338" s="12">
        <f>IF(E338="M"," ",L338*F338)</f>
        <v>0</v>
      </c>
      <c r="L338" s="53"/>
      <c r="M338" s="16">
        <f>IF($E338="L",$J338,0)</f>
        <v>0</v>
      </c>
      <c r="N338" s="16">
        <f>IF($E338="M",$J338,0)</f>
        <v>0</v>
      </c>
      <c r="O338" s="16">
        <f>IF($E338="P",$J338,0)</f>
        <v>0</v>
      </c>
      <c r="P338" s="16">
        <f>IF($E338="S",$J338,0)</f>
        <v>700</v>
      </c>
      <c r="Q338" s="16">
        <f>SUM(M338:P338)</f>
        <v>700</v>
      </c>
      <c r="R338" s="250">
        <v>103</v>
      </c>
    </row>
    <row r="339" spans="1:18" x14ac:dyDescent="0.25">
      <c r="A339" s="49" t="s">
        <v>642</v>
      </c>
      <c r="F339" s="11"/>
      <c r="G339" s="11"/>
      <c r="K339" s="11"/>
      <c r="L339" s="11"/>
    </row>
    <row r="340" spans="1:18" ht="30" x14ac:dyDescent="0.25">
      <c r="A340" s="51" t="s">
        <v>642</v>
      </c>
      <c r="B340" s="3" t="s">
        <v>233</v>
      </c>
      <c r="C340" s="3" t="s">
        <v>234</v>
      </c>
      <c r="D340" s="4"/>
      <c r="E340" s="44"/>
      <c r="F340" s="10"/>
      <c r="G340" s="10"/>
      <c r="H340" s="15"/>
      <c r="I340" s="15"/>
      <c r="J340" s="15"/>
      <c r="K340" s="10"/>
      <c r="L340" s="10"/>
      <c r="M340" s="15"/>
      <c r="N340" s="15"/>
      <c r="O340" s="15"/>
      <c r="P340" s="15"/>
      <c r="Q340" s="15"/>
      <c r="R340" s="249"/>
    </row>
    <row r="341" spans="1:18" ht="30" x14ac:dyDescent="0.25">
      <c r="A341" s="51">
        <v>48</v>
      </c>
      <c r="B341" s="3" t="s">
        <v>235</v>
      </c>
      <c r="C341" s="3" t="s">
        <v>583</v>
      </c>
      <c r="D341" s="4" t="s">
        <v>204</v>
      </c>
      <c r="E341" s="44"/>
      <c r="F341" s="10"/>
      <c r="G341" s="10"/>
      <c r="H341" s="48">
        <f>VLOOKUP($A341,'Model Inputs'!$A:$C,3,FALSE)</f>
        <v>2</v>
      </c>
      <c r="I341" s="15"/>
      <c r="J341" s="15">
        <f>SUBTOTAL(9,J342)</f>
        <v>500</v>
      </c>
      <c r="K341" s="10"/>
      <c r="L341" s="15">
        <f t="shared" ref="L341" si="52">MAX(L342)</f>
        <v>0</v>
      </c>
      <c r="M341" s="15">
        <f>SUBTOTAL(9,M342)</f>
        <v>0</v>
      </c>
      <c r="N341" s="15">
        <f>SUBTOTAL(9,N342)</f>
        <v>0</v>
      </c>
      <c r="O341" s="15">
        <f>SUBTOTAL(9,O342)</f>
        <v>0</v>
      </c>
      <c r="P341" s="15">
        <f>SUBTOTAL(9,P342)</f>
        <v>500</v>
      </c>
      <c r="Q341" s="15">
        <f>SUBTOTAL(9,Q342)</f>
        <v>500</v>
      </c>
      <c r="R341" s="249"/>
    </row>
    <row r="342" spans="1:18" x14ac:dyDescent="0.25">
      <c r="A342" s="52" t="s">
        <v>642</v>
      </c>
      <c r="B342" s="6">
        <v>1</v>
      </c>
      <c r="C342" s="6" t="s">
        <v>78</v>
      </c>
      <c r="D342" s="6" t="s">
        <v>19</v>
      </c>
      <c r="E342" s="45" t="s">
        <v>509</v>
      </c>
      <c r="F342" s="12">
        <v>250</v>
      </c>
      <c r="G342" s="12">
        <v>1</v>
      </c>
      <c r="H342" s="16">
        <f>H341</f>
        <v>2</v>
      </c>
      <c r="I342" s="16">
        <f>VLOOKUP(C342,Resources!B:G,6,FALSE)</f>
        <v>1</v>
      </c>
      <c r="J342" s="16">
        <f>(H342/G342)*I342*F342</f>
        <v>500</v>
      </c>
      <c r="K342" s="12">
        <f>IF(E342="M"," ",L342*F342)</f>
        <v>0</v>
      </c>
      <c r="L342" s="53"/>
      <c r="M342" s="16">
        <f>IF($E342="L",$J342,0)</f>
        <v>0</v>
      </c>
      <c r="N342" s="16">
        <f>IF($E342="M",$J342,0)</f>
        <v>0</v>
      </c>
      <c r="O342" s="16">
        <f>IF($E342="P",$J342,0)</f>
        <v>0</v>
      </c>
      <c r="P342" s="16">
        <f>IF($E342="S",$J342,0)</f>
        <v>500</v>
      </c>
      <c r="Q342" s="16">
        <f>SUM(M342:P342)</f>
        <v>500</v>
      </c>
      <c r="R342" s="250">
        <v>103</v>
      </c>
    </row>
    <row r="343" spans="1:18" x14ac:dyDescent="0.25">
      <c r="A343" s="49" t="s">
        <v>642</v>
      </c>
      <c r="F343" s="11"/>
      <c r="G343" s="11"/>
      <c r="K343" s="11"/>
      <c r="L343" s="11"/>
    </row>
    <row r="344" spans="1:18" ht="75" x14ac:dyDescent="0.25">
      <c r="A344" s="51" t="s">
        <v>642</v>
      </c>
      <c r="B344" s="3" t="s">
        <v>237</v>
      </c>
      <c r="C344" s="3" t="s">
        <v>238</v>
      </c>
      <c r="D344" s="4"/>
      <c r="E344" s="44"/>
      <c r="F344" s="10"/>
      <c r="G344" s="10"/>
      <c r="H344" s="10"/>
      <c r="I344" s="15"/>
      <c r="J344" s="15"/>
      <c r="K344" s="10"/>
      <c r="L344" s="10"/>
      <c r="M344" s="15"/>
      <c r="N344" s="15"/>
      <c r="O344" s="15"/>
      <c r="P344" s="15"/>
      <c r="Q344" s="15"/>
      <c r="R344" s="249"/>
    </row>
    <row r="345" spans="1:18" ht="120" x14ac:dyDescent="0.25">
      <c r="A345" s="51">
        <v>49</v>
      </c>
      <c r="B345" s="3" t="s">
        <v>239</v>
      </c>
      <c r="C345" s="3" t="s">
        <v>584</v>
      </c>
      <c r="D345" s="4" t="s">
        <v>204</v>
      </c>
      <c r="E345" s="44"/>
      <c r="F345" s="10"/>
      <c r="G345" s="10"/>
      <c r="H345" s="48">
        <f>VLOOKUP($A345,'Model Inputs'!$A:$C,3,FALSE)</f>
        <v>7</v>
      </c>
      <c r="I345" s="15"/>
      <c r="J345" s="15">
        <f>SUBTOTAL(9,J346)</f>
        <v>2800</v>
      </c>
      <c r="K345" s="10"/>
      <c r="L345" s="15">
        <f>ROUNDUP(MAX(L346)/Workhrs,0)</f>
        <v>3</v>
      </c>
      <c r="M345" s="15">
        <f>SUBTOTAL(9,M346)</f>
        <v>0</v>
      </c>
      <c r="N345" s="15">
        <f>SUBTOTAL(9,N346)</f>
        <v>0</v>
      </c>
      <c r="O345" s="15">
        <f>SUBTOTAL(9,O346)</f>
        <v>0</v>
      </c>
      <c r="P345" s="15">
        <f>SUBTOTAL(9,P346)</f>
        <v>2800</v>
      </c>
      <c r="Q345" s="15">
        <f>SUBTOTAL(9,Q346)</f>
        <v>2800</v>
      </c>
      <c r="R345" s="249"/>
    </row>
    <row r="346" spans="1:18" x14ac:dyDescent="0.25">
      <c r="A346" s="52" t="s">
        <v>642</v>
      </c>
      <c r="B346" s="6">
        <v>1</v>
      </c>
      <c r="C346" s="6" t="s">
        <v>78</v>
      </c>
      <c r="D346" s="6" t="s">
        <v>19</v>
      </c>
      <c r="E346" s="45" t="s">
        <v>509</v>
      </c>
      <c r="F346" s="12">
        <v>400</v>
      </c>
      <c r="G346" s="12">
        <v>1</v>
      </c>
      <c r="H346" s="16">
        <f>H345</f>
        <v>7</v>
      </c>
      <c r="I346" s="16">
        <f>VLOOKUP(C346,Resources!B:G,6,FALSE)</f>
        <v>1</v>
      </c>
      <c r="J346" s="16">
        <f>(H346/G346)*I346*F346</f>
        <v>2800</v>
      </c>
      <c r="K346" s="12">
        <f>IF(E346="M"," ",L346*F346)</f>
        <v>8400</v>
      </c>
      <c r="L346" s="53">
        <f>IF(E346="M"," ",H346/G346)*3</f>
        <v>21</v>
      </c>
      <c r="M346" s="16">
        <f>IF($E346="L",$J346,0)</f>
        <v>0</v>
      </c>
      <c r="N346" s="16">
        <f>IF($E346="M",$J346,0)</f>
        <v>0</v>
      </c>
      <c r="O346" s="16">
        <f>IF($E346="P",$J346,0)</f>
        <v>0</v>
      </c>
      <c r="P346" s="16">
        <f>IF($E346="S",$J346,0)</f>
        <v>2800</v>
      </c>
      <c r="Q346" s="16">
        <f>SUM(M346:P346)</f>
        <v>2800</v>
      </c>
      <c r="R346" s="250">
        <v>103</v>
      </c>
    </row>
    <row r="347" spans="1:18" x14ac:dyDescent="0.25">
      <c r="A347" s="49" t="s">
        <v>642</v>
      </c>
      <c r="F347" s="11"/>
      <c r="G347" s="11"/>
      <c r="K347" s="11"/>
      <c r="L347" s="11"/>
    </row>
    <row r="348" spans="1:18" ht="75" x14ac:dyDescent="0.25">
      <c r="A348" s="51">
        <v>50</v>
      </c>
      <c r="B348" s="3" t="s">
        <v>241</v>
      </c>
      <c r="C348" s="3" t="s">
        <v>585</v>
      </c>
      <c r="D348" s="4" t="s">
        <v>204</v>
      </c>
      <c r="E348" s="44"/>
      <c r="F348" s="10"/>
      <c r="G348" s="10"/>
      <c r="H348" s="48">
        <f>VLOOKUP($A348,'Model Inputs'!$A:$C,3,FALSE)</f>
        <v>2</v>
      </c>
      <c r="I348" s="15"/>
      <c r="J348" s="15">
        <f>SUBTOTAL(9,J349)</f>
        <v>4000</v>
      </c>
      <c r="K348" s="10"/>
      <c r="L348" s="15">
        <f>ROUNDUP(MAX(L349)/Workhrs,0)</f>
        <v>2</v>
      </c>
      <c r="M348" s="15">
        <f>SUBTOTAL(9,M349)</f>
        <v>0</v>
      </c>
      <c r="N348" s="15">
        <f>SUBTOTAL(9,N349)</f>
        <v>0</v>
      </c>
      <c r="O348" s="15">
        <f>SUBTOTAL(9,O349)</f>
        <v>0</v>
      </c>
      <c r="P348" s="15">
        <f>SUBTOTAL(9,P349)</f>
        <v>4000</v>
      </c>
      <c r="Q348" s="15">
        <f>SUBTOTAL(9,Q349)</f>
        <v>4000</v>
      </c>
      <c r="R348" s="249"/>
    </row>
    <row r="349" spans="1:18" x14ac:dyDescent="0.25">
      <c r="A349" s="52" t="s">
        <v>642</v>
      </c>
      <c r="B349" s="6">
        <v>1</v>
      </c>
      <c r="C349" s="6" t="s">
        <v>78</v>
      </c>
      <c r="D349" s="6" t="s">
        <v>19</v>
      </c>
      <c r="E349" s="45" t="s">
        <v>509</v>
      </c>
      <c r="F349" s="12">
        <v>2000</v>
      </c>
      <c r="G349" s="12">
        <v>1</v>
      </c>
      <c r="H349" s="16">
        <f>H348</f>
        <v>2</v>
      </c>
      <c r="I349" s="16">
        <f>VLOOKUP(C349,Resources!B:G,6,FALSE)</f>
        <v>1</v>
      </c>
      <c r="J349" s="16">
        <f>(H349/G349)*I349*F349</f>
        <v>4000</v>
      </c>
      <c r="K349" s="12">
        <f>IF(E349="M"," ",L349*F349)</f>
        <v>36000</v>
      </c>
      <c r="L349" s="53">
        <f>IF(E349="M"," ",H349/G349)*9</f>
        <v>18</v>
      </c>
      <c r="M349" s="16">
        <f>IF($E349="L",$J349,0)</f>
        <v>0</v>
      </c>
      <c r="N349" s="16">
        <f>IF($E349="M",$J349,0)</f>
        <v>0</v>
      </c>
      <c r="O349" s="16">
        <f>IF($E349="P",$J349,0)</f>
        <v>0</v>
      </c>
      <c r="P349" s="16">
        <f>IF($E349="S",$J349,0)</f>
        <v>4000</v>
      </c>
      <c r="Q349" s="16">
        <f>SUM(M349:P349)</f>
        <v>4000</v>
      </c>
      <c r="R349" s="250">
        <v>103</v>
      </c>
    </row>
    <row r="350" spans="1:18" x14ac:dyDescent="0.25">
      <c r="A350" s="49" t="s">
        <v>642</v>
      </c>
      <c r="F350" s="11"/>
      <c r="G350" s="11"/>
      <c r="K350" s="11"/>
      <c r="L350" s="11"/>
    </row>
    <row r="351" spans="1:18" ht="45" x14ac:dyDescent="0.25">
      <c r="A351" s="51">
        <v>51</v>
      </c>
      <c r="B351" s="3" t="s">
        <v>243</v>
      </c>
      <c r="C351" s="3" t="s">
        <v>586</v>
      </c>
      <c r="D351" s="4" t="s">
        <v>204</v>
      </c>
      <c r="E351" s="44"/>
      <c r="F351" s="10"/>
      <c r="G351" s="10"/>
      <c r="H351" s="48">
        <f>VLOOKUP($A351,'Model Inputs'!$A:$C,3,FALSE)</f>
        <v>4</v>
      </c>
      <c r="I351" s="15"/>
      <c r="J351" s="15">
        <f>SUBTOTAL(9,J352)</f>
        <v>1920</v>
      </c>
      <c r="K351" s="10"/>
      <c r="L351" s="15">
        <f>ROUNDUP(MAX(L352)/Workhrs,0)</f>
        <v>1</v>
      </c>
      <c r="M351" s="15">
        <f>SUBTOTAL(9,M352)</f>
        <v>0</v>
      </c>
      <c r="N351" s="15">
        <f>SUBTOTAL(9,N352)</f>
        <v>0</v>
      </c>
      <c r="O351" s="15">
        <f>SUBTOTAL(9,O352)</f>
        <v>0</v>
      </c>
      <c r="P351" s="15">
        <f>SUBTOTAL(9,P352)</f>
        <v>1920</v>
      </c>
      <c r="Q351" s="15">
        <f>SUBTOTAL(9,Q352)</f>
        <v>1920</v>
      </c>
      <c r="R351" s="249"/>
    </row>
    <row r="352" spans="1:18" x14ac:dyDescent="0.25">
      <c r="A352" s="52" t="s">
        <v>642</v>
      </c>
      <c r="B352" s="6">
        <v>1</v>
      </c>
      <c r="C352" s="6" t="s">
        <v>78</v>
      </c>
      <c r="D352" s="6" t="s">
        <v>19</v>
      </c>
      <c r="E352" s="45" t="s">
        <v>509</v>
      </c>
      <c r="F352" s="12">
        <v>480</v>
      </c>
      <c r="G352" s="12">
        <v>1</v>
      </c>
      <c r="H352" s="16">
        <f>H351</f>
        <v>4</v>
      </c>
      <c r="I352" s="16">
        <f>VLOOKUP(C352,Resources!B:G,6,FALSE)</f>
        <v>1</v>
      </c>
      <c r="J352" s="16">
        <f>(H352/G352)*I352*F352</f>
        <v>1920</v>
      </c>
      <c r="K352" s="12">
        <f>IF(E352="M"," ",L352*F352)</f>
        <v>1920</v>
      </c>
      <c r="L352" s="12">
        <f>IF(E352="M"," ",H352/G352)</f>
        <v>4</v>
      </c>
      <c r="M352" s="16">
        <f>IF($E352="L",$J352,0)</f>
        <v>0</v>
      </c>
      <c r="N352" s="16">
        <f>IF($E352="M",$J352,0)</f>
        <v>0</v>
      </c>
      <c r="O352" s="16">
        <f>IF($E352="P",$J352,0)</f>
        <v>0</v>
      </c>
      <c r="P352" s="16">
        <f>IF($E352="S",$J352,0)</f>
        <v>1920</v>
      </c>
      <c r="Q352" s="16">
        <f>SUM(M352:P352)</f>
        <v>1920</v>
      </c>
      <c r="R352" s="250">
        <v>103</v>
      </c>
    </row>
    <row r="353" spans="1:18" x14ac:dyDescent="0.25">
      <c r="A353" s="49" t="s">
        <v>642</v>
      </c>
      <c r="F353" s="11"/>
      <c r="G353" s="11"/>
      <c r="K353" s="11"/>
      <c r="L353" s="11"/>
    </row>
    <row r="354" spans="1:18" ht="60" x14ac:dyDescent="0.25">
      <c r="A354" s="51">
        <v>52</v>
      </c>
      <c r="B354" s="3" t="s">
        <v>245</v>
      </c>
      <c r="C354" s="3" t="s">
        <v>587</v>
      </c>
      <c r="D354" s="4" t="s">
        <v>204</v>
      </c>
      <c r="E354" s="44"/>
      <c r="F354" s="10"/>
      <c r="G354" s="10"/>
      <c r="H354" s="48">
        <f>VLOOKUP($A354,'Model Inputs'!$A:$C,3,FALSE)</f>
        <v>3</v>
      </c>
      <c r="I354" s="15"/>
      <c r="J354" s="15">
        <f>SUBTOTAL(9,J355)</f>
        <v>6240</v>
      </c>
      <c r="K354" s="10"/>
      <c r="L354" s="15">
        <f>ROUNDUP(MAX(L355)/Workhrs,0)</f>
        <v>3</v>
      </c>
      <c r="M354" s="15">
        <f>SUBTOTAL(9,M355)</f>
        <v>0</v>
      </c>
      <c r="N354" s="15">
        <f>SUBTOTAL(9,N355)</f>
        <v>0</v>
      </c>
      <c r="O354" s="15">
        <f>SUBTOTAL(9,O355)</f>
        <v>0</v>
      </c>
      <c r="P354" s="15">
        <f>SUBTOTAL(9,P355)</f>
        <v>6240</v>
      </c>
      <c r="Q354" s="15">
        <f>SUBTOTAL(9,Q355)</f>
        <v>6240</v>
      </c>
      <c r="R354" s="249"/>
    </row>
    <row r="355" spans="1:18" x14ac:dyDescent="0.25">
      <c r="A355" s="52" t="s">
        <v>642</v>
      </c>
      <c r="B355" s="6">
        <v>1</v>
      </c>
      <c r="C355" s="6" t="s">
        <v>78</v>
      </c>
      <c r="D355" s="6" t="s">
        <v>19</v>
      </c>
      <c r="E355" s="45" t="s">
        <v>509</v>
      </c>
      <c r="F355" s="12">
        <v>2080</v>
      </c>
      <c r="G355" s="12">
        <v>1</v>
      </c>
      <c r="H355" s="16">
        <f>H354</f>
        <v>3</v>
      </c>
      <c r="I355" s="16">
        <f>VLOOKUP(C355,Resources!B:G,6,FALSE)</f>
        <v>1</v>
      </c>
      <c r="J355" s="16">
        <f>(H355/G355)*I355*F355</f>
        <v>6240</v>
      </c>
      <c r="K355" s="12">
        <f>IF(E355="M"," ",L355*F355)</f>
        <v>56160</v>
      </c>
      <c r="L355" s="53">
        <f>IF(E355="M"," ",H355/G355)*9</f>
        <v>27</v>
      </c>
      <c r="M355" s="16">
        <f>IF($E355="L",$J355,0)</f>
        <v>0</v>
      </c>
      <c r="N355" s="16">
        <f>IF($E355="M",$J355,0)</f>
        <v>0</v>
      </c>
      <c r="O355" s="16">
        <f>IF($E355="P",$J355,0)</f>
        <v>0</v>
      </c>
      <c r="P355" s="16">
        <f>IF($E355="S",$J355,0)</f>
        <v>6240</v>
      </c>
      <c r="Q355" s="16">
        <f>SUM(M355:P355)</f>
        <v>6240</v>
      </c>
      <c r="R355" s="250">
        <v>103</v>
      </c>
    </row>
    <row r="356" spans="1:18" x14ac:dyDescent="0.25">
      <c r="A356" s="49" t="s">
        <v>642</v>
      </c>
      <c r="F356" s="11"/>
      <c r="G356" s="11"/>
      <c r="K356" s="11"/>
      <c r="L356" s="11"/>
    </row>
    <row r="357" spans="1:18" ht="120" x14ac:dyDescent="0.25">
      <c r="A357" s="51" t="s">
        <v>642</v>
      </c>
      <c r="B357" s="3" t="s">
        <v>247</v>
      </c>
      <c r="C357" s="3" t="s">
        <v>588</v>
      </c>
      <c r="D357" s="4"/>
      <c r="E357" s="44"/>
      <c r="F357" s="10"/>
      <c r="G357" s="10"/>
      <c r="H357" s="15"/>
      <c r="I357" s="15"/>
      <c r="J357" s="15"/>
      <c r="K357" s="10"/>
      <c r="L357" s="10"/>
      <c r="M357" s="15"/>
      <c r="N357" s="15"/>
      <c r="O357" s="15"/>
      <c r="P357" s="15"/>
      <c r="Q357" s="15"/>
      <c r="R357" s="249"/>
    </row>
    <row r="358" spans="1:18" ht="135" x14ac:dyDescent="0.25">
      <c r="A358" s="51">
        <v>53</v>
      </c>
      <c r="B358" s="3" t="s">
        <v>248</v>
      </c>
      <c r="C358" s="3" t="s">
        <v>589</v>
      </c>
      <c r="D358" s="4" t="s">
        <v>26</v>
      </c>
      <c r="E358" s="44"/>
      <c r="F358" s="10"/>
      <c r="G358" s="10"/>
      <c r="H358" s="48">
        <f>VLOOKUP($A358,'Model Inputs'!$A:$C,3,FALSE)</f>
        <v>253</v>
      </c>
      <c r="I358" s="15"/>
      <c r="J358" s="15">
        <f>SUBTOTAL(9,J359)</f>
        <v>20240</v>
      </c>
      <c r="K358" s="10"/>
      <c r="L358" s="15">
        <f>ROUNDUP(MAX(L359)/Workhrs,0)</f>
        <v>5</v>
      </c>
      <c r="M358" s="15">
        <f>SUBTOTAL(9,M359)</f>
        <v>0</v>
      </c>
      <c r="N358" s="15">
        <f>SUBTOTAL(9,N359)</f>
        <v>0</v>
      </c>
      <c r="O358" s="15">
        <f>SUBTOTAL(9,O359)</f>
        <v>0</v>
      </c>
      <c r="P358" s="15">
        <f>SUBTOTAL(9,P359)</f>
        <v>20240</v>
      </c>
      <c r="Q358" s="15">
        <f>SUBTOTAL(9,Q359)</f>
        <v>20240</v>
      </c>
      <c r="R358" s="249"/>
    </row>
    <row r="359" spans="1:18" x14ac:dyDescent="0.25">
      <c r="A359" s="52" t="s">
        <v>642</v>
      </c>
      <c r="B359" s="6">
        <v>1</v>
      </c>
      <c r="C359" s="6" t="s">
        <v>78</v>
      </c>
      <c r="D359" s="6" t="s">
        <v>19</v>
      </c>
      <c r="E359" s="45" t="s">
        <v>509</v>
      </c>
      <c r="F359" s="12">
        <v>80</v>
      </c>
      <c r="G359" s="12">
        <v>1</v>
      </c>
      <c r="H359" s="16">
        <f>H358</f>
        <v>253</v>
      </c>
      <c r="I359" s="16">
        <f>VLOOKUP(C359,Resources!B:G,6,FALSE)</f>
        <v>1</v>
      </c>
      <c r="J359" s="16">
        <f>(H359/G359)*I359*F359</f>
        <v>20240</v>
      </c>
      <c r="K359" s="12">
        <f>IF(E359="M"," ",L359*F359)</f>
        <v>3035.9999999999995</v>
      </c>
      <c r="L359" s="12">
        <f>IF(E359="M"," ",H359/G359)/(60/9)</f>
        <v>37.949999999999996</v>
      </c>
      <c r="M359" s="16">
        <f>IF($E359="L",$J359,0)</f>
        <v>0</v>
      </c>
      <c r="N359" s="16">
        <f>IF($E359="M",$J359,0)</f>
        <v>0</v>
      </c>
      <c r="O359" s="16">
        <f>IF($E359="P",$J359,0)</f>
        <v>0</v>
      </c>
      <c r="P359" s="16">
        <f>IF($E359="S",$J359,0)</f>
        <v>20240</v>
      </c>
      <c r="Q359" s="16">
        <f>SUM(M359:P359)</f>
        <v>20240</v>
      </c>
      <c r="R359" s="250">
        <v>103</v>
      </c>
    </row>
    <row r="360" spans="1:18" x14ac:dyDescent="0.25">
      <c r="A360" s="49" t="s">
        <v>642</v>
      </c>
      <c r="F360" s="11"/>
      <c r="G360" s="11"/>
      <c r="K360" s="11"/>
      <c r="L360" s="11"/>
    </row>
    <row r="361" spans="1:18" ht="60" x14ac:dyDescent="0.25">
      <c r="A361" s="51">
        <v>54</v>
      </c>
      <c r="B361" s="3" t="s">
        <v>249</v>
      </c>
      <c r="C361" s="3" t="s">
        <v>590</v>
      </c>
      <c r="D361" s="4" t="s">
        <v>54</v>
      </c>
      <c r="E361" s="44"/>
      <c r="F361" s="10"/>
      <c r="G361" s="10"/>
      <c r="H361" s="48">
        <f>VLOOKUP($A361,'Model Inputs'!$A:$C,3,FALSE)</f>
        <v>1</v>
      </c>
      <c r="I361" s="15"/>
      <c r="J361" s="15">
        <f>SUBTOTAL(9,J362)</f>
        <v>9600</v>
      </c>
      <c r="K361" s="10"/>
      <c r="L361" s="15">
        <f>ROUNDUP(MAX(L362)/Workhrs,0)</f>
        <v>1</v>
      </c>
      <c r="M361" s="15">
        <f>SUBTOTAL(9,M362)</f>
        <v>0</v>
      </c>
      <c r="N361" s="15">
        <f>SUBTOTAL(9,N362)</f>
        <v>0</v>
      </c>
      <c r="O361" s="15">
        <f>SUBTOTAL(9,O362)</f>
        <v>0</v>
      </c>
      <c r="P361" s="15">
        <f>SUBTOTAL(9,P362)</f>
        <v>9600</v>
      </c>
      <c r="Q361" s="15">
        <f>SUBTOTAL(9,Q362)</f>
        <v>9600</v>
      </c>
      <c r="R361" s="249"/>
    </row>
    <row r="362" spans="1:18" x14ac:dyDescent="0.25">
      <c r="A362" s="52" t="s">
        <v>642</v>
      </c>
      <c r="B362" s="6">
        <v>1</v>
      </c>
      <c r="C362" s="6" t="s">
        <v>78</v>
      </c>
      <c r="D362" s="6" t="s">
        <v>19</v>
      </c>
      <c r="E362" s="45" t="s">
        <v>509</v>
      </c>
      <c r="F362" s="12">
        <v>9600</v>
      </c>
      <c r="G362" s="12">
        <v>1</v>
      </c>
      <c r="H362" s="16">
        <f>H361</f>
        <v>1</v>
      </c>
      <c r="I362" s="16">
        <f>VLOOKUP(C362,Resources!B:G,6,FALSE)</f>
        <v>1</v>
      </c>
      <c r="J362" s="16">
        <f>(H362/G362)*I362*F362</f>
        <v>9600</v>
      </c>
      <c r="K362" s="12">
        <f>IF(E362="M"," ",L362*F362)</f>
        <v>86400</v>
      </c>
      <c r="L362" s="12">
        <f>IF(E362="M"," ",H362/G362)*9</f>
        <v>9</v>
      </c>
      <c r="M362" s="16">
        <f>IF($E362="L",$J362,0)</f>
        <v>0</v>
      </c>
      <c r="N362" s="16">
        <f>IF($E362="M",$J362,0)</f>
        <v>0</v>
      </c>
      <c r="O362" s="16">
        <f>IF($E362="P",$J362,0)</f>
        <v>0</v>
      </c>
      <c r="P362" s="16">
        <f>IF($E362="S",$J362,0)</f>
        <v>9600</v>
      </c>
      <c r="Q362" s="16">
        <f>SUM(M362:P362)</f>
        <v>9600</v>
      </c>
      <c r="R362" s="250">
        <v>103</v>
      </c>
    </row>
    <row r="363" spans="1:18" x14ac:dyDescent="0.25">
      <c r="A363" s="49" t="s">
        <v>642</v>
      </c>
      <c r="F363" s="11"/>
      <c r="G363" s="11"/>
      <c r="K363" s="11"/>
      <c r="L363" s="11"/>
    </row>
    <row r="364" spans="1:18" ht="30" x14ac:dyDescent="0.25">
      <c r="A364" s="51" t="s">
        <v>642</v>
      </c>
      <c r="B364" s="3" t="s">
        <v>251</v>
      </c>
      <c r="C364" s="3" t="s">
        <v>252</v>
      </c>
      <c r="D364" s="4"/>
      <c r="E364" s="44"/>
      <c r="F364" s="10"/>
      <c r="G364" s="10"/>
      <c r="H364" s="15"/>
      <c r="I364" s="15"/>
      <c r="J364" s="15"/>
      <c r="K364" s="10"/>
      <c r="L364" s="10"/>
      <c r="M364" s="15"/>
      <c r="N364" s="15"/>
      <c r="O364" s="15"/>
      <c r="P364" s="15"/>
      <c r="Q364" s="15"/>
      <c r="R364" s="249"/>
    </row>
    <row r="365" spans="1:18" ht="45" x14ac:dyDescent="0.25">
      <c r="A365" s="51">
        <v>55</v>
      </c>
      <c r="B365" s="3" t="s">
        <v>253</v>
      </c>
      <c r="C365" s="3" t="s">
        <v>591</v>
      </c>
      <c r="D365" s="4" t="s">
        <v>26</v>
      </c>
      <c r="E365" s="44"/>
      <c r="F365" s="10"/>
      <c r="G365" s="10"/>
      <c r="H365" s="48">
        <f>VLOOKUP($A365,'Model Inputs'!$A:$C,3,FALSE)</f>
        <v>253</v>
      </c>
      <c r="I365" s="15"/>
      <c r="J365" s="15">
        <f>SUBTOTAL(9,J366)</f>
        <v>3795</v>
      </c>
      <c r="K365" s="10"/>
      <c r="L365" s="15">
        <f t="shared" ref="L365" si="53">MAX(L366)</f>
        <v>0</v>
      </c>
      <c r="M365" s="15">
        <f>SUBTOTAL(9,M366)</f>
        <v>0</v>
      </c>
      <c r="N365" s="15">
        <f>SUBTOTAL(9,N366)</f>
        <v>0</v>
      </c>
      <c r="O365" s="15">
        <f>SUBTOTAL(9,O366)</f>
        <v>0</v>
      </c>
      <c r="P365" s="15">
        <f>SUBTOTAL(9,P366)</f>
        <v>3795</v>
      </c>
      <c r="Q365" s="15">
        <f>SUBTOTAL(9,Q366)</f>
        <v>3795</v>
      </c>
      <c r="R365" s="249"/>
    </row>
    <row r="366" spans="1:18" x14ac:dyDescent="0.25">
      <c r="A366" s="52" t="s">
        <v>642</v>
      </c>
      <c r="B366" s="6">
        <v>1</v>
      </c>
      <c r="C366" s="6" t="s">
        <v>78</v>
      </c>
      <c r="D366" s="6" t="s">
        <v>19</v>
      </c>
      <c r="E366" s="45" t="s">
        <v>509</v>
      </c>
      <c r="F366" s="12">
        <v>15</v>
      </c>
      <c r="G366" s="12">
        <v>1</v>
      </c>
      <c r="H366" s="16">
        <f>H365</f>
        <v>253</v>
      </c>
      <c r="I366" s="16">
        <f>VLOOKUP(C366,Resources!B:G,6,FALSE)</f>
        <v>1</v>
      </c>
      <c r="J366" s="16">
        <f>(H366/G366)*I366*F366</f>
        <v>3795</v>
      </c>
      <c r="K366" s="12">
        <f>IF(E366="M"," ",L366*F366)</f>
        <v>0</v>
      </c>
      <c r="L366" s="53"/>
      <c r="M366" s="16">
        <f>IF($E366="L",$J366,0)</f>
        <v>0</v>
      </c>
      <c r="N366" s="16">
        <f>IF($E366="M",$J366,0)</f>
        <v>0</v>
      </c>
      <c r="O366" s="16">
        <f>IF($E366="P",$J366,0)</f>
        <v>0</v>
      </c>
      <c r="P366" s="16">
        <f>IF($E366="S",$J366,0)</f>
        <v>3795</v>
      </c>
      <c r="Q366" s="16">
        <f>SUM(M366:P366)</f>
        <v>3795</v>
      </c>
      <c r="R366" s="250">
        <v>103</v>
      </c>
    </row>
    <row r="367" spans="1:18" x14ac:dyDescent="0.25">
      <c r="A367" s="49" t="s">
        <v>642</v>
      </c>
      <c r="F367" s="11"/>
      <c r="G367" s="11"/>
      <c r="K367" s="11"/>
      <c r="L367" s="11"/>
    </row>
    <row r="368" spans="1:18" ht="75" x14ac:dyDescent="0.25">
      <c r="A368" s="51">
        <v>56</v>
      </c>
      <c r="B368" s="3" t="s">
        <v>255</v>
      </c>
      <c r="C368" s="3" t="s">
        <v>592</v>
      </c>
      <c r="D368" s="4" t="s">
        <v>61</v>
      </c>
      <c r="E368" s="44"/>
      <c r="F368" s="10"/>
      <c r="G368" s="10"/>
      <c r="H368" s="48">
        <f>VLOOKUP($A368,'Model Inputs'!$A:$C,3,FALSE)</f>
        <v>25</v>
      </c>
      <c r="I368" s="15"/>
      <c r="J368" s="15">
        <f>SUBTOTAL(9,J369)</f>
        <v>1375</v>
      </c>
      <c r="K368" s="10"/>
      <c r="L368" s="15">
        <f t="shared" ref="L368" si="54">MAX(L369)</f>
        <v>0</v>
      </c>
      <c r="M368" s="15">
        <f>SUBTOTAL(9,M369)</f>
        <v>0</v>
      </c>
      <c r="N368" s="15">
        <f>SUBTOTAL(9,N369)</f>
        <v>0</v>
      </c>
      <c r="O368" s="15">
        <f>SUBTOTAL(9,O369)</f>
        <v>0</v>
      </c>
      <c r="P368" s="15">
        <f>SUBTOTAL(9,P369)</f>
        <v>1375</v>
      </c>
      <c r="Q368" s="15">
        <f>SUBTOTAL(9,Q369)</f>
        <v>1375</v>
      </c>
      <c r="R368" s="249"/>
    </row>
    <row r="369" spans="1:18" x14ac:dyDescent="0.25">
      <c r="A369" s="52" t="s">
        <v>642</v>
      </c>
      <c r="B369" s="6">
        <v>1</v>
      </c>
      <c r="C369" s="6" t="s">
        <v>78</v>
      </c>
      <c r="D369" s="6" t="s">
        <v>19</v>
      </c>
      <c r="E369" s="45" t="s">
        <v>509</v>
      </c>
      <c r="F369" s="12">
        <v>55</v>
      </c>
      <c r="G369" s="12">
        <v>1</v>
      </c>
      <c r="H369" s="16">
        <f>H368</f>
        <v>25</v>
      </c>
      <c r="I369" s="16">
        <f>VLOOKUP(C369,Resources!B:G,6,FALSE)</f>
        <v>1</v>
      </c>
      <c r="J369" s="16">
        <f>(H369/G369)*I369*F369</f>
        <v>1375</v>
      </c>
      <c r="K369" s="12">
        <f>IF(E369="M"," ",L369*F369)</f>
        <v>0</v>
      </c>
      <c r="L369" s="53"/>
      <c r="M369" s="16">
        <f>IF($E369="L",$J369,0)</f>
        <v>0</v>
      </c>
      <c r="N369" s="16">
        <f>IF($E369="M",$J369,0)</f>
        <v>0</v>
      </c>
      <c r="O369" s="16">
        <f>IF($E369="P",$J369,0)</f>
        <v>0</v>
      </c>
      <c r="P369" s="16">
        <f>IF($E369="S",$J369,0)</f>
        <v>1375</v>
      </c>
      <c r="Q369" s="16">
        <f>SUM(M369:P369)</f>
        <v>1375</v>
      </c>
      <c r="R369" s="250">
        <v>103</v>
      </c>
    </row>
    <row r="370" spans="1:18" x14ac:dyDescent="0.25">
      <c r="A370" s="49" t="s">
        <v>642</v>
      </c>
      <c r="F370" s="11"/>
      <c r="G370" s="11"/>
      <c r="K370" s="11"/>
      <c r="L370" s="11"/>
    </row>
    <row r="371" spans="1:18" ht="45" x14ac:dyDescent="0.25">
      <c r="A371" s="51">
        <v>57</v>
      </c>
      <c r="B371" s="3" t="s">
        <v>257</v>
      </c>
      <c r="C371" s="3" t="s">
        <v>593</v>
      </c>
      <c r="D371" s="4" t="s">
        <v>204</v>
      </c>
      <c r="E371" s="44"/>
      <c r="F371" s="10"/>
      <c r="G371" s="10"/>
      <c r="H371" s="48">
        <f>VLOOKUP($A371,'Model Inputs'!$A:$C,3,FALSE)</f>
        <v>1</v>
      </c>
      <c r="I371" s="15"/>
      <c r="J371" s="15">
        <f>SUBTOTAL(9,J372)</f>
        <v>17266.88</v>
      </c>
      <c r="K371" s="10"/>
      <c r="L371" s="15">
        <f>ROUNDUP(MAX(L372)/Workhrs,0)</f>
        <v>1</v>
      </c>
      <c r="M371" s="15">
        <f>SUBTOTAL(9,M372)</f>
        <v>0</v>
      </c>
      <c r="N371" s="15">
        <f>SUBTOTAL(9,N372)</f>
        <v>0</v>
      </c>
      <c r="O371" s="15">
        <f>SUBTOTAL(9,O372)</f>
        <v>0</v>
      </c>
      <c r="P371" s="15">
        <f>SUBTOTAL(9,P372)</f>
        <v>17266.88</v>
      </c>
      <c r="Q371" s="15">
        <f>SUBTOTAL(9,Q372)</f>
        <v>17266.88</v>
      </c>
      <c r="R371" s="249"/>
    </row>
    <row r="372" spans="1:18" x14ac:dyDescent="0.25">
      <c r="A372" s="52" t="s">
        <v>642</v>
      </c>
      <c r="B372" s="6">
        <v>1</v>
      </c>
      <c r="C372" s="6" t="s">
        <v>78</v>
      </c>
      <c r="D372" s="6" t="s">
        <v>19</v>
      </c>
      <c r="E372" s="45" t="s">
        <v>509</v>
      </c>
      <c r="F372" s="12">
        <v>17266.88</v>
      </c>
      <c r="G372" s="12">
        <v>1</v>
      </c>
      <c r="H372" s="16">
        <f>H371</f>
        <v>1</v>
      </c>
      <c r="I372" s="16">
        <f>VLOOKUP(C372,Resources!B:G,6,FALSE)</f>
        <v>1</v>
      </c>
      <c r="J372" s="16">
        <f>(H372/G372)*I372*F372</f>
        <v>17266.88</v>
      </c>
      <c r="K372" s="12">
        <f>IF(E372="M"," ",L372*F372)</f>
        <v>155401.92000000001</v>
      </c>
      <c r="L372" s="53">
        <f>IF(E372="M"," ",H372/G372)*9</f>
        <v>9</v>
      </c>
      <c r="M372" s="16">
        <f>IF($E372="L",$J372,0)</f>
        <v>0</v>
      </c>
      <c r="N372" s="16">
        <f>IF($E372="M",$J372,0)</f>
        <v>0</v>
      </c>
      <c r="O372" s="16">
        <f>IF($E372="P",$J372,0)</f>
        <v>0</v>
      </c>
      <c r="P372" s="16">
        <f>IF($E372="S",$J372,0)</f>
        <v>17266.88</v>
      </c>
      <c r="Q372" s="16">
        <f>SUM(M372:P372)</f>
        <v>17266.88</v>
      </c>
      <c r="R372" s="250">
        <v>103</v>
      </c>
    </row>
    <row r="373" spans="1:18" x14ac:dyDescent="0.25">
      <c r="A373" s="49" t="s">
        <v>642</v>
      </c>
      <c r="F373" s="11"/>
      <c r="G373" s="11"/>
      <c r="K373" s="11"/>
      <c r="L373" s="11"/>
    </row>
    <row r="374" spans="1:18" ht="30" x14ac:dyDescent="0.25">
      <c r="A374" s="51">
        <v>58</v>
      </c>
      <c r="B374" s="3" t="s">
        <v>259</v>
      </c>
      <c r="C374" s="3" t="s">
        <v>594</v>
      </c>
      <c r="D374" s="4" t="s">
        <v>61</v>
      </c>
      <c r="E374" s="44"/>
      <c r="F374" s="10"/>
      <c r="G374" s="10"/>
      <c r="H374" s="48">
        <f>VLOOKUP($A374,'Model Inputs'!$A:$C,3,FALSE)</f>
        <v>5</v>
      </c>
      <c r="I374" s="15"/>
      <c r="J374" s="15">
        <f>SUBTOTAL(9,J375)</f>
        <v>1750</v>
      </c>
      <c r="K374" s="10"/>
      <c r="L374" s="15">
        <f t="shared" ref="L374" si="55">MAX(L375)</f>
        <v>0</v>
      </c>
      <c r="M374" s="15">
        <f>SUBTOTAL(9,M375)</f>
        <v>0</v>
      </c>
      <c r="N374" s="15">
        <f>SUBTOTAL(9,N375)</f>
        <v>0</v>
      </c>
      <c r="O374" s="15">
        <f>SUBTOTAL(9,O375)</f>
        <v>0</v>
      </c>
      <c r="P374" s="15">
        <f>SUBTOTAL(9,P375)</f>
        <v>1750</v>
      </c>
      <c r="Q374" s="15">
        <f>SUBTOTAL(9,Q375)</f>
        <v>1750</v>
      </c>
      <c r="R374" s="249"/>
    </row>
    <row r="375" spans="1:18" x14ac:dyDescent="0.25">
      <c r="A375" s="52" t="s">
        <v>642</v>
      </c>
      <c r="B375" s="6">
        <v>1</v>
      </c>
      <c r="C375" s="6" t="s">
        <v>78</v>
      </c>
      <c r="D375" s="6" t="s">
        <v>19</v>
      </c>
      <c r="E375" s="45" t="s">
        <v>509</v>
      </c>
      <c r="F375" s="12">
        <v>350</v>
      </c>
      <c r="G375" s="12">
        <v>1</v>
      </c>
      <c r="H375" s="16">
        <f>H374</f>
        <v>5</v>
      </c>
      <c r="I375" s="16">
        <f>VLOOKUP(C375,Resources!B:G,6,FALSE)</f>
        <v>1</v>
      </c>
      <c r="J375" s="16">
        <f>(H375/G375)*I375*F375</f>
        <v>1750</v>
      </c>
      <c r="K375" s="12">
        <f>IF(E375="M"," ",L375*F375)</f>
        <v>0</v>
      </c>
      <c r="L375" s="53"/>
      <c r="M375" s="16">
        <f>IF($E375="L",$J375,0)</f>
        <v>0</v>
      </c>
      <c r="N375" s="16">
        <f>IF($E375="M",$J375,0)</f>
        <v>0</v>
      </c>
      <c r="O375" s="16">
        <f>IF($E375="P",$J375,0)</f>
        <v>0</v>
      </c>
      <c r="P375" s="16">
        <f>IF($E375="S",$J375,0)</f>
        <v>1750</v>
      </c>
      <c r="Q375" s="16">
        <f>SUM(M375:P375)</f>
        <v>1750</v>
      </c>
      <c r="R375" s="250">
        <v>103</v>
      </c>
    </row>
    <row r="376" spans="1:18" x14ac:dyDescent="0.25">
      <c r="A376" s="49" t="s">
        <v>642</v>
      </c>
      <c r="F376" s="11"/>
      <c r="G376" s="11"/>
      <c r="K376" s="11"/>
      <c r="L376" s="11"/>
    </row>
    <row r="377" spans="1:18" ht="45" x14ac:dyDescent="0.25">
      <c r="A377" s="51">
        <v>59</v>
      </c>
      <c r="B377" s="3" t="s">
        <v>261</v>
      </c>
      <c r="C377" s="3" t="s">
        <v>595</v>
      </c>
      <c r="D377" s="4" t="s">
        <v>17</v>
      </c>
      <c r="E377" s="44"/>
      <c r="F377" s="10"/>
      <c r="G377" s="10"/>
      <c r="H377" s="48">
        <f>VLOOKUP($A377,'Model Inputs'!$A:$C,3,FALSE)</f>
        <v>1</v>
      </c>
      <c r="I377" s="15"/>
      <c r="J377" s="15">
        <f>SUBTOTAL(9,J378)</f>
        <v>1000</v>
      </c>
      <c r="K377" s="10"/>
      <c r="L377" s="15">
        <f>ROUNDUP(MAX(L378)/Workhrs,0)</f>
        <v>3</v>
      </c>
      <c r="M377" s="15">
        <f>SUBTOTAL(9,M378)</f>
        <v>0</v>
      </c>
      <c r="N377" s="15">
        <f>SUBTOTAL(9,N378)</f>
        <v>0</v>
      </c>
      <c r="O377" s="15">
        <f>SUBTOTAL(9,O378)</f>
        <v>0</v>
      </c>
      <c r="P377" s="15">
        <f>SUBTOTAL(9,P378)</f>
        <v>1000</v>
      </c>
      <c r="Q377" s="15">
        <f>SUBTOTAL(9,Q378)</f>
        <v>1000</v>
      </c>
      <c r="R377" s="249"/>
    </row>
    <row r="378" spans="1:18" x14ac:dyDescent="0.25">
      <c r="A378" s="52" t="s">
        <v>642</v>
      </c>
      <c r="B378" s="6">
        <v>1</v>
      </c>
      <c r="C378" s="6" t="s">
        <v>78</v>
      </c>
      <c r="D378" s="6" t="s">
        <v>19</v>
      </c>
      <c r="E378" s="45" t="s">
        <v>509</v>
      </c>
      <c r="F378" s="12">
        <v>1000</v>
      </c>
      <c r="G378" s="12">
        <v>1</v>
      </c>
      <c r="H378" s="16">
        <f>H377</f>
        <v>1</v>
      </c>
      <c r="I378" s="16">
        <f>VLOOKUP(C378,Resources!B:G,6,FALSE)</f>
        <v>1</v>
      </c>
      <c r="J378" s="16">
        <f>(H378/G378)*I378*F378</f>
        <v>1000</v>
      </c>
      <c r="K378" s="12">
        <f>IF(E378="M"," ",L378*F378)</f>
        <v>27000</v>
      </c>
      <c r="L378" s="53">
        <f>IF(E378="M"," ",H378/G378)*9*3</f>
        <v>27</v>
      </c>
      <c r="M378" s="16">
        <f>IF($E378="L",$J378,0)</f>
        <v>0</v>
      </c>
      <c r="N378" s="16">
        <f>IF($E378="M",$J378,0)</f>
        <v>0</v>
      </c>
      <c r="O378" s="16">
        <f>IF($E378="P",$J378,0)</f>
        <v>0</v>
      </c>
      <c r="P378" s="16">
        <f>IF($E378="S",$J378,0)</f>
        <v>1000</v>
      </c>
      <c r="Q378" s="16">
        <f>SUM(M378:P378)</f>
        <v>1000</v>
      </c>
      <c r="R378" s="250">
        <v>103</v>
      </c>
    </row>
    <row r="379" spans="1:18" x14ac:dyDescent="0.25">
      <c r="A379" s="49" t="s">
        <v>642</v>
      </c>
      <c r="F379" s="11"/>
      <c r="G379" s="11"/>
      <c r="K379" s="11"/>
      <c r="L379" s="11"/>
    </row>
    <row r="380" spans="1:18" ht="60" x14ac:dyDescent="0.25">
      <c r="A380" s="51">
        <v>60</v>
      </c>
      <c r="B380" s="3" t="s">
        <v>263</v>
      </c>
      <c r="C380" s="3" t="s">
        <v>596</v>
      </c>
      <c r="D380" s="4" t="s">
        <v>17</v>
      </c>
      <c r="E380" s="44"/>
      <c r="F380" s="10"/>
      <c r="G380" s="10"/>
      <c r="H380" s="48">
        <f>VLOOKUP($A380,'Model Inputs'!$A:$C,3,FALSE)</f>
        <v>1</v>
      </c>
      <c r="I380" s="15"/>
      <c r="J380" s="15">
        <f>SUBTOTAL(9,J381)</f>
        <v>1500</v>
      </c>
      <c r="K380" s="10"/>
      <c r="L380" s="15">
        <f>ROUNDUP(MAX(L381)/Workhrs,0)</f>
        <v>1</v>
      </c>
      <c r="M380" s="15">
        <f>SUBTOTAL(9,M381)</f>
        <v>0</v>
      </c>
      <c r="N380" s="15">
        <f>SUBTOTAL(9,N381)</f>
        <v>0</v>
      </c>
      <c r="O380" s="15">
        <f>SUBTOTAL(9,O381)</f>
        <v>0</v>
      </c>
      <c r="P380" s="15">
        <f>SUBTOTAL(9,P381)</f>
        <v>1500</v>
      </c>
      <c r="Q380" s="15">
        <f>SUBTOTAL(9,Q381)</f>
        <v>1500</v>
      </c>
      <c r="R380" s="249"/>
    </row>
    <row r="381" spans="1:18" x14ac:dyDescent="0.25">
      <c r="A381" s="52" t="s">
        <v>642</v>
      </c>
      <c r="B381" s="6">
        <v>1</v>
      </c>
      <c r="C381" s="6" t="s">
        <v>78</v>
      </c>
      <c r="D381" s="6" t="s">
        <v>19</v>
      </c>
      <c r="E381" s="45" t="s">
        <v>509</v>
      </c>
      <c r="F381" s="12">
        <v>1500</v>
      </c>
      <c r="G381" s="12">
        <v>1</v>
      </c>
      <c r="H381" s="16">
        <f>H380</f>
        <v>1</v>
      </c>
      <c r="I381" s="16">
        <f>VLOOKUP(C381,Resources!B:G,6,FALSE)</f>
        <v>1</v>
      </c>
      <c r="J381" s="16">
        <f>(H381/G381)*I381*F381</f>
        <v>1500</v>
      </c>
      <c r="K381" s="12">
        <f>IF(E381="M"," ",L381*F381)</f>
        <v>13500</v>
      </c>
      <c r="L381" s="53">
        <f>IF(E381="M"," ",H381/G381)*9</f>
        <v>9</v>
      </c>
      <c r="M381" s="16">
        <f>IF($E381="L",$J381,0)</f>
        <v>0</v>
      </c>
      <c r="N381" s="16">
        <f>IF($E381="M",$J381,0)</f>
        <v>0</v>
      </c>
      <c r="O381" s="16">
        <f>IF($E381="P",$J381,0)</f>
        <v>0</v>
      </c>
      <c r="P381" s="16">
        <f>IF($E381="S",$J381,0)</f>
        <v>1500</v>
      </c>
      <c r="Q381" s="16">
        <f>SUM(M381:P381)</f>
        <v>1500</v>
      </c>
      <c r="R381" s="250">
        <v>103</v>
      </c>
    </row>
    <row r="382" spans="1:18" x14ac:dyDescent="0.25">
      <c r="A382" s="49" t="s">
        <v>642</v>
      </c>
      <c r="F382" s="11"/>
      <c r="G382" s="11"/>
      <c r="K382" s="11"/>
      <c r="L382" s="11"/>
    </row>
    <row r="383" spans="1:18" ht="45" x14ac:dyDescent="0.25">
      <c r="A383" s="51">
        <v>61</v>
      </c>
      <c r="B383" s="3" t="s">
        <v>265</v>
      </c>
      <c r="C383" s="3" t="s">
        <v>597</v>
      </c>
      <c r="D383" s="4" t="s">
        <v>17</v>
      </c>
      <c r="E383" s="44"/>
      <c r="F383" s="10"/>
      <c r="G383" s="10"/>
      <c r="H383" s="48">
        <f>VLOOKUP($A383,'Model Inputs'!$A:$C,3,FALSE)</f>
        <v>1</v>
      </c>
      <c r="I383" s="15"/>
      <c r="J383" s="15">
        <f>SUBTOTAL(9,J384)</f>
        <v>2000</v>
      </c>
      <c r="K383" s="10"/>
      <c r="L383" s="15">
        <f>ROUNDUP(MAX(L384)/Workhrs,0)</f>
        <v>1</v>
      </c>
      <c r="M383" s="15">
        <f>SUBTOTAL(9,M384)</f>
        <v>0</v>
      </c>
      <c r="N383" s="15">
        <f>SUBTOTAL(9,N384)</f>
        <v>0</v>
      </c>
      <c r="O383" s="15">
        <f>SUBTOTAL(9,O384)</f>
        <v>0</v>
      </c>
      <c r="P383" s="15">
        <f>SUBTOTAL(9,P384)</f>
        <v>2000</v>
      </c>
      <c r="Q383" s="15">
        <f>SUBTOTAL(9,Q384)</f>
        <v>2000</v>
      </c>
      <c r="R383" s="249"/>
    </row>
    <row r="384" spans="1:18" x14ac:dyDescent="0.25">
      <c r="A384" s="52" t="s">
        <v>642</v>
      </c>
      <c r="B384" s="6">
        <v>1</v>
      </c>
      <c r="C384" s="6" t="s">
        <v>78</v>
      </c>
      <c r="D384" s="6" t="s">
        <v>19</v>
      </c>
      <c r="E384" s="45" t="s">
        <v>509</v>
      </c>
      <c r="F384" s="12">
        <v>2000</v>
      </c>
      <c r="G384" s="12">
        <v>1</v>
      </c>
      <c r="H384" s="16">
        <f>H383</f>
        <v>1</v>
      </c>
      <c r="I384" s="16">
        <f>VLOOKUP(C384,Resources!B:G,6,FALSE)</f>
        <v>1</v>
      </c>
      <c r="J384" s="16">
        <f>(H384/G384)*I384*F384</f>
        <v>2000</v>
      </c>
      <c r="K384" s="12">
        <f>IF(E384="M"," ",L384*F384)</f>
        <v>18000</v>
      </c>
      <c r="L384" s="53">
        <f>IF(E384="M"," ",H384/G384)*9</f>
        <v>9</v>
      </c>
      <c r="M384" s="16">
        <f>IF($E384="L",$J384,0)</f>
        <v>0</v>
      </c>
      <c r="N384" s="16">
        <f>IF($E384="M",$J384,0)</f>
        <v>0</v>
      </c>
      <c r="O384" s="16">
        <f>IF($E384="P",$J384,0)</f>
        <v>0</v>
      </c>
      <c r="P384" s="16">
        <f>IF($E384="S",$J384,0)</f>
        <v>2000</v>
      </c>
      <c r="Q384" s="16">
        <f>SUM(M384:P384)</f>
        <v>2000</v>
      </c>
      <c r="R384" s="250">
        <v>103</v>
      </c>
    </row>
    <row r="385" spans="1:18" x14ac:dyDescent="0.25">
      <c r="A385" s="49" t="s">
        <v>642</v>
      </c>
      <c r="F385" s="11"/>
      <c r="G385" s="11"/>
      <c r="K385" s="11"/>
      <c r="L385" s="11"/>
    </row>
    <row r="386" spans="1:18" ht="30" x14ac:dyDescent="0.25">
      <c r="A386" s="51" t="s">
        <v>642</v>
      </c>
      <c r="B386" s="3" t="s">
        <v>267</v>
      </c>
      <c r="C386" s="3" t="s">
        <v>268</v>
      </c>
      <c r="D386" s="4"/>
      <c r="E386" s="44"/>
      <c r="F386" s="10"/>
      <c r="G386" s="10"/>
      <c r="H386" s="15"/>
      <c r="I386" s="15"/>
      <c r="J386" s="15"/>
      <c r="K386" s="10"/>
      <c r="L386" s="10"/>
      <c r="M386" s="15"/>
      <c r="N386" s="15"/>
      <c r="O386" s="15"/>
      <c r="P386" s="15"/>
      <c r="Q386" s="15"/>
      <c r="R386" s="249"/>
    </row>
    <row r="387" spans="1:18" ht="30" x14ac:dyDescent="0.25">
      <c r="A387" s="51" t="s">
        <v>642</v>
      </c>
      <c r="B387" s="3" t="s">
        <v>269</v>
      </c>
      <c r="C387" s="3" t="s">
        <v>270</v>
      </c>
      <c r="D387" s="4"/>
      <c r="E387" s="44"/>
      <c r="F387" s="10"/>
      <c r="G387" s="10"/>
      <c r="H387" s="15"/>
      <c r="I387" s="15"/>
      <c r="J387" s="15"/>
      <c r="K387" s="10"/>
      <c r="L387" s="10"/>
      <c r="M387" s="15"/>
      <c r="N387" s="15"/>
      <c r="O387" s="15"/>
      <c r="P387" s="15"/>
      <c r="Q387" s="15"/>
      <c r="R387" s="249"/>
    </row>
    <row r="388" spans="1:18" ht="45" x14ac:dyDescent="0.25">
      <c r="A388" s="51" t="s">
        <v>642</v>
      </c>
      <c r="B388" s="3" t="s">
        <v>271</v>
      </c>
      <c r="C388" s="3" t="s">
        <v>272</v>
      </c>
      <c r="D388" s="4"/>
      <c r="E388" s="44"/>
      <c r="F388" s="10"/>
      <c r="G388" s="10"/>
      <c r="H388" s="15"/>
      <c r="I388" s="15"/>
      <c r="J388" s="15"/>
      <c r="K388" s="10"/>
      <c r="L388" s="10"/>
      <c r="M388" s="15"/>
      <c r="N388" s="15"/>
      <c r="O388" s="15"/>
      <c r="P388" s="15"/>
      <c r="Q388" s="15"/>
      <c r="R388" s="249"/>
    </row>
    <row r="389" spans="1:18" ht="75" x14ac:dyDescent="0.25">
      <c r="A389" s="51">
        <v>62</v>
      </c>
      <c r="B389" s="3" t="s">
        <v>273</v>
      </c>
      <c r="C389" s="3" t="s">
        <v>598</v>
      </c>
      <c r="D389" s="4" t="s">
        <v>26</v>
      </c>
      <c r="E389" s="44"/>
      <c r="F389" s="10"/>
      <c r="G389" s="10"/>
      <c r="H389" s="48">
        <f>VLOOKUP($A389,'Model Inputs'!$A:$C,3,FALSE)</f>
        <v>5.3</v>
      </c>
      <c r="I389" s="15"/>
      <c r="J389" s="15">
        <f>SUBTOTAL(9,J390)</f>
        <v>201.4</v>
      </c>
      <c r="K389" s="10"/>
      <c r="L389" s="15">
        <f>ROUNDUP(MAX(L390)/Workhrs,0)</f>
        <v>1</v>
      </c>
      <c r="M389" s="15">
        <f>SUBTOTAL(9,M390)</f>
        <v>0</v>
      </c>
      <c r="N389" s="15">
        <f>SUBTOTAL(9,N390)</f>
        <v>0</v>
      </c>
      <c r="O389" s="15">
        <f>SUBTOTAL(9,O390)</f>
        <v>0</v>
      </c>
      <c r="P389" s="15">
        <f>SUBTOTAL(9,P390)</f>
        <v>201.4</v>
      </c>
      <c r="Q389" s="15">
        <f>SUBTOTAL(9,Q390)</f>
        <v>201.4</v>
      </c>
      <c r="R389" s="249"/>
    </row>
    <row r="390" spans="1:18" x14ac:dyDescent="0.25">
      <c r="A390" s="52" t="s">
        <v>642</v>
      </c>
      <c r="B390" s="6">
        <v>1</v>
      </c>
      <c r="C390" s="6" t="s">
        <v>78</v>
      </c>
      <c r="D390" s="6" t="s">
        <v>19</v>
      </c>
      <c r="E390" s="45" t="s">
        <v>509</v>
      </c>
      <c r="F390" s="12">
        <v>38</v>
      </c>
      <c r="G390" s="12">
        <v>1</v>
      </c>
      <c r="H390" s="16">
        <f>H389</f>
        <v>5.3</v>
      </c>
      <c r="I390" s="16">
        <f>VLOOKUP(C390,Resources!B:G,6,FALSE)</f>
        <v>1</v>
      </c>
      <c r="J390" s="16">
        <f>(H390/G390)*I390*F390</f>
        <v>201.4</v>
      </c>
      <c r="K390" s="12">
        <f>IF(E390="M"," ",L390*F390)</f>
        <v>201.4</v>
      </c>
      <c r="L390" s="53">
        <f>IF(E390="M"," ",H390/G390)</f>
        <v>5.3</v>
      </c>
      <c r="M390" s="16">
        <f>IF($E390="L",$J390,0)</f>
        <v>0</v>
      </c>
      <c r="N390" s="16">
        <f>IF($E390="M",$J390,0)</f>
        <v>0</v>
      </c>
      <c r="O390" s="16">
        <f>IF($E390="P",$J390,0)</f>
        <v>0</v>
      </c>
      <c r="P390" s="16">
        <f>IF($E390="S",$J390,0)</f>
        <v>201.4</v>
      </c>
      <c r="Q390" s="16">
        <f>SUM(M390:P390)</f>
        <v>201.4</v>
      </c>
      <c r="R390" s="250">
        <v>95</v>
      </c>
    </row>
    <row r="391" spans="1:18" x14ac:dyDescent="0.25">
      <c r="A391" s="49" t="s">
        <v>642</v>
      </c>
      <c r="F391" s="11"/>
      <c r="G391" s="11"/>
      <c r="K391" s="11"/>
      <c r="L391" s="11"/>
    </row>
    <row r="392" spans="1:18" ht="75" x14ac:dyDescent="0.25">
      <c r="A392" s="51" t="s">
        <v>642</v>
      </c>
      <c r="B392" s="3" t="s">
        <v>275</v>
      </c>
      <c r="C392" s="3" t="s">
        <v>276</v>
      </c>
      <c r="D392" s="4"/>
      <c r="E392" s="44"/>
      <c r="F392" s="10"/>
      <c r="G392" s="10"/>
      <c r="H392" s="15"/>
      <c r="I392" s="15"/>
      <c r="J392" s="15"/>
      <c r="K392" s="10"/>
      <c r="L392" s="10"/>
      <c r="M392" s="15"/>
      <c r="N392" s="15"/>
      <c r="O392" s="15"/>
      <c r="P392" s="15"/>
      <c r="Q392" s="15"/>
      <c r="R392" s="249"/>
    </row>
    <row r="393" spans="1:18" ht="105" x14ac:dyDescent="0.25">
      <c r="A393" s="51">
        <v>63</v>
      </c>
      <c r="B393" s="3" t="s">
        <v>277</v>
      </c>
      <c r="C393" s="3" t="s">
        <v>599</v>
      </c>
      <c r="D393" s="4" t="s">
        <v>26</v>
      </c>
      <c r="E393" s="44"/>
      <c r="F393" s="10"/>
      <c r="G393" s="10"/>
      <c r="H393" s="48">
        <f>VLOOKUP($A393,'Model Inputs'!$A:$C,3,FALSE)</f>
        <v>5.3</v>
      </c>
      <c r="I393" s="15"/>
      <c r="J393" s="15">
        <f>SUBTOTAL(9,J394)</f>
        <v>265</v>
      </c>
      <c r="K393" s="10"/>
      <c r="L393" s="15">
        <f>ROUNDUP(MAX(L394)/Workhrs,0)</f>
        <v>1</v>
      </c>
      <c r="M393" s="15">
        <f>SUBTOTAL(9,M394)</f>
        <v>0</v>
      </c>
      <c r="N393" s="15">
        <f>SUBTOTAL(9,N394)</f>
        <v>0</v>
      </c>
      <c r="O393" s="15">
        <f>SUBTOTAL(9,O394)</f>
        <v>0</v>
      </c>
      <c r="P393" s="15">
        <f>SUBTOTAL(9,P394)</f>
        <v>265</v>
      </c>
      <c r="Q393" s="15">
        <f>SUBTOTAL(9,Q394)</f>
        <v>265</v>
      </c>
      <c r="R393" s="249"/>
    </row>
    <row r="394" spans="1:18" x14ac:dyDescent="0.25">
      <c r="A394" s="52" t="s">
        <v>642</v>
      </c>
      <c r="B394" s="6">
        <v>1</v>
      </c>
      <c r="C394" s="6" t="s">
        <v>78</v>
      </c>
      <c r="D394" s="6" t="s">
        <v>19</v>
      </c>
      <c r="E394" s="45" t="s">
        <v>509</v>
      </c>
      <c r="F394" s="12">
        <v>50</v>
      </c>
      <c r="G394" s="12">
        <v>1</v>
      </c>
      <c r="H394" s="16">
        <f>H393</f>
        <v>5.3</v>
      </c>
      <c r="I394" s="16">
        <f>VLOOKUP(C394,Resources!B:G,6,FALSE)</f>
        <v>1</v>
      </c>
      <c r="J394" s="16">
        <f>(H394/G394)*I394*F394</f>
        <v>265</v>
      </c>
      <c r="K394" s="12">
        <f>IF(E394="M"," ",L394*F394)</f>
        <v>265</v>
      </c>
      <c r="L394" s="12">
        <f>IF(E394="M"," ",H394/G394)</f>
        <v>5.3</v>
      </c>
      <c r="M394" s="16">
        <f>IF($E394="L",$J394,0)</f>
        <v>0</v>
      </c>
      <c r="N394" s="16">
        <f>IF($E394="M",$J394,0)</f>
        <v>0</v>
      </c>
      <c r="O394" s="16">
        <f>IF($E394="P",$J394,0)</f>
        <v>0</v>
      </c>
      <c r="P394" s="16">
        <f>IF($E394="S",$J394,0)</f>
        <v>265</v>
      </c>
      <c r="Q394" s="16">
        <f>SUM(M394:P394)</f>
        <v>265</v>
      </c>
      <c r="R394" s="250">
        <v>95</v>
      </c>
    </row>
    <row r="395" spans="1:18" x14ac:dyDescent="0.25">
      <c r="A395" s="49" t="s">
        <v>642</v>
      </c>
      <c r="F395" s="11"/>
      <c r="G395" s="11"/>
      <c r="K395" s="11"/>
      <c r="L395" s="11"/>
    </row>
    <row r="396" spans="1:18" ht="120" x14ac:dyDescent="0.25">
      <c r="A396" s="51" t="s">
        <v>642</v>
      </c>
      <c r="B396" s="3" t="s">
        <v>279</v>
      </c>
      <c r="C396" s="3" t="s">
        <v>600</v>
      </c>
      <c r="D396" s="4"/>
      <c r="E396" s="44"/>
      <c r="F396" s="10"/>
      <c r="G396" s="10"/>
      <c r="H396" s="15"/>
      <c r="I396" s="15"/>
      <c r="J396" s="15"/>
      <c r="K396" s="10"/>
      <c r="L396" s="10"/>
      <c r="M396" s="15"/>
      <c r="N396" s="15"/>
      <c r="O396" s="15"/>
      <c r="P396" s="15"/>
      <c r="Q396" s="15"/>
      <c r="R396" s="249"/>
    </row>
    <row r="397" spans="1:18" ht="120" x14ac:dyDescent="0.25">
      <c r="A397" s="51">
        <v>64</v>
      </c>
      <c r="B397" s="3" t="s">
        <v>280</v>
      </c>
      <c r="C397" s="3" t="s">
        <v>601</v>
      </c>
      <c r="D397" s="4" t="s">
        <v>26</v>
      </c>
      <c r="E397" s="44"/>
      <c r="F397" s="10"/>
      <c r="G397" s="10"/>
      <c r="H397" s="48">
        <f>VLOOKUP($A397,'Model Inputs'!$A:$C,3,FALSE)</f>
        <v>5.3</v>
      </c>
      <c r="I397" s="15"/>
      <c r="J397" s="15">
        <f>SUBTOTAL(9,J398)</f>
        <v>1325</v>
      </c>
      <c r="K397" s="10"/>
      <c r="L397" s="15">
        <f>ROUNDUP(MAX(L398)/Workhrs,0)</f>
        <v>1</v>
      </c>
      <c r="M397" s="15">
        <f>SUBTOTAL(9,M398)</f>
        <v>0</v>
      </c>
      <c r="N397" s="15">
        <f>SUBTOTAL(9,N398)</f>
        <v>0</v>
      </c>
      <c r="O397" s="15">
        <f>SUBTOTAL(9,O398)</f>
        <v>0</v>
      </c>
      <c r="P397" s="15">
        <f>SUBTOTAL(9,P398)</f>
        <v>1325</v>
      </c>
      <c r="Q397" s="15">
        <f>SUBTOTAL(9,Q398)</f>
        <v>1325</v>
      </c>
      <c r="R397" s="249"/>
    </row>
    <row r="398" spans="1:18" x14ac:dyDescent="0.25">
      <c r="A398" s="52" t="s">
        <v>642</v>
      </c>
      <c r="B398" s="6">
        <v>1</v>
      </c>
      <c r="C398" s="6" t="s">
        <v>78</v>
      </c>
      <c r="D398" s="6" t="s">
        <v>19</v>
      </c>
      <c r="E398" s="45" t="s">
        <v>509</v>
      </c>
      <c r="F398" s="12">
        <v>250</v>
      </c>
      <c r="G398" s="12">
        <v>1</v>
      </c>
      <c r="H398" s="16">
        <f>H397</f>
        <v>5.3</v>
      </c>
      <c r="I398" s="16">
        <f>VLOOKUP(C398,Resources!B:G,6,FALSE)</f>
        <v>1</v>
      </c>
      <c r="J398" s="16">
        <f>(H398/G398)*I398*F398</f>
        <v>1325</v>
      </c>
      <c r="K398" s="12">
        <f>IF(E398="M"," ",L398*F398)</f>
        <v>1325</v>
      </c>
      <c r="L398" s="12">
        <f>IF(E398="M"," ",H398/G398)</f>
        <v>5.3</v>
      </c>
      <c r="M398" s="16">
        <f>IF($E398="L",$J398,0)</f>
        <v>0</v>
      </c>
      <c r="N398" s="16">
        <f>IF($E398="M",$J398,0)</f>
        <v>0</v>
      </c>
      <c r="O398" s="16">
        <f>IF($E398="P",$J398,0)</f>
        <v>0</v>
      </c>
      <c r="P398" s="16">
        <f>IF($E398="S",$J398,0)</f>
        <v>1325</v>
      </c>
      <c r="Q398" s="16">
        <f>SUM(M398:P398)</f>
        <v>1325</v>
      </c>
      <c r="R398" s="250">
        <v>95</v>
      </c>
    </row>
    <row r="399" spans="1:18" x14ac:dyDescent="0.25">
      <c r="A399" s="49" t="s">
        <v>642</v>
      </c>
      <c r="F399" s="11"/>
      <c r="G399" s="11"/>
      <c r="K399" s="11"/>
      <c r="L399" s="11"/>
    </row>
    <row r="400" spans="1:18" ht="90" x14ac:dyDescent="0.25">
      <c r="A400" s="51">
        <v>65</v>
      </c>
      <c r="B400" s="3" t="s">
        <v>281</v>
      </c>
      <c r="C400" s="3" t="s">
        <v>602</v>
      </c>
      <c r="D400" s="4" t="s">
        <v>61</v>
      </c>
      <c r="E400" s="44"/>
      <c r="F400" s="10"/>
      <c r="G400" s="10"/>
      <c r="H400" s="48">
        <f>VLOOKUP($A400,'Model Inputs'!$A:$C,3,FALSE)</f>
        <v>2</v>
      </c>
      <c r="I400" s="15"/>
      <c r="J400" s="15">
        <f>SUBTOTAL(9,J401)</f>
        <v>1000</v>
      </c>
      <c r="K400" s="10"/>
      <c r="L400" s="15">
        <f t="shared" ref="L400" si="56">MAX(L401)</f>
        <v>0</v>
      </c>
      <c r="M400" s="15">
        <f>SUBTOTAL(9,M401)</f>
        <v>0</v>
      </c>
      <c r="N400" s="15">
        <f>SUBTOTAL(9,N401)</f>
        <v>0</v>
      </c>
      <c r="O400" s="15">
        <f>SUBTOTAL(9,O401)</f>
        <v>0</v>
      </c>
      <c r="P400" s="15">
        <f>SUBTOTAL(9,P401)</f>
        <v>1000</v>
      </c>
      <c r="Q400" s="15">
        <f>SUBTOTAL(9,Q401)</f>
        <v>1000</v>
      </c>
      <c r="R400" s="249"/>
    </row>
    <row r="401" spans="1:18" x14ac:dyDescent="0.25">
      <c r="A401" s="52" t="s">
        <v>642</v>
      </c>
      <c r="B401" s="6">
        <v>1</v>
      </c>
      <c r="C401" s="6" t="s">
        <v>78</v>
      </c>
      <c r="D401" s="6" t="s">
        <v>19</v>
      </c>
      <c r="E401" s="45" t="s">
        <v>509</v>
      </c>
      <c r="F401" s="12">
        <v>500</v>
      </c>
      <c r="G401" s="12">
        <v>1</v>
      </c>
      <c r="H401" s="16">
        <f>H400</f>
        <v>2</v>
      </c>
      <c r="I401" s="16">
        <f>VLOOKUP(C401,Resources!B:G,6,FALSE)</f>
        <v>1</v>
      </c>
      <c r="J401" s="16">
        <f>(H401/G401)*I401*F401</f>
        <v>1000</v>
      </c>
      <c r="K401" s="12">
        <f>IF(E401="M"," ",L401*F401)</f>
        <v>0</v>
      </c>
      <c r="L401" s="53"/>
      <c r="M401" s="16">
        <f>IF($E401="L",$J401,0)</f>
        <v>0</v>
      </c>
      <c r="N401" s="16">
        <f>IF($E401="M",$J401,0)</f>
        <v>0</v>
      </c>
      <c r="O401" s="16">
        <f>IF($E401="P",$J401,0)</f>
        <v>0</v>
      </c>
      <c r="P401" s="16">
        <f>IF($E401="S",$J401,0)</f>
        <v>1000</v>
      </c>
      <c r="Q401" s="16">
        <f>SUM(M401:P401)</f>
        <v>1000</v>
      </c>
      <c r="R401" s="250">
        <v>95</v>
      </c>
    </row>
    <row r="402" spans="1:18" x14ac:dyDescent="0.25">
      <c r="A402" s="49" t="s">
        <v>642</v>
      </c>
      <c r="F402" s="11"/>
      <c r="G402" s="11"/>
      <c r="K402" s="11"/>
      <c r="L402" s="11"/>
    </row>
    <row r="403" spans="1:18" ht="60" x14ac:dyDescent="0.25">
      <c r="A403" s="51">
        <v>66</v>
      </c>
      <c r="B403" s="3" t="s">
        <v>283</v>
      </c>
      <c r="C403" s="3" t="s">
        <v>603</v>
      </c>
      <c r="D403" s="4" t="s">
        <v>61</v>
      </c>
      <c r="E403" s="44"/>
      <c r="F403" s="10"/>
      <c r="G403" s="10"/>
      <c r="H403" s="48">
        <f>VLOOKUP($A403,'Model Inputs'!$A:$C,3,FALSE)</f>
        <v>20</v>
      </c>
      <c r="I403" s="15"/>
      <c r="J403" s="15">
        <f>SUBTOTAL(9,J404)</f>
        <v>1100</v>
      </c>
      <c r="K403" s="10"/>
      <c r="L403" s="15">
        <f t="shared" ref="L403" si="57">MAX(L404)</f>
        <v>0</v>
      </c>
      <c r="M403" s="15">
        <f>SUBTOTAL(9,M404)</f>
        <v>0</v>
      </c>
      <c r="N403" s="15">
        <f>SUBTOTAL(9,N404)</f>
        <v>0</v>
      </c>
      <c r="O403" s="15">
        <f>SUBTOTAL(9,O404)</f>
        <v>0</v>
      </c>
      <c r="P403" s="15">
        <f>SUBTOTAL(9,P404)</f>
        <v>1100</v>
      </c>
      <c r="Q403" s="15">
        <f>SUBTOTAL(9,Q404)</f>
        <v>1100</v>
      </c>
      <c r="R403" s="249"/>
    </row>
    <row r="404" spans="1:18" x14ac:dyDescent="0.25">
      <c r="A404" s="52" t="s">
        <v>642</v>
      </c>
      <c r="B404" s="6">
        <v>1</v>
      </c>
      <c r="C404" s="6" t="s">
        <v>78</v>
      </c>
      <c r="D404" s="6" t="s">
        <v>19</v>
      </c>
      <c r="E404" s="45" t="s">
        <v>509</v>
      </c>
      <c r="F404" s="12">
        <v>55</v>
      </c>
      <c r="G404" s="12">
        <v>1</v>
      </c>
      <c r="H404" s="16">
        <f>H403</f>
        <v>20</v>
      </c>
      <c r="I404" s="16">
        <f>VLOOKUP(C404,Resources!B:G,6,FALSE)</f>
        <v>1</v>
      </c>
      <c r="J404" s="16">
        <f>(H404/G404)*I404*F404</f>
        <v>1100</v>
      </c>
      <c r="K404" s="12">
        <f>IF(E404="M"," ",L404*F404)</f>
        <v>0</v>
      </c>
      <c r="L404" s="53"/>
      <c r="M404" s="16">
        <f>IF($E404="L",$J404,0)</f>
        <v>0</v>
      </c>
      <c r="N404" s="16">
        <f>IF($E404="M",$J404,0)</f>
        <v>0</v>
      </c>
      <c r="O404" s="16">
        <f>IF($E404="P",$J404,0)</f>
        <v>0</v>
      </c>
      <c r="P404" s="16">
        <f>IF($E404="S",$J404,0)</f>
        <v>1100</v>
      </c>
      <c r="Q404" s="16">
        <f>SUM(M404:P404)</f>
        <v>1100</v>
      </c>
      <c r="R404" s="250">
        <v>95</v>
      </c>
    </row>
    <row r="405" spans="1:18" x14ac:dyDescent="0.25">
      <c r="A405" s="49" t="s">
        <v>642</v>
      </c>
      <c r="F405" s="11"/>
      <c r="G405" s="11"/>
      <c r="K405" s="11"/>
      <c r="L405" s="11"/>
    </row>
    <row r="406" spans="1:18" ht="30" x14ac:dyDescent="0.25">
      <c r="A406" s="51" t="s">
        <v>642</v>
      </c>
      <c r="B406" s="3" t="s">
        <v>285</v>
      </c>
      <c r="C406" s="3" t="s">
        <v>286</v>
      </c>
      <c r="D406" s="4"/>
      <c r="E406" s="44"/>
      <c r="F406" s="10"/>
      <c r="G406" s="10"/>
      <c r="H406" s="15"/>
      <c r="I406" s="15"/>
      <c r="J406" s="15"/>
      <c r="K406" s="10"/>
      <c r="L406" s="10"/>
      <c r="M406" s="15"/>
      <c r="N406" s="15"/>
      <c r="O406" s="15"/>
      <c r="P406" s="15"/>
      <c r="Q406" s="15"/>
      <c r="R406" s="249"/>
    </row>
    <row r="407" spans="1:18" ht="60" x14ac:dyDescent="0.25">
      <c r="A407" s="51">
        <v>67</v>
      </c>
      <c r="B407" s="3" t="s">
        <v>287</v>
      </c>
      <c r="C407" s="3" t="s">
        <v>604</v>
      </c>
      <c r="D407" s="4" t="s">
        <v>26</v>
      </c>
      <c r="E407" s="44"/>
      <c r="F407" s="10"/>
      <c r="G407" s="10"/>
      <c r="H407" s="48">
        <f>VLOOKUP($A407,'Model Inputs'!$A:$C,3,FALSE)</f>
        <v>6</v>
      </c>
      <c r="I407" s="15"/>
      <c r="J407" s="15">
        <f>SUBTOTAL(9,J408)</f>
        <v>1500</v>
      </c>
      <c r="K407" s="10"/>
      <c r="L407" s="15">
        <f t="shared" ref="L407" si="58">MAX(L408)</f>
        <v>12</v>
      </c>
      <c r="M407" s="15">
        <f>SUBTOTAL(9,M408)</f>
        <v>0</v>
      </c>
      <c r="N407" s="15">
        <f>SUBTOTAL(9,N408)</f>
        <v>0</v>
      </c>
      <c r="O407" s="15">
        <f>SUBTOTAL(9,O408)</f>
        <v>0</v>
      </c>
      <c r="P407" s="15">
        <f>SUBTOTAL(9,P408)</f>
        <v>1500</v>
      </c>
      <c r="Q407" s="15">
        <f>SUBTOTAL(9,Q408)</f>
        <v>1500</v>
      </c>
      <c r="R407" s="249"/>
    </row>
    <row r="408" spans="1:18" x14ac:dyDescent="0.25">
      <c r="A408" s="52" t="s">
        <v>642</v>
      </c>
      <c r="B408" s="6">
        <v>1</v>
      </c>
      <c r="C408" s="6" t="s">
        <v>78</v>
      </c>
      <c r="D408" s="6" t="s">
        <v>19</v>
      </c>
      <c r="E408" s="45" t="s">
        <v>509</v>
      </c>
      <c r="F408" s="12">
        <v>250</v>
      </c>
      <c r="G408" s="12">
        <v>1</v>
      </c>
      <c r="H408" s="16">
        <f>H407</f>
        <v>6</v>
      </c>
      <c r="I408" s="16">
        <f>VLOOKUP(C408,Resources!B:G,6,FALSE)</f>
        <v>1</v>
      </c>
      <c r="J408" s="16">
        <f>(H408/G408)*I408*F408</f>
        <v>1500</v>
      </c>
      <c r="K408" s="12">
        <f>IF(E408="M"," ",L408*F408)</f>
        <v>3000</v>
      </c>
      <c r="L408" s="53">
        <f>IF(E408="M"," ",H408/G408)*2</f>
        <v>12</v>
      </c>
      <c r="M408" s="16">
        <f>IF($E408="L",$J408,0)</f>
        <v>0</v>
      </c>
      <c r="N408" s="16">
        <f>IF($E408="M",$J408,0)</f>
        <v>0</v>
      </c>
      <c r="O408" s="16">
        <f>IF($E408="P",$J408,0)</f>
        <v>0</v>
      </c>
      <c r="P408" s="16">
        <f>IF($E408="S",$J408,0)</f>
        <v>1500</v>
      </c>
      <c r="Q408" s="16">
        <f>SUM(M408:P408)</f>
        <v>1500</v>
      </c>
      <c r="R408" s="250">
        <v>95</v>
      </c>
    </row>
    <row r="409" spans="1:18" x14ac:dyDescent="0.25">
      <c r="A409" s="49" t="s">
        <v>642</v>
      </c>
      <c r="F409" s="11"/>
      <c r="G409" s="11"/>
      <c r="K409" s="11"/>
      <c r="L409" s="11"/>
    </row>
    <row r="410" spans="1:18" ht="30" x14ac:dyDescent="0.25">
      <c r="A410" s="51" t="s">
        <v>642</v>
      </c>
      <c r="B410" s="3" t="s">
        <v>289</v>
      </c>
      <c r="C410" s="3" t="s">
        <v>290</v>
      </c>
      <c r="D410" s="4"/>
      <c r="E410" s="44"/>
      <c r="F410" s="10"/>
      <c r="G410" s="10"/>
      <c r="H410" s="15"/>
      <c r="I410" s="15"/>
      <c r="J410" s="15"/>
      <c r="K410" s="10"/>
      <c r="L410" s="10"/>
      <c r="M410" s="15"/>
      <c r="N410" s="15"/>
      <c r="O410" s="15"/>
      <c r="P410" s="15"/>
      <c r="Q410" s="15"/>
      <c r="R410" s="249"/>
    </row>
    <row r="411" spans="1:18" ht="90" x14ac:dyDescent="0.25">
      <c r="A411" s="51">
        <v>68</v>
      </c>
      <c r="B411" s="3" t="s">
        <v>291</v>
      </c>
      <c r="C411" s="3" t="s">
        <v>605</v>
      </c>
      <c r="D411" s="4" t="s">
        <v>204</v>
      </c>
      <c r="E411" s="44"/>
      <c r="F411" s="10"/>
      <c r="G411" s="10"/>
      <c r="H411" s="48">
        <f>VLOOKUP($A411,'Model Inputs'!$A:$C,3,FALSE)</f>
        <v>1</v>
      </c>
      <c r="I411" s="15"/>
      <c r="J411" s="15">
        <f>SUBTOTAL(9,J412)</f>
        <v>4400</v>
      </c>
      <c r="K411" s="10"/>
      <c r="L411" s="15">
        <f>ROUNDUP(MAX(L412)/Workhrs,0)</f>
        <v>3</v>
      </c>
      <c r="M411" s="15">
        <f>SUBTOTAL(9,M412)</f>
        <v>0</v>
      </c>
      <c r="N411" s="15">
        <f>SUBTOTAL(9,N412)</f>
        <v>0</v>
      </c>
      <c r="O411" s="15">
        <f>SUBTOTAL(9,O412)</f>
        <v>0</v>
      </c>
      <c r="P411" s="15">
        <f>SUBTOTAL(9,P412)</f>
        <v>4400</v>
      </c>
      <c r="Q411" s="15">
        <f>SUBTOTAL(9,Q412)</f>
        <v>4400</v>
      </c>
      <c r="R411" s="249"/>
    </row>
    <row r="412" spans="1:18" x14ac:dyDescent="0.25">
      <c r="A412" s="52" t="s">
        <v>642</v>
      </c>
      <c r="B412" s="6">
        <v>1</v>
      </c>
      <c r="C412" s="6" t="s">
        <v>78</v>
      </c>
      <c r="D412" s="6" t="s">
        <v>19</v>
      </c>
      <c r="E412" s="45" t="s">
        <v>509</v>
      </c>
      <c r="F412" s="12">
        <v>4400</v>
      </c>
      <c r="G412" s="12">
        <v>1</v>
      </c>
      <c r="H412" s="16">
        <f>H411</f>
        <v>1</v>
      </c>
      <c r="I412" s="16">
        <f>VLOOKUP(C412,Resources!B:G,6,FALSE)</f>
        <v>1</v>
      </c>
      <c r="J412" s="16">
        <f>(H412/G412)*I412*F412</f>
        <v>4400</v>
      </c>
      <c r="K412" s="12">
        <f>IF(E412="M"," ",L412*F412)</f>
        <v>118800</v>
      </c>
      <c r="L412" s="53">
        <f>IF(E412="M"," ",H412/G412)*3*9</f>
        <v>27</v>
      </c>
      <c r="M412" s="16">
        <f>IF($E412="L",$J412,0)</f>
        <v>0</v>
      </c>
      <c r="N412" s="16">
        <f>IF($E412="M",$J412,0)</f>
        <v>0</v>
      </c>
      <c r="O412" s="16">
        <f>IF($E412="P",$J412,0)</f>
        <v>0</v>
      </c>
      <c r="P412" s="16">
        <f>IF($E412="S",$J412,0)</f>
        <v>4400</v>
      </c>
      <c r="Q412" s="16">
        <f>SUM(M412:P412)</f>
        <v>4400</v>
      </c>
      <c r="R412" s="250">
        <v>95</v>
      </c>
    </row>
    <row r="413" spans="1:18" x14ac:dyDescent="0.25">
      <c r="A413" s="49" t="s">
        <v>642</v>
      </c>
      <c r="F413" s="11"/>
      <c r="G413" s="11"/>
      <c r="K413" s="11"/>
      <c r="L413" s="11"/>
    </row>
    <row r="414" spans="1:18" ht="30" x14ac:dyDescent="0.25">
      <c r="A414" s="51" t="s">
        <v>642</v>
      </c>
      <c r="B414" s="3" t="s">
        <v>293</v>
      </c>
      <c r="C414" s="3" t="s">
        <v>294</v>
      </c>
      <c r="D414" s="4"/>
      <c r="E414" s="44"/>
      <c r="F414" s="10"/>
      <c r="G414" s="10"/>
      <c r="H414" s="15"/>
      <c r="I414" s="15"/>
      <c r="J414" s="15"/>
      <c r="K414" s="10"/>
      <c r="L414" s="10"/>
      <c r="M414" s="15"/>
      <c r="N414" s="15"/>
      <c r="O414" s="15"/>
      <c r="P414" s="15"/>
      <c r="Q414" s="15"/>
      <c r="R414" s="249"/>
    </row>
    <row r="415" spans="1:18" ht="60" x14ac:dyDescent="0.25">
      <c r="A415" s="51">
        <v>69</v>
      </c>
      <c r="B415" s="3" t="s">
        <v>295</v>
      </c>
      <c r="C415" s="3" t="s">
        <v>606</v>
      </c>
      <c r="D415" s="4" t="s">
        <v>26</v>
      </c>
      <c r="E415" s="44"/>
      <c r="F415" s="10"/>
      <c r="G415" s="10"/>
      <c r="H415" s="48">
        <f>VLOOKUP($A415,'Model Inputs'!$A:$C,3,FALSE)</f>
        <v>133</v>
      </c>
      <c r="I415" s="15"/>
      <c r="J415" s="15">
        <f>SUBTOTAL(9,J416)</f>
        <v>1197</v>
      </c>
      <c r="K415" s="10"/>
      <c r="L415" s="15">
        <f t="shared" ref="L415" si="59">MAX(L416)</f>
        <v>0</v>
      </c>
      <c r="M415" s="15">
        <f>SUBTOTAL(9,M416)</f>
        <v>0</v>
      </c>
      <c r="N415" s="15">
        <f>SUBTOTAL(9,N416)</f>
        <v>0</v>
      </c>
      <c r="O415" s="15">
        <f>SUBTOTAL(9,O416)</f>
        <v>0</v>
      </c>
      <c r="P415" s="15">
        <f>SUBTOTAL(9,P416)</f>
        <v>1197</v>
      </c>
      <c r="Q415" s="15">
        <f>SUBTOTAL(9,Q416)</f>
        <v>1197</v>
      </c>
      <c r="R415" s="249"/>
    </row>
    <row r="416" spans="1:18" x14ac:dyDescent="0.25">
      <c r="A416" s="52" t="s">
        <v>642</v>
      </c>
      <c r="B416" s="6">
        <v>1</v>
      </c>
      <c r="C416" s="6" t="s">
        <v>78</v>
      </c>
      <c r="D416" s="6" t="s">
        <v>19</v>
      </c>
      <c r="E416" s="45" t="s">
        <v>509</v>
      </c>
      <c r="F416" s="12">
        <v>9</v>
      </c>
      <c r="G416" s="12">
        <v>1</v>
      </c>
      <c r="H416" s="16">
        <f>H415</f>
        <v>133</v>
      </c>
      <c r="I416" s="16">
        <f>VLOOKUP(C416,Resources!B:G,6,FALSE)</f>
        <v>1</v>
      </c>
      <c r="J416" s="16">
        <f>(H416/G416)*I416*F416</f>
        <v>1197</v>
      </c>
      <c r="K416" s="12">
        <f>IF(E416="M"," ",L416*F416)</f>
        <v>0</v>
      </c>
      <c r="L416" s="53"/>
      <c r="M416" s="16">
        <f>IF($E416="L",$J416,0)</f>
        <v>0</v>
      </c>
      <c r="N416" s="16">
        <f>IF($E416="M",$J416,0)</f>
        <v>0</v>
      </c>
      <c r="O416" s="16">
        <f>IF($E416="P",$J416,0)</f>
        <v>0</v>
      </c>
      <c r="P416" s="16">
        <f>IF($E416="S",$J416,0)</f>
        <v>1197</v>
      </c>
      <c r="Q416" s="16">
        <f>SUM(M416:P416)</f>
        <v>1197</v>
      </c>
      <c r="R416" s="250">
        <v>95</v>
      </c>
    </row>
    <row r="417" spans="1:18" x14ac:dyDescent="0.25">
      <c r="A417" s="49" t="s">
        <v>642</v>
      </c>
      <c r="F417" s="11"/>
      <c r="G417" s="11"/>
      <c r="K417" s="11"/>
      <c r="L417" s="11"/>
    </row>
    <row r="418" spans="1:18" ht="60" x14ac:dyDescent="0.25">
      <c r="A418" s="51">
        <v>70</v>
      </c>
      <c r="B418" s="3" t="s">
        <v>297</v>
      </c>
      <c r="C418" s="3" t="s">
        <v>607</v>
      </c>
      <c r="D418" s="4" t="s">
        <v>26</v>
      </c>
      <c r="E418" s="44"/>
      <c r="F418" s="10"/>
      <c r="G418" s="10"/>
      <c r="H418" s="48">
        <f>VLOOKUP($A418,'Model Inputs'!$A:$C,3,FALSE)</f>
        <v>237</v>
      </c>
      <c r="I418" s="15"/>
      <c r="J418" s="15">
        <f>SUBTOTAL(9,J419)</f>
        <v>2251.5</v>
      </c>
      <c r="K418" s="10"/>
      <c r="L418" s="15">
        <f t="shared" ref="L418" si="60">MAX(L419)</f>
        <v>0</v>
      </c>
      <c r="M418" s="15">
        <f>SUBTOTAL(9,M419)</f>
        <v>0</v>
      </c>
      <c r="N418" s="15">
        <f>SUBTOTAL(9,N419)</f>
        <v>0</v>
      </c>
      <c r="O418" s="15">
        <f>SUBTOTAL(9,O419)</f>
        <v>0</v>
      </c>
      <c r="P418" s="15">
        <f>SUBTOTAL(9,P419)</f>
        <v>2251.5</v>
      </c>
      <c r="Q418" s="15">
        <f>SUBTOTAL(9,Q419)</f>
        <v>2251.5</v>
      </c>
      <c r="R418" s="249"/>
    </row>
    <row r="419" spans="1:18" x14ac:dyDescent="0.25">
      <c r="A419" s="52" t="s">
        <v>642</v>
      </c>
      <c r="B419" s="6">
        <v>1</v>
      </c>
      <c r="C419" s="6" t="s">
        <v>78</v>
      </c>
      <c r="D419" s="6" t="s">
        <v>19</v>
      </c>
      <c r="E419" s="45" t="s">
        <v>509</v>
      </c>
      <c r="F419" s="12">
        <v>9.5</v>
      </c>
      <c r="G419" s="12">
        <v>1</v>
      </c>
      <c r="H419" s="16">
        <f>H418</f>
        <v>237</v>
      </c>
      <c r="I419" s="16">
        <f>VLOOKUP(C419,Resources!B:G,6,FALSE)</f>
        <v>1</v>
      </c>
      <c r="J419" s="16">
        <f>(H419/G419)*I419*F419</f>
        <v>2251.5</v>
      </c>
      <c r="K419" s="12">
        <f>IF(E419="M"," ",L419*F419)</f>
        <v>0</v>
      </c>
      <c r="L419" s="53"/>
      <c r="M419" s="16">
        <f>IF($E419="L",$J419,0)</f>
        <v>0</v>
      </c>
      <c r="N419" s="16">
        <f>IF($E419="M",$J419,0)</f>
        <v>0</v>
      </c>
      <c r="O419" s="16">
        <f>IF($E419="P",$J419,0)</f>
        <v>0</v>
      </c>
      <c r="P419" s="16">
        <f>IF($E419="S",$J419,0)</f>
        <v>2251.5</v>
      </c>
      <c r="Q419" s="16">
        <f>SUM(M419:P419)</f>
        <v>2251.5</v>
      </c>
      <c r="R419" s="250">
        <v>95</v>
      </c>
    </row>
    <row r="420" spans="1:18" x14ac:dyDescent="0.25">
      <c r="A420" s="49" t="s">
        <v>642</v>
      </c>
      <c r="F420" s="11"/>
      <c r="G420" s="11"/>
      <c r="K420" s="11"/>
      <c r="L420" s="11"/>
    </row>
    <row r="421" spans="1:18" ht="165" x14ac:dyDescent="0.25">
      <c r="A421" s="51" t="s">
        <v>642</v>
      </c>
      <c r="B421" s="3" t="s">
        <v>299</v>
      </c>
      <c r="C421" s="3" t="s">
        <v>300</v>
      </c>
      <c r="D421" s="4"/>
      <c r="E421" s="44"/>
      <c r="F421" s="10"/>
      <c r="G421" s="10"/>
      <c r="H421" s="15"/>
      <c r="I421" s="15"/>
      <c r="J421" s="15"/>
      <c r="K421" s="10"/>
      <c r="L421" s="10"/>
      <c r="M421" s="15"/>
      <c r="N421" s="15"/>
      <c r="O421" s="15"/>
      <c r="P421" s="15"/>
      <c r="Q421" s="15"/>
      <c r="R421" s="249"/>
    </row>
    <row r="422" spans="1:18" ht="180" x14ac:dyDescent="0.25">
      <c r="A422" s="51">
        <v>71</v>
      </c>
      <c r="B422" s="3" t="s">
        <v>301</v>
      </c>
      <c r="C422" s="3" t="s">
        <v>608</v>
      </c>
      <c r="D422" s="4" t="s">
        <v>26</v>
      </c>
      <c r="E422" s="44"/>
      <c r="F422" s="10"/>
      <c r="G422" s="10"/>
      <c r="H422" s="48">
        <f>VLOOKUP($A422,'Model Inputs'!$A:$C,3,FALSE)</f>
        <v>133</v>
      </c>
      <c r="I422" s="15"/>
      <c r="J422" s="15">
        <f>SUBTOTAL(9,J423)</f>
        <v>7315</v>
      </c>
      <c r="K422" s="10"/>
      <c r="L422" s="15">
        <f>ROUNDUP(MAX(L423)/Workhrs,0)</f>
        <v>4</v>
      </c>
      <c r="M422" s="15">
        <f>SUBTOTAL(9,M423)</f>
        <v>0</v>
      </c>
      <c r="N422" s="15">
        <f>SUBTOTAL(9,N423)</f>
        <v>0</v>
      </c>
      <c r="O422" s="15">
        <f>SUBTOTAL(9,O423)</f>
        <v>0</v>
      </c>
      <c r="P422" s="15">
        <f>SUBTOTAL(9,P423)</f>
        <v>7315</v>
      </c>
      <c r="Q422" s="15">
        <f>SUBTOTAL(9,Q423)</f>
        <v>7315</v>
      </c>
      <c r="R422" s="249"/>
    </row>
    <row r="423" spans="1:18" x14ac:dyDescent="0.25">
      <c r="A423" s="52" t="s">
        <v>642</v>
      </c>
      <c r="B423" s="6">
        <v>1</v>
      </c>
      <c r="C423" s="6" t="s">
        <v>78</v>
      </c>
      <c r="D423" s="6" t="s">
        <v>19</v>
      </c>
      <c r="E423" s="45" t="s">
        <v>509</v>
      </c>
      <c r="F423" s="12">
        <v>55</v>
      </c>
      <c r="G423" s="12">
        <v>1</v>
      </c>
      <c r="H423" s="16">
        <f>H422</f>
        <v>133</v>
      </c>
      <c r="I423" s="16">
        <f>VLOOKUP(C423,Resources!B:G,6,FALSE)</f>
        <v>1</v>
      </c>
      <c r="J423" s="16">
        <f>(H423/G423)*I423*F423</f>
        <v>7315</v>
      </c>
      <c r="K423" s="12">
        <f>IF(E423="M"," ",L423*F423)</f>
        <v>1645.8749999999998</v>
      </c>
      <c r="L423" s="53">
        <f>IF(E423="M"," ",H423/G423)/(40/9)</f>
        <v>29.924999999999997</v>
      </c>
      <c r="M423" s="16">
        <f>IF($E423="L",$J423,0)</f>
        <v>0</v>
      </c>
      <c r="N423" s="16">
        <f>IF($E423="M",$J423,0)</f>
        <v>0</v>
      </c>
      <c r="O423" s="16">
        <f>IF($E423="P",$J423,0)</f>
        <v>0</v>
      </c>
      <c r="P423" s="16">
        <f>IF($E423="S",$J423,0)</f>
        <v>7315</v>
      </c>
      <c r="Q423" s="16">
        <f>SUM(M423:P423)</f>
        <v>7315</v>
      </c>
      <c r="R423" s="250">
        <v>95</v>
      </c>
    </row>
    <row r="424" spans="1:18" x14ac:dyDescent="0.25">
      <c r="A424" s="49" t="s">
        <v>642</v>
      </c>
      <c r="F424" s="11"/>
      <c r="G424" s="11"/>
      <c r="K424" s="11"/>
      <c r="L424" s="11"/>
    </row>
    <row r="425" spans="1:18" ht="180" x14ac:dyDescent="0.25">
      <c r="A425" s="51">
        <v>72</v>
      </c>
      <c r="B425" s="3" t="s">
        <v>302</v>
      </c>
      <c r="C425" s="3" t="s">
        <v>609</v>
      </c>
      <c r="D425" s="4" t="s">
        <v>26</v>
      </c>
      <c r="E425" s="44"/>
      <c r="F425" s="10"/>
      <c r="G425" s="10"/>
      <c r="H425" s="48">
        <f>VLOOKUP($A425,'Model Inputs'!$A:$C,3,FALSE)</f>
        <v>237</v>
      </c>
      <c r="I425" s="15"/>
      <c r="J425" s="15">
        <f>SUBTOTAL(9,J426)</f>
        <v>13983</v>
      </c>
      <c r="K425" s="10"/>
      <c r="L425" s="15">
        <f>ROUNDUP(MAX(L426)/Workhrs,0)</f>
        <v>4</v>
      </c>
      <c r="M425" s="15">
        <f>SUBTOTAL(9,M426)</f>
        <v>0</v>
      </c>
      <c r="N425" s="15">
        <f>SUBTOTAL(9,N426)</f>
        <v>0</v>
      </c>
      <c r="O425" s="15">
        <f>SUBTOTAL(9,O426)</f>
        <v>0</v>
      </c>
      <c r="P425" s="15">
        <f>SUBTOTAL(9,P426)</f>
        <v>13983</v>
      </c>
      <c r="Q425" s="15">
        <f>SUBTOTAL(9,Q426)</f>
        <v>13983</v>
      </c>
      <c r="R425" s="249"/>
    </row>
    <row r="426" spans="1:18" x14ac:dyDescent="0.25">
      <c r="A426" s="52" t="s">
        <v>642</v>
      </c>
      <c r="B426" s="6">
        <v>1</v>
      </c>
      <c r="C426" s="6" t="s">
        <v>78</v>
      </c>
      <c r="D426" s="6" t="s">
        <v>19</v>
      </c>
      <c r="E426" s="45" t="s">
        <v>509</v>
      </c>
      <c r="F426" s="12">
        <v>59</v>
      </c>
      <c r="G426" s="12">
        <v>1</v>
      </c>
      <c r="H426" s="16">
        <f>H425</f>
        <v>237</v>
      </c>
      <c r="I426" s="16">
        <f>VLOOKUP(C426,Resources!B:G,6,FALSE)</f>
        <v>1</v>
      </c>
      <c r="J426" s="16">
        <f>(H426/G426)*I426*F426</f>
        <v>13983</v>
      </c>
      <c r="K426" s="12">
        <f>IF(E426="M"," ",L426*F426)</f>
        <v>2097.4499999999998</v>
      </c>
      <c r="L426" s="53">
        <f>IF(E426="M"," ",H426/G426)/(60/9)</f>
        <v>35.549999999999997</v>
      </c>
      <c r="M426" s="16">
        <f>IF($E426="L",$J426,0)</f>
        <v>0</v>
      </c>
      <c r="N426" s="16">
        <f>IF($E426="M",$J426,0)</f>
        <v>0</v>
      </c>
      <c r="O426" s="16">
        <f>IF($E426="P",$J426,0)</f>
        <v>0</v>
      </c>
      <c r="P426" s="16">
        <f>IF($E426="S",$J426,0)</f>
        <v>13983</v>
      </c>
      <c r="Q426" s="16">
        <f>SUM(M426:P426)</f>
        <v>13983</v>
      </c>
      <c r="R426" s="250">
        <v>95</v>
      </c>
    </row>
    <row r="427" spans="1:18" x14ac:dyDescent="0.25">
      <c r="A427" s="49" t="s">
        <v>642</v>
      </c>
      <c r="F427" s="11"/>
      <c r="G427" s="11"/>
      <c r="K427" s="11"/>
      <c r="L427" s="11"/>
    </row>
    <row r="428" spans="1:18" ht="45" x14ac:dyDescent="0.25">
      <c r="A428" s="51">
        <v>73</v>
      </c>
      <c r="B428" s="3" t="s">
        <v>303</v>
      </c>
      <c r="C428" s="3" t="s">
        <v>610</v>
      </c>
      <c r="D428" s="4" t="s">
        <v>204</v>
      </c>
      <c r="E428" s="44"/>
      <c r="F428" s="10"/>
      <c r="G428" s="10"/>
      <c r="H428" s="48">
        <f>VLOOKUP($A428,'Model Inputs'!$A:$C,3,FALSE)</f>
        <v>22</v>
      </c>
      <c r="I428" s="15"/>
      <c r="J428" s="15">
        <f>SUBTOTAL(9,J429)</f>
        <v>19800</v>
      </c>
      <c r="K428" s="10"/>
      <c r="L428" s="15">
        <f>ROUNDUP(MAX(L429)/Workhrs,0)</f>
        <v>5</v>
      </c>
      <c r="M428" s="15">
        <f>SUBTOTAL(9,M429)</f>
        <v>0</v>
      </c>
      <c r="N428" s="15">
        <f>SUBTOTAL(9,N429)</f>
        <v>0</v>
      </c>
      <c r="O428" s="15">
        <f>SUBTOTAL(9,O429)</f>
        <v>0</v>
      </c>
      <c r="P428" s="15">
        <f>SUBTOTAL(9,P429)</f>
        <v>19800</v>
      </c>
      <c r="Q428" s="15">
        <f>SUBTOTAL(9,Q429)</f>
        <v>19800</v>
      </c>
      <c r="R428" s="249"/>
    </row>
    <row r="429" spans="1:18" x14ac:dyDescent="0.25">
      <c r="A429" s="52" t="s">
        <v>642</v>
      </c>
      <c r="B429" s="6">
        <v>1</v>
      </c>
      <c r="C429" s="6" t="s">
        <v>78</v>
      </c>
      <c r="D429" s="6" t="s">
        <v>19</v>
      </c>
      <c r="E429" s="45" t="s">
        <v>509</v>
      </c>
      <c r="F429" s="12">
        <v>900</v>
      </c>
      <c r="G429" s="12">
        <v>1</v>
      </c>
      <c r="H429" s="16">
        <f>H428</f>
        <v>22</v>
      </c>
      <c r="I429" s="16">
        <f>VLOOKUP(C429,Resources!B:G,6,FALSE)</f>
        <v>1</v>
      </c>
      <c r="J429" s="16">
        <f>(H429/G429)*I429*F429</f>
        <v>19800</v>
      </c>
      <c r="K429" s="12">
        <f>IF(E429="M"," ",L429*F429)</f>
        <v>39600</v>
      </c>
      <c r="L429" s="53">
        <f>IF(E429="M"," ",H429/G429)*2</f>
        <v>44</v>
      </c>
      <c r="M429" s="16">
        <f>IF($E429="L",$J429,0)</f>
        <v>0</v>
      </c>
      <c r="N429" s="16">
        <f>IF($E429="M",$J429,0)</f>
        <v>0</v>
      </c>
      <c r="O429" s="16">
        <f>IF($E429="P",$J429,0)</f>
        <v>0</v>
      </c>
      <c r="P429" s="16">
        <f>IF($E429="S",$J429,0)</f>
        <v>19800</v>
      </c>
      <c r="Q429" s="16">
        <f>SUM(M429:P429)</f>
        <v>19800</v>
      </c>
      <c r="R429" s="250">
        <v>95</v>
      </c>
    </row>
    <row r="430" spans="1:18" x14ac:dyDescent="0.25">
      <c r="A430" s="49" t="s">
        <v>642</v>
      </c>
      <c r="F430" s="11"/>
      <c r="G430" s="11"/>
      <c r="K430" s="11"/>
      <c r="L430" s="11"/>
    </row>
    <row r="431" spans="1:18" ht="45" x14ac:dyDescent="0.25">
      <c r="A431" s="51">
        <v>74</v>
      </c>
      <c r="B431" s="3" t="s">
        <v>305</v>
      </c>
      <c r="C431" s="3" t="s">
        <v>611</v>
      </c>
      <c r="D431" s="4" t="s">
        <v>204</v>
      </c>
      <c r="E431" s="44"/>
      <c r="F431" s="10"/>
      <c r="G431" s="10"/>
      <c r="H431" s="48">
        <f>VLOOKUP($A431,'Model Inputs'!$A:$C,3,FALSE)</f>
        <v>1</v>
      </c>
      <c r="I431" s="15"/>
      <c r="J431" s="15">
        <f>SUBTOTAL(9,J432)</f>
        <v>1780</v>
      </c>
      <c r="K431" s="10"/>
      <c r="L431" s="15">
        <f t="shared" ref="L431" si="61">MAX(L432)</f>
        <v>0</v>
      </c>
      <c r="M431" s="15">
        <f>SUBTOTAL(9,M432)</f>
        <v>0</v>
      </c>
      <c r="N431" s="15">
        <f>SUBTOTAL(9,N432)</f>
        <v>0</v>
      </c>
      <c r="O431" s="15">
        <f>SUBTOTAL(9,O432)</f>
        <v>0</v>
      </c>
      <c r="P431" s="15">
        <f>SUBTOTAL(9,P432)</f>
        <v>1780</v>
      </c>
      <c r="Q431" s="15">
        <f>SUBTOTAL(9,Q432)</f>
        <v>1780</v>
      </c>
      <c r="R431" s="249"/>
    </row>
    <row r="432" spans="1:18" x14ac:dyDescent="0.25">
      <c r="A432" s="52" t="s">
        <v>642</v>
      </c>
      <c r="B432" s="6">
        <v>1</v>
      </c>
      <c r="C432" s="6" t="s">
        <v>78</v>
      </c>
      <c r="D432" s="6" t="s">
        <v>19</v>
      </c>
      <c r="E432" s="45" t="s">
        <v>509</v>
      </c>
      <c r="F432" s="12">
        <v>1780</v>
      </c>
      <c r="G432" s="12">
        <v>1</v>
      </c>
      <c r="H432" s="16">
        <f>H431</f>
        <v>1</v>
      </c>
      <c r="I432" s="16">
        <f>VLOOKUP(C432,Resources!B:G,6,FALSE)</f>
        <v>1</v>
      </c>
      <c r="J432" s="16">
        <f>(H432/G432)*I432*F432</f>
        <v>1780</v>
      </c>
      <c r="K432" s="12">
        <f>IF(E432="M"," ",L432*F432)</f>
        <v>0</v>
      </c>
      <c r="L432" s="53"/>
      <c r="M432" s="16">
        <f>IF($E432="L",$J432,0)</f>
        <v>0</v>
      </c>
      <c r="N432" s="16">
        <f>IF($E432="M",$J432,0)</f>
        <v>0</v>
      </c>
      <c r="O432" s="16">
        <f>IF($E432="P",$J432,0)</f>
        <v>0</v>
      </c>
      <c r="P432" s="16">
        <f>IF($E432="S",$J432,0)</f>
        <v>1780</v>
      </c>
      <c r="Q432" s="16">
        <f>SUM(M432:P432)</f>
        <v>1780</v>
      </c>
      <c r="R432" s="250">
        <v>95</v>
      </c>
    </row>
    <row r="433" spans="1:18" x14ac:dyDescent="0.25">
      <c r="A433" s="49" t="s">
        <v>642</v>
      </c>
      <c r="F433" s="11"/>
      <c r="G433" s="11"/>
      <c r="K433" s="11"/>
      <c r="L433" s="11"/>
    </row>
    <row r="434" spans="1:18" ht="45" x14ac:dyDescent="0.25">
      <c r="A434" s="51">
        <v>75</v>
      </c>
      <c r="B434" s="3" t="s">
        <v>307</v>
      </c>
      <c r="C434" s="3" t="s">
        <v>612</v>
      </c>
      <c r="D434" s="4" t="s">
        <v>204</v>
      </c>
      <c r="E434" s="44"/>
      <c r="F434" s="10"/>
      <c r="G434" s="10"/>
      <c r="H434" s="48">
        <f>VLOOKUP($A434,'Model Inputs'!$A:$C,3,FALSE)</f>
        <v>2</v>
      </c>
      <c r="I434" s="15"/>
      <c r="J434" s="15">
        <f>SUBTOTAL(9,J435)</f>
        <v>3700</v>
      </c>
      <c r="K434" s="10"/>
      <c r="L434" s="15">
        <f t="shared" ref="L434" si="62">MAX(L435)</f>
        <v>0</v>
      </c>
      <c r="M434" s="15">
        <f>SUBTOTAL(9,M435)</f>
        <v>0</v>
      </c>
      <c r="N434" s="15">
        <f>SUBTOTAL(9,N435)</f>
        <v>0</v>
      </c>
      <c r="O434" s="15">
        <f>SUBTOTAL(9,O435)</f>
        <v>0</v>
      </c>
      <c r="P434" s="15">
        <f>SUBTOTAL(9,P435)</f>
        <v>3700</v>
      </c>
      <c r="Q434" s="15">
        <f>SUBTOTAL(9,Q435)</f>
        <v>3700</v>
      </c>
      <c r="R434" s="249"/>
    </row>
    <row r="435" spans="1:18" x14ac:dyDescent="0.25">
      <c r="A435" s="52" t="s">
        <v>642</v>
      </c>
      <c r="B435" s="6">
        <v>1</v>
      </c>
      <c r="C435" s="6" t="s">
        <v>78</v>
      </c>
      <c r="D435" s="6" t="s">
        <v>19</v>
      </c>
      <c r="E435" s="45" t="s">
        <v>509</v>
      </c>
      <c r="F435" s="12">
        <v>1850</v>
      </c>
      <c r="G435" s="12">
        <v>1</v>
      </c>
      <c r="H435" s="16">
        <f>H434</f>
        <v>2</v>
      </c>
      <c r="I435" s="16">
        <f>VLOOKUP(C435,Resources!B:G,6,FALSE)</f>
        <v>1</v>
      </c>
      <c r="J435" s="16">
        <f>(H435/G435)*I435*F435</f>
        <v>3700</v>
      </c>
      <c r="K435" s="12">
        <f>IF(E435="M"," ",L435*F435)</f>
        <v>0</v>
      </c>
      <c r="L435" s="53"/>
      <c r="M435" s="16">
        <f>IF($E435="L",$J435,0)</f>
        <v>0</v>
      </c>
      <c r="N435" s="16">
        <f>IF($E435="M",$J435,0)</f>
        <v>0</v>
      </c>
      <c r="O435" s="16">
        <f>IF($E435="P",$J435,0)</f>
        <v>0</v>
      </c>
      <c r="P435" s="16">
        <f>IF($E435="S",$J435,0)</f>
        <v>3700</v>
      </c>
      <c r="Q435" s="16">
        <f>SUM(M435:P435)</f>
        <v>3700</v>
      </c>
      <c r="R435" s="250">
        <v>95</v>
      </c>
    </row>
    <row r="436" spans="1:18" x14ac:dyDescent="0.25">
      <c r="A436" s="49" t="s">
        <v>642</v>
      </c>
      <c r="F436" s="11"/>
      <c r="G436" s="11"/>
      <c r="K436" s="11"/>
      <c r="L436" s="11"/>
    </row>
    <row r="437" spans="1:18" ht="45" x14ac:dyDescent="0.25">
      <c r="A437" s="51">
        <v>76</v>
      </c>
      <c r="B437" s="3" t="s">
        <v>309</v>
      </c>
      <c r="C437" s="3" t="s">
        <v>613</v>
      </c>
      <c r="D437" s="4" t="s">
        <v>26</v>
      </c>
      <c r="E437" s="44"/>
      <c r="F437" s="10"/>
      <c r="G437" s="10"/>
      <c r="H437" s="48">
        <f>VLOOKUP($A437,'Model Inputs'!$A:$C,3,FALSE)</f>
        <v>370</v>
      </c>
      <c r="I437" s="15"/>
      <c r="J437" s="15">
        <f>SUBTOTAL(9,J438)</f>
        <v>5550</v>
      </c>
      <c r="K437" s="10"/>
      <c r="L437" s="15">
        <f t="shared" ref="L437" si="63">MAX(L438)</f>
        <v>0</v>
      </c>
      <c r="M437" s="15">
        <f>SUBTOTAL(9,M438)</f>
        <v>0</v>
      </c>
      <c r="N437" s="15">
        <f>SUBTOTAL(9,N438)</f>
        <v>0</v>
      </c>
      <c r="O437" s="15">
        <f>SUBTOTAL(9,O438)</f>
        <v>0</v>
      </c>
      <c r="P437" s="15">
        <f>SUBTOTAL(9,P438)</f>
        <v>5550</v>
      </c>
      <c r="Q437" s="15">
        <f>SUBTOTAL(9,Q438)</f>
        <v>5550</v>
      </c>
      <c r="R437" s="249"/>
    </row>
    <row r="438" spans="1:18" x14ac:dyDescent="0.25">
      <c r="A438" s="52" t="s">
        <v>642</v>
      </c>
      <c r="B438" s="6">
        <v>1</v>
      </c>
      <c r="C438" s="6" t="s">
        <v>78</v>
      </c>
      <c r="D438" s="6" t="s">
        <v>19</v>
      </c>
      <c r="E438" s="45" t="s">
        <v>509</v>
      </c>
      <c r="F438" s="12">
        <v>15</v>
      </c>
      <c r="G438" s="12">
        <v>1</v>
      </c>
      <c r="H438" s="16">
        <f>H437</f>
        <v>370</v>
      </c>
      <c r="I438" s="16">
        <f>VLOOKUP(C438,Resources!B:G,6,FALSE)</f>
        <v>1</v>
      </c>
      <c r="J438" s="16">
        <f>(H438/G438)*I438*F438</f>
        <v>5550</v>
      </c>
      <c r="K438" s="12">
        <f>IF(E438="M"," ",L438*F438)</f>
        <v>0</v>
      </c>
      <c r="L438" s="53"/>
      <c r="M438" s="16">
        <f>IF($E438="L",$J438,0)</f>
        <v>0</v>
      </c>
      <c r="N438" s="16">
        <f>IF($E438="M",$J438,0)</f>
        <v>0</v>
      </c>
      <c r="O438" s="16">
        <f>IF($E438="P",$J438,0)</f>
        <v>0</v>
      </c>
      <c r="P438" s="16">
        <f>IF($E438="S",$J438,0)</f>
        <v>5550</v>
      </c>
      <c r="Q438" s="16">
        <f>SUM(M438:P438)</f>
        <v>5550</v>
      </c>
      <c r="R438" s="250">
        <v>95</v>
      </c>
    </row>
    <row r="439" spans="1:18" x14ac:dyDescent="0.25">
      <c r="A439" s="49" t="s">
        <v>642</v>
      </c>
      <c r="F439" s="11"/>
      <c r="G439" s="11"/>
      <c r="K439" s="11"/>
      <c r="L439" s="11"/>
    </row>
    <row r="440" spans="1:18" ht="105" x14ac:dyDescent="0.25">
      <c r="A440" s="51">
        <v>77</v>
      </c>
      <c r="B440" s="3" t="s">
        <v>311</v>
      </c>
      <c r="C440" s="3" t="s">
        <v>614</v>
      </c>
      <c r="D440" s="4" t="s">
        <v>61</v>
      </c>
      <c r="E440" s="44"/>
      <c r="F440" s="10"/>
      <c r="G440" s="10"/>
      <c r="H440" s="48">
        <f>VLOOKUP($A440,'Model Inputs'!$A:$C,3,FALSE)</f>
        <v>5</v>
      </c>
      <c r="I440" s="15"/>
      <c r="J440" s="15">
        <f>SUBTOTAL(9,J441)</f>
        <v>500</v>
      </c>
      <c r="K440" s="10"/>
      <c r="L440" s="15">
        <f t="shared" ref="L440" si="64">MAX(L441)</f>
        <v>0</v>
      </c>
      <c r="M440" s="15">
        <f>SUBTOTAL(9,M441)</f>
        <v>0</v>
      </c>
      <c r="N440" s="15">
        <f>SUBTOTAL(9,N441)</f>
        <v>0</v>
      </c>
      <c r="O440" s="15">
        <f>SUBTOTAL(9,O441)</f>
        <v>0</v>
      </c>
      <c r="P440" s="15">
        <f>SUBTOTAL(9,P441)</f>
        <v>500</v>
      </c>
      <c r="Q440" s="15">
        <f>SUBTOTAL(9,Q441)</f>
        <v>500</v>
      </c>
      <c r="R440" s="249"/>
    </row>
    <row r="441" spans="1:18" x14ac:dyDescent="0.25">
      <c r="A441" s="52" t="s">
        <v>642</v>
      </c>
      <c r="B441" s="6">
        <v>1</v>
      </c>
      <c r="C441" s="6" t="s">
        <v>78</v>
      </c>
      <c r="D441" s="6" t="s">
        <v>19</v>
      </c>
      <c r="E441" s="45" t="s">
        <v>509</v>
      </c>
      <c r="F441" s="12">
        <v>100</v>
      </c>
      <c r="G441" s="12">
        <v>1</v>
      </c>
      <c r="H441" s="16">
        <f>H440</f>
        <v>5</v>
      </c>
      <c r="I441" s="16">
        <f>VLOOKUP(C441,Resources!B:G,6,FALSE)</f>
        <v>1</v>
      </c>
      <c r="J441" s="16">
        <f>(H441/G441)*I441*F441</f>
        <v>500</v>
      </c>
      <c r="K441" s="12">
        <f>IF(E441="M"," ",L441*F441)</f>
        <v>0</v>
      </c>
      <c r="L441" s="53"/>
      <c r="M441" s="16">
        <f>IF($E441="L",$J441,0)</f>
        <v>0</v>
      </c>
      <c r="N441" s="16">
        <f>IF($E441="M",$J441,0)</f>
        <v>0</v>
      </c>
      <c r="O441" s="16">
        <f>IF($E441="P",$J441,0)</f>
        <v>0</v>
      </c>
      <c r="P441" s="16">
        <f>IF($E441="S",$J441,0)</f>
        <v>500</v>
      </c>
      <c r="Q441" s="16">
        <f>SUM(M441:P441)</f>
        <v>500</v>
      </c>
      <c r="R441" s="250">
        <v>95</v>
      </c>
    </row>
    <row r="442" spans="1:18" x14ac:dyDescent="0.25">
      <c r="A442" s="49" t="s">
        <v>642</v>
      </c>
      <c r="F442" s="11"/>
      <c r="G442" s="11"/>
      <c r="K442" s="11"/>
      <c r="L442" s="11"/>
    </row>
    <row r="443" spans="1:18" ht="75" x14ac:dyDescent="0.25">
      <c r="A443" s="51">
        <v>78</v>
      </c>
      <c r="B443" s="3" t="s">
        <v>313</v>
      </c>
      <c r="C443" s="3" t="s">
        <v>615</v>
      </c>
      <c r="D443" s="4" t="s">
        <v>17</v>
      </c>
      <c r="E443" s="44"/>
      <c r="F443" s="10"/>
      <c r="G443" s="10"/>
      <c r="H443" s="48">
        <f>VLOOKUP($A443,'Model Inputs'!$A:$C,3,FALSE)</f>
        <v>1</v>
      </c>
      <c r="I443" s="15"/>
      <c r="J443" s="15">
        <f>SUBTOTAL(9,J444)</f>
        <v>1500</v>
      </c>
      <c r="K443" s="10"/>
      <c r="L443" s="15">
        <f>ROUNDUP(MAX(L444)/Workhrs,0)</f>
        <v>1</v>
      </c>
      <c r="M443" s="15">
        <f>SUBTOTAL(9,M444)</f>
        <v>0</v>
      </c>
      <c r="N443" s="15">
        <f>SUBTOTAL(9,N444)</f>
        <v>0</v>
      </c>
      <c r="O443" s="15">
        <f>SUBTOTAL(9,O444)</f>
        <v>0</v>
      </c>
      <c r="P443" s="15">
        <f>SUBTOTAL(9,P444)</f>
        <v>1500</v>
      </c>
      <c r="Q443" s="15">
        <f>SUBTOTAL(9,Q444)</f>
        <v>1500</v>
      </c>
      <c r="R443" s="249"/>
    </row>
    <row r="444" spans="1:18" x14ac:dyDescent="0.25">
      <c r="A444" s="52" t="s">
        <v>642</v>
      </c>
      <c r="B444" s="6">
        <v>1</v>
      </c>
      <c r="C444" s="6" t="s">
        <v>78</v>
      </c>
      <c r="D444" s="6" t="s">
        <v>19</v>
      </c>
      <c r="E444" s="45" t="s">
        <v>509</v>
      </c>
      <c r="F444" s="12">
        <v>1500</v>
      </c>
      <c r="G444" s="12">
        <v>1</v>
      </c>
      <c r="H444" s="16">
        <f>H443</f>
        <v>1</v>
      </c>
      <c r="I444" s="16">
        <f>VLOOKUP(C444,Resources!B:G,6,FALSE)</f>
        <v>1</v>
      </c>
      <c r="J444" s="16">
        <f>(H444/G444)*I444*F444</f>
        <v>1500</v>
      </c>
      <c r="K444" s="12">
        <f>L444</f>
        <v>9</v>
      </c>
      <c r="L444" s="53">
        <f>IF(E444="M"," ",H444/G444)*9</f>
        <v>9</v>
      </c>
      <c r="M444" s="16">
        <f>IF($E444="L",$J444,0)</f>
        <v>0</v>
      </c>
      <c r="N444" s="16">
        <f>IF($E444="M",$J444,0)</f>
        <v>0</v>
      </c>
      <c r="O444" s="16">
        <f>IF($E444="P",$J444,0)</f>
        <v>0</v>
      </c>
      <c r="P444" s="16">
        <f>IF($E444="S",$J444,0)</f>
        <v>1500</v>
      </c>
      <c r="Q444" s="16">
        <f>SUM(M444:P444)</f>
        <v>1500</v>
      </c>
      <c r="R444" s="250">
        <v>95</v>
      </c>
    </row>
    <row r="445" spans="1:18" x14ac:dyDescent="0.25">
      <c r="A445" s="49" t="s">
        <v>642</v>
      </c>
      <c r="F445" s="11"/>
      <c r="G445" s="11"/>
      <c r="K445" s="11"/>
      <c r="L445" s="11"/>
    </row>
    <row r="446" spans="1:18" ht="60" x14ac:dyDescent="0.25">
      <c r="A446" s="51">
        <v>79</v>
      </c>
      <c r="B446" s="3" t="s">
        <v>315</v>
      </c>
      <c r="C446" s="3" t="s">
        <v>616</v>
      </c>
      <c r="D446" s="4" t="s">
        <v>17</v>
      </c>
      <c r="E446" s="44"/>
      <c r="F446" s="10"/>
      <c r="G446" s="10"/>
      <c r="H446" s="48">
        <f>VLOOKUP($A446,'Model Inputs'!$A:$C,3,FALSE)</f>
        <v>1</v>
      </c>
      <c r="I446" s="15"/>
      <c r="J446" s="15">
        <f>SUBTOTAL(9,J447)</f>
        <v>2500</v>
      </c>
      <c r="K446" s="10"/>
      <c r="L446" s="15">
        <f>ROUNDUP(MAX(L447)/Workhrs,0)</f>
        <v>1</v>
      </c>
      <c r="M446" s="15">
        <f>SUBTOTAL(9,M447)</f>
        <v>0</v>
      </c>
      <c r="N446" s="15">
        <f>SUBTOTAL(9,N447)</f>
        <v>0</v>
      </c>
      <c r="O446" s="15">
        <f>SUBTOTAL(9,O447)</f>
        <v>0</v>
      </c>
      <c r="P446" s="15">
        <f>SUBTOTAL(9,P447)</f>
        <v>2500</v>
      </c>
      <c r="Q446" s="15">
        <f>SUBTOTAL(9,Q447)</f>
        <v>2500</v>
      </c>
      <c r="R446" s="249"/>
    </row>
    <row r="447" spans="1:18" x14ac:dyDescent="0.25">
      <c r="A447" s="52" t="s">
        <v>642</v>
      </c>
      <c r="B447" s="6">
        <v>1</v>
      </c>
      <c r="C447" s="6" t="s">
        <v>78</v>
      </c>
      <c r="D447" s="6" t="s">
        <v>19</v>
      </c>
      <c r="E447" s="45" t="s">
        <v>509</v>
      </c>
      <c r="F447" s="12">
        <v>2500</v>
      </c>
      <c r="G447" s="12">
        <v>1</v>
      </c>
      <c r="H447" s="16">
        <f>H446</f>
        <v>1</v>
      </c>
      <c r="I447" s="16">
        <f>VLOOKUP(C447,Resources!B:G,6,FALSE)</f>
        <v>1</v>
      </c>
      <c r="J447" s="16">
        <f>(H447/G447)*I447*F447</f>
        <v>2500</v>
      </c>
      <c r="K447" s="12">
        <f>L447</f>
        <v>9</v>
      </c>
      <c r="L447" s="53">
        <f>IF(E447="M"," ",H447/G447)*9</f>
        <v>9</v>
      </c>
      <c r="M447" s="16">
        <f>IF($E447="L",$J447,0)</f>
        <v>0</v>
      </c>
      <c r="N447" s="16">
        <f>IF($E447="M",$J447,0)</f>
        <v>0</v>
      </c>
      <c r="O447" s="16">
        <f>IF($E447="P",$J447,0)</f>
        <v>0</v>
      </c>
      <c r="P447" s="16">
        <f>IF($E447="S",$J447,0)</f>
        <v>2500</v>
      </c>
      <c r="Q447" s="16">
        <f>SUM(M447:P447)</f>
        <v>2500</v>
      </c>
      <c r="R447" s="250">
        <v>95</v>
      </c>
    </row>
    <row r="448" spans="1:18" x14ac:dyDescent="0.25">
      <c r="A448" s="49" t="s">
        <v>642</v>
      </c>
      <c r="F448" s="11"/>
      <c r="G448" s="11"/>
      <c r="K448" s="11"/>
      <c r="L448" s="11"/>
    </row>
    <row r="449" spans="1:18" ht="30" x14ac:dyDescent="0.25">
      <c r="A449" s="51" t="s">
        <v>642</v>
      </c>
      <c r="B449" s="3" t="s">
        <v>317</v>
      </c>
      <c r="C449" s="3" t="s">
        <v>318</v>
      </c>
      <c r="D449" s="4"/>
      <c r="E449" s="44"/>
      <c r="F449" s="10"/>
      <c r="G449" s="10"/>
      <c r="H449" s="15"/>
      <c r="I449" s="15"/>
      <c r="J449" s="15"/>
      <c r="K449" s="10"/>
      <c r="L449" s="10"/>
      <c r="M449" s="15"/>
      <c r="N449" s="15"/>
      <c r="O449" s="15"/>
      <c r="P449" s="15"/>
      <c r="Q449" s="15"/>
      <c r="R449" s="249"/>
    </row>
    <row r="450" spans="1:18" ht="75" x14ac:dyDescent="0.25">
      <c r="A450" s="51">
        <v>80</v>
      </c>
      <c r="B450" s="3" t="s">
        <v>319</v>
      </c>
      <c r="C450" s="3" t="s">
        <v>617</v>
      </c>
      <c r="D450" s="4" t="s">
        <v>26</v>
      </c>
      <c r="E450" s="44"/>
      <c r="F450" s="10"/>
      <c r="G450" s="10"/>
      <c r="H450" s="48">
        <f>VLOOKUP($A450,'Model Inputs'!$A:$C,3,FALSE)</f>
        <v>445</v>
      </c>
      <c r="I450" s="15"/>
      <c r="J450" s="15">
        <f>SUBTOTAL(9,J452:J456)</f>
        <v>22474.870038000587</v>
      </c>
      <c r="K450" s="10"/>
      <c r="L450" s="15">
        <f>ROUNDUP(MAX(L452:L456)/Workhrs,0)</f>
        <v>8</v>
      </c>
      <c r="M450" s="15">
        <f>SUBTOTAL(9,M452:M456)</f>
        <v>6243.7883659748622</v>
      </c>
      <c r="N450" s="15">
        <f>SUBTOTAL(9,N452:N456)</f>
        <v>1922.3999999999999</v>
      </c>
      <c r="O450" s="15">
        <f>SUBTOTAL(9,O452:O456)</f>
        <v>14308.681672025727</v>
      </c>
      <c r="P450" s="15">
        <f>SUBTOTAL(9,P452:P456)</f>
        <v>0</v>
      </c>
      <c r="Q450" s="15">
        <f>SUBTOTAL(9,Q452:Q456)</f>
        <v>22474.870038000587</v>
      </c>
      <c r="R450" s="249"/>
    </row>
    <row r="451" spans="1:18" x14ac:dyDescent="0.25">
      <c r="A451" s="49" t="s">
        <v>642</v>
      </c>
      <c r="B451" s="5">
        <v>1</v>
      </c>
      <c r="C451" s="8" t="s">
        <v>321</v>
      </c>
      <c r="F451" s="11"/>
      <c r="G451" s="11"/>
      <c r="K451" s="11"/>
      <c r="L451" s="11"/>
    </row>
    <row r="452" spans="1:18" x14ac:dyDescent="0.25">
      <c r="A452" s="52" t="s">
        <v>642</v>
      </c>
      <c r="B452" s="6">
        <v>2</v>
      </c>
      <c r="C452" s="6" t="s">
        <v>29</v>
      </c>
      <c r="D452" s="6" t="s">
        <v>30</v>
      </c>
      <c r="E452" s="45" t="s">
        <v>507</v>
      </c>
      <c r="F452" s="12">
        <v>1</v>
      </c>
      <c r="G452" s="12">
        <v>1</v>
      </c>
      <c r="H452" s="16">
        <f>H450*0.18</f>
        <v>80.099999999999994</v>
      </c>
      <c r="I452" s="16">
        <f>VLOOKUP(C452,Resources!B:G,6,FALSE)</f>
        <v>24</v>
      </c>
      <c r="J452" s="16">
        <f>(H452/G452)*I452*F452</f>
        <v>1922.3999999999999</v>
      </c>
      <c r="K452" s="12" t="str">
        <f>IF(E452="M"," ",L452*F452)</f>
        <v xml:space="preserve"> </v>
      </c>
      <c r="L452" s="12" t="str">
        <f>IF(E452="M"," ",H452/G452)</f>
        <v xml:space="preserve"> </v>
      </c>
      <c r="M452" s="16">
        <f>IF($E452="L",$J452,0)</f>
        <v>0</v>
      </c>
      <c r="N452" s="16">
        <f>IF($E452="M",$J452,0)</f>
        <v>1922.3999999999999</v>
      </c>
      <c r="O452" s="16">
        <f>IF($E452="P",$J452,0)</f>
        <v>0</v>
      </c>
      <c r="P452" s="16">
        <f>IF($E452="S",$J452,0)</f>
        <v>0</v>
      </c>
      <c r="Q452" s="16">
        <f>SUM(M452:P452)</f>
        <v>1922.3999999999999</v>
      </c>
      <c r="R452" s="250" t="s">
        <v>530</v>
      </c>
    </row>
    <row r="453" spans="1:18" x14ac:dyDescent="0.25">
      <c r="A453" s="49" t="s">
        <v>642</v>
      </c>
      <c r="B453" s="5">
        <v>3</v>
      </c>
      <c r="C453" s="8" t="s">
        <v>322</v>
      </c>
      <c r="F453" s="11"/>
      <c r="G453" s="11"/>
      <c r="K453" s="11"/>
      <c r="L453" s="11"/>
    </row>
    <row r="454" spans="1:18" x14ac:dyDescent="0.25">
      <c r="A454" s="52">
        <v>80.010000000000005</v>
      </c>
      <c r="B454" s="6">
        <v>4</v>
      </c>
      <c r="C454" s="6" t="s">
        <v>32</v>
      </c>
      <c r="D454" s="6" t="s">
        <v>33</v>
      </c>
      <c r="E454" s="45" t="s">
        <v>508</v>
      </c>
      <c r="F454" s="12">
        <v>1</v>
      </c>
      <c r="G454" s="48">
        <f>VLOOKUP($A454,'Model Inputs'!$A:$C,3,FALSE)</f>
        <v>6.8419999999999996</v>
      </c>
      <c r="H454" s="16">
        <f>H450</f>
        <v>445</v>
      </c>
      <c r="I454" s="16">
        <f>VLOOKUP(C454,Resources!B:G,6,FALSE)</f>
        <v>125</v>
      </c>
      <c r="J454" s="16">
        <f>(H454/G454)*I454*F454</f>
        <v>8129.9327681964351</v>
      </c>
      <c r="K454" s="12">
        <f>IF(E454="M"," ",L454*F454)</f>
        <v>65.039462145571477</v>
      </c>
      <c r="L454" s="12">
        <f>IF(E454="M"," ",H454/G454)</f>
        <v>65.039462145571477</v>
      </c>
      <c r="M454" s="16">
        <f>IF($E454="L",$J454,0)</f>
        <v>0</v>
      </c>
      <c r="N454" s="16">
        <f>IF($E454="M",$J454,0)</f>
        <v>0</v>
      </c>
      <c r="O454" s="16">
        <f>IF($E454="P",$J454,0)</f>
        <v>8129.9327681964351</v>
      </c>
      <c r="P454" s="16">
        <f>IF($E454="S",$J454,0)</f>
        <v>0</v>
      </c>
      <c r="Q454" s="16">
        <f>SUM(M454:P454)</f>
        <v>8129.9327681964351</v>
      </c>
      <c r="R454" s="250">
        <v>111</v>
      </c>
    </row>
    <row r="455" spans="1:18" x14ac:dyDescent="0.25">
      <c r="A455" s="52" t="s">
        <v>642</v>
      </c>
      <c r="B455" s="6">
        <v>5</v>
      </c>
      <c r="C455" s="6" t="s">
        <v>8</v>
      </c>
      <c r="D455" s="6" t="s">
        <v>33</v>
      </c>
      <c r="E455" s="45" t="s">
        <v>506</v>
      </c>
      <c r="F455" s="12">
        <v>2</v>
      </c>
      <c r="G455" s="12">
        <f>G454</f>
        <v>6.8419999999999996</v>
      </c>
      <c r="H455" s="16">
        <f>H450</f>
        <v>445</v>
      </c>
      <c r="I455" s="16">
        <f>VLOOKUP(C455,Resources!B:G,6,FALSE)</f>
        <v>48</v>
      </c>
      <c r="J455" s="16">
        <f>(H455/G455)*I455*F455</f>
        <v>6243.7883659748622</v>
      </c>
      <c r="K455" s="12">
        <f>IF(E455="M"," ",L455*F455)</f>
        <v>130.07892429114295</v>
      </c>
      <c r="L455" s="12">
        <f>IF(E455="M"," ",H455/G455)</f>
        <v>65.039462145571477</v>
      </c>
      <c r="M455" s="16">
        <f>IF($E455="L",$J455,0)</f>
        <v>6243.7883659748622</v>
      </c>
      <c r="N455" s="16">
        <f>IF($E455="M",$J455,0)</f>
        <v>0</v>
      </c>
      <c r="O455" s="16">
        <f>IF($E455="P",$J455,0)</f>
        <v>0</v>
      </c>
      <c r="P455" s="16">
        <f>IF($E455="S",$J455,0)</f>
        <v>0</v>
      </c>
      <c r="Q455" s="16">
        <f>SUM(M455:P455)</f>
        <v>6243.7883659748622</v>
      </c>
      <c r="R455" s="250">
        <v>111</v>
      </c>
    </row>
    <row r="456" spans="1:18" x14ac:dyDescent="0.25">
      <c r="A456" s="52" t="s">
        <v>642</v>
      </c>
      <c r="B456" s="6">
        <v>6</v>
      </c>
      <c r="C456" s="6" t="s">
        <v>102</v>
      </c>
      <c r="D456" s="6" t="s">
        <v>33</v>
      </c>
      <c r="E456" s="45" t="s">
        <v>508</v>
      </c>
      <c r="F456" s="12">
        <v>1</v>
      </c>
      <c r="G456" s="12">
        <f>G454</f>
        <v>6.8419999999999996</v>
      </c>
      <c r="H456" s="16">
        <f>H450</f>
        <v>445</v>
      </c>
      <c r="I456" s="16">
        <f>VLOOKUP(C456,Resources!B:G,6,FALSE)</f>
        <v>95</v>
      </c>
      <c r="J456" s="16">
        <f>(H456/G456)*I456*F456</f>
        <v>6178.7489038292906</v>
      </c>
      <c r="K456" s="12">
        <f>IF(E456="M"," ",L456*F456)</f>
        <v>65.039462145571477</v>
      </c>
      <c r="L456" s="12">
        <f>IF(E456="M"," ",H456/G456)</f>
        <v>65.039462145571477</v>
      </c>
      <c r="M456" s="16">
        <f>IF($E456="L",$J456,0)</f>
        <v>0</v>
      </c>
      <c r="N456" s="16">
        <f>IF($E456="M",$J456,0)</f>
        <v>0</v>
      </c>
      <c r="O456" s="16">
        <f>IF($E456="P",$J456,0)</f>
        <v>6178.7489038292906</v>
      </c>
      <c r="P456" s="16">
        <f>IF($E456="S",$J456,0)</f>
        <v>0</v>
      </c>
      <c r="Q456" s="16">
        <f>SUM(M456:P456)</f>
        <v>6178.7489038292906</v>
      </c>
      <c r="R456" s="250">
        <v>111</v>
      </c>
    </row>
    <row r="457" spans="1:18" x14ac:dyDescent="0.25">
      <c r="A457" s="49" t="s">
        <v>642</v>
      </c>
      <c r="F457" s="11"/>
      <c r="G457" s="11"/>
      <c r="K457" s="11"/>
      <c r="L457" s="11"/>
    </row>
    <row r="458" spans="1:18" ht="90" x14ac:dyDescent="0.25">
      <c r="A458" s="51" t="s">
        <v>642</v>
      </c>
      <c r="B458" s="3" t="s">
        <v>323</v>
      </c>
      <c r="C458" s="3" t="s">
        <v>324</v>
      </c>
      <c r="D458" s="4"/>
      <c r="E458" s="44"/>
      <c r="F458" s="10"/>
      <c r="G458" s="10"/>
      <c r="H458" s="15"/>
      <c r="I458" s="15"/>
      <c r="J458" s="15"/>
      <c r="K458" s="10"/>
      <c r="L458" s="10"/>
      <c r="M458" s="15"/>
      <c r="N458" s="15"/>
      <c r="O458" s="15"/>
      <c r="P458" s="15"/>
      <c r="Q458" s="15"/>
      <c r="R458" s="249"/>
    </row>
    <row r="459" spans="1:18" ht="120" x14ac:dyDescent="0.25">
      <c r="A459" s="51">
        <v>81</v>
      </c>
      <c r="B459" s="3" t="s">
        <v>325</v>
      </c>
      <c r="C459" s="3" t="s">
        <v>618</v>
      </c>
      <c r="D459" s="4" t="s">
        <v>26</v>
      </c>
      <c r="E459" s="44"/>
      <c r="F459" s="10"/>
      <c r="G459" s="10"/>
      <c r="H459" s="48">
        <f>VLOOKUP($A459,'Model Inputs'!$A:$C,3,FALSE)</f>
        <v>79</v>
      </c>
      <c r="I459" s="15"/>
      <c r="J459" s="15">
        <f>SUBTOTAL(9,J461:J464)</f>
        <v>2664.518</v>
      </c>
      <c r="K459" s="10"/>
      <c r="L459" s="15">
        <f t="shared" ref="L459" si="65">MAX(L461:L464)</f>
        <v>0</v>
      </c>
      <c r="M459" s="15">
        <f>SUBTOTAL(9,M461:M464)</f>
        <v>0</v>
      </c>
      <c r="N459" s="15">
        <f>SUBTOTAL(9,N461:N464)</f>
        <v>2664.518</v>
      </c>
      <c r="O459" s="15">
        <f>SUBTOTAL(9,O461:O464)</f>
        <v>0</v>
      </c>
      <c r="P459" s="15">
        <f>SUBTOTAL(9,P461:P464)</f>
        <v>0</v>
      </c>
      <c r="Q459" s="15">
        <f>SUBTOTAL(9,Q461:Q464)</f>
        <v>2664.518</v>
      </c>
      <c r="R459" s="249"/>
    </row>
    <row r="460" spans="1:18" x14ac:dyDescent="0.25">
      <c r="A460" s="49" t="s">
        <v>642</v>
      </c>
      <c r="B460" s="5">
        <v>1</v>
      </c>
      <c r="C460" s="8" t="s">
        <v>27</v>
      </c>
      <c r="F460" s="11"/>
      <c r="G460" s="11"/>
      <c r="K460" s="11"/>
      <c r="L460" s="11"/>
    </row>
    <row r="461" spans="1:18" x14ac:dyDescent="0.25">
      <c r="A461" s="52" t="s">
        <v>642</v>
      </c>
      <c r="B461" s="6">
        <v>2</v>
      </c>
      <c r="C461" s="6" t="s">
        <v>327</v>
      </c>
      <c r="D461" s="6" t="s">
        <v>26</v>
      </c>
      <c r="E461" s="45" t="s">
        <v>507</v>
      </c>
      <c r="F461" s="12">
        <v>1</v>
      </c>
      <c r="G461" s="12">
        <v>1</v>
      </c>
      <c r="H461" s="16">
        <f>H459*4.6</f>
        <v>363.4</v>
      </c>
      <c r="I461" s="16">
        <f>VLOOKUP(C461,Resources!B:G,6,FALSE)</f>
        <v>4.32</v>
      </c>
      <c r="J461" s="16">
        <f>(H461/G461)*I461*F461</f>
        <v>1569.8879999999999</v>
      </c>
      <c r="K461" s="12" t="str">
        <f>IF(E461="M"," ",L461*F461)</f>
        <v xml:space="preserve"> </v>
      </c>
      <c r="L461" s="12" t="str">
        <f>IF(E461="M"," ",H461/G461)</f>
        <v xml:space="preserve"> </v>
      </c>
      <c r="M461" s="16">
        <f>IF($E461="L",$J461,0)</f>
        <v>0</v>
      </c>
      <c r="N461" s="16">
        <f>IF($E461="M",$J461,0)</f>
        <v>1569.8879999999999</v>
      </c>
      <c r="O461" s="16">
        <f>IF($E461="P",$J461,0)</f>
        <v>0</v>
      </c>
      <c r="P461" s="16">
        <f>IF($E461="S",$J461,0)</f>
        <v>0</v>
      </c>
      <c r="Q461" s="16">
        <f>SUM(M461:P461)</f>
        <v>1569.8879999999999</v>
      </c>
      <c r="R461" s="250" t="s">
        <v>540</v>
      </c>
    </row>
    <row r="462" spans="1:18" x14ac:dyDescent="0.25">
      <c r="A462" s="52" t="s">
        <v>642</v>
      </c>
      <c r="B462" s="6">
        <v>3</v>
      </c>
      <c r="C462" s="6" t="s">
        <v>328</v>
      </c>
      <c r="D462" s="6" t="s">
        <v>26</v>
      </c>
      <c r="E462" s="45" t="s">
        <v>507</v>
      </c>
      <c r="F462" s="12">
        <v>1</v>
      </c>
      <c r="G462" s="12">
        <v>1</v>
      </c>
      <c r="H462" s="16">
        <f>H459*5</f>
        <v>395</v>
      </c>
      <c r="I462" s="16">
        <f>VLOOKUP(C462,Resources!B:G,6,FALSE)</f>
        <v>0.11</v>
      </c>
      <c r="J462" s="16">
        <f>(H462/G462)*I462*F462</f>
        <v>43.45</v>
      </c>
      <c r="K462" s="12" t="str">
        <f>IF(E462="M"," ",L462*F462)</f>
        <v xml:space="preserve"> </v>
      </c>
      <c r="L462" s="12" t="str">
        <f>IF(E462="M"," ",H462/G462)</f>
        <v xml:space="preserve"> </v>
      </c>
      <c r="M462" s="16">
        <f>IF($E462="L",$J462,0)</f>
        <v>0</v>
      </c>
      <c r="N462" s="16">
        <f>IF($E462="M",$J462,0)</f>
        <v>43.45</v>
      </c>
      <c r="O462" s="16">
        <f>IF($E462="P",$J462,0)</f>
        <v>0</v>
      </c>
      <c r="P462" s="16">
        <f>IF($E462="S",$J462,0)</f>
        <v>0</v>
      </c>
      <c r="Q462" s="16">
        <f>SUM(M462:P462)</f>
        <v>43.45</v>
      </c>
      <c r="R462" s="250" t="s">
        <v>543</v>
      </c>
    </row>
    <row r="463" spans="1:18" x14ac:dyDescent="0.25">
      <c r="A463" s="52" t="s">
        <v>642</v>
      </c>
      <c r="B463" s="6">
        <v>4</v>
      </c>
      <c r="C463" s="6" t="s">
        <v>516</v>
      </c>
      <c r="D463" s="6" t="s">
        <v>52</v>
      </c>
      <c r="E463" s="45" t="s">
        <v>507</v>
      </c>
      <c r="F463" s="12">
        <v>1</v>
      </c>
      <c r="G463" s="12">
        <v>1</v>
      </c>
      <c r="H463" s="16">
        <v>1</v>
      </c>
      <c r="I463" s="16">
        <f>VLOOKUP(C463,Resources!B:G,6,FALSE)</f>
        <v>70</v>
      </c>
      <c r="J463" s="16">
        <f>(H463/G463)*I463*F463</f>
        <v>70</v>
      </c>
      <c r="K463" s="12" t="str">
        <f>IF(E463="M"," ",L463*F463)</f>
        <v xml:space="preserve"> </v>
      </c>
      <c r="L463" s="12" t="str">
        <f>IF(E463="M"," ",H463/G463)</f>
        <v xml:space="preserve"> </v>
      </c>
      <c r="M463" s="16">
        <f>IF($E463="L",$J463,0)</f>
        <v>0</v>
      </c>
      <c r="N463" s="16">
        <f>IF($E463="M",$J463,0)</f>
        <v>70</v>
      </c>
      <c r="O463" s="16">
        <f>IF($E463="P",$J463,0)</f>
        <v>0</v>
      </c>
      <c r="P463" s="16">
        <f>IF($E463="S",$J463,0)</f>
        <v>0</v>
      </c>
      <c r="Q463" s="16">
        <f>SUM(M463:P463)</f>
        <v>70</v>
      </c>
      <c r="R463" s="250" t="s">
        <v>543</v>
      </c>
    </row>
    <row r="464" spans="1:18" x14ac:dyDescent="0.25">
      <c r="A464" s="52" t="s">
        <v>642</v>
      </c>
      <c r="B464" s="6">
        <v>5</v>
      </c>
      <c r="C464" s="6" t="s">
        <v>329</v>
      </c>
      <c r="D464" s="6" t="s">
        <v>26</v>
      </c>
      <c r="E464" s="45" t="s">
        <v>507</v>
      </c>
      <c r="F464" s="12">
        <v>1</v>
      </c>
      <c r="G464" s="12">
        <v>1</v>
      </c>
      <c r="H464" s="16">
        <f>H461</f>
        <v>363.4</v>
      </c>
      <c r="I464" s="16">
        <f>VLOOKUP(C464,Resources!B:G,6,FALSE)</f>
        <v>2.7</v>
      </c>
      <c r="J464" s="16">
        <f>(H464/G464)*I464*F464</f>
        <v>981.18</v>
      </c>
      <c r="K464" s="12" t="str">
        <f>IF(E464="M"," ",L464*F464)</f>
        <v xml:space="preserve"> </v>
      </c>
      <c r="L464" s="12" t="str">
        <f>IF(E464="M"," ",H464/G464)</f>
        <v xml:space="preserve"> </v>
      </c>
      <c r="M464" s="16">
        <f>IF($E464="L",$J464,0)</f>
        <v>0</v>
      </c>
      <c r="N464" s="16">
        <f>IF($E464="M",$J464,0)</f>
        <v>981.18</v>
      </c>
      <c r="O464" s="16">
        <f>IF($E464="P",$J464,0)</f>
        <v>0</v>
      </c>
      <c r="P464" s="16">
        <f>IF($E464="S",$J464,0)</f>
        <v>0</v>
      </c>
      <c r="Q464" s="16">
        <f>SUM(M464:P464)</f>
        <v>981.18</v>
      </c>
      <c r="R464" s="250" t="s">
        <v>543</v>
      </c>
    </row>
    <row r="465" spans="1:18" x14ac:dyDescent="0.25">
      <c r="A465" s="49" t="s">
        <v>642</v>
      </c>
      <c r="F465" s="11"/>
      <c r="G465" s="11"/>
      <c r="K465" s="11"/>
      <c r="L465" s="11"/>
    </row>
    <row r="466" spans="1:18" ht="105" x14ac:dyDescent="0.25">
      <c r="A466" s="51">
        <v>82</v>
      </c>
      <c r="B466" s="3" t="s">
        <v>330</v>
      </c>
      <c r="C466" s="3" t="s">
        <v>619</v>
      </c>
      <c r="D466" s="4" t="s">
        <v>26</v>
      </c>
      <c r="E466" s="44"/>
      <c r="F466" s="10"/>
      <c r="G466" s="10"/>
      <c r="H466" s="48">
        <f>VLOOKUP($A466,'Model Inputs'!$A:$C,3,FALSE)</f>
        <v>16</v>
      </c>
      <c r="I466" s="15"/>
      <c r="J466" s="15">
        <f>SUBTOTAL(9,J468:J471)</f>
        <v>466.30400000000003</v>
      </c>
      <c r="K466" s="10"/>
      <c r="L466" s="15">
        <f t="shared" ref="L466" si="66">MAX(L468:L471)</f>
        <v>0</v>
      </c>
      <c r="M466" s="15">
        <f>SUBTOTAL(9,M468:M471)</f>
        <v>0</v>
      </c>
      <c r="N466" s="15">
        <f>SUBTOTAL(9,N468:N471)</f>
        <v>466.30400000000003</v>
      </c>
      <c r="O466" s="15">
        <f>SUBTOTAL(9,O468:O471)</f>
        <v>0</v>
      </c>
      <c r="P466" s="15">
        <f>SUBTOTAL(9,P468:P471)</f>
        <v>0</v>
      </c>
      <c r="Q466" s="15">
        <f>SUBTOTAL(9,Q468:Q471)</f>
        <v>466.30400000000003</v>
      </c>
      <c r="R466" s="249"/>
    </row>
    <row r="467" spans="1:18" x14ac:dyDescent="0.25">
      <c r="A467" s="49" t="s">
        <v>642</v>
      </c>
      <c r="B467" s="5">
        <v>1</v>
      </c>
      <c r="C467" s="8" t="s">
        <v>27</v>
      </c>
      <c r="F467" s="11"/>
      <c r="G467" s="11"/>
      <c r="K467" s="11"/>
      <c r="L467" s="11"/>
    </row>
    <row r="468" spans="1:18" x14ac:dyDescent="0.25">
      <c r="A468" s="52" t="s">
        <v>642</v>
      </c>
      <c r="B468" s="6">
        <v>2</v>
      </c>
      <c r="C468" s="6" t="s">
        <v>327</v>
      </c>
      <c r="D468" s="6" t="s">
        <v>26</v>
      </c>
      <c r="E468" s="45" t="s">
        <v>507</v>
      </c>
      <c r="F468" s="12">
        <v>1</v>
      </c>
      <c r="G468" s="12">
        <v>1</v>
      </c>
      <c r="H468" s="16">
        <f>H466*3.45</f>
        <v>55.2</v>
      </c>
      <c r="I468" s="16">
        <f>VLOOKUP(C468,Resources!B:G,6,FALSE)</f>
        <v>4.32</v>
      </c>
      <c r="J468" s="16">
        <f>(H468/G468)*I468*F468</f>
        <v>238.46400000000003</v>
      </c>
      <c r="K468" s="12" t="str">
        <f>IF(E468="M"," ",L468*F468)</f>
        <v xml:space="preserve"> </v>
      </c>
      <c r="L468" s="12" t="str">
        <f>IF(E468="M"," ",H468/G468)</f>
        <v xml:space="preserve"> </v>
      </c>
      <c r="M468" s="16">
        <f>IF($E468="L",$J468,0)</f>
        <v>0</v>
      </c>
      <c r="N468" s="16">
        <f>IF($E468="M",$J468,0)</f>
        <v>238.46400000000003</v>
      </c>
      <c r="O468" s="16">
        <f>IF($E468="P",$J468,0)</f>
        <v>0</v>
      </c>
      <c r="P468" s="16">
        <f>IF($E468="S",$J468,0)</f>
        <v>0</v>
      </c>
      <c r="Q468" s="16">
        <f>SUM(M468:P468)</f>
        <v>238.46400000000003</v>
      </c>
      <c r="R468" s="250" t="s">
        <v>540</v>
      </c>
    </row>
    <row r="469" spans="1:18" x14ac:dyDescent="0.25">
      <c r="A469" s="52" t="s">
        <v>642</v>
      </c>
      <c r="B469" s="6">
        <v>3</v>
      </c>
      <c r="C469" s="6" t="s">
        <v>328</v>
      </c>
      <c r="D469" s="6" t="s">
        <v>26</v>
      </c>
      <c r="E469" s="45" t="s">
        <v>507</v>
      </c>
      <c r="F469" s="12">
        <v>1</v>
      </c>
      <c r="G469" s="12">
        <v>1</v>
      </c>
      <c r="H469" s="16">
        <f>H466*5</f>
        <v>80</v>
      </c>
      <c r="I469" s="16">
        <f>VLOOKUP(C469,Resources!B:G,6,FALSE)</f>
        <v>0.11</v>
      </c>
      <c r="J469" s="16">
        <f>(H469/G469)*I469*F469</f>
        <v>8.8000000000000007</v>
      </c>
      <c r="K469" s="12" t="str">
        <f>IF(E469="M"," ",L469*F469)</f>
        <v xml:space="preserve"> </v>
      </c>
      <c r="L469" s="12" t="str">
        <f>IF(E469="M"," ",H469/G469)</f>
        <v xml:space="preserve"> </v>
      </c>
      <c r="M469" s="16">
        <f>IF($E469="L",$J469,0)</f>
        <v>0</v>
      </c>
      <c r="N469" s="16">
        <f>IF($E469="M",$J469,0)</f>
        <v>8.8000000000000007</v>
      </c>
      <c r="O469" s="16">
        <f>IF($E469="P",$J469,0)</f>
        <v>0</v>
      </c>
      <c r="P469" s="16">
        <f>IF($E469="S",$J469,0)</f>
        <v>0</v>
      </c>
      <c r="Q469" s="16">
        <f>SUM(M469:P469)</f>
        <v>8.8000000000000007</v>
      </c>
      <c r="R469" s="250" t="s">
        <v>543</v>
      </c>
    </row>
    <row r="470" spans="1:18" x14ac:dyDescent="0.25">
      <c r="A470" s="52" t="s">
        <v>642</v>
      </c>
      <c r="B470" s="6">
        <v>4</v>
      </c>
      <c r="C470" s="6" t="s">
        <v>516</v>
      </c>
      <c r="D470" s="6" t="s">
        <v>52</v>
      </c>
      <c r="E470" s="45" t="s">
        <v>507</v>
      </c>
      <c r="F470" s="12">
        <v>1</v>
      </c>
      <c r="G470" s="12">
        <v>1</v>
      </c>
      <c r="H470" s="16">
        <v>1</v>
      </c>
      <c r="I470" s="16">
        <f>VLOOKUP(C470,Resources!B:G,6,FALSE)</f>
        <v>70</v>
      </c>
      <c r="J470" s="16">
        <f>(H470/G470)*I470*F470</f>
        <v>70</v>
      </c>
      <c r="K470" s="12" t="str">
        <f>IF(E470="M"," ",L470*F470)</f>
        <v xml:space="preserve"> </v>
      </c>
      <c r="L470" s="12" t="str">
        <f>IF(E470="M"," ",H470/G470)</f>
        <v xml:space="preserve"> </v>
      </c>
      <c r="M470" s="16">
        <f>IF($E470="L",$J470,0)</f>
        <v>0</v>
      </c>
      <c r="N470" s="16">
        <f>IF($E470="M",$J470,0)</f>
        <v>70</v>
      </c>
      <c r="O470" s="16">
        <f>IF($E470="P",$J470,0)</f>
        <v>0</v>
      </c>
      <c r="P470" s="16">
        <f>IF($E470="S",$J470,0)</f>
        <v>0</v>
      </c>
      <c r="Q470" s="16">
        <f>SUM(M470:P470)</f>
        <v>70</v>
      </c>
      <c r="R470" s="250" t="s">
        <v>543</v>
      </c>
    </row>
    <row r="471" spans="1:18" x14ac:dyDescent="0.25">
      <c r="A471" s="52" t="s">
        <v>642</v>
      </c>
      <c r="B471" s="6">
        <v>5</v>
      </c>
      <c r="C471" s="6" t="s">
        <v>329</v>
      </c>
      <c r="D471" s="6" t="s">
        <v>26</v>
      </c>
      <c r="E471" s="45" t="s">
        <v>507</v>
      </c>
      <c r="F471" s="12">
        <v>1</v>
      </c>
      <c r="G471" s="12">
        <v>1</v>
      </c>
      <c r="H471" s="16">
        <f>H468</f>
        <v>55.2</v>
      </c>
      <c r="I471" s="16">
        <f>VLOOKUP(C471,Resources!B:G,6,FALSE)</f>
        <v>2.7</v>
      </c>
      <c r="J471" s="16">
        <f>(H471/G471)*I471*F471</f>
        <v>149.04000000000002</v>
      </c>
      <c r="K471" s="12" t="str">
        <f>IF(E471="M"," ",L471*F471)</f>
        <v xml:space="preserve"> </v>
      </c>
      <c r="L471" s="12" t="str">
        <f>IF(E471="M"," ",H471/G471)</f>
        <v xml:space="preserve"> </v>
      </c>
      <c r="M471" s="16">
        <f>IF($E471="L",$J471,0)</f>
        <v>0</v>
      </c>
      <c r="N471" s="16">
        <f>IF($E471="M",$J471,0)</f>
        <v>149.04000000000002</v>
      </c>
      <c r="O471" s="16">
        <f>IF($E471="P",$J471,0)</f>
        <v>0</v>
      </c>
      <c r="P471" s="16">
        <f>IF($E471="S",$J471,0)</f>
        <v>0</v>
      </c>
      <c r="Q471" s="16">
        <f>SUM(M471:P471)</f>
        <v>149.04000000000002</v>
      </c>
      <c r="R471" s="250" t="s">
        <v>543</v>
      </c>
    </row>
    <row r="472" spans="1:18" x14ac:dyDescent="0.25">
      <c r="A472" s="49" t="s">
        <v>642</v>
      </c>
      <c r="F472" s="11"/>
      <c r="G472" s="11"/>
      <c r="K472" s="11"/>
      <c r="L472" s="11"/>
    </row>
    <row r="473" spans="1:18" ht="105" x14ac:dyDescent="0.25">
      <c r="A473" s="51">
        <v>83</v>
      </c>
      <c r="B473" s="3" t="s">
        <v>332</v>
      </c>
      <c r="C473" s="3" t="s">
        <v>620</v>
      </c>
      <c r="D473" s="4" t="s">
        <v>26</v>
      </c>
      <c r="E473" s="44"/>
      <c r="F473" s="10"/>
      <c r="G473" s="10"/>
      <c r="H473" s="48">
        <f>VLOOKUP($A473,'Model Inputs'!$A:$C,3,FALSE)</f>
        <v>300</v>
      </c>
      <c r="I473" s="15"/>
      <c r="J473" s="15">
        <f>SUBTOTAL(9,J475:J478)</f>
        <v>5078.8</v>
      </c>
      <c r="K473" s="10"/>
      <c r="L473" s="15">
        <f t="shared" ref="L473" si="67">MAX(L475:L478)</f>
        <v>0</v>
      </c>
      <c r="M473" s="15">
        <f>SUBTOTAL(9,M475:M478)</f>
        <v>0</v>
      </c>
      <c r="N473" s="15">
        <f>SUBTOTAL(9,N475:N478)</f>
        <v>5078.8</v>
      </c>
      <c r="O473" s="15">
        <f>SUBTOTAL(9,O475:O478)</f>
        <v>0</v>
      </c>
      <c r="P473" s="15">
        <f>SUBTOTAL(9,P475:P478)</f>
        <v>0</v>
      </c>
      <c r="Q473" s="15">
        <f>SUBTOTAL(9,Q475:Q478)</f>
        <v>5078.8</v>
      </c>
      <c r="R473" s="249"/>
    </row>
    <row r="474" spans="1:18" x14ac:dyDescent="0.25">
      <c r="A474" s="49" t="s">
        <v>642</v>
      </c>
      <c r="B474" s="5">
        <v>1</v>
      </c>
      <c r="C474" s="8" t="s">
        <v>27</v>
      </c>
      <c r="F474" s="11"/>
      <c r="G474" s="11"/>
      <c r="K474" s="11"/>
      <c r="L474" s="11"/>
    </row>
    <row r="475" spans="1:18" x14ac:dyDescent="0.25">
      <c r="A475" s="52" t="s">
        <v>642</v>
      </c>
      <c r="B475" s="6">
        <v>2</v>
      </c>
      <c r="C475" s="6" t="s">
        <v>327</v>
      </c>
      <c r="D475" s="6" t="s">
        <v>26</v>
      </c>
      <c r="E475" s="45" t="s">
        <v>507</v>
      </c>
      <c r="F475" s="12">
        <v>1</v>
      </c>
      <c r="G475" s="12">
        <v>1</v>
      </c>
      <c r="H475" s="16">
        <f>H473*2.3</f>
        <v>690</v>
      </c>
      <c r="I475" s="16">
        <f>VLOOKUP(C475,Resources!B:G,6,FALSE)</f>
        <v>4.32</v>
      </c>
      <c r="J475" s="16">
        <f>(H475/G475)*I475*F475</f>
        <v>2980.8</v>
      </c>
      <c r="K475" s="12" t="str">
        <f>IF(E475="M"," ",L475*F475)</f>
        <v xml:space="preserve"> </v>
      </c>
      <c r="L475" s="12" t="str">
        <f>IF(E475="M"," ",H475/G475)</f>
        <v xml:space="preserve"> </v>
      </c>
      <c r="M475" s="16">
        <f>IF($E475="L",$J475,0)</f>
        <v>0</v>
      </c>
      <c r="N475" s="16">
        <f>IF($E475="M",$J475,0)</f>
        <v>2980.8</v>
      </c>
      <c r="O475" s="16">
        <f>IF($E475="P",$J475,0)</f>
        <v>0</v>
      </c>
      <c r="P475" s="16">
        <f>IF($E475="S",$J475,0)</f>
        <v>0</v>
      </c>
      <c r="Q475" s="16">
        <f>SUM(M475:P475)</f>
        <v>2980.8</v>
      </c>
      <c r="R475" s="250" t="s">
        <v>540</v>
      </c>
    </row>
    <row r="476" spans="1:18" x14ac:dyDescent="0.25">
      <c r="A476" s="52" t="s">
        <v>642</v>
      </c>
      <c r="B476" s="6">
        <v>3</v>
      </c>
      <c r="C476" s="6" t="s">
        <v>328</v>
      </c>
      <c r="D476" s="6" t="s">
        <v>26</v>
      </c>
      <c r="E476" s="45" t="s">
        <v>507</v>
      </c>
      <c r="F476" s="12">
        <v>1</v>
      </c>
      <c r="G476" s="12">
        <v>1</v>
      </c>
      <c r="H476" s="16">
        <f>H473*5</f>
        <v>1500</v>
      </c>
      <c r="I476" s="16">
        <f>VLOOKUP(C476,Resources!B:G,6,FALSE)</f>
        <v>0.11</v>
      </c>
      <c r="J476" s="16">
        <f>(H476/G476)*I476*F476</f>
        <v>165</v>
      </c>
      <c r="K476" s="12" t="str">
        <f>IF(E476="M"," ",L476*F476)</f>
        <v xml:space="preserve"> </v>
      </c>
      <c r="L476" s="12" t="str">
        <f>IF(E476="M"," ",H476/G476)</f>
        <v xml:space="preserve"> </v>
      </c>
      <c r="M476" s="16">
        <f>IF($E476="L",$J476,0)</f>
        <v>0</v>
      </c>
      <c r="N476" s="16">
        <f>IF($E476="M",$J476,0)</f>
        <v>165</v>
      </c>
      <c r="O476" s="16">
        <f>IF($E476="P",$J476,0)</f>
        <v>0</v>
      </c>
      <c r="P476" s="16">
        <f>IF($E476="S",$J476,0)</f>
        <v>0</v>
      </c>
      <c r="Q476" s="16">
        <f>SUM(M476:P476)</f>
        <v>165</v>
      </c>
      <c r="R476" s="250" t="s">
        <v>543</v>
      </c>
    </row>
    <row r="477" spans="1:18" x14ac:dyDescent="0.25">
      <c r="A477" s="52" t="s">
        <v>642</v>
      </c>
      <c r="B477" s="6">
        <v>4</v>
      </c>
      <c r="C477" s="6" t="s">
        <v>516</v>
      </c>
      <c r="D477" s="6" t="s">
        <v>52</v>
      </c>
      <c r="E477" s="45" t="s">
        <v>507</v>
      </c>
      <c r="F477" s="12">
        <v>1</v>
      </c>
      <c r="G477" s="12">
        <v>1</v>
      </c>
      <c r="H477" s="16">
        <v>1</v>
      </c>
      <c r="I477" s="16">
        <f>VLOOKUP(C477,Resources!B:G,6,FALSE)</f>
        <v>70</v>
      </c>
      <c r="J477" s="16">
        <f>(H477/G477)*I477*F477</f>
        <v>70</v>
      </c>
      <c r="K477" s="12" t="str">
        <f>IF(E477="M"," ",L477*F477)</f>
        <v xml:space="preserve"> </v>
      </c>
      <c r="L477" s="12" t="str">
        <f>IF(E477="M"," ",H477/G477)</f>
        <v xml:space="preserve"> </v>
      </c>
      <c r="M477" s="16">
        <f>IF($E477="L",$J477,0)</f>
        <v>0</v>
      </c>
      <c r="N477" s="16">
        <f>IF($E477="M",$J477,0)</f>
        <v>70</v>
      </c>
      <c r="O477" s="16">
        <f>IF($E477="P",$J477,0)</f>
        <v>0</v>
      </c>
      <c r="P477" s="16">
        <f>IF($E477="S",$J477,0)</f>
        <v>0</v>
      </c>
      <c r="Q477" s="16">
        <f>SUM(M477:P477)</f>
        <v>70</v>
      </c>
      <c r="R477" s="250" t="s">
        <v>543</v>
      </c>
    </row>
    <row r="478" spans="1:18" x14ac:dyDescent="0.25">
      <c r="A478" s="52" t="s">
        <v>642</v>
      </c>
      <c r="B478" s="6">
        <v>5</v>
      </c>
      <c r="C478" s="6" t="s">
        <v>329</v>
      </c>
      <c r="D478" s="6" t="s">
        <v>26</v>
      </c>
      <c r="E478" s="45" t="s">
        <v>507</v>
      </c>
      <c r="F478" s="12">
        <v>1</v>
      </c>
      <c r="G478" s="12">
        <v>1</v>
      </c>
      <c r="H478" s="16">
        <f>H475</f>
        <v>690</v>
      </c>
      <c r="I478" s="16">
        <f>VLOOKUP(C478,Resources!B:G,6,FALSE)</f>
        <v>2.7</v>
      </c>
      <c r="J478" s="16">
        <f>(H478/G478)*I478*F478</f>
        <v>1863.0000000000002</v>
      </c>
      <c r="K478" s="12" t="str">
        <f>IF(E478="M"," ",L478*F478)</f>
        <v xml:space="preserve"> </v>
      </c>
      <c r="L478" s="12" t="str">
        <f>IF(E478="M"," ",H478/G478)</f>
        <v xml:space="preserve"> </v>
      </c>
      <c r="M478" s="16">
        <f>IF($E478="L",$J478,0)</f>
        <v>0</v>
      </c>
      <c r="N478" s="16">
        <f>IF($E478="M",$J478,0)</f>
        <v>1863.0000000000002</v>
      </c>
      <c r="O478" s="16">
        <f>IF($E478="P",$J478,0)</f>
        <v>0</v>
      </c>
      <c r="P478" s="16">
        <f>IF($E478="S",$J478,0)</f>
        <v>0</v>
      </c>
      <c r="Q478" s="16">
        <f>SUM(M478:P478)</f>
        <v>1863.0000000000002</v>
      </c>
      <c r="R478" s="250" t="s">
        <v>543</v>
      </c>
    </row>
    <row r="479" spans="1:18" x14ac:dyDescent="0.25">
      <c r="A479" s="49" t="s">
        <v>642</v>
      </c>
      <c r="F479" s="11"/>
      <c r="G479" s="11"/>
      <c r="K479" s="11"/>
      <c r="L479" s="11"/>
    </row>
    <row r="480" spans="1:18" ht="90" x14ac:dyDescent="0.25">
      <c r="A480" s="51">
        <v>84</v>
      </c>
      <c r="B480" s="3" t="s">
        <v>334</v>
      </c>
      <c r="C480" s="3" t="s">
        <v>621</v>
      </c>
      <c r="D480" s="4" t="s">
        <v>26</v>
      </c>
      <c r="E480" s="44"/>
      <c r="F480" s="10"/>
      <c r="G480" s="10"/>
      <c r="H480" s="48">
        <f>VLOOKUP($A480,'Model Inputs'!$A:$C,3,FALSE)</f>
        <v>35</v>
      </c>
      <c r="I480" s="15"/>
      <c r="J480" s="15">
        <f>SUBTOTAL(9,J482:J485)</f>
        <v>371.80500000000001</v>
      </c>
      <c r="K480" s="10"/>
      <c r="L480" s="15">
        <f t="shared" ref="L480" si="68">MAX(L482:L485)</f>
        <v>0</v>
      </c>
      <c r="M480" s="15">
        <f>SUBTOTAL(9,M482:M485)</f>
        <v>0</v>
      </c>
      <c r="N480" s="15">
        <f>SUBTOTAL(9,N482:N485)</f>
        <v>371.80500000000001</v>
      </c>
      <c r="O480" s="15">
        <f>SUBTOTAL(9,O482:O485)</f>
        <v>0</v>
      </c>
      <c r="P480" s="15">
        <f>SUBTOTAL(9,P482:P485)</f>
        <v>0</v>
      </c>
      <c r="Q480" s="15">
        <f>SUBTOTAL(9,Q482:Q485)</f>
        <v>371.80500000000001</v>
      </c>
      <c r="R480" s="249"/>
    </row>
    <row r="481" spans="1:18" x14ac:dyDescent="0.25">
      <c r="A481" s="49" t="s">
        <v>642</v>
      </c>
      <c r="B481" s="5">
        <v>1</v>
      </c>
      <c r="C481" s="8" t="s">
        <v>27</v>
      </c>
      <c r="F481" s="11"/>
      <c r="G481" s="11"/>
      <c r="K481" s="11"/>
      <c r="L481" s="11"/>
    </row>
    <row r="482" spans="1:18" x14ac:dyDescent="0.25">
      <c r="A482" s="52" t="s">
        <v>642</v>
      </c>
      <c r="B482" s="6">
        <v>2</v>
      </c>
      <c r="C482" s="6" t="s">
        <v>327</v>
      </c>
      <c r="D482" s="6" t="s">
        <v>26</v>
      </c>
      <c r="E482" s="45" t="s">
        <v>507</v>
      </c>
      <c r="F482" s="12">
        <v>1</v>
      </c>
      <c r="G482" s="12">
        <v>1</v>
      </c>
      <c r="H482" s="16">
        <f>H480*1.15</f>
        <v>40.25</v>
      </c>
      <c r="I482" s="16">
        <f>VLOOKUP(C482,Resources!B:G,6,FALSE)</f>
        <v>4.32</v>
      </c>
      <c r="J482" s="16">
        <f>(H482/G482)*I482*F482</f>
        <v>173.88000000000002</v>
      </c>
      <c r="K482" s="12" t="str">
        <f>IF(E482="M"," ",L482*F482)</f>
        <v xml:space="preserve"> </v>
      </c>
      <c r="L482" s="12" t="str">
        <f>IF(E482="M"," ",H482/G482)</f>
        <v xml:space="preserve"> </v>
      </c>
      <c r="M482" s="16">
        <f>IF($E482="L",$J482,0)</f>
        <v>0</v>
      </c>
      <c r="N482" s="16">
        <f>IF($E482="M",$J482,0)</f>
        <v>173.88000000000002</v>
      </c>
      <c r="O482" s="16">
        <f>IF($E482="P",$J482,0)</f>
        <v>0</v>
      </c>
      <c r="P482" s="16">
        <f>IF($E482="S",$J482,0)</f>
        <v>0</v>
      </c>
      <c r="Q482" s="16">
        <f>SUM(M482:P482)</f>
        <v>173.88000000000002</v>
      </c>
      <c r="R482" s="250" t="s">
        <v>540</v>
      </c>
    </row>
    <row r="483" spans="1:18" x14ac:dyDescent="0.25">
      <c r="A483" s="52" t="s">
        <v>642</v>
      </c>
      <c r="B483" s="6">
        <v>3</v>
      </c>
      <c r="C483" s="6" t="s">
        <v>328</v>
      </c>
      <c r="D483" s="6" t="s">
        <v>26</v>
      </c>
      <c r="E483" s="45" t="s">
        <v>507</v>
      </c>
      <c r="F483" s="12">
        <v>1</v>
      </c>
      <c r="G483" s="12">
        <v>1</v>
      </c>
      <c r="H483" s="16">
        <f>H480*5</f>
        <v>175</v>
      </c>
      <c r="I483" s="16">
        <f>VLOOKUP(C483,Resources!B:G,6,FALSE)</f>
        <v>0.11</v>
      </c>
      <c r="J483" s="16">
        <f>(H483/G483)*I483*F483</f>
        <v>19.25</v>
      </c>
      <c r="K483" s="12" t="str">
        <f>IF(E483="M"," ",L483*F483)</f>
        <v xml:space="preserve"> </v>
      </c>
      <c r="L483" s="12" t="str">
        <f>IF(E483="M"," ",H483/G483)</f>
        <v xml:space="preserve"> </v>
      </c>
      <c r="M483" s="16">
        <f>IF($E483="L",$J483,0)</f>
        <v>0</v>
      </c>
      <c r="N483" s="16">
        <f>IF($E483="M",$J483,0)</f>
        <v>19.25</v>
      </c>
      <c r="O483" s="16">
        <f>IF($E483="P",$J483,0)</f>
        <v>0</v>
      </c>
      <c r="P483" s="16">
        <f>IF($E483="S",$J483,0)</f>
        <v>0</v>
      </c>
      <c r="Q483" s="16">
        <f>SUM(M483:P483)</f>
        <v>19.25</v>
      </c>
      <c r="R483" s="250" t="s">
        <v>543</v>
      </c>
    </row>
    <row r="484" spans="1:18" x14ac:dyDescent="0.25">
      <c r="A484" s="52" t="s">
        <v>642</v>
      </c>
      <c r="B484" s="6">
        <v>4</v>
      </c>
      <c r="C484" s="6" t="s">
        <v>516</v>
      </c>
      <c r="D484" s="6" t="s">
        <v>52</v>
      </c>
      <c r="E484" s="45" t="s">
        <v>507</v>
      </c>
      <c r="F484" s="12">
        <v>1</v>
      </c>
      <c r="G484" s="12">
        <v>1</v>
      </c>
      <c r="H484" s="16">
        <v>1</v>
      </c>
      <c r="I484" s="16">
        <f>VLOOKUP(C484,Resources!B:G,6,FALSE)</f>
        <v>70</v>
      </c>
      <c r="J484" s="16">
        <f>(H484/G484)*I484*F484</f>
        <v>70</v>
      </c>
      <c r="K484" s="12" t="str">
        <f>IF(E484="M"," ",L484*F484)</f>
        <v xml:space="preserve"> </v>
      </c>
      <c r="L484" s="12" t="str">
        <f>IF(E484="M"," ",H484/G484)</f>
        <v xml:space="preserve"> </v>
      </c>
      <c r="M484" s="16">
        <f>IF($E484="L",$J484,0)</f>
        <v>0</v>
      </c>
      <c r="N484" s="16">
        <f>IF($E484="M",$J484,0)</f>
        <v>70</v>
      </c>
      <c r="O484" s="16">
        <f>IF($E484="P",$J484,0)</f>
        <v>0</v>
      </c>
      <c r="P484" s="16">
        <f>IF($E484="S",$J484,0)</f>
        <v>0</v>
      </c>
      <c r="Q484" s="16">
        <f>SUM(M484:P484)</f>
        <v>70</v>
      </c>
      <c r="R484" s="250" t="s">
        <v>543</v>
      </c>
    </row>
    <row r="485" spans="1:18" x14ac:dyDescent="0.25">
      <c r="A485" s="52" t="s">
        <v>642</v>
      </c>
      <c r="B485" s="6">
        <v>5</v>
      </c>
      <c r="C485" s="6" t="s">
        <v>329</v>
      </c>
      <c r="D485" s="6" t="s">
        <v>26</v>
      </c>
      <c r="E485" s="45" t="s">
        <v>507</v>
      </c>
      <c r="F485" s="12">
        <v>1</v>
      </c>
      <c r="G485" s="12">
        <v>1</v>
      </c>
      <c r="H485" s="16">
        <f>H482</f>
        <v>40.25</v>
      </c>
      <c r="I485" s="16">
        <f>VLOOKUP(C485,Resources!B:G,6,FALSE)</f>
        <v>2.7</v>
      </c>
      <c r="J485" s="16">
        <f>(H485/G485)*I485*F485</f>
        <v>108.67500000000001</v>
      </c>
      <c r="K485" s="12" t="str">
        <f>IF(E485="M"," ",L485*F485)</f>
        <v xml:space="preserve"> </v>
      </c>
      <c r="L485" s="12" t="str">
        <f>IF(E485="M"," ",H485/G485)</f>
        <v xml:space="preserve"> </v>
      </c>
      <c r="M485" s="16">
        <f>IF($E485="L",$J485,0)</f>
        <v>0</v>
      </c>
      <c r="N485" s="16">
        <f>IF($E485="M",$J485,0)</f>
        <v>108.67500000000001</v>
      </c>
      <c r="O485" s="16">
        <f>IF($E485="P",$J485,0)</f>
        <v>0</v>
      </c>
      <c r="P485" s="16">
        <f>IF($E485="S",$J485,0)</f>
        <v>0</v>
      </c>
      <c r="Q485" s="16">
        <f>SUM(M485:P485)</f>
        <v>108.67500000000001</v>
      </c>
      <c r="R485" s="250" t="s">
        <v>543</v>
      </c>
    </row>
    <row r="486" spans="1:18" x14ac:dyDescent="0.25">
      <c r="A486" s="49" t="s">
        <v>642</v>
      </c>
      <c r="F486" s="11"/>
      <c r="G486" s="11"/>
      <c r="K486" s="11"/>
      <c r="L486" s="11"/>
    </row>
    <row r="487" spans="1:18" ht="30" x14ac:dyDescent="0.25">
      <c r="A487" s="51">
        <v>85</v>
      </c>
      <c r="B487" s="3" t="s">
        <v>336</v>
      </c>
      <c r="C487" s="3" t="s">
        <v>337</v>
      </c>
      <c r="D487" s="4" t="s">
        <v>338</v>
      </c>
      <c r="E487" s="44"/>
      <c r="F487" s="10"/>
      <c r="G487" s="10"/>
      <c r="H487" s="48">
        <f>VLOOKUP($A487,'Model Inputs'!$A:$C,3,FALSE)</f>
        <v>11</v>
      </c>
      <c r="I487" s="15"/>
      <c r="J487" s="15">
        <f>SUBTOTAL(9,J488)</f>
        <v>10450</v>
      </c>
      <c r="K487" s="10"/>
      <c r="L487" s="15">
        <f t="shared" ref="L487" si="69">MAX(L488)</f>
        <v>0</v>
      </c>
      <c r="M487" s="15">
        <f>SUBTOTAL(9,M488)</f>
        <v>0</v>
      </c>
      <c r="N487" s="15">
        <f>SUBTOTAL(9,N488)</f>
        <v>10450</v>
      </c>
      <c r="O487" s="15">
        <f>SUBTOTAL(9,O488)</f>
        <v>0</v>
      </c>
      <c r="P487" s="15">
        <f>SUBTOTAL(9,P488)</f>
        <v>0</v>
      </c>
      <c r="Q487" s="15">
        <f>SUBTOTAL(9,Q488)</f>
        <v>10450</v>
      </c>
      <c r="R487" s="249"/>
    </row>
    <row r="488" spans="1:18" x14ac:dyDescent="0.25">
      <c r="A488" s="52" t="s">
        <v>642</v>
      </c>
      <c r="B488" s="6">
        <v>1</v>
      </c>
      <c r="C488" s="6" t="s">
        <v>513</v>
      </c>
      <c r="D488" s="6" t="s">
        <v>52</v>
      </c>
      <c r="E488" s="45" t="s">
        <v>507</v>
      </c>
      <c r="F488" s="12">
        <v>1</v>
      </c>
      <c r="G488" s="12">
        <v>1</v>
      </c>
      <c r="H488" s="16">
        <f>H487</f>
        <v>11</v>
      </c>
      <c r="I488" s="16">
        <f>VLOOKUP(C488,Resources!B:G,6,FALSE)</f>
        <v>950</v>
      </c>
      <c r="J488" s="16">
        <f>(H488/G488)*I488*F488</f>
        <v>10450</v>
      </c>
      <c r="K488" s="12" t="str">
        <f>IF(E488="M"," ",L488*F488)</f>
        <v xml:space="preserve"> </v>
      </c>
      <c r="L488" s="12" t="str">
        <f>IF(E488="M"," ",H488/G488)</f>
        <v xml:space="preserve"> </v>
      </c>
      <c r="M488" s="16">
        <f>IF($E488="L",$J488,0)</f>
        <v>0</v>
      </c>
      <c r="N488" s="16">
        <f>IF($E488="M",$J488,0)</f>
        <v>10450</v>
      </c>
      <c r="O488" s="16">
        <f>IF($E488="P",$J488,0)</f>
        <v>0</v>
      </c>
      <c r="P488" s="16">
        <f>IF($E488="S",$J488,0)</f>
        <v>0</v>
      </c>
      <c r="Q488" s="16">
        <f>SUM(M488:P488)</f>
        <v>10450</v>
      </c>
      <c r="R488" s="250" t="s">
        <v>544</v>
      </c>
    </row>
    <row r="489" spans="1:18" x14ac:dyDescent="0.25">
      <c r="A489" s="49" t="s">
        <v>642</v>
      </c>
      <c r="F489" s="11"/>
      <c r="G489" s="11"/>
      <c r="K489" s="11"/>
      <c r="L489" s="11"/>
    </row>
    <row r="490" spans="1:18" ht="105" x14ac:dyDescent="0.25">
      <c r="A490" s="51">
        <v>86</v>
      </c>
      <c r="B490" s="3" t="s">
        <v>339</v>
      </c>
      <c r="C490" s="3" t="s">
        <v>340</v>
      </c>
      <c r="D490" s="4" t="s">
        <v>19</v>
      </c>
      <c r="E490" s="44"/>
      <c r="F490" s="10"/>
      <c r="G490" s="10"/>
      <c r="H490" s="48">
        <f>VLOOKUP($A490,'Model Inputs'!$A:$C,3,FALSE)</f>
        <v>1</v>
      </c>
      <c r="I490" s="15"/>
      <c r="J490" s="15">
        <f>SUBTOTAL(9,J491)</f>
        <v>42965</v>
      </c>
      <c r="K490" s="10"/>
      <c r="L490" s="15">
        <f>ROUNDUP(MAX(L491)/Workhrs,0)</f>
        <v>6</v>
      </c>
      <c r="M490" s="15">
        <f>SUBTOTAL(9,M491)</f>
        <v>0</v>
      </c>
      <c r="N490" s="15">
        <f>SUBTOTAL(9,N491)</f>
        <v>0</v>
      </c>
      <c r="O490" s="15">
        <f>SUBTOTAL(9,O491)</f>
        <v>0</v>
      </c>
      <c r="P490" s="15">
        <f>SUBTOTAL(9,P491)</f>
        <v>42965</v>
      </c>
      <c r="Q490" s="15">
        <f>SUBTOTAL(9,Q491)</f>
        <v>42965</v>
      </c>
      <c r="R490" s="249"/>
    </row>
    <row r="491" spans="1:18" x14ac:dyDescent="0.25">
      <c r="A491" s="52" t="s">
        <v>642</v>
      </c>
      <c r="B491" s="6">
        <v>1</v>
      </c>
      <c r="C491" s="6" t="s">
        <v>341</v>
      </c>
      <c r="D491" s="6" t="s">
        <v>19</v>
      </c>
      <c r="E491" s="45" t="s">
        <v>509</v>
      </c>
      <c r="F491" s="12">
        <v>42965</v>
      </c>
      <c r="G491" s="12">
        <v>1</v>
      </c>
      <c r="H491" s="16">
        <f>H490</f>
        <v>1</v>
      </c>
      <c r="I491" s="16">
        <f>VLOOKUP(C491,Resources!B:G,6,FALSE)</f>
        <v>1</v>
      </c>
      <c r="J491" s="16">
        <f>(H491/G491)*I491*F491</f>
        <v>42965</v>
      </c>
      <c r="K491" s="12">
        <f>L491</f>
        <v>54</v>
      </c>
      <c r="L491" s="53">
        <f>IF(E491="M"," ",H491/G491)*6*9</f>
        <v>54</v>
      </c>
      <c r="M491" s="16">
        <f>IF($E491="L",$J491,0)</f>
        <v>0</v>
      </c>
      <c r="N491" s="16">
        <f>IF($E491="M",$J491,0)</f>
        <v>0</v>
      </c>
      <c r="O491" s="16">
        <f>IF($E491="P",$J491,0)</f>
        <v>0</v>
      </c>
      <c r="P491" s="16">
        <f>IF($E491="S",$J491,0)</f>
        <v>42965</v>
      </c>
      <c r="Q491" s="16">
        <f>SUM(M491:P491)</f>
        <v>42965</v>
      </c>
      <c r="R491" s="250">
        <v>113</v>
      </c>
    </row>
    <row r="492" spans="1:18" x14ac:dyDescent="0.25">
      <c r="A492" s="49" t="s">
        <v>642</v>
      </c>
      <c r="F492" s="11"/>
      <c r="G492" s="11"/>
      <c r="K492" s="11"/>
      <c r="L492" s="11"/>
    </row>
    <row r="493" spans="1:18" ht="60" x14ac:dyDescent="0.25">
      <c r="A493" s="51">
        <v>87</v>
      </c>
      <c r="B493" s="3" t="s">
        <v>342</v>
      </c>
      <c r="C493" s="3" t="s">
        <v>343</v>
      </c>
      <c r="D493" s="4" t="s">
        <v>19</v>
      </c>
      <c r="E493" s="44"/>
      <c r="F493" s="10"/>
      <c r="G493" s="10"/>
      <c r="H493" s="48">
        <f>VLOOKUP($A493,'Model Inputs'!$A:$C,3,FALSE)</f>
        <v>1</v>
      </c>
      <c r="I493" s="15"/>
      <c r="J493" s="15">
        <f>SUBTOTAL(9,J494)</f>
        <v>21740</v>
      </c>
      <c r="K493" s="10"/>
      <c r="L493" s="15">
        <f>ROUNDUP(MAX(L494)/Workhrs,0)</f>
        <v>2</v>
      </c>
      <c r="M493" s="15">
        <f>SUBTOTAL(9,M494)</f>
        <v>0</v>
      </c>
      <c r="N493" s="15">
        <f>SUBTOTAL(9,N494)</f>
        <v>0</v>
      </c>
      <c r="O493" s="15">
        <f>SUBTOTAL(9,O494)</f>
        <v>0</v>
      </c>
      <c r="P493" s="15">
        <f>SUBTOTAL(9,P494)</f>
        <v>21740</v>
      </c>
      <c r="Q493" s="15">
        <f>SUBTOTAL(9,Q494)</f>
        <v>21740</v>
      </c>
      <c r="R493" s="249"/>
    </row>
    <row r="494" spans="1:18" x14ac:dyDescent="0.25">
      <c r="A494" s="52" t="s">
        <v>642</v>
      </c>
      <c r="B494" s="6">
        <v>1</v>
      </c>
      <c r="C494" s="6" t="s">
        <v>341</v>
      </c>
      <c r="D494" s="6" t="s">
        <v>19</v>
      </c>
      <c r="E494" s="45" t="s">
        <v>509</v>
      </c>
      <c r="F494" s="12">
        <v>21740</v>
      </c>
      <c r="G494" s="12">
        <v>1</v>
      </c>
      <c r="H494" s="16">
        <f>H493</f>
        <v>1</v>
      </c>
      <c r="I494" s="16">
        <f>VLOOKUP(C494,Resources!B:G,6,FALSE)</f>
        <v>1</v>
      </c>
      <c r="J494" s="16">
        <f>(H494/G494)*I494*F494</f>
        <v>21740</v>
      </c>
      <c r="K494" s="12">
        <f>L494</f>
        <v>18</v>
      </c>
      <c r="L494" s="53">
        <f>IF(E494="M"," ",H494/G494)*2*9</f>
        <v>18</v>
      </c>
      <c r="M494" s="16">
        <f>IF($E494="L",$J494,0)</f>
        <v>0</v>
      </c>
      <c r="N494" s="16">
        <f>IF($E494="M",$J494,0)</f>
        <v>0</v>
      </c>
      <c r="O494" s="16">
        <f>IF($E494="P",$J494,0)</f>
        <v>0</v>
      </c>
      <c r="P494" s="16">
        <f>IF($E494="S",$J494,0)</f>
        <v>21740</v>
      </c>
      <c r="Q494" s="16">
        <f>SUM(M494:P494)</f>
        <v>21740</v>
      </c>
      <c r="R494" s="250">
        <v>113</v>
      </c>
    </row>
    <row r="495" spans="1:18" x14ac:dyDescent="0.25">
      <c r="A495" s="49" t="s">
        <v>642</v>
      </c>
      <c r="F495" s="11"/>
      <c r="G495" s="11"/>
      <c r="K495" s="11"/>
      <c r="L495" s="11"/>
    </row>
    <row r="496" spans="1:18" ht="30" x14ac:dyDescent="0.25">
      <c r="A496" s="51">
        <v>88</v>
      </c>
      <c r="B496" s="3" t="s">
        <v>344</v>
      </c>
      <c r="C496" s="3" t="s">
        <v>345</v>
      </c>
      <c r="D496" s="4" t="s">
        <v>19</v>
      </c>
      <c r="E496" s="44"/>
      <c r="F496" s="10"/>
      <c r="G496" s="10"/>
      <c r="H496" s="48">
        <f>VLOOKUP($A496,'Model Inputs'!$A:$C,3,FALSE)</f>
        <v>1</v>
      </c>
      <c r="I496" s="15"/>
      <c r="J496" s="15">
        <f>SUBTOTAL(9,J497)</f>
        <v>18085</v>
      </c>
      <c r="K496" s="10"/>
      <c r="L496" s="15">
        <f>ROUNDUP(MAX(L497)/Workhrs,0)</f>
        <v>2</v>
      </c>
      <c r="M496" s="15">
        <f>SUBTOTAL(9,M497)</f>
        <v>0</v>
      </c>
      <c r="N496" s="15">
        <f>SUBTOTAL(9,N497)</f>
        <v>0</v>
      </c>
      <c r="O496" s="15">
        <f>SUBTOTAL(9,O497)</f>
        <v>0</v>
      </c>
      <c r="P496" s="15">
        <f>SUBTOTAL(9,P497)</f>
        <v>18085</v>
      </c>
      <c r="Q496" s="15">
        <f>SUBTOTAL(9,Q497)</f>
        <v>18085</v>
      </c>
      <c r="R496" s="249"/>
    </row>
    <row r="497" spans="1:18" x14ac:dyDescent="0.25">
      <c r="A497" s="52" t="s">
        <v>642</v>
      </c>
      <c r="B497" s="6">
        <v>1</v>
      </c>
      <c r="C497" s="6" t="s">
        <v>341</v>
      </c>
      <c r="D497" s="6" t="s">
        <v>19</v>
      </c>
      <c r="E497" s="45" t="s">
        <v>509</v>
      </c>
      <c r="F497" s="12">
        <v>18085</v>
      </c>
      <c r="G497" s="12">
        <v>1</v>
      </c>
      <c r="H497" s="16">
        <v>1</v>
      </c>
      <c r="I497" s="16">
        <f>VLOOKUP(C497,Resources!B:G,6,FALSE)</f>
        <v>1</v>
      </c>
      <c r="J497" s="16">
        <f>(H497/G497)*I497*F497</f>
        <v>18085</v>
      </c>
      <c r="K497" s="12">
        <f>L497</f>
        <v>18</v>
      </c>
      <c r="L497" s="53">
        <f>IF(E497="M"," ",H497/G497)*2*9</f>
        <v>18</v>
      </c>
      <c r="M497" s="16">
        <f>IF($E497="L",$J497,0)</f>
        <v>0</v>
      </c>
      <c r="N497" s="16">
        <f>IF($E497="M",$J497,0)</f>
        <v>0</v>
      </c>
      <c r="O497" s="16">
        <f>IF($E497="P",$J497,0)</f>
        <v>0</v>
      </c>
      <c r="P497" s="16">
        <f>IF($E497="S",$J497,0)</f>
        <v>18085</v>
      </c>
      <c r="Q497" s="16">
        <f>SUM(M497:P497)</f>
        <v>18085</v>
      </c>
      <c r="R497" s="250">
        <v>113</v>
      </c>
    </row>
    <row r="498" spans="1:18" x14ac:dyDescent="0.25">
      <c r="A498" s="49" t="s">
        <v>642</v>
      </c>
      <c r="F498" s="11"/>
      <c r="G498" s="11"/>
      <c r="K498" s="11"/>
      <c r="L498" s="11"/>
    </row>
    <row r="499" spans="1:18" ht="30" x14ac:dyDescent="0.25">
      <c r="A499" s="51">
        <v>89</v>
      </c>
      <c r="B499" s="3" t="s">
        <v>346</v>
      </c>
      <c r="C499" s="3" t="s">
        <v>347</v>
      </c>
      <c r="D499" s="4" t="s">
        <v>19</v>
      </c>
      <c r="E499" s="44"/>
      <c r="F499" s="10"/>
      <c r="G499" s="10"/>
      <c r="H499" s="48">
        <f>VLOOKUP($A499,'Model Inputs'!$A:$C,3,FALSE)</f>
        <v>1</v>
      </c>
      <c r="I499" s="15"/>
      <c r="J499" s="15">
        <f>SUBTOTAL(9,J500)</f>
        <v>7650</v>
      </c>
      <c r="K499" s="10"/>
      <c r="L499" s="15">
        <f>ROUNDUP(MAX(L500)/Workhrs,0)</f>
        <v>2</v>
      </c>
      <c r="M499" s="15">
        <f>SUBTOTAL(9,M500)</f>
        <v>0</v>
      </c>
      <c r="N499" s="15">
        <f>SUBTOTAL(9,N500)</f>
        <v>0</v>
      </c>
      <c r="O499" s="15">
        <f>SUBTOTAL(9,O500)</f>
        <v>0</v>
      </c>
      <c r="P499" s="15">
        <f>SUBTOTAL(9,P500)</f>
        <v>7650</v>
      </c>
      <c r="Q499" s="15">
        <f>SUBTOTAL(9,Q500)</f>
        <v>7650</v>
      </c>
      <c r="R499" s="249"/>
    </row>
    <row r="500" spans="1:18" x14ac:dyDescent="0.25">
      <c r="A500" s="52" t="s">
        <v>642</v>
      </c>
      <c r="B500" s="6">
        <v>1</v>
      </c>
      <c r="C500" s="6" t="s">
        <v>341</v>
      </c>
      <c r="D500" s="6" t="s">
        <v>19</v>
      </c>
      <c r="E500" s="45" t="s">
        <v>509</v>
      </c>
      <c r="F500" s="12">
        <v>7650</v>
      </c>
      <c r="G500" s="12">
        <v>1</v>
      </c>
      <c r="H500" s="16">
        <f>H499</f>
        <v>1</v>
      </c>
      <c r="I500" s="16">
        <f>VLOOKUP(C500,Resources!B:G,6,FALSE)</f>
        <v>1</v>
      </c>
      <c r="J500" s="16">
        <f>(H500/G500)*I500*F500</f>
        <v>7650</v>
      </c>
      <c r="K500" s="12">
        <f>L500</f>
        <v>18</v>
      </c>
      <c r="L500" s="53">
        <f>IF(E500="M"," ",H500/G500)*2*9</f>
        <v>18</v>
      </c>
      <c r="M500" s="16">
        <f>IF($E500="L",$J500,0)</f>
        <v>0</v>
      </c>
      <c r="N500" s="16">
        <f>IF($E500="M",$J500,0)</f>
        <v>0</v>
      </c>
      <c r="O500" s="16">
        <f>IF($E500="P",$J500,0)</f>
        <v>0</v>
      </c>
      <c r="P500" s="16">
        <f>IF($E500="S",$J500,0)</f>
        <v>7650</v>
      </c>
      <c r="Q500" s="16">
        <f>SUM(M500:P500)</f>
        <v>7650</v>
      </c>
      <c r="R500" s="250">
        <v>113</v>
      </c>
    </row>
    <row r="501" spans="1:18" x14ac:dyDescent="0.25">
      <c r="A501" s="49" t="s">
        <v>642</v>
      </c>
      <c r="F501" s="11"/>
      <c r="G501" s="11"/>
      <c r="K501" s="11"/>
      <c r="L501" s="11"/>
    </row>
    <row r="502" spans="1:18" ht="30" x14ac:dyDescent="0.25">
      <c r="A502" s="51" t="s">
        <v>642</v>
      </c>
      <c r="B502" s="3" t="s">
        <v>348</v>
      </c>
      <c r="C502" s="3" t="s">
        <v>349</v>
      </c>
      <c r="D502" s="4"/>
      <c r="E502" s="44"/>
      <c r="F502" s="10"/>
      <c r="G502" s="10"/>
      <c r="H502" s="15"/>
      <c r="I502" s="15"/>
      <c r="J502" s="15"/>
      <c r="K502" s="10"/>
      <c r="L502" s="10"/>
      <c r="M502" s="15"/>
      <c r="N502" s="15"/>
      <c r="O502" s="15"/>
      <c r="P502" s="15"/>
      <c r="Q502" s="15"/>
      <c r="R502" s="249"/>
    </row>
    <row r="503" spans="1:18" ht="135" x14ac:dyDescent="0.25">
      <c r="A503" s="51" t="s">
        <v>642</v>
      </c>
      <c r="B503" s="3" t="s">
        <v>350</v>
      </c>
      <c r="C503" s="3" t="s">
        <v>351</v>
      </c>
      <c r="D503" s="4"/>
      <c r="E503" s="44"/>
      <c r="F503" s="10"/>
      <c r="G503" s="10"/>
      <c r="H503" s="15"/>
      <c r="I503" s="15"/>
      <c r="J503" s="15"/>
      <c r="K503" s="10"/>
      <c r="L503" s="10"/>
      <c r="M503" s="15"/>
      <c r="N503" s="15"/>
      <c r="O503" s="15"/>
      <c r="P503" s="15"/>
      <c r="Q503" s="15"/>
      <c r="R503" s="249"/>
    </row>
    <row r="504" spans="1:18" ht="45" x14ac:dyDescent="0.25">
      <c r="A504" s="51">
        <v>90</v>
      </c>
      <c r="B504" s="3" t="s">
        <v>352</v>
      </c>
      <c r="C504" s="3" t="s">
        <v>622</v>
      </c>
      <c r="D504" s="4" t="s">
        <v>26</v>
      </c>
      <c r="E504" s="44"/>
      <c r="F504" s="10"/>
      <c r="G504" s="10"/>
      <c r="H504" s="48">
        <f>VLOOKUP($A504,'Model Inputs'!$A:$C,3,FALSE)</f>
        <v>15</v>
      </c>
      <c r="I504" s="15"/>
      <c r="J504" s="15">
        <f>SUBTOTAL(9,J506:J509)</f>
        <v>562.63000000000011</v>
      </c>
      <c r="K504" s="10"/>
      <c r="L504" s="15">
        <f t="shared" ref="L504" si="70">MAX(L506:L509)</f>
        <v>0</v>
      </c>
      <c r="M504" s="15">
        <f>SUBTOTAL(9,M506:M509)</f>
        <v>0</v>
      </c>
      <c r="N504" s="15">
        <f>SUBTOTAL(9,N506:N509)</f>
        <v>562.63000000000011</v>
      </c>
      <c r="O504" s="15">
        <f>SUBTOTAL(9,O506:O509)</f>
        <v>0</v>
      </c>
      <c r="P504" s="15">
        <f>SUBTOTAL(9,P506:P509)</f>
        <v>0</v>
      </c>
      <c r="Q504" s="15">
        <f>SUBTOTAL(9,Q506:Q509)</f>
        <v>562.63000000000011</v>
      </c>
      <c r="R504" s="249"/>
    </row>
    <row r="505" spans="1:18" x14ac:dyDescent="0.25">
      <c r="A505" s="49" t="s">
        <v>642</v>
      </c>
      <c r="B505" s="5">
        <v>1</v>
      </c>
      <c r="C505" s="8" t="s">
        <v>27</v>
      </c>
      <c r="F505" s="11"/>
      <c r="G505" s="11"/>
      <c r="K505" s="11"/>
      <c r="L505" s="11"/>
    </row>
    <row r="506" spans="1:18" x14ac:dyDescent="0.25">
      <c r="A506" s="52" t="s">
        <v>642</v>
      </c>
      <c r="B506" s="6">
        <v>2</v>
      </c>
      <c r="C506" s="6" t="s">
        <v>327</v>
      </c>
      <c r="D506" s="6" t="s">
        <v>26</v>
      </c>
      <c r="E506" s="45" t="s">
        <v>507</v>
      </c>
      <c r="F506" s="12">
        <v>1</v>
      </c>
      <c r="G506" s="12">
        <v>1</v>
      </c>
      <c r="H506" s="16">
        <f>H504*4.6</f>
        <v>69</v>
      </c>
      <c r="I506" s="16">
        <f>VLOOKUP(C506,Resources!B:G,6,FALSE)</f>
        <v>4.32</v>
      </c>
      <c r="J506" s="16">
        <f>(H506/G506)*I506*F506</f>
        <v>298.08000000000004</v>
      </c>
      <c r="K506" s="12" t="str">
        <f>IF(E506="M"," ",L506*F506)</f>
        <v xml:space="preserve"> </v>
      </c>
      <c r="L506" s="12" t="str">
        <f>IF(E506="M"," ",H506/G506)</f>
        <v xml:space="preserve"> </v>
      </c>
      <c r="M506" s="16">
        <f>IF($E506="L",$J506,0)</f>
        <v>0</v>
      </c>
      <c r="N506" s="16">
        <f>IF($E506="M",$J506,0)</f>
        <v>298.08000000000004</v>
      </c>
      <c r="O506" s="16">
        <f>IF($E506="P",$J506,0)</f>
        <v>0</v>
      </c>
      <c r="P506" s="16">
        <f>IF($E506="S",$J506,0)</f>
        <v>0</v>
      </c>
      <c r="Q506" s="16">
        <f>SUM(M506:P506)</f>
        <v>298.08000000000004</v>
      </c>
      <c r="R506" s="250" t="s">
        <v>540</v>
      </c>
    </row>
    <row r="507" spans="1:18" x14ac:dyDescent="0.25">
      <c r="A507" s="52" t="s">
        <v>642</v>
      </c>
      <c r="B507" s="6">
        <v>3</v>
      </c>
      <c r="C507" s="6" t="s">
        <v>328</v>
      </c>
      <c r="D507" s="6" t="s">
        <v>26</v>
      </c>
      <c r="E507" s="45" t="s">
        <v>507</v>
      </c>
      <c r="F507" s="12">
        <v>1</v>
      </c>
      <c r="G507" s="12">
        <v>1</v>
      </c>
      <c r="H507" s="16">
        <f>H504*5</f>
        <v>75</v>
      </c>
      <c r="I507" s="16">
        <f>VLOOKUP(C507,Resources!B:G,6,FALSE)</f>
        <v>0.11</v>
      </c>
      <c r="J507" s="16">
        <f>(H507/G507)*I507*F507</f>
        <v>8.25</v>
      </c>
      <c r="K507" s="12" t="str">
        <f>IF(E507="M"," ",L507*F507)</f>
        <v xml:space="preserve"> </v>
      </c>
      <c r="L507" s="12" t="str">
        <f>IF(E507="M"," ",H507/G507)</f>
        <v xml:space="preserve"> </v>
      </c>
      <c r="M507" s="16">
        <f>IF($E507="L",$J507,0)</f>
        <v>0</v>
      </c>
      <c r="N507" s="16">
        <f>IF($E507="M",$J507,0)</f>
        <v>8.25</v>
      </c>
      <c r="O507" s="16">
        <f>IF($E507="P",$J507,0)</f>
        <v>0</v>
      </c>
      <c r="P507" s="16">
        <f>IF($E507="S",$J507,0)</f>
        <v>0</v>
      </c>
      <c r="Q507" s="16">
        <f>SUM(M507:P507)</f>
        <v>8.25</v>
      </c>
      <c r="R507" s="250" t="s">
        <v>543</v>
      </c>
    </row>
    <row r="508" spans="1:18" x14ac:dyDescent="0.25">
      <c r="A508" s="52" t="s">
        <v>642</v>
      </c>
      <c r="B508" s="6">
        <v>4</v>
      </c>
      <c r="C508" s="6" t="s">
        <v>516</v>
      </c>
      <c r="D508" s="6" t="s">
        <v>52</v>
      </c>
      <c r="E508" s="45" t="s">
        <v>507</v>
      </c>
      <c r="F508" s="12">
        <v>1</v>
      </c>
      <c r="G508" s="12">
        <v>1</v>
      </c>
      <c r="H508" s="16">
        <v>1</v>
      </c>
      <c r="I508" s="16">
        <f>VLOOKUP(C508,Resources!B:G,6,FALSE)</f>
        <v>70</v>
      </c>
      <c r="J508" s="16">
        <f>(H508/G508)*I508*F508</f>
        <v>70</v>
      </c>
      <c r="K508" s="12" t="str">
        <f>IF(E508="M"," ",L508*F508)</f>
        <v xml:space="preserve"> </v>
      </c>
      <c r="L508" s="12" t="str">
        <f>IF(E508="M"," ",H508/G508)</f>
        <v xml:space="preserve"> </v>
      </c>
      <c r="M508" s="16">
        <f>IF($E508="L",$J508,0)</f>
        <v>0</v>
      </c>
      <c r="N508" s="16">
        <f>IF($E508="M",$J508,0)</f>
        <v>70</v>
      </c>
      <c r="O508" s="16">
        <f>IF($E508="P",$J508,0)</f>
        <v>0</v>
      </c>
      <c r="P508" s="16">
        <f>IF($E508="S",$J508,0)</f>
        <v>0</v>
      </c>
      <c r="Q508" s="16">
        <f>SUM(M508:P508)</f>
        <v>70</v>
      </c>
      <c r="R508" s="250" t="s">
        <v>543</v>
      </c>
    </row>
    <row r="509" spans="1:18" x14ac:dyDescent="0.25">
      <c r="A509" s="52" t="s">
        <v>642</v>
      </c>
      <c r="B509" s="6">
        <v>5</v>
      </c>
      <c r="C509" s="6" t="s">
        <v>329</v>
      </c>
      <c r="D509" s="6" t="s">
        <v>26</v>
      </c>
      <c r="E509" s="45" t="s">
        <v>507</v>
      </c>
      <c r="F509" s="12">
        <v>1</v>
      </c>
      <c r="G509" s="12">
        <v>1</v>
      </c>
      <c r="H509" s="16">
        <f>H506</f>
        <v>69</v>
      </c>
      <c r="I509" s="16">
        <f>VLOOKUP(C509,Resources!B:G,6,FALSE)</f>
        <v>2.7</v>
      </c>
      <c r="J509" s="16">
        <f>(H509/G509)*I509*F509</f>
        <v>186.3</v>
      </c>
      <c r="K509" s="12" t="str">
        <f>IF(E509="M"," ",L509*F509)</f>
        <v xml:space="preserve"> </v>
      </c>
      <c r="L509" s="12" t="str">
        <f>IF(E509="M"," ",H509/G509)</f>
        <v xml:space="preserve"> </v>
      </c>
      <c r="M509" s="16">
        <f>IF($E509="L",$J509,0)</f>
        <v>0</v>
      </c>
      <c r="N509" s="16">
        <f>IF($E509="M",$J509,0)</f>
        <v>186.3</v>
      </c>
      <c r="O509" s="16">
        <f>IF($E509="P",$J509,0)</f>
        <v>0</v>
      </c>
      <c r="P509" s="16">
        <f>IF($E509="S",$J509,0)</f>
        <v>0</v>
      </c>
      <c r="Q509" s="16">
        <f>SUM(M509:P509)</f>
        <v>186.3</v>
      </c>
      <c r="R509" s="250" t="s">
        <v>543</v>
      </c>
    </row>
    <row r="510" spans="1:18" x14ac:dyDescent="0.25">
      <c r="A510" s="49" t="s">
        <v>642</v>
      </c>
      <c r="F510" s="11"/>
      <c r="G510" s="11"/>
      <c r="K510" s="11"/>
      <c r="L510" s="11"/>
    </row>
    <row r="511" spans="1:18" ht="30" x14ac:dyDescent="0.25">
      <c r="A511" s="51">
        <v>91</v>
      </c>
      <c r="B511" s="3" t="s">
        <v>354</v>
      </c>
      <c r="C511" s="3" t="s">
        <v>623</v>
      </c>
      <c r="D511" s="4" t="s">
        <v>26</v>
      </c>
      <c r="E511" s="44"/>
      <c r="F511" s="10"/>
      <c r="G511" s="10"/>
      <c r="H511" s="48">
        <f>VLOOKUP($A511,'Model Inputs'!$A:$C,3,FALSE)</f>
        <v>12</v>
      </c>
      <c r="I511" s="15"/>
      <c r="J511" s="15">
        <f>SUBTOTAL(9,J512)</f>
        <v>13500</v>
      </c>
      <c r="K511" s="10"/>
      <c r="L511" s="15">
        <f t="shared" ref="L511" si="71">MAX(L512)</f>
        <v>0</v>
      </c>
      <c r="M511" s="15">
        <f>SUBTOTAL(9,M512)</f>
        <v>0</v>
      </c>
      <c r="N511" s="15">
        <f>SUBTOTAL(9,N512)</f>
        <v>13500</v>
      </c>
      <c r="O511" s="15">
        <f>SUBTOTAL(9,O512)</f>
        <v>0</v>
      </c>
      <c r="P511" s="15">
        <f>SUBTOTAL(9,P512)</f>
        <v>0</v>
      </c>
      <c r="Q511" s="15">
        <f>SUBTOTAL(9,Q512)</f>
        <v>13500</v>
      </c>
      <c r="R511" s="249"/>
    </row>
    <row r="512" spans="1:18" x14ac:dyDescent="0.25">
      <c r="A512" s="52" t="s">
        <v>642</v>
      </c>
      <c r="B512" s="6">
        <v>1</v>
      </c>
      <c r="C512" s="6" t="s">
        <v>356</v>
      </c>
      <c r="D512" s="6" t="s">
        <v>52</v>
      </c>
      <c r="E512" s="45" t="s">
        <v>507</v>
      </c>
      <c r="F512" s="12">
        <v>1</v>
      </c>
      <c r="G512" s="12">
        <v>1</v>
      </c>
      <c r="H512" s="16">
        <f>H511*3</f>
        <v>36</v>
      </c>
      <c r="I512" s="16">
        <f>VLOOKUP(C512,Resources!B:G,6,FALSE)</f>
        <v>375</v>
      </c>
      <c r="J512" s="16">
        <f>(H512/G512)*I512*F512</f>
        <v>13500</v>
      </c>
      <c r="K512" s="12" t="str">
        <f>IF(E512="M"," ",L512*F512)</f>
        <v xml:space="preserve"> </v>
      </c>
      <c r="L512" s="12" t="str">
        <f>IF(E512="M"," ",H512/G512)</f>
        <v xml:space="preserve"> </v>
      </c>
      <c r="M512" s="16">
        <f>IF($E512="L",$J512,0)</f>
        <v>0</v>
      </c>
      <c r="N512" s="16">
        <f>IF($E512="M",$J512,0)</f>
        <v>13500</v>
      </c>
      <c r="O512" s="16">
        <f>IF($E512="P",$J512,0)</f>
        <v>0</v>
      </c>
      <c r="P512" s="16">
        <f>IF($E512="S",$J512,0)</f>
        <v>0</v>
      </c>
      <c r="Q512" s="16">
        <f>SUM(M512:P512)</f>
        <v>13500</v>
      </c>
      <c r="R512" s="250" t="s">
        <v>544</v>
      </c>
    </row>
    <row r="513" spans="1:18" x14ac:dyDescent="0.25">
      <c r="A513" s="49" t="s">
        <v>642</v>
      </c>
      <c r="F513" s="11"/>
      <c r="G513" s="11"/>
      <c r="K513" s="11"/>
      <c r="L513" s="11"/>
    </row>
    <row r="514" spans="1:18" ht="135" x14ac:dyDescent="0.25">
      <c r="A514" s="51">
        <v>92</v>
      </c>
      <c r="B514" s="3" t="s">
        <v>357</v>
      </c>
      <c r="C514" s="3" t="s">
        <v>358</v>
      </c>
      <c r="D514" s="4" t="s">
        <v>359</v>
      </c>
      <c r="E514" s="44"/>
      <c r="F514" s="10"/>
      <c r="G514" s="10"/>
      <c r="H514" s="48">
        <f>VLOOKUP($A514,'Model Inputs'!$A:$C,3,FALSE)</f>
        <v>12</v>
      </c>
      <c r="I514" s="15"/>
      <c r="J514" s="15">
        <f>SUBTOTAL(9,J515)</f>
        <v>4500</v>
      </c>
      <c r="K514" s="10"/>
      <c r="L514" s="15">
        <f t="shared" ref="L514" si="72">MAX(L515)</f>
        <v>0</v>
      </c>
      <c r="M514" s="15">
        <f>SUBTOTAL(9,M515)</f>
        <v>0</v>
      </c>
      <c r="N514" s="15">
        <f>SUBTOTAL(9,N515)</f>
        <v>4500</v>
      </c>
      <c r="O514" s="15">
        <f>SUBTOTAL(9,O515)</f>
        <v>0</v>
      </c>
      <c r="P514" s="15">
        <f>SUBTOTAL(9,P515)</f>
        <v>0</v>
      </c>
      <c r="Q514" s="15">
        <f>SUBTOTAL(9,Q515)</f>
        <v>4500</v>
      </c>
      <c r="R514" s="249"/>
    </row>
    <row r="515" spans="1:18" x14ac:dyDescent="0.25">
      <c r="A515" s="52" t="s">
        <v>642</v>
      </c>
      <c r="B515" s="6">
        <v>1</v>
      </c>
      <c r="C515" s="6" t="s">
        <v>356</v>
      </c>
      <c r="D515" s="6" t="s">
        <v>52</v>
      </c>
      <c r="E515" s="45" t="s">
        <v>507</v>
      </c>
      <c r="F515" s="12">
        <v>1</v>
      </c>
      <c r="G515" s="12">
        <v>1</v>
      </c>
      <c r="H515" s="16">
        <f>H514</f>
        <v>12</v>
      </c>
      <c r="I515" s="16">
        <f>VLOOKUP(C515,Resources!B:G,6,FALSE)</f>
        <v>375</v>
      </c>
      <c r="J515" s="16">
        <f>(H515/G515)*I515*F515</f>
        <v>4500</v>
      </c>
      <c r="K515" s="12" t="str">
        <f>IF(E515="M"," ",L515*F515)</f>
        <v xml:space="preserve"> </v>
      </c>
      <c r="L515" s="12" t="str">
        <f>IF(E515="M"," ",H515/G515)</f>
        <v xml:space="preserve"> </v>
      </c>
      <c r="M515" s="16">
        <f>IF($E515="L",$J515,0)</f>
        <v>0</v>
      </c>
      <c r="N515" s="16">
        <f>IF($E515="M",$J515,0)</f>
        <v>4500</v>
      </c>
      <c r="O515" s="16">
        <f>IF($E515="P",$J515,0)</f>
        <v>0</v>
      </c>
      <c r="P515" s="16">
        <f>IF($E515="S",$J515,0)</f>
        <v>0</v>
      </c>
      <c r="Q515" s="16">
        <f>SUM(M515:P515)</f>
        <v>4500</v>
      </c>
      <c r="R515" s="250" t="s">
        <v>544</v>
      </c>
    </row>
    <row r="516" spans="1:18" x14ac:dyDescent="0.25">
      <c r="A516" s="49" t="s">
        <v>642</v>
      </c>
      <c r="F516" s="11"/>
      <c r="G516" s="11"/>
      <c r="K516" s="11"/>
      <c r="L516" s="11"/>
    </row>
    <row r="517" spans="1:18" ht="75" x14ac:dyDescent="0.25">
      <c r="A517" s="51">
        <v>92.5</v>
      </c>
      <c r="B517" s="3" t="s">
        <v>360</v>
      </c>
      <c r="C517" s="3" t="s">
        <v>361</v>
      </c>
      <c r="D517" s="4" t="s">
        <v>26</v>
      </c>
      <c r="E517" s="44"/>
      <c r="F517" s="10"/>
      <c r="G517" s="10"/>
      <c r="H517" s="48">
        <f>VLOOKUP($A517,'Model Inputs'!$A:$C,3,FALSE)</f>
        <v>445</v>
      </c>
      <c r="I517" s="15"/>
      <c r="J517" s="15">
        <f>SUBTOTAL(9,J518)</f>
        <v>32350</v>
      </c>
      <c r="K517" s="10"/>
      <c r="L517" s="15">
        <f>ROUNDUP(MAX(L518)/Workhrs,0)</f>
        <v>6</v>
      </c>
      <c r="M517" s="15">
        <f>SUBTOTAL(9,M518)</f>
        <v>0</v>
      </c>
      <c r="N517" s="15">
        <f>SUBTOTAL(9,N518)</f>
        <v>0</v>
      </c>
      <c r="O517" s="15">
        <f>SUBTOTAL(9,O518)</f>
        <v>0</v>
      </c>
      <c r="P517" s="15">
        <f>SUBTOTAL(9,P518)</f>
        <v>32350</v>
      </c>
      <c r="Q517" s="15">
        <f>SUBTOTAL(9,Q518)</f>
        <v>32350</v>
      </c>
      <c r="R517" s="249"/>
    </row>
    <row r="518" spans="1:18" x14ac:dyDescent="0.25">
      <c r="A518" s="52" t="s">
        <v>642</v>
      </c>
      <c r="B518" s="6">
        <v>1</v>
      </c>
      <c r="C518" s="6" t="s">
        <v>78</v>
      </c>
      <c r="D518" s="6" t="s">
        <v>19</v>
      </c>
      <c r="E518" s="45" t="s">
        <v>509</v>
      </c>
      <c r="F518" s="12">
        <v>32350</v>
      </c>
      <c r="G518" s="12">
        <v>1</v>
      </c>
      <c r="H518" s="16">
        <f>H517/445</f>
        <v>1</v>
      </c>
      <c r="I518" s="16">
        <f>VLOOKUP(C518,Resources!B:G,6,FALSE)</f>
        <v>1</v>
      </c>
      <c r="J518" s="16">
        <f>(H518/G518)*I518*F518</f>
        <v>32350</v>
      </c>
      <c r="K518" s="12">
        <f>IF(E518="M"," ",L518*F518)</f>
        <v>1619521.875</v>
      </c>
      <c r="L518" s="53">
        <f>IF(E518="M"," ",H518/G518)*H517/(80/9)</f>
        <v>50.0625</v>
      </c>
      <c r="M518" s="16">
        <f>IF($E518="L",$J518,0)</f>
        <v>0</v>
      </c>
      <c r="N518" s="16">
        <f>IF($E518="M",$J518,0)</f>
        <v>0</v>
      </c>
      <c r="O518" s="16">
        <f>IF($E518="P",$J518,0)</f>
        <v>0</v>
      </c>
      <c r="P518" s="16">
        <f>IF($E518="S",$J518,0)</f>
        <v>32350</v>
      </c>
      <c r="Q518" s="16">
        <f>SUM(M518:P518)</f>
        <v>32350</v>
      </c>
      <c r="R518" s="250">
        <v>103</v>
      </c>
    </row>
    <row r="519" spans="1:18" x14ac:dyDescent="0.25">
      <c r="A519" s="49" t="s">
        <v>642</v>
      </c>
      <c r="F519" s="11"/>
      <c r="G519" s="11"/>
      <c r="K519" s="11"/>
      <c r="L519" s="11"/>
    </row>
    <row r="520" spans="1:18" ht="30" x14ac:dyDescent="0.25">
      <c r="A520" s="51" t="s">
        <v>642</v>
      </c>
      <c r="B520" s="3" t="s">
        <v>362</v>
      </c>
      <c r="C520" s="3" t="s">
        <v>363</v>
      </c>
      <c r="D520" s="4" t="s">
        <v>364</v>
      </c>
      <c r="E520" s="44"/>
      <c r="F520" s="10"/>
      <c r="G520" s="10"/>
      <c r="H520" s="15">
        <v>1</v>
      </c>
      <c r="I520" s="15"/>
      <c r="J520" s="15"/>
      <c r="K520" s="10"/>
      <c r="L520" s="10"/>
      <c r="M520" s="15"/>
      <c r="N520" s="15"/>
      <c r="O520" s="15"/>
      <c r="P520" s="15"/>
      <c r="Q520" s="15"/>
      <c r="R520" s="249"/>
    </row>
    <row r="521" spans="1:18" ht="30" x14ac:dyDescent="0.25">
      <c r="A521" s="49" t="s">
        <v>642</v>
      </c>
      <c r="C521" s="8" t="s">
        <v>365</v>
      </c>
      <c r="F521" s="11"/>
      <c r="G521" s="11"/>
      <c r="K521" s="11"/>
      <c r="L521" s="11"/>
    </row>
    <row r="522" spans="1:18" ht="75" x14ac:dyDescent="0.25">
      <c r="A522" s="51">
        <v>93</v>
      </c>
      <c r="B522" s="3" t="s">
        <v>366</v>
      </c>
      <c r="C522" s="3" t="s">
        <v>367</v>
      </c>
      <c r="D522" s="4" t="s">
        <v>359</v>
      </c>
      <c r="E522" s="44"/>
      <c r="F522" s="10"/>
      <c r="G522" s="10"/>
      <c r="H522" s="48">
        <f>VLOOKUP($A522,'Model Inputs'!$A:$C,3,FALSE)</f>
        <v>10</v>
      </c>
      <c r="I522" s="15"/>
      <c r="J522" s="15">
        <f>SUBTOTAL(9,J524:J539)</f>
        <v>30766.265432098764</v>
      </c>
      <c r="K522" s="10"/>
      <c r="L522" s="55">
        <f>ROUNDUP(SUM(L527,L535,L539)/Workhrs,0)</f>
        <v>6</v>
      </c>
      <c r="M522" s="15">
        <f>SUBTOTAL(9,M524:M539)</f>
        <v>1871.6809116809118</v>
      </c>
      <c r="N522" s="15">
        <f>SUBTOTAL(9,N524:N539)</f>
        <v>14607.5</v>
      </c>
      <c r="O522" s="15">
        <f>SUBTOTAL(9,O524:O539)</f>
        <v>2837.084520417854</v>
      </c>
      <c r="P522" s="15">
        <f>SUBTOTAL(9,P524:P539)</f>
        <v>11450</v>
      </c>
      <c r="Q522" s="15">
        <f>SUBTOTAL(9,Q524:Q539)</f>
        <v>30766.265432098764</v>
      </c>
      <c r="R522" s="249"/>
    </row>
    <row r="523" spans="1:18" x14ac:dyDescent="0.25">
      <c r="A523" s="49" t="s">
        <v>642</v>
      </c>
      <c r="B523" s="5">
        <v>1</v>
      </c>
      <c r="C523" s="8" t="s">
        <v>27</v>
      </c>
      <c r="F523" s="11"/>
      <c r="G523" s="11"/>
      <c r="K523" s="11"/>
      <c r="L523" s="11"/>
    </row>
    <row r="524" spans="1:18" x14ac:dyDescent="0.25">
      <c r="A524" s="52" t="s">
        <v>642</v>
      </c>
      <c r="B524" s="6">
        <v>2</v>
      </c>
      <c r="C524" s="6" t="s">
        <v>368</v>
      </c>
      <c r="D524" s="6" t="s">
        <v>52</v>
      </c>
      <c r="E524" s="45" t="s">
        <v>507</v>
      </c>
      <c r="F524" s="12">
        <v>1</v>
      </c>
      <c r="G524" s="12">
        <v>1</v>
      </c>
      <c r="H524" s="16">
        <f>H522</f>
        <v>10</v>
      </c>
      <c r="I524" s="16">
        <f>VLOOKUP(C524,Resources!B:G,6,FALSE)</f>
        <v>264</v>
      </c>
      <c r="J524" s="16">
        <f>(H524/G524)*I524*F524</f>
        <v>2640</v>
      </c>
      <c r="K524" s="12" t="str">
        <f>IF(E524="M"," ",L524*F524)</f>
        <v xml:space="preserve"> </v>
      </c>
      <c r="L524" s="12" t="str">
        <f>IF(E524="M"," ",H524/G524)</f>
        <v xml:space="preserve"> </v>
      </c>
      <c r="M524" s="16">
        <f>IF($E524="L",$J524,0)</f>
        <v>0</v>
      </c>
      <c r="N524" s="16">
        <f>IF($E524="M",$J524,0)</f>
        <v>2640</v>
      </c>
      <c r="O524" s="16">
        <f>IF($E524="P",$J524,0)</f>
        <v>0</v>
      </c>
      <c r="P524" s="16">
        <f>IF($E524="S",$J524,0)</f>
        <v>0</v>
      </c>
      <c r="Q524" s="16">
        <f>SUM(M524:P524)</f>
        <v>2640</v>
      </c>
      <c r="R524" s="250" t="s">
        <v>543</v>
      </c>
    </row>
    <row r="525" spans="1:18" x14ac:dyDescent="0.25">
      <c r="A525" s="52" t="s">
        <v>642</v>
      </c>
      <c r="B525" s="6">
        <v>3</v>
      </c>
      <c r="C525" s="6" t="s">
        <v>95</v>
      </c>
      <c r="D525" s="6" t="s">
        <v>61</v>
      </c>
      <c r="E525" s="45" t="s">
        <v>507</v>
      </c>
      <c r="F525" s="12">
        <v>1</v>
      </c>
      <c r="G525" s="12">
        <v>1</v>
      </c>
      <c r="H525" s="16">
        <f>H522</f>
        <v>10</v>
      </c>
      <c r="I525" s="16">
        <f>VLOOKUP(C525,Resources!B:G,6,FALSE)</f>
        <v>198</v>
      </c>
      <c r="J525" s="16">
        <f>(H525/G525)*I525*F525</f>
        <v>1980</v>
      </c>
      <c r="K525" s="12" t="str">
        <f>IF(E525="M"," ",L525*F525)</f>
        <v xml:space="preserve"> </v>
      </c>
      <c r="L525" s="12" t="str">
        <f>IF(E525="M"," ",H525/G525)</f>
        <v xml:space="preserve"> </v>
      </c>
      <c r="M525" s="16">
        <f>IF($E525="L",$J525,0)</f>
        <v>0</v>
      </c>
      <c r="N525" s="16">
        <f>IF($E525="M",$J525,0)</f>
        <v>1980</v>
      </c>
      <c r="O525" s="16">
        <f>IF($E525="P",$J525,0)</f>
        <v>0</v>
      </c>
      <c r="P525" s="16">
        <f>IF($E525="S",$J525,0)</f>
        <v>0</v>
      </c>
      <c r="Q525" s="16">
        <f>SUM(M525:P525)</f>
        <v>1980</v>
      </c>
      <c r="R525" s="250" t="s">
        <v>545</v>
      </c>
    </row>
    <row r="526" spans="1:18" x14ac:dyDescent="0.25">
      <c r="A526" s="49" t="s">
        <v>642</v>
      </c>
      <c r="B526" s="5">
        <v>4</v>
      </c>
      <c r="C526" s="8" t="s">
        <v>369</v>
      </c>
      <c r="F526" s="11"/>
      <c r="G526" s="11"/>
      <c r="K526" s="11"/>
      <c r="L526" s="11"/>
    </row>
    <row r="527" spans="1:18" x14ac:dyDescent="0.25">
      <c r="A527" s="52">
        <v>93.01</v>
      </c>
      <c r="B527" s="6">
        <v>5</v>
      </c>
      <c r="C527" s="6" t="s">
        <v>32</v>
      </c>
      <c r="D527" s="6" t="s">
        <v>33</v>
      </c>
      <c r="E527" s="45" t="s">
        <v>508</v>
      </c>
      <c r="F527" s="12">
        <v>1</v>
      </c>
      <c r="G527" s="48">
        <f>VLOOKUP($A527,'Model Inputs'!$A:$C,3,FALSE)</f>
        <v>1.0529999999999999</v>
      </c>
      <c r="H527" s="16">
        <f>H522</f>
        <v>10</v>
      </c>
      <c r="I527" s="16">
        <f>VLOOKUP(C527,Resources!B:G,6,FALSE)</f>
        <v>125</v>
      </c>
      <c r="J527" s="16">
        <f>(H527/G527)*I527*F527</f>
        <v>1187.0845204178538</v>
      </c>
      <c r="K527" s="12">
        <f>IF(E527="M"," ",L527*F527)</f>
        <v>9.4966761633428298</v>
      </c>
      <c r="L527" s="12">
        <f>IF(E527="M"," ",H527/G527)</f>
        <v>9.4966761633428298</v>
      </c>
      <c r="M527" s="16">
        <f>IF($E527="L",$J527,0)</f>
        <v>0</v>
      </c>
      <c r="N527" s="16">
        <f>IF($E527="M",$J527,0)</f>
        <v>0</v>
      </c>
      <c r="O527" s="16">
        <f>IF($E527="P",$J527,0)</f>
        <v>1187.0845204178538</v>
      </c>
      <c r="P527" s="16">
        <f>IF($E527="S",$J527,0)</f>
        <v>0</v>
      </c>
      <c r="Q527" s="16">
        <f>SUM(M527:P527)</f>
        <v>1187.0845204178538</v>
      </c>
      <c r="R527" s="250">
        <v>111</v>
      </c>
    </row>
    <row r="528" spans="1:18" x14ac:dyDescent="0.25">
      <c r="A528" s="52" t="s">
        <v>642</v>
      </c>
      <c r="B528" s="6">
        <v>6</v>
      </c>
      <c r="C528" s="6" t="s">
        <v>8</v>
      </c>
      <c r="D528" s="6" t="s">
        <v>33</v>
      </c>
      <c r="E528" s="45" t="s">
        <v>506</v>
      </c>
      <c r="F528" s="12">
        <v>2</v>
      </c>
      <c r="G528" s="12">
        <f>G527</f>
        <v>1.0529999999999999</v>
      </c>
      <c r="H528" s="16">
        <f>H522</f>
        <v>10</v>
      </c>
      <c r="I528" s="16">
        <f>VLOOKUP(C528,Resources!B:G,6,FALSE)</f>
        <v>48</v>
      </c>
      <c r="J528" s="16">
        <f>(H528/G528)*I528*F528</f>
        <v>911.68091168091166</v>
      </c>
      <c r="K528" s="12">
        <f>IF(E528="M"," ",L528*F528)</f>
        <v>18.99335232668566</v>
      </c>
      <c r="L528" s="12">
        <f>IF(E528="M"," ",H528/G528)</f>
        <v>9.4966761633428298</v>
      </c>
      <c r="M528" s="16">
        <f>IF($E528="L",$J528,0)</f>
        <v>911.68091168091166</v>
      </c>
      <c r="N528" s="16">
        <f>IF($E528="M",$J528,0)</f>
        <v>0</v>
      </c>
      <c r="O528" s="16">
        <f>IF($E528="P",$J528,0)</f>
        <v>0</v>
      </c>
      <c r="P528" s="16">
        <f>IF($E528="S",$J528,0)</f>
        <v>0</v>
      </c>
      <c r="Q528" s="16">
        <f>SUM(M528:P528)</f>
        <v>911.68091168091166</v>
      </c>
      <c r="R528" s="250">
        <v>111</v>
      </c>
    </row>
    <row r="529" spans="1:18" x14ac:dyDescent="0.25">
      <c r="A529" s="49" t="s">
        <v>642</v>
      </c>
      <c r="B529" s="5">
        <v>7</v>
      </c>
      <c r="C529" s="8" t="s">
        <v>27</v>
      </c>
      <c r="F529" s="11"/>
      <c r="G529" s="11"/>
      <c r="K529" s="11"/>
      <c r="L529" s="11"/>
    </row>
    <row r="530" spans="1:18" x14ac:dyDescent="0.25">
      <c r="A530" s="52" t="s">
        <v>642</v>
      </c>
      <c r="B530" s="6">
        <v>8</v>
      </c>
      <c r="C530" s="6" t="s">
        <v>515</v>
      </c>
      <c r="D530" s="6" t="s">
        <v>52</v>
      </c>
      <c r="E530" s="45" t="s">
        <v>507</v>
      </c>
      <c r="F530" s="12">
        <v>1</v>
      </c>
      <c r="G530" s="12">
        <v>1</v>
      </c>
      <c r="H530" s="16">
        <f>H522</f>
        <v>10</v>
      </c>
      <c r="I530" s="16">
        <f>VLOOKUP(C530,Resources!B:G,6,FALSE)</f>
        <v>382</v>
      </c>
      <c r="J530" s="16">
        <f>(H530/G530)*I530*F530</f>
        <v>3820</v>
      </c>
      <c r="K530" s="12" t="str">
        <f>IF(E530="M"," ",L530*F530)</f>
        <v xml:space="preserve"> </v>
      </c>
      <c r="L530" s="12" t="str">
        <f>IF(E530="M"," ",H530/G530)</f>
        <v xml:space="preserve"> </v>
      </c>
      <c r="M530" s="16">
        <f>IF($E530="L",$J530,0)</f>
        <v>0</v>
      </c>
      <c r="N530" s="16">
        <f>IF($E530="M",$J530,0)</f>
        <v>3820</v>
      </c>
      <c r="O530" s="16">
        <f>IF($E530="P",$J530,0)</f>
        <v>0</v>
      </c>
      <c r="P530" s="16">
        <f>IF($E530="S",$J530,0)</f>
        <v>0</v>
      </c>
      <c r="Q530" s="16">
        <f>SUM(M530:P530)</f>
        <v>3820</v>
      </c>
      <c r="R530" s="250" t="s">
        <v>543</v>
      </c>
    </row>
    <row r="531" spans="1:18" x14ac:dyDescent="0.25">
      <c r="A531" s="52" t="s">
        <v>642</v>
      </c>
      <c r="B531" s="6">
        <v>9</v>
      </c>
      <c r="C531" s="6" t="s">
        <v>370</v>
      </c>
      <c r="D531" s="6" t="s">
        <v>52</v>
      </c>
      <c r="E531" s="45" t="s">
        <v>507</v>
      </c>
      <c r="F531" s="12">
        <v>1</v>
      </c>
      <c r="G531" s="12">
        <v>1</v>
      </c>
      <c r="H531" s="16">
        <f>H522</f>
        <v>10</v>
      </c>
      <c r="I531" s="16">
        <f>VLOOKUP(C531,Resources!B:G,6,FALSE)</f>
        <v>134</v>
      </c>
      <c r="J531" s="16">
        <f>(H531/G531)*I531*F531</f>
        <v>1340</v>
      </c>
      <c r="K531" s="12" t="str">
        <f>IF(E531="M"," ",L531*F531)</f>
        <v xml:space="preserve"> </v>
      </c>
      <c r="L531" s="12" t="str">
        <f>IF(E531="M"," ",H531/G531)</f>
        <v xml:space="preserve"> </v>
      </c>
      <c r="M531" s="16">
        <f>IF($E531="L",$J531,0)</f>
        <v>0</v>
      </c>
      <c r="N531" s="16">
        <f>IF($E531="M",$J531,0)</f>
        <v>1340</v>
      </c>
      <c r="O531" s="16">
        <f>IF($E531="P",$J531,0)</f>
        <v>0</v>
      </c>
      <c r="P531" s="16">
        <f>IF($E531="S",$J531,0)</f>
        <v>0</v>
      </c>
      <c r="Q531" s="16">
        <f>SUM(M531:P531)</f>
        <v>1340</v>
      </c>
      <c r="R531" s="250" t="s">
        <v>543</v>
      </c>
    </row>
    <row r="532" spans="1:18" x14ac:dyDescent="0.25">
      <c r="A532" s="52" t="s">
        <v>642</v>
      </c>
      <c r="B532" s="6">
        <v>10</v>
      </c>
      <c r="C532" s="6" t="s">
        <v>371</v>
      </c>
      <c r="D532" s="6" t="s">
        <v>52</v>
      </c>
      <c r="E532" s="45" t="s">
        <v>507</v>
      </c>
      <c r="F532" s="12">
        <v>1</v>
      </c>
      <c r="G532" s="12">
        <v>1</v>
      </c>
      <c r="H532" s="16">
        <f>H522</f>
        <v>10</v>
      </c>
      <c r="I532" s="16">
        <f>VLOOKUP(C532,Resources!B:G,6,FALSE)</f>
        <v>414</v>
      </c>
      <c r="J532" s="16">
        <f>(H532/G532)*I532*F532</f>
        <v>4140</v>
      </c>
      <c r="K532" s="12" t="str">
        <f>IF(E532="M"," ",L532*F532)</f>
        <v xml:space="preserve"> </v>
      </c>
      <c r="L532" s="12" t="str">
        <f>IF(E532="M"," ",H532/G532)</f>
        <v xml:space="preserve"> </v>
      </c>
      <c r="M532" s="16">
        <f>IF($E532="L",$J532,0)</f>
        <v>0</v>
      </c>
      <c r="N532" s="16">
        <f>IF($E532="M",$J532,0)</f>
        <v>4140</v>
      </c>
      <c r="O532" s="16">
        <f>IF($E532="P",$J532,0)</f>
        <v>0</v>
      </c>
      <c r="P532" s="16">
        <f>IF($E532="S",$J532,0)</f>
        <v>0</v>
      </c>
      <c r="Q532" s="16">
        <f>SUM(M532:P532)</f>
        <v>4140</v>
      </c>
      <c r="R532" s="250" t="s">
        <v>543</v>
      </c>
    </row>
    <row r="533" spans="1:18" x14ac:dyDescent="0.25">
      <c r="A533" s="52" t="s">
        <v>642</v>
      </c>
      <c r="B533" s="6">
        <v>11</v>
      </c>
      <c r="C533" s="6" t="s">
        <v>512</v>
      </c>
      <c r="D533" s="6" t="s">
        <v>52</v>
      </c>
      <c r="E533" s="45" t="s">
        <v>507</v>
      </c>
      <c r="F533" s="12">
        <v>1</v>
      </c>
      <c r="G533" s="12">
        <v>1</v>
      </c>
      <c r="H533" s="16">
        <f>H522*2.75</f>
        <v>27.5</v>
      </c>
      <c r="I533" s="16">
        <f>VLOOKUP(C533,Resources!B:G,6,FALSE)</f>
        <v>25</v>
      </c>
      <c r="J533" s="16">
        <f>(H533/G533)*I533*F533</f>
        <v>687.5</v>
      </c>
      <c r="K533" s="12" t="str">
        <f>IF(E533="M"," ",L533*F533)</f>
        <v xml:space="preserve"> </v>
      </c>
      <c r="L533" s="12" t="str">
        <f>IF(E533="M"," ",H533/G533)</f>
        <v xml:space="preserve"> </v>
      </c>
      <c r="M533" s="16">
        <f>IF($E533="L",$J533,0)</f>
        <v>0</v>
      </c>
      <c r="N533" s="16">
        <f>IF($E533="M",$J533,0)</f>
        <v>687.5</v>
      </c>
      <c r="O533" s="16">
        <f>IF($E533="P",$J533,0)</f>
        <v>0</v>
      </c>
      <c r="P533" s="16">
        <f>IF($E533="S",$J533,0)</f>
        <v>0</v>
      </c>
      <c r="Q533" s="16">
        <f>SUM(M533:P533)</f>
        <v>687.5</v>
      </c>
      <c r="R533" s="250" t="s">
        <v>540</v>
      </c>
    </row>
    <row r="534" spans="1:18" x14ac:dyDescent="0.25">
      <c r="A534" s="49" t="s">
        <v>642</v>
      </c>
      <c r="B534" s="5">
        <v>12</v>
      </c>
      <c r="C534" s="8" t="s">
        <v>372</v>
      </c>
      <c r="F534" s="11"/>
      <c r="G534" s="11"/>
      <c r="K534" s="11"/>
      <c r="L534" s="11"/>
    </row>
    <row r="535" spans="1:18" x14ac:dyDescent="0.25">
      <c r="A535" s="52" t="s">
        <v>642</v>
      </c>
      <c r="B535" s="6">
        <v>13</v>
      </c>
      <c r="C535" s="6" t="s">
        <v>373</v>
      </c>
      <c r="D535" s="6" t="s">
        <v>33</v>
      </c>
      <c r="E535" s="45" t="s">
        <v>508</v>
      </c>
      <c r="F535" s="12">
        <v>1</v>
      </c>
      <c r="G535" s="12">
        <v>1</v>
      </c>
      <c r="H535" s="16">
        <f>H522</f>
        <v>10</v>
      </c>
      <c r="I535" s="16">
        <f>VLOOKUP(C535,Resources!B:G,6,FALSE)</f>
        <v>165</v>
      </c>
      <c r="J535" s="16">
        <f>(H535/G535)*I535*F535</f>
        <v>1650</v>
      </c>
      <c r="K535" s="12">
        <f>IF(E535="M"," ",L535*F535)</f>
        <v>10</v>
      </c>
      <c r="L535" s="12">
        <f>IF(E535="M"," ",H535/G535)</f>
        <v>10</v>
      </c>
      <c r="M535" s="16">
        <f>IF($E535="L",$J535,0)</f>
        <v>0</v>
      </c>
      <c r="N535" s="16">
        <f>IF($E535="M",$J535,0)</f>
        <v>0</v>
      </c>
      <c r="O535" s="16">
        <f>IF($E535="P",$J535,0)</f>
        <v>1650</v>
      </c>
      <c r="P535" s="16">
        <f>IF($E535="S",$J535,0)</f>
        <v>0</v>
      </c>
      <c r="Q535" s="16">
        <f>SUM(M535:P535)</f>
        <v>1650</v>
      </c>
      <c r="R535" s="250">
        <v>111</v>
      </c>
    </row>
    <row r="536" spans="1:18" x14ac:dyDescent="0.25">
      <c r="A536" s="52" t="s">
        <v>642</v>
      </c>
      <c r="B536" s="6">
        <v>14</v>
      </c>
      <c r="C536" s="6" t="s">
        <v>374</v>
      </c>
      <c r="D536" s="6" t="s">
        <v>33</v>
      </c>
      <c r="E536" s="45" t="s">
        <v>509</v>
      </c>
      <c r="F536" s="12">
        <v>1</v>
      </c>
      <c r="G536" s="12">
        <v>1</v>
      </c>
      <c r="H536" s="16">
        <f>H522</f>
        <v>10</v>
      </c>
      <c r="I536" s="16">
        <f>VLOOKUP(C536,Resources!B:G,6,FALSE)</f>
        <v>95</v>
      </c>
      <c r="J536" s="16">
        <f>(H536/G536)*I536*F536</f>
        <v>950</v>
      </c>
      <c r="K536" s="12">
        <f>IF(E536="M"," ",L536*F536)</f>
        <v>10</v>
      </c>
      <c r="L536" s="12">
        <f>IF(E536="M"," ",H536/G536)</f>
        <v>10</v>
      </c>
      <c r="M536" s="16">
        <f>IF($E536="L",$J536,0)</f>
        <v>0</v>
      </c>
      <c r="N536" s="16">
        <f>IF($E536="M",$J536,0)</f>
        <v>0</v>
      </c>
      <c r="O536" s="16">
        <f>IF($E536="P",$J536,0)</f>
        <v>0</v>
      </c>
      <c r="P536" s="16">
        <f>IF($E536="S",$J536,0)</f>
        <v>950</v>
      </c>
      <c r="Q536" s="16">
        <f>SUM(M536:P536)</f>
        <v>950</v>
      </c>
      <c r="R536" s="250">
        <v>111</v>
      </c>
    </row>
    <row r="537" spans="1:18" x14ac:dyDescent="0.25">
      <c r="A537" s="52" t="s">
        <v>642</v>
      </c>
      <c r="B537" s="6">
        <v>15</v>
      </c>
      <c r="C537" s="6" t="s">
        <v>8</v>
      </c>
      <c r="D537" s="6" t="s">
        <v>33</v>
      </c>
      <c r="E537" s="45" t="s">
        <v>506</v>
      </c>
      <c r="F537" s="12">
        <v>2</v>
      </c>
      <c r="G537" s="12">
        <v>1</v>
      </c>
      <c r="H537" s="16">
        <f>H522</f>
        <v>10</v>
      </c>
      <c r="I537" s="16">
        <f>VLOOKUP(C537,Resources!B:G,6,FALSE)</f>
        <v>48</v>
      </c>
      <c r="J537" s="16">
        <f>(H537/G537)*I537*F537</f>
        <v>960</v>
      </c>
      <c r="K537" s="12">
        <f>IF(E537="M"," ",L537*F537)</f>
        <v>20</v>
      </c>
      <c r="L537" s="12">
        <f>IF(E537="M"," ",H537/G537)</f>
        <v>10</v>
      </c>
      <c r="M537" s="16">
        <f>IF($E537="L",$J537,0)</f>
        <v>960</v>
      </c>
      <c r="N537" s="16">
        <f>IF($E537="M",$J537,0)</f>
        <v>0</v>
      </c>
      <c r="O537" s="16">
        <f>IF($E537="P",$J537,0)</f>
        <v>0</v>
      </c>
      <c r="P537" s="16">
        <f>IF($E537="S",$J537,0)</f>
        <v>0</v>
      </c>
      <c r="Q537" s="16">
        <f>SUM(M537:P537)</f>
        <v>960</v>
      </c>
      <c r="R537" s="250">
        <v>111</v>
      </c>
    </row>
    <row r="538" spans="1:18" x14ac:dyDescent="0.25">
      <c r="A538" s="49" t="s">
        <v>642</v>
      </c>
      <c r="B538" s="5">
        <v>16</v>
      </c>
      <c r="C538" s="8" t="s">
        <v>375</v>
      </c>
      <c r="F538" s="11"/>
      <c r="G538" s="11"/>
      <c r="K538" s="11"/>
      <c r="L538" s="11"/>
    </row>
    <row r="539" spans="1:18" x14ac:dyDescent="0.25">
      <c r="A539" s="52" t="s">
        <v>642</v>
      </c>
      <c r="B539" s="6">
        <v>17</v>
      </c>
      <c r="C539" s="6" t="s">
        <v>341</v>
      </c>
      <c r="D539" s="6" t="s">
        <v>19</v>
      </c>
      <c r="E539" s="45" t="s">
        <v>509</v>
      </c>
      <c r="F539" s="12">
        <v>1</v>
      </c>
      <c r="G539" s="12">
        <v>1</v>
      </c>
      <c r="H539" s="16">
        <f>H522*1050</f>
        <v>10500</v>
      </c>
      <c r="I539" s="16">
        <f>VLOOKUP(C539,Resources!B:G,6,FALSE)</f>
        <v>1</v>
      </c>
      <c r="J539" s="16">
        <f>(H539/G539)*I539*F539</f>
        <v>10500</v>
      </c>
      <c r="K539" s="12">
        <f>IF(E539="M"," ",L539*F539)</f>
        <v>30</v>
      </c>
      <c r="L539" s="12">
        <f>H522*3</f>
        <v>30</v>
      </c>
      <c r="M539" s="16">
        <f>IF($E539="L",$J539,0)</f>
        <v>0</v>
      </c>
      <c r="N539" s="16">
        <f>IF($E539="M",$J539,0)</f>
        <v>0</v>
      </c>
      <c r="O539" s="16">
        <f>IF($E539="P",$J539,0)</f>
        <v>0</v>
      </c>
      <c r="P539" s="16">
        <f>IF($E539="S",$J539,0)</f>
        <v>10500</v>
      </c>
      <c r="Q539" s="16">
        <f>SUM(M539:P539)</f>
        <v>10500</v>
      </c>
      <c r="R539" s="250">
        <v>113</v>
      </c>
    </row>
    <row r="540" spans="1:18" x14ac:dyDescent="0.25">
      <c r="A540" s="49" t="s">
        <v>642</v>
      </c>
      <c r="F540" s="11"/>
      <c r="G540" s="11"/>
      <c r="K540" s="11"/>
      <c r="L540" s="11"/>
    </row>
    <row r="541" spans="1:18" ht="75" x14ac:dyDescent="0.25">
      <c r="A541" s="51">
        <v>94</v>
      </c>
      <c r="B541" s="3" t="s">
        <v>376</v>
      </c>
      <c r="C541" s="3" t="s">
        <v>377</v>
      </c>
      <c r="D541" s="4" t="s">
        <v>359</v>
      </c>
      <c r="E541" s="44"/>
      <c r="F541" s="10"/>
      <c r="G541" s="10"/>
      <c r="H541" s="48">
        <f>VLOOKUP($A541,'Model Inputs'!$A:$C,3,FALSE)</f>
        <v>22</v>
      </c>
      <c r="I541" s="15"/>
      <c r="J541" s="15">
        <f>SUBTOTAL(9,J542)</f>
        <v>8250</v>
      </c>
      <c r="K541" s="10"/>
      <c r="L541" s="15">
        <f t="shared" ref="L541" si="73">MAX(L542)</f>
        <v>0</v>
      </c>
      <c r="M541" s="15">
        <f>SUBTOTAL(9,M542)</f>
        <v>0</v>
      </c>
      <c r="N541" s="15">
        <f>SUBTOTAL(9,N542)</f>
        <v>8250</v>
      </c>
      <c r="O541" s="15">
        <f>SUBTOTAL(9,O542)</f>
        <v>0</v>
      </c>
      <c r="P541" s="15">
        <f>SUBTOTAL(9,P542)</f>
        <v>0</v>
      </c>
      <c r="Q541" s="15">
        <f>SUBTOTAL(9,Q542)</f>
        <v>8250</v>
      </c>
      <c r="R541" s="249"/>
    </row>
    <row r="542" spans="1:18" x14ac:dyDescent="0.25">
      <c r="A542" s="52" t="s">
        <v>642</v>
      </c>
      <c r="B542" s="6">
        <v>1</v>
      </c>
      <c r="C542" s="6" t="s">
        <v>356</v>
      </c>
      <c r="D542" s="6" t="s">
        <v>52</v>
      </c>
      <c r="E542" s="45" t="s">
        <v>507</v>
      </c>
      <c r="F542" s="12">
        <v>1</v>
      </c>
      <c r="G542" s="12">
        <v>1</v>
      </c>
      <c r="H542" s="16">
        <f>H541</f>
        <v>22</v>
      </c>
      <c r="I542" s="16">
        <f>VLOOKUP(C542,Resources!B:G,6,FALSE)</f>
        <v>375</v>
      </c>
      <c r="J542" s="16">
        <f>(H542/G542)*I542*F542</f>
        <v>8250</v>
      </c>
      <c r="K542" s="12" t="str">
        <f>IF(E542="M"," ",L542*F542)</f>
        <v xml:space="preserve"> </v>
      </c>
      <c r="L542" s="12" t="str">
        <f>IF(E542="M"," ",H542/G542)</f>
        <v xml:space="preserve"> </v>
      </c>
      <c r="M542" s="16">
        <f>IF($E542="L",$J542,0)</f>
        <v>0</v>
      </c>
      <c r="N542" s="16">
        <f>IF($E542="M",$J542,0)</f>
        <v>8250</v>
      </c>
      <c r="O542" s="16">
        <f>IF($E542="P",$J542,0)</f>
        <v>0</v>
      </c>
      <c r="P542" s="16">
        <f>IF($E542="S",$J542,0)</f>
        <v>0</v>
      </c>
      <c r="Q542" s="16">
        <f>SUM(M542:P542)</f>
        <v>8250</v>
      </c>
      <c r="R542" s="250">
        <v>111</v>
      </c>
    </row>
    <row r="543" spans="1:18" x14ac:dyDescent="0.25">
      <c r="A543" s="49" t="s">
        <v>642</v>
      </c>
      <c r="F543" s="11"/>
      <c r="G543" s="11"/>
      <c r="K543" s="11"/>
      <c r="L543" s="11"/>
    </row>
    <row r="544" spans="1:18" ht="30" x14ac:dyDescent="0.25">
      <c r="A544" s="51" t="s">
        <v>642</v>
      </c>
      <c r="B544" s="3" t="s">
        <v>378</v>
      </c>
      <c r="C544" s="3" t="s">
        <v>379</v>
      </c>
      <c r="D544" s="4"/>
      <c r="E544" s="44"/>
      <c r="F544" s="10"/>
      <c r="G544" s="10"/>
      <c r="H544" s="15"/>
      <c r="I544" s="15"/>
      <c r="J544" s="15"/>
      <c r="K544" s="10"/>
      <c r="L544" s="10"/>
      <c r="M544" s="15"/>
      <c r="N544" s="15"/>
      <c r="O544" s="15"/>
      <c r="P544" s="15"/>
      <c r="Q544" s="15"/>
      <c r="R544" s="249"/>
    </row>
    <row r="545" spans="1:18" ht="60" x14ac:dyDescent="0.25">
      <c r="A545" s="51">
        <v>95</v>
      </c>
      <c r="B545" s="3" t="s">
        <v>380</v>
      </c>
      <c r="C545" s="3" t="s">
        <v>624</v>
      </c>
      <c r="D545" s="4" t="s">
        <v>382</v>
      </c>
      <c r="E545" s="44"/>
      <c r="F545" s="10"/>
      <c r="G545" s="10"/>
      <c r="H545" s="48">
        <f>VLOOKUP($A545,'Model Inputs'!$A:$C,3,FALSE)</f>
        <v>1</v>
      </c>
      <c r="I545" s="15"/>
      <c r="J545" s="15">
        <f>SUBTOTAL(9,J546)</f>
        <v>189402.18</v>
      </c>
      <c r="K545" s="10"/>
      <c r="L545" s="15">
        <f>ROUNDUP(MAX(L546)/Workhrs,0)</f>
        <v>15</v>
      </c>
      <c r="M545" s="15">
        <f>SUBTOTAL(9,M546)</f>
        <v>0</v>
      </c>
      <c r="N545" s="15">
        <f>SUBTOTAL(9,N546)</f>
        <v>0</v>
      </c>
      <c r="O545" s="15">
        <f>SUBTOTAL(9,O546)</f>
        <v>0</v>
      </c>
      <c r="P545" s="15">
        <f>SUBTOTAL(9,P546)</f>
        <v>189402.18</v>
      </c>
      <c r="Q545" s="15">
        <f>SUBTOTAL(9,Q546)</f>
        <v>189402.18</v>
      </c>
      <c r="R545" s="249"/>
    </row>
    <row r="546" spans="1:18" x14ac:dyDescent="0.25">
      <c r="A546" s="52" t="s">
        <v>642</v>
      </c>
      <c r="B546" s="6">
        <v>1</v>
      </c>
      <c r="C546" s="6" t="s">
        <v>383</v>
      </c>
      <c r="D546" s="6" t="s">
        <v>19</v>
      </c>
      <c r="E546" s="45" t="s">
        <v>509</v>
      </c>
      <c r="F546" s="12">
        <v>189402.18</v>
      </c>
      <c r="G546" s="12">
        <v>1</v>
      </c>
      <c r="H546" s="16">
        <f>H545</f>
        <v>1</v>
      </c>
      <c r="I546" s="16">
        <f>VLOOKUP(C546,Resources!B:G,6,FALSE)</f>
        <v>1</v>
      </c>
      <c r="J546" s="16">
        <f>(H546/G546)*I546*F546</f>
        <v>189402.18</v>
      </c>
      <c r="K546" s="12">
        <f>L546</f>
        <v>135</v>
      </c>
      <c r="L546" s="12">
        <f>IF(E546="M"," ",H546/G546)*3*5*9</f>
        <v>135</v>
      </c>
      <c r="M546" s="16">
        <f>IF($E546="L",$J546,0)</f>
        <v>0</v>
      </c>
      <c r="N546" s="16">
        <f>IF($E546="M",$J546,0)</f>
        <v>0</v>
      </c>
      <c r="O546" s="16">
        <f>IF($E546="P",$J546,0)</f>
        <v>0</v>
      </c>
      <c r="P546" s="16">
        <f>IF($E546="S",$J546,0)</f>
        <v>189402.18</v>
      </c>
      <c r="Q546" s="16">
        <f>SUM(M546:P546)</f>
        <v>189402.18</v>
      </c>
      <c r="R546" s="250">
        <v>121</v>
      </c>
    </row>
    <row r="547" spans="1:18" x14ac:dyDescent="0.25">
      <c r="A547" s="49" t="s">
        <v>642</v>
      </c>
      <c r="F547" s="11"/>
      <c r="G547" s="11"/>
      <c r="K547" s="11"/>
      <c r="L547" s="11"/>
    </row>
    <row r="548" spans="1:18" ht="60" x14ac:dyDescent="0.25">
      <c r="A548" s="51">
        <v>96</v>
      </c>
      <c r="B548" s="3" t="s">
        <v>384</v>
      </c>
      <c r="C548" s="3" t="s">
        <v>625</v>
      </c>
      <c r="D548" s="4" t="s">
        <v>382</v>
      </c>
      <c r="E548" s="44"/>
      <c r="F548" s="10"/>
      <c r="G548" s="10"/>
      <c r="H548" s="48">
        <f>VLOOKUP($A548,'Model Inputs'!$A:$C,3,FALSE)</f>
        <v>1</v>
      </c>
      <c r="I548" s="15"/>
      <c r="J548" s="15">
        <f>SUBTOTAL(9,J549:J552)</f>
        <v>7105</v>
      </c>
      <c r="K548" s="10"/>
      <c r="L548" s="55">
        <f>ROUNDUP(4*9/Workhrs,0)</f>
        <v>4</v>
      </c>
      <c r="M548" s="15">
        <f>SUBTOTAL(9,M549:M552)</f>
        <v>0</v>
      </c>
      <c r="N548" s="15">
        <f>SUBTOTAL(9,N549:N552)</f>
        <v>0</v>
      </c>
      <c r="O548" s="15">
        <f>SUBTOTAL(9,O549:O552)</f>
        <v>0</v>
      </c>
      <c r="P548" s="15">
        <f>SUBTOTAL(9,P549:P552)</f>
        <v>7105</v>
      </c>
      <c r="Q548" s="15">
        <f>SUBTOTAL(9,Q549:Q552)</f>
        <v>7105</v>
      </c>
      <c r="R548" s="249"/>
    </row>
    <row r="549" spans="1:18" x14ac:dyDescent="0.25">
      <c r="A549" s="52" t="s">
        <v>642</v>
      </c>
      <c r="B549" s="6">
        <v>1</v>
      </c>
      <c r="C549" s="6" t="s">
        <v>78</v>
      </c>
      <c r="D549" s="6" t="s">
        <v>19</v>
      </c>
      <c r="E549" s="45" t="s">
        <v>509</v>
      </c>
      <c r="F549" s="12">
        <v>2500</v>
      </c>
      <c r="G549" s="12">
        <v>1</v>
      </c>
      <c r="H549" s="16">
        <f>H548</f>
        <v>1</v>
      </c>
      <c r="I549" s="16">
        <f>VLOOKUP(C549,Resources!B:G,6,FALSE)</f>
        <v>1</v>
      </c>
      <c r="J549" s="16">
        <f>(H549/G549)*I549*F549</f>
        <v>2500</v>
      </c>
      <c r="K549" s="12">
        <f>IF(E549="M"," ",L549*F549)</f>
        <v>2500</v>
      </c>
      <c r="L549" s="12">
        <f>IF(E549="M"," ",H549/G549)</f>
        <v>1</v>
      </c>
      <c r="M549" s="16">
        <f>IF($E549="L",$J549,0)</f>
        <v>0</v>
      </c>
      <c r="N549" s="16">
        <f>IF($E549="M",$J549,0)</f>
        <v>0</v>
      </c>
      <c r="O549" s="16">
        <f>IF($E549="P",$J549,0)</f>
        <v>0</v>
      </c>
      <c r="P549" s="16">
        <f>IF($E549="S",$J549,0)</f>
        <v>2500</v>
      </c>
      <c r="Q549" s="16">
        <f>SUM(M549:P549)</f>
        <v>2500</v>
      </c>
      <c r="R549" s="250">
        <v>103</v>
      </c>
    </row>
    <row r="550" spans="1:18" x14ac:dyDescent="0.25">
      <c r="A550" s="52" t="s">
        <v>642</v>
      </c>
      <c r="B550" s="6">
        <v>2</v>
      </c>
      <c r="C550" s="6" t="s">
        <v>78</v>
      </c>
      <c r="D550" s="6" t="s">
        <v>19</v>
      </c>
      <c r="E550" s="45" t="s">
        <v>509</v>
      </c>
      <c r="F550" s="12">
        <v>65</v>
      </c>
      <c r="G550" s="12">
        <v>1</v>
      </c>
      <c r="H550" s="16">
        <f>H548*45</f>
        <v>45</v>
      </c>
      <c r="I550" s="16">
        <f>VLOOKUP(C550,Resources!B:G,6,FALSE)</f>
        <v>1</v>
      </c>
      <c r="J550" s="16">
        <f>(H550/G550)*I550*F550</f>
        <v>2925</v>
      </c>
      <c r="K550" s="12">
        <f>IF(E550="M"," ",L550*F550)</f>
        <v>2925</v>
      </c>
      <c r="L550" s="12">
        <f>IF(E550="M"," ",H550/G550)</f>
        <v>45</v>
      </c>
      <c r="M550" s="16">
        <f>IF($E550="L",$J550,0)</f>
        <v>0</v>
      </c>
      <c r="N550" s="16">
        <f>IF($E550="M",$J550,0)</f>
        <v>0</v>
      </c>
      <c r="O550" s="16">
        <f>IF($E550="P",$J550,0)</f>
        <v>0</v>
      </c>
      <c r="P550" s="16">
        <f>IF($E550="S",$J550,0)</f>
        <v>2925</v>
      </c>
      <c r="Q550" s="16">
        <f>SUM(M550:P550)</f>
        <v>2925</v>
      </c>
      <c r="R550" s="250">
        <v>103</v>
      </c>
    </row>
    <row r="551" spans="1:18" x14ac:dyDescent="0.25">
      <c r="A551" s="52" t="s">
        <v>642</v>
      </c>
      <c r="B551" s="6">
        <v>3</v>
      </c>
      <c r="C551" s="6" t="s">
        <v>78</v>
      </c>
      <c r="D551" s="6" t="s">
        <v>19</v>
      </c>
      <c r="E551" s="45" t="s">
        <v>509</v>
      </c>
      <c r="F551" s="12">
        <v>65</v>
      </c>
      <c r="G551" s="12">
        <v>1</v>
      </c>
      <c r="H551" s="16">
        <f>H548*20</f>
        <v>20</v>
      </c>
      <c r="I551" s="16">
        <f>VLOOKUP(C551,Resources!B:G,6,FALSE)</f>
        <v>1</v>
      </c>
      <c r="J551" s="16">
        <f>(H551/G551)*I551*F551</f>
        <v>1300</v>
      </c>
      <c r="K551" s="12">
        <f>IF(E551="M"," ",L551*F551)</f>
        <v>1300</v>
      </c>
      <c r="L551" s="12">
        <f>IF(E551="M"," ",H551/G551)</f>
        <v>20</v>
      </c>
      <c r="M551" s="16">
        <f>IF($E551="L",$J551,0)</f>
        <v>0</v>
      </c>
      <c r="N551" s="16">
        <f>IF($E551="M",$J551,0)</f>
        <v>0</v>
      </c>
      <c r="O551" s="16">
        <f>IF($E551="P",$J551,0)</f>
        <v>0</v>
      </c>
      <c r="P551" s="16">
        <f>IF($E551="S",$J551,0)</f>
        <v>1300</v>
      </c>
      <c r="Q551" s="16">
        <f>SUM(M551:P551)</f>
        <v>1300</v>
      </c>
      <c r="R551" s="250">
        <v>103</v>
      </c>
    </row>
    <row r="552" spans="1:18" x14ac:dyDescent="0.25">
      <c r="A552" s="52" t="s">
        <v>642</v>
      </c>
      <c r="B552" s="6">
        <v>4</v>
      </c>
      <c r="C552" s="6" t="s">
        <v>374</v>
      </c>
      <c r="D552" s="6" t="s">
        <v>33</v>
      </c>
      <c r="E552" s="45" t="s">
        <v>509</v>
      </c>
      <c r="F552" s="12">
        <v>4</v>
      </c>
      <c r="G552" s="12">
        <v>1</v>
      </c>
      <c r="H552" s="16">
        <f>H548</f>
        <v>1</v>
      </c>
      <c r="I552" s="16">
        <f>VLOOKUP(C552,Resources!B:G,6,FALSE)</f>
        <v>95</v>
      </c>
      <c r="J552" s="16">
        <f>(H552/G552)*I552*F552</f>
        <v>380</v>
      </c>
      <c r="K552" s="12">
        <f>IF(E552="M"," ",L552*F552)</f>
        <v>4</v>
      </c>
      <c r="L552" s="12">
        <f>IF(E552="M"," ",H552/G552)</f>
        <v>1</v>
      </c>
      <c r="M552" s="16">
        <f>IF($E552="L",$J552,0)</f>
        <v>0</v>
      </c>
      <c r="N552" s="16">
        <f>IF($E552="M",$J552,0)</f>
        <v>0</v>
      </c>
      <c r="O552" s="16">
        <f>IF($E552="P",$J552,0)</f>
        <v>0</v>
      </c>
      <c r="P552" s="16">
        <f>IF($E552="S",$J552,0)</f>
        <v>380</v>
      </c>
      <c r="Q552" s="16">
        <f>SUM(M552:P552)</f>
        <v>380</v>
      </c>
      <c r="R552" s="250">
        <v>113</v>
      </c>
    </row>
    <row r="553" spans="1:18" x14ac:dyDescent="0.25">
      <c r="A553" s="49" t="s">
        <v>642</v>
      </c>
      <c r="F553" s="11"/>
      <c r="G553" s="11"/>
      <c r="K553" s="11"/>
      <c r="L553" s="11"/>
    </row>
    <row r="554" spans="1:18" ht="30" x14ac:dyDescent="0.25">
      <c r="A554" s="51" t="s">
        <v>642</v>
      </c>
      <c r="B554" s="3" t="s">
        <v>386</v>
      </c>
      <c r="C554" s="3" t="s">
        <v>626</v>
      </c>
      <c r="D554" s="4" t="s">
        <v>364</v>
      </c>
      <c r="E554" s="44"/>
      <c r="F554" s="10"/>
      <c r="G554" s="10"/>
      <c r="H554" s="15">
        <v>1</v>
      </c>
      <c r="I554" s="15"/>
      <c r="J554" s="15"/>
      <c r="K554" s="10"/>
      <c r="L554" s="10"/>
      <c r="M554" s="15"/>
      <c r="N554" s="15"/>
      <c r="O554" s="15"/>
      <c r="P554" s="15"/>
      <c r="Q554" s="15"/>
      <c r="R554" s="249"/>
    </row>
    <row r="555" spans="1:18" ht="30" x14ac:dyDescent="0.25">
      <c r="A555" s="49" t="s">
        <v>642</v>
      </c>
      <c r="C555" s="8" t="s">
        <v>387</v>
      </c>
      <c r="F555" s="11"/>
      <c r="G555" s="11"/>
      <c r="K555" s="11"/>
      <c r="L555" s="11"/>
    </row>
    <row r="556" spans="1:18" ht="30" x14ac:dyDescent="0.25">
      <c r="A556" s="51" t="s">
        <v>642</v>
      </c>
      <c r="B556" s="3" t="s">
        <v>388</v>
      </c>
      <c r="C556" s="3" t="s">
        <v>389</v>
      </c>
      <c r="D556" s="4"/>
      <c r="E556" s="44"/>
      <c r="F556" s="10"/>
      <c r="G556" s="10"/>
      <c r="H556" s="15"/>
      <c r="I556" s="15"/>
      <c r="J556" s="15"/>
      <c r="K556" s="10"/>
      <c r="L556" s="10"/>
      <c r="M556" s="15"/>
      <c r="N556" s="15"/>
      <c r="O556" s="15"/>
      <c r="P556" s="15"/>
      <c r="Q556" s="15"/>
      <c r="R556" s="249"/>
    </row>
    <row r="557" spans="1:18" ht="60" x14ac:dyDescent="0.25">
      <c r="A557" s="51">
        <v>97</v>
      </c>
      <c r="B557" s="3" t="s">
        <v>390</v>
      </c>
      <c r="C557" s="3" t="s">
        <v>627</v>
      </c>
      <c r="D557" s="4" t="s">
        <v>382</v>
      </c>
      <c r="E557" s="44"/>
      <c r="F557" s="10"/>
      <c r="G557" s="10"/>
      <c r="H557" s="48">
        <f>VLOOKUP($A557,'Model Inputs'!$A:$C,3,FALSE)</f>
        <v>1</v>
      </c>
      <c r="I557" s="15"/>
      <c r="J557" s="15">
        <f>SUBTOTAL(9,J558)</f>
        <v>10227.27</v>
      </c>
      <c r="K557" s="10"/>
      <c r="L557" s="15">
        <f>ROUNDUP(MAX(L558)/Workhrs,0)</f>
        <v>5</v>
      </c>
      <c r="M557" s="15">
        <f>SUBTOTAL(9,M558)</f>
        <v>0</v>
      </c>
      <c r="N557" s="15">
        <f>SUBTOTAL(9,N558)</f>
        <v>0</v>
      </c>
      <c r="O557" s="15">
        <f>SUBTOTAL(9,O558)</f>
        <v>0</v>
      </c>
      <c r="P557" s="15">
        <f>SUBTOTAL(9,P558)</f>
        <v>10227.27</v>
      </c>
      <c r="Q557" s="15">
        <f>SUBTOTAL(9,Q558)</f>
        <v>10227.27</v>
      </c>
      <c r="R557" s="249"/>
    </row>
    <row r="558" spans="1:18" x14ac:dyDescent="0.25">
      <c r="A558" s="52" t="s">
        <v>642</v>
      </c>
      <c r="B558" s="6">
        <v>1</v>
      </c>
      <c r="C558" s="6" t="s">
        <v>383</v>
      </c>
      <c r="D558" s="6" t="s">
        <v>19</v>
      </c>
      <c r="E558" s="45" t="s">
        <v>509</v>
      </c>
      <c r="F558" s="12">
        <v>10227.27</v>
      </c>
      <c r="G558" s="12">
        <v>1</v>
      </c>
      <c r="H558" s="16">
        <f>H557</f>
        <v>1</v>
      </c>
      <c r="I558" s="16">
        <f>VLOOKUP(C558,Resources!B:G,6,FALSE)</f>
        <v>1</v>
      </c>
      <c r="J558" s="16">
        <f>(H558/G558)*I558*F558</f>
        <v>10227.27</v>
      </c>
      <c r="K558" s="12">
        <f>IF(E558="M"," ",L558*F558)</f>
        <v>460227.15</v>
      </c>
      <c r="L558" s="53">
        <f>IF(E558="M"," ",H558/G558)*5*9</f>
        <v>45</v>
      </c>
      <c r="M558" s="16">
        <f>IF($E558="L",$J558,0)</f>
        <v>0</v>
      </c>
      <c r="N558" s="16">
        <f>IF($E558="M",$J558,0)</f>
        <v>0</v>
      </c>
      <c r="O558" s="16">
        <f>IF($E558="P",$J558,0)</f>
        <v>0</v>
      </c>
      <c r="P558" s="16">
        <f>IF($E558="S",$J558,0)</f>
        <v>10227.27</v>
      </c>
      <c r="Q558" s="16">
        <f>SUM(M558:P558)</f>
        <v>10227.27</v>
      </c>
      <c r="R558" s="250">
        <v>121</v>
      </c>
    </row>
    <row r="559" spans="1:18" x14ac:dyDescent="0.25">
      <c r="A559" s="49" t="s">
        <v>642</v>
      </c>
      <c r="F559" s="11"/>
      <c r="G559" s="11"/>
      <c r="K559" s="11"/>
      <c r="L559" s="11"/>
    </row>
    <row r="560" spans="1:18" ht="45" x14ac:dyDescent="0.25">
      <c r="A560" s="51">
        <v>98</v>
      </c>
      <c r="B560" s="3" t="s">
        <v>392</v>
      </c>
      <c r="C560" s="3" t="s">
        <v>628</v>
      </c>
      <c r="D560" s="4" t="s">
        <v>382</v>
      </c>
      <c r="E560" s="44"/>
      <c r="F560" s="10"/>
      <c r="G560" s="10"/>
      <c r="H560" s="48">
        <f>VLOOKUP($A560,'Model Inputs'!$A:$C,3,FALSE)</f>
        <v>1</v>
      </c>
      <c r="I560" s="15"/>
      <c r="J560" s="15">
        <f>SUBTOTAL(9,J561)</f>
        <v>22088.41</v>
      </c>
      <c r="K560" s="10"/>
      <c r="L560" s="15">
        <f>ROUNDUP(MAX(L561)/Workhrs,0)</f>
        <v>5</v>
      </c>
      <c r="M560" s="15">
        <f>SUBTOTAL(9,M561)</f>
        <v>0</v>
      </c>
      <c r="N560" s="15">
        <f>SUBTOTAL(9,N561)</f>
        <v>0</v>
      </c>
      <c r="O560" s="15">
        <f>SUBTOTAL(9,O561)</f>
        <v>0</v>
      </c>
      <c r="P560" s="15">
        <f>SUBTOTAL(9,P561)</f>
        <v>22088.41</v>
      </c>
      <c r="Q560" s="15">
        <f>SUBTOTAL(9,Q561)</f>
        <v>22088.41</v>
      </c>
      <c r="R560" s="249"/>
    </row>
    <row r="561" spans="1:18" x14ac:dyDescent="0.25">
      <c r="A561" s="52" t="s">
        <v>642</v>
      </c>
      <c r="B561" s="6">
        <v>1</v>
      </c>
      <c r="C561" s="6" t="s">
        <v>383</v>
      </c>
      <c r="D561" s="6" t="s">
        <v>19</v>
      </c>
      <c r="E561" s="45" t="s">
        <v>509</v>
      </c>
      <c r="F561" s="12">
        <v>22088.41</v>
      </c>
      <c r="G561" s="12">
        <v>1</v>
      </c>
      <c r="H561" s="16">
        <f>H560</f>
        <v>1</v>
      </c>
      <c r="I561" s="16">
        <f>VLOOKUP(C561,Resources!B:G,6,FALSE)</f>
        <v>1</v>
      </c>
      <c r="J561" s="16">
        <f>(H561/G561)*I561*F561</f>
        <v>22088.41</v>
      </c>
      <c r="K561" s="12">
        <f>IF(E561="M"," ",L561*F561)</f>
        <v>993978.45</v>
      </c>
      <c r="L561" s="53">
        <f>IF(E561="M"," ",H561/G561)*5*9</f>
        <v>45</v>
      </c>
      <c r="M561" s="16">
        <f>IF($E561="L",$J561,0)</f>
        <v>0</v>
      </c>
      <c r="N561" s="16">
        <f>IF($E561="M",$J561,0)</f>
        <v>0</v>
      </c>
      <c r="O561" s="16">
        <f>IF($E561="P",$J561,0)</f>
        <v>0</v>
      </c>
      <c r="P561" s="16">
        <f>IF($E561="S",$J561,0)</f>
        <v>22088.41</v>
      </c>
      <c r="Q561" s="16">
        <f>SUM(M561:P561)</f>
        <v>22088.41</v>
      </c>
      <c r="R561" s="250">
        <v>121</v>
      </c>
    </row>
    <row r="562" spans="1:18" x14ac:dyDescent="0.25">
      <c r="A562" s="49" t="s">
        <v>642</v>
      </c>
      <c r="F562" s="11"/>
      <c r="G562" s="11"/>
      <c r="K562" s="11"/>
      <c r="L562" s="11"/>
    </row>
    <row r="563" spans="1:18" ht="30" x14ac:dyDescent="0.25">
      <c r="A563" s="51">
        <v>99</v>
      </c>
      <c r="B563" s="3" t="s">
        <v>394</v>
      </c>
      <c r="C563" s="3" t="s">
        <v>629</v>
      </c>
      <c r="D563" s="4" t="s">
        <v>52</v>
      </c>
      <c r="E563" s="44"/>
      <c r="F563" s="10"/>
      <c r="G563" s="10"/>
      <c r="H563" s="48">
        <f>VLOOKUP($A563,'Model Inputs'!$A:$C,3,FALSE)</f>
        <v>3</v>
      </c>
      <c r="I563" s="15"/>
      <c r="J563" s="15">
        <f>SUBTOTAL(9,J564)</f>
        <v>24000</v>
      </c>
      <c r="K563" s="10"/>
      <c r="L563" s="15">
        <f>ROUNDUP(MAX(L564)/Workhrs,0)</f>
        <v>5</v>
      </c>
      <c r="M563" s="15">
        <f>SUBTOTAL(9,M564)</f>
        <v>0</v>
      </c>
      <c r="N563" s="15">
        <f>SUBTOTAL(9,N564)</f>
        <v>0</v>
      </c>
      <c r="O563" s="15">
        <f>SUBTOTAL(9,O564)</f>
        <v>0</v>
      </c>
      <c r="P563" s="15">
        <f>SUBTOTAL(9,P564)</f>
        <v>24000</v>
      </c>
      <c r="Q563" s="15">
        <f>SUBTOTAL(9,Q564)</f>
        <v>24000</v>
      </c>
      <c r="R563" s="249"/>
    </row>
    <row r="564" spans="1:18" x14ac:dyDescent="0.25">
      <c r="A564" s="52" t="s">
        <v>642</v>
      </c>
      <c r="B564" s="6">
        <v>1</v>
      </c>
      <c r="C564" s="6" t="s">
        <v>383</v>
      </c>
      <c r="D564" s="6" t="s">
        <v>19</v>
      </c>
      <c r="E564" s="45" t="s">
        <v>509</v>
      </c>
      <c r="F564" s="12">
        <v>24000</v>
      </c>
      <c r="G564" s="12">
        <v>1</v>
      </c>
      <c r="H564" s="16">
        <f>H563/3</f>
        <v>1</v>
      </c>
      <c r="I564" s="16">
        <f>VLOOKUP(C564,Resources!B:G,6,FALSE)</f>
        <v>1</v>
      </c>
      <c r="J564" s="16">
        <f>(H564/G564)*I564*F564</f>
        <v>24000</v>
      </c>
      <c r="K564" s="12">
        <f>IF(E564="M"," ",L564*F564)</f>
        <v>1080000</v>
      </c>
      <c r="L564" s="53">
        <f>IF(E564="M"," ",H564/G564)*5*9</f>
        <v>45</v>
      </c>
      <c r="M564" s="16">
        <f>IF($E564="L",$J564,0)</f>
        <v>0</v>
      </c>
      <c r="N564" s="16">
        <f>IF($E564="M",$J564,0)</f>
        <v>0</v>
      </c>
      <c r="O564" s="16">
        <f>IF($E564="P",$J564,0)</f>
        <v>0</v>
      </c>
      <c r="P564" s="16">
        <f>IF($E564="S",$J564,0)</f>
        <v>24000</v>
      </c>
      <c r="Q564" s="16">
        <f>SUM(M564:P564)</f>
        <v>24000</v>
      </c>
      <c r="R564" s="250">
        <v>123</v>
      </c>
    </row>
    <row r="565" spans="1:18" x14ac:dyDescent="0.25">
      <c r="A565" s="49" t="s">
        <v>642</v>
      </c>
      <c r="F565" s="11"/>
      <c r="G565" s="11"/>
      <c r="K565" s="11"/>
      <c r="L565" s="11"/>
    </row>
    <row r="566" spans="1:18" ht="75" x14ac:dyDescent="0.25">
      <c r="A566" s="51">
        <v>100</v>
      </c>
      <c r="B566" s="3" t="s">
        <v>396</v>
      </c>
      <c r="C566" s="3" t="s">
        <v>630</v>
      </c>
      <c r="D566" s="4" t="s">
        <v>382</v>
      </c>
      <c r="E566" s="44"/>
      <c r="F566" s="10"/>
      <c r="G566" s="10"/>
      <c r="H566" s="48">
        <f>VLOOKUP($A566,'Model Inputs'!$A:$C,3,FALSE)</f>
        <v>1</v>
      </c>
      <c r="I566" s="15"/>
      <c r="J566" s="15">
        <f>SUBTOTAL(9,J567)</f>
        <v>80346.600000000006</v>
      </c>
      <c r="K566" s="10"/>
      <c r="L566" s="15">
        <f>ROUNDUP(MAX(L567)/Workhrs,0)</f>
        <v>10</v>
      </c>
      <c r="M566" s="15">
        <f>SUBTOTAL(9,M567)</f>
        <v>0</v>
      </c>
      <c r="N566" s="15">
        <f>SUBTOTAL(9,N567)</f>
        <v>0</v>
      </c>
      <c r="O566" s="15">
        <f>SUBTOTAL(9,O567)</f>
        <v>0</v>
      </c>
      <c r="P566" s="15">
        <f>SUBTOTAL(9,P567)</f>
        <v>80346.600000000006</v>
      </c>
      <c r="Q566" s="15">
        <f>SUBTOTAL(9,Q567)</f>
        <v>80346.600000000006</v>
      </c>
      <c r="R566" s="249"/>
    </row>
    <row r="567" spans="1:18" x14ac:dyDescent="0.25">
      <c r="A567" s="52" t="s">
        <v>642</v>
      </c>
      <c r="B567" s="6">
        <v>1</v>
      </c>
      <c r="C567" s="6" t="s">
        <v>383</v>
      </c>
      <c r="D567" s="6" t="s">
        <v>19</v>
      </c>
      <c r="E567" s="45" t="s">
        <v>509</v>
      </c>
      <c r="F567" s="12">
        <v>80346.600000000006</v>
      </c>
      <c r="G567" s="12">
        <v>1</v>
      </c>
      <c r="H567" s="16">
        <f>H566</f>
        <v>1</v>
      </c>
      <c r="I567" s="16">
        <f>VLOOKUP(C567,Resources!B:G,6,FALSE)</f>
        <v>1</v>
      </c>
      <c r="J567" s="16">
        <f>(H567/G567)*I567*F567</f>
        <v>80346.600000000006</v>
      </c>
      <c r="K567" s="12">
        <f>IF(E567="M"," ",L567*F567)</f>
        <v>7231194.0000000009</v>
      </c>
      <c r="L567" s="53">
        <f>IF(E567="M"," ",H567/G567)*10*9</f>
        <v>90</v>
      </c>
      <c r="M567" s="16">
        <f>IF($E567="L",$J567,0)</f>
        <v>0</v>
      </c>
      <c r="N567" s="16">
        <f>IF($E567="M",$J567,0)</f>
        <v>0</v>
      </c>
      <c r="O567" s="16">
        <f>IF($E567="P",$J567,0)</f>
        <v>0</v>
      </c>
      <c r="P567" s="16">
        <f>IF($E567="S",$J567,0)</f>
        <v>80346.600000000006</v>
      </c>
      <c r="Q567" s="16">
        <f>SUM(M567:P567)</f>
        <v>80346.600000000006</v>
      </c>
      <c r="R567" s="250">
        <v>121</v>
      </c>
    </row>
    <row r="568" spans="1:18" x14ac:dyDescent="0.25">
      <c r="A568" s="49" t="s">
        <v>642</v>
      </c>
      <c r="F568" s="11"/>
      <c r="G568" s="11"/>
      <c r="K568" s="11"/>
      <c r="L568" s="11"/>
    </row>
    <row r="569" spans="1:18" ht="45" x14ac:dyDescent="0.25">
      <c r="A569" s="51">
        <v>101</v>
      </c>
      <c r="B569" s="3" t="s">
        <v>398</v>
      </c>
      <c r="C569" s="3" t="s">
        <v>631</v>
      </c>
      <c r="D569" s="4" t="s">
        <v>382</v>
      </c>
      <c r="E569" s="44"/>
      <c r="F569" s="10"/>
      <c r="G569" s="10"/>
      <c r="H569" s="48">
        <f>VLOOKUP($A569,'Model Inputs'!$A:$C,3,FALSE)</f>
        <v>1</v>
      </c>
      <c r="I569" s="15"/>
      <c r="J569" s="15">
        <f>SUBTOTAL(9,J570)</f>
        <v>9436.36</v>
      </c>
      <c r="K569" s="10"/>
      <c r="L569" s="15">
        <f>ROUNDUP(MAX(L570)/Workhrs,0)</f>
        <v>1</v>
      </c>
      <c r="M569" s="15">
        <f>SUBTOTAL(9,M570)</f>
        <v>0</v>
      </c>
      <c r="N569" s="15">
        <f>SUBTOTAL(9,N570)</f>
        <v>0</v>
      </c>
      <c r="O569" s="15">
        <f>SUBTOTAL(9,O570)</f>
        <v>0</v>
      </c>
      <c r="P569" s="15">
        <f>SUBTOTAL(9,P570)</f>
        <v>9436.36</v>
      </c>
      <c r="Q569" s="15">
        <f>SUBTOTAL(9,Q570)</f>
        <v>9436.36</v>
      </c>
      <c r="R569" s="249"/>
    </row>
    <row r="570" spans="1:18" x14ac:dyDescent="0.25">
      <c r="A570" s="52" t="s">
        <v>642</v>
      </c>
      <c r="B570" s="6">
        <v>1</v>
      </c>
      <c r="C570" s="6" t="s">
        <v>383</v>
      </c>
      <c r="D570" s="6" t="s">
        <v>19</v>
      </c>
      <c r="E570" s="45" t="s">
        <v>509</v>
      </c>
      <c r="F570" s="12">
        <v>9436.36</v>
      </c>
      <c r="G570" s="12">
        <v>1</v>
      </c>
      <c r="H570" s="16">
        <f>H569</f>
        <v>1</v>
      </c>
      <c r="I570" s="16">
        <f>VLOOKUP(C570,Resources!B:G,6,FALSE)</f>
        <v>1</v>
      </c>
      <c r="J570" s="16">
        <f>(H570/G570)*I570*F570</f>
        <v>9436.36</v>
      </c>
      <c r="K570" s="12">
        <f>IF(E570="M"," ",L570*F570)</f>
        <v>84927.24</v>
      </c>
      <c r="L570" s="53">
        <f>IF(E570="M"," ",H570/G570)*9</f>
        <v>9</v>
      </c>
      <c r="M570" s="16">
        <f>IF($E570="L",$J570,0)</f>
        <v>0</v>
      </c>
      <c r="N570" s="16">
        <f>IF($E570="M",$J570,0)</f>
        <v>0</v>
      </c>
      <c r="O570" s="16">
        <f>IF($E570="P",$J570,0)</f>
        <v>0</v>
      </c>
      <c r="P570" s="16">
        <f>IF($E570="S",$J570,0)</f>
        <v>9436.36</v>
      </c>
      <c r="Q570" s="16">
        <f>SUM(M570:P570)</f>
        <v>9436.36</v>
      </c>
      <c r="R570" s="250">
        <v>121</v>
      </c>
    </row>
    <row r="571" spans="1:18" x14ac:dyDescent="0.25">
      <c r="A571" s="49" t="s">
        <v>642</v>
      </c>
      <c r="F571" s="11"/>
      <c r="G571" s="11"/>
      <c r="K571" s="11"/>
      <c r="L571" s="11"/>
    </row>
    <row r="572" spans="1:18" ht="45" x14ac:dyDescent="0.25">
      <c r="A572" s="51">
        <v>102</v>
      </c>
      <c r="B572" s="3" t="s">
        <v>400</v>
      </c>
      <c r="C572" s="3" t="s">
        <v>632</v>
      </c>
      <c r="D572" s="4" t="s">
        <v>54</v>
      </c>
      <c r="E572" s="44"/>
      <c r="F572" s="10"/>
      <c r="G572" s="10"/>
      <c r="H572" s="48">
        <f>VLOOKUP($A572,'Model Inputs'!$A:$C,3,FALSE)</f>
        <v>1</v>
      </c>
      <c r="I572" s="15"/>
      <c r="J572" s="15">
        <f>SUBTOTAL(9,J573)</f>
        <v>23000</v>
      </c>
      <c r="K572" s="10"/>
      <c r="L572" s="15">
        <f>ROUNDUP(MAX(L573)/Workhrs,0)</f>
        <v>5</v>
      </c>
      <c r="M572" s="15">
        <f>SUBTOTAL(9,M573)</f>
        <v>0</v>
      </c>
      <c r="N572" s="15">
        <f>SUBTOTAL(9,N573)</f>
        <v>0</v>
      </c>
      <c r="O572" s="15">
        <f>SUBTOTAL(9,O573)</f>
        <v>0</v>
      </c>
      <c r="P572" s="15">
        <f>SUBTOTAL(9,P573)</f>
        <v>23000</v>
      </c>
      <c r="Q572" s="15">
        <f>SUBTOTAL(9,Q573)</f>
        <v>23000</v>
      </c>
      <c r="R572" s="249"/>
    </row>
    <row r="573" spans="1:18" x14ac:dyDescent="0.25">
      <c r="A573" s="52" t="s">
        <v>642</v>
      </c>
      <c r="B573" s="6">
        <v>1</v>
      </c>
      <c r="C573" s="6" t="s">
        <v>383</v>
      </c>
      <c r="D573" s="6" t="s">
        <v>19</v>
      </c>
      <c r="E573" s="45" t="s">
        <v>509</v>
      </c>
      <c r="F573" s="12">
        <v>23000</v>
      </c>
      <c r="G573" s="12">
        <v>1</v>
      </c>
      <c r="H573" s="16">
        <f>H572</f>
        <v>1</v>
      </c>
      <c r="I573" s="16">
        <f>VLOOKUP(C573,Resources!B:G,6,FALSE)</f>
        <v>1</v>
      </c>
      <c r="J573" s="16">
        <f>(H573/G573)*I573*F573</f>
        <v>23000</v>
      </c>
      <c r="K573" s="12">
        <f>IF(E573="M"," ",L573*F573)</f>
        <v>1035000</v>
      </c>
      <c r="L573" s="53">
        <f>IF(E573="M"," ",H573/G573)*9*5</f>
        <v>45</v>
      </c>
      <c r="M573" s="16">
        <f>IF($E573="L",$J573,0)</f>
        <v>0</v>
      </c>
      <c r="N573" s="16">
        <f>IF($E573="M",$J573,0)</f>
        <v>0</v>
      </c>
      <c r="O573" s="16">
        <f>IF($E573="P",$J573,0)</f>
        <v>0</v>
      </c>
      <c r="P573" s="16">
        <f>IF($E573="S",$J573,0)</f>
        <v>23000</v>
      </c>
      <c r="Q573" s="16">
        <f>SUM(M573:P573)</f>
        <v>23000</v>
      </c>
      <c r="R573" s="250">
        <v>123</v>
      </c>
    </row>
    <row r="574" spans="1:18" x14ac:dyDescent="0.25">
      <c r="A574" s="49" t="s">
        <v>642</v>
      </c>
      <c r="F574" s="11"/>
      <c r="G574" s="11"/>
      <c r="K574" s="11"/>
      <c r="L574" s="11"/>
    </row>
    <row r="575" spans="1:18" ht="60" x14ac:dyDescent="0.25">
      <c r="A575" s="51">
        <v>103</v>
      </c>
      <c r="B575" s="3" t="s">
        <v>402</v>
      </c>
      <c r="C575" s="3" t="s">
        <v>633</v>
      </c>
      <c r="D575" s="4" t="s">
        <v>54</v>
      </c>
      <c r="E575" s="44"/>
      <c r="F575" s="10"/>
      <c r="G575" s="10"/>
      <c r="H575" s="48">
        <f>VLOOKUP($A575,'Model Inputs'!$A:$C,3,FALSE)</f>
        <v>2</v>
      </c>
      <c r="I575" s="15"/>
      <c r="J575" s="15">
        <f>SUBTOTAL(9,J576)</f>
        <v>2545.4499999999998</v>
      </c>
      <c r="K575" s="10"/>
      <c r="L575" s="15">
        <f>ROUNDUP(MAX(L576)/Workhrs,0)</f>
        <v>2</v>
      </c>
      <c r="M575" s="15">
        <f>SUBTOTAL(9,M576)</f>
        <v>0</v>
      </c>
      <c r="N575" s="15">
        <f>SUBTOTAL(9,N576)</f>
        <v>0</v>
      </c>
      <c r="O575" s="15">
        <f>SUBTOTAL(9,O576)</f>
        <v>0</v>
      </c>
      <c r="P575" s="15">
        <f>SUBTOTAL(9,P576)</f>
        <v>2545.4499999999998</v>
      </c>
      <c r="Q575" s="15">
        <f>SUBTOTAL(9,Q576)</f>
        <v>2545.4499999999998</v>
      </c>
      <c r="R575" s="249"/>
    </row>
    <row r="576" spans="1:18" x14ac:dyDescent="0.25">
      <c r="A576" s="52" t="s">
        <v>642</v>
      </c>
      <c r="B576" s="6">
        <v>1</v>
      </c>
      <c r="C576" s="6" t="s">
        <v>383</v>
      </c>
      <c r="D576" s="6" t="s">
        <v>19</v>
      </c>
      <c r="E576" s="45" t="s">
        <v>509</v>
      </c>
      <c r="F576" s="12">
        <v>2545.4499999999998</v>
      </c>
      <c r="G576" s="12">
        <v>1</v>
      </c>
      <c r="H576" s="16">
        <f>H575/2</f>
        <v>1</v>
      </c>
      <c r="I576" s="16">
        <f>VLOOKUP(C576,Resources!B:G,6,FALSE)</f>
        <v>1</v>
      </c>
      <c r="J576" s="16">
        <f>(H576/G576)*I576*F576</f>
        <v>2545.4499999999998</v>
      </c>
      <c r="K576" s="12">
        <f>IF(E576="M"," ",L576*F576)</f>
        <v>45818.1</v>
      </c>
      <c r="L576" s="53">
        <f>IF(E576="M"," ",H576/G576)*2*9</f>
        <v>18</v>
      </c>
      <c r="M576" s="16">
        <f>IF($E576="L",$J576,0)</f>
        <v>0</v>
      </c>
      <c r="N576" s="16">
        <f>IF($E576="M",$J576,0)</f>
        <v>0</v>
      </c>
      <c r="O576" s="16">
        <f>IF($E576="P",$J576,0)</f>
        <v>0</v>
      </c>
      <c r="P576" s="16">
        <f>IF($E576="S",$J576,0)</f>
        <v>2545.4499999999998</v>
      </c>
      <c r="Q576" s="16">
        <f>SUM(M576:P576)</f>
        <v>2545.4499999999998</v>
      </c>
      <c r="R576" s="250">
        <v>121</v>
      </c>
    </row>
    <row r="577" spans="1:18" x14ac:dyDescent="0.25">
      <c r="A577" s="49" t="s">
        <v>642</v>
      </c>
      <c r="F577" s="11"/>
      <c r="G577" s="11"/>
      <c r="K577" s="11"/>
      <c r="L577" s="11"/>
    </row>
    <row r="578" spans="1:18" ht="60" x14ac:dyDescent="0.25">
      <c r="A578" s="51" t="s">
        <v>642</v>
      </c>
      <c r="B578" s="3" t="s">
        <v>404</v>
      </c>
      <c r="C578" s="3" t="s">
        <v>634</v>
      </c>
      <c r="D578" s="4" t="s">
        <v>364</v>
      </c>
      <c r="E578" s="44"/>
      <c r="F578" s="10"/>
      <c r="G578" s="10"/>
      <c r="H578" s="15">
        <v>1</v>
      </c>
      <c r="I578" s="15"/>
      <c r="J578" s="15"/>
      <c r="K578" s="10"/>
      <c r="L578" s="10"/>
      <c r="M578" s="15"/>
      <c r="N578" s="15"/>
      <c r="O578" s="15"/>
      <c r="P578" s="15"/>
      <c r="Q578" s="15"/>
      <c r="R578" s="249"/>
    </row>
    <row r="579" spans="1:18" ht="30" x14ac:dyDescent="0.25">
      <c r="A579" s="49" t="s">
        <v>642</v>
      </c>
      <c r="C579" s="8" t="s">
        <v>405</v>
      </c>
      <c r="F579" s="11"/>
      <c r="G579" s="11"/>
      <c r="K579" s="11"/>
      <c r="L579" s="11"/>
    </row>
    <row r="580" spans="1:18" ht="60" x14ac:dyDescent="0.25">
      <c r="A580" s="51">
        <v>104</v>
      </c>
      <c r="B580" s="3" t="s">
        <v>406</v>
      </c>
      <c r="C580" s="3" t="s">
        <v>635</v>
      </c>
      <c r="D580" s="4" t="s">
        <v>54</v>
      </c>
      <c r="E580" s="44"/>
      <c r="F580" s="10"/>
      <c r="G580" s="10"/>
      <c r="H580" s="48">
        <f>VLOOKUP($A580,'Model Inputs'!$A:$C,3,FALSE)</f>
        <v>1</v>
      </c>
      <c r="I580" s="15"/>
      <c r="J580" s="15">
        <f>SUBTOTAL(9,J581)</f>
        <v>6000</v>
      </c>
      <c r="K580" s="10"/>
      <c r="L580" s="15">
        <f>ROUNDUP(MAX(L581)/Workhrs,0)</f>
        <v>20</v>
      </c>
      <c r="M580" s="15">
        <f>SUBTOTAL(9,M581)</f>
        <v>0</v>
      </c>
      <c r="N580" s="15">
        <f>SUBTOTAL(9,N581)</f>
        <v>0</v>
      </c>
      <c r="O580" s="15">
        <f>SUBTOTAL(9,O581)</f>
        <v>0</v>
      </c>
      <c r="P580" s="15">
        <f>SUBTOTAL(9,P581)</f>
        <v>6000</v>
      </c>
      <c r="Q580" s="15">
        <f>SUBTOTAL(9,Q581)</f>
        <v>6000</v>
      </c>
      <c r="R580" s="249"/>
    </row>
    <row r="581" spans="1:18" x14ac:dyDescent="0.25">
      <c r="A581" s="52" t="s">
        <v>642</v>
      </c>
      <c r="B581" s="6">
        <v>1</v>
      </c>
      <c r="C581" s="6" t="s">
        <v>521</v>
      </c>
      <c r="D581" s="6" t="s">
        <v>54</v>
      </c>
      <c r="E581" s="45" t="s">
        <v>509</v>
      </c>
      <c r="F581" s="12">
        <v>6000</v>
      </c>
      <c r="G581" s="12">
        <v>1</v>
      </c>
      <c r="H581" s="16">
        <f>H580</f>
        <v>1</v>
      </c>
      <c r="I581" s="16">
        <f>VLOOKUP(C581,Resources!B:G,6,FALSE)</f>
        <v>1</v>
      </c>
      <c r="J581" s="16">
        <f>(H581/G581)*I581*F581</f>
        <v>6000</v>
      </c>
      <c r="K581" s="12">
        <f>IF(E581="M"," ",L581*F581)</f>
        <v>1080000</v>
      </c>
      <c r="L581" s="53">
        <f>IF(E581="M"," ",H581/G581)*4*9*5</f>
        <v>180</v>
      </c>
      <c r="M581" s="16">
        <f>IF($E581="L",$J581,0)</f>
        <v>0</v>
      </c>
      <c r="N581" s="16">
        <f>IF($E581="M",$J581,0)</f>
        <v>0</v>
      </c>
      <c r="O581" s="16">
        <f>IF($E581="P",$J581,0)</f>
        <v>0</v>
      </c>
      <c r="P581" s="16">
        <f>IF($E581="S",$J581,0)</f>
        <v>6000</v>
      </c>
      <c r="Q581" s="16">
        <f>SUM(M581:P581)</f>
        <v>6000</v>
      </c>
      <c r="R581" s="250">
        <v>123</v>
      </c>
    </row>
    <row r="582" spans="1:18" x14ac:dyDescent="0.25">
      <c r="A582" s="49" t="s">
        <v>642</v>
      </c>
      <c r="F582" s="11"/>
      <c r="G582" s="11"/>
      <c r="K582" s="11"/>
      <c r="L582" s="11"/>
    </row>
    <row r="583" spans="1:18" ht="30" x14ac:dyDescent="0.25">
      <c r="A583" s="51">
        <v>105</v>
      </c>
      <c r="B583" s="3" t="s">
        <v>408</v>
      </c>
      <c r="C583" s="3" t="s">
        <v>636</v>
      </c>
      <c r="D583" s="4" t="s">
        <v>94</v>
      </c>
      <c r="E583" s="44"/>
      <c r="F583" s="10"/>
      <c r="G583" s="10"/>
      <c r="H583" s="48">
        <f>VLOOKUP($A583,'Model Inputs'!$A:$C,3,FALSE)</f>
        <v>45</v>
      </c>
      <c r="I583" s="15"/>
      <c r="J583" s="15">
        <f>SUBTOTAL(9,J585:J588)</f>
        <v>17890</v>
      </c>
      <c r="K583" s="10"/>
      <c r="L583" s="55">
        <f>ROUNDUP(SUM(L585,L587)/Workhrs,0)</f>
        <v>2</v>
      </c>
      <c r="M583" s="15">
        <f>SUBTOTAL(9,M585:M588)</f>
        <v>0</v>
      </c>
      <c r="N583" s="15">
        <f>SUBTOTAL(9,N585:N588)</f>
        <v>1600</v>
      </c>
      <c r="O583" s="15">
        <f>SUBTOTAL(9,O585:O588)</f>
        <v>0</v>
      </c>
      <c r="P583" s="15">
        <f>SUBTOTAL(9,P585:P588)</f>
        <v>16290</v>
      </c>
      <c r="Q583" s="15">
        <f>SUBTOTAL(9,Q585:Q588)</f>
        <v>17890</v>
      </c>
      <c r="R583" s="249"/>
    </row>
    <row r="584" spans="1:18" x14ac:dyDescent="0.25">
      <c r="A584" s="49" t="s">
        <v>642</v>
      </c>
      <c r="B584" s="5">
        <v>1</v>
      </c>
      <c r="C584" s="8" t="s">
        <v>410</v>
      </c>
      <c r="F584" s="11"/>
      <c r="G584" s="11"/>
      <c r="K584" s="11"/>
      <c r="L584" s="11"/>
    </row>
    <row r="585" spans="1:18" x14ac:dyDescent="0.25">
      <c r="A585" s="52" t="s">
        <v>642</v>
      </c>
      <c r="B585" s="6">
        <v>2</v>
      </c>
      <c r="C585" s="6" t="s">
        <v>411</v>
      </c>
      <c r="D585" s="6" t="s">
        <v>97</v>
      </c>
      <c r="E585" s="45" t="s">
        <v>509</v>
      </c>
      <c r="F585" s="12">
        <v>1</v>
      </c>
      <c r="G585" s="12">
        <v>1</v>
      </c>
      <c r="H585" s="16">
        <f>H583/6.25</f>
        <v>7.2</v>
      </c>
      <c r="I585" s="16">
        <f>VLOOKUP(C585,Resources!B:G,6,FALSE)</f>
        <v>1200</v>
      </c>
      <c r="J585" s="16">
        <f>(H585/G585)*I585*F585</f>
        <v>8640</v>
      </c>
      <c r="K585" s="12">
        <f>IF(E585="M"," ",L585*F585)</f>
        <v>7.2</v>
      </c>
      <c r="L585" s="12">
        <f>IF(E585="M"," ",H585/G585)</f>
        <v>7.2</v>
      </c>
      <c r="M585" s="16">
        <f>IF($E585="L",$J585,0)</f>
        <v>0</v>
      </c>
      <c r="N585" s="16">
        <f>IF($E585="M",$J585,0)</f>
        <v>0</v>
      </c>
      <c r="O585" s="16">
        <f>IF($E585="P",$J585,0)</f>
        <v>0</v>
      </c>
      <c r="P585" s="16">
        <f>IF($E585="S",$J585,0)</f>
        <v>8640</v>
      </c>
      <c r="Q585" s="16">
        <f>SUM(M585:P585)</f>
        <v>8640</v>
      </c>
      <c r="R585" s="250">
        <v>123</v>
      </c>
    </row>
    <row r="586" spans="1:18" x14ac:dyDescent="0.25">
      <c r="A586" s="49" t="s">
        <v>642</v>
      </c>
      <c r="B586" s="5">
        <v>3</v>
      </c>
      <c r="C586" s="8" t="s">
        <v>412</v>
      </c>
      <c r="F586" s="11"/>
      <c r="G586" s="11"/>
      <c r="K586" s="11"/>
      <c r="L586" s="11"/>
    </row>
    <row r="587" spans="1:18" x14ac:dyDescent="0.25">
      <c r="A587" s="52" t="s">
        <v>642</v>
      </c>
      <c r="B587" s="6">
        <v>4</v>
      </c>
      <c r="C587" s="6" t="s">
        <v>522</v>
      </c>
      <c r="D587" s="6" t="s">
        <v>97</v>
      </c>
      <c r="E587" s="45" t="s">
        <v>509</v>
      </c>
      <c r="F587" s="12">
        <v>1</v>
      </c>
      <c r="G587" s="12">
        <v>1</v>
      </c>
      <c r="H587" s="16">
        <f>H583</f>
        <v>45</v>
      </c>
      <c r="I587" s="16">
        <f>VLOOKUP(C587,Resources!B:G,6,FALSE)</f>
        <v>170</v>
      </c>
      <c r="J587" s="16">
        <f>(H587/G587)*I587*F587</f>
        <v>7650</v>
      </c>
      <c r="K587" s="12">
        <f>IF(E587="M"," ",L587*F587)</f>
        <v>9</v>
      </c>
      <c r="L587" s="12">
        <f>IF(E587="M"," ",H587/G587)/(H583/9)</f>
        <v>9</v>
      </c>
      <c r="M587" s="16">
        <f>IF($E587="L",$J587,0)</f>
        <v>0</v>
      </c>
      <c r="N587" s="16">
        <f>IF($E587="M",$J587,0)</f>
        <v>0</v>
      </c>
      <c r="O587" s="16">
        <f>IF($E587="P",$J587,0)</f>
        <v>0</v>
      </c>
      <c r="P587" s="16">
        <f>IF($E587="S",$J587,0)</f>
        <v>7650</v>
      </c>
      <c r="Q587" s="16">
        <f>SUM(M587:P587)</f>
        <v>7650</v>
      </c>
      <c r="R587" s="250">
        <v>123</v>
      </c>
    </row>
    <row r="588" spans="1:18" x14ac:dyDescent="0.25">
      <c r="A588" s="52" t="s">
        <v>642</v>
      </c>
      <c r="B588" s="6">
        <v>5</v>
      </c>
      <c r="C588" s="6" t="s">
        <v>413</v>
      </c>
      <c r="D588" s="6" t="s">
        <v>26</v>
      </c>
      <c r="E588" s="45" t="s">
        <v>507</v>
      </c>
      <c r="F588" s="12">
        <v>1</v>
      </c>
      <c r="G588" s="12">
        <v>1</v>
      </c>
      <c r="H588" s="16">
        <v>1</v>
      </c>
      <c r="I588" s="16">
        <f>VLOOKUP(C588,Resources!B:G,6,FALSE)</f>
        <v>1600</v>
      </c>
      <c r="J588" s="16">
        <f>(H588/G588)*I588*F588</f>
        <v>1600</v>
      </c>
      <c r="K588" s="12" t="str">
        <f>IF(E588="M"," ",L588*F588)</f>
        <v xml:space="preserve"> </v>
      </c>
      <c r="L588" s="12" t="str">
        <f>IF(E588="M"," ",H588/G588)</f>
        <v xml:space="preserve"> </v>
      </c>
      <c r="M588" s="16">
        <f>IF($E588="L",$J588,0)</f>
        <v>0</v>
      </c>
      <c r="N588" s="16">
        <f>IF($E588="M",$J588,0)</f>
        <v>1600</v>
      </c>
      <c r="O588" s="16">
        <f>IF($E588="P",$J588,0)</f>
        <v>0</v>
      </c>
      <c r="P588" s="16">
        <f>IF($E588="S",$J588,0)</f>
        <v>0</v>
      </c>
      <c r="Q588" s="16">
        <f>SUM(M588:P588)</f>
        <v>1600</v>
      </c>
      <c r="R588" s="250">
        <v>123</v>
      </c>
    </row>
    <row r="589" spans="1:18" x14ac:dyDescent="0.25">
      <c r="A589" s="49" t="s">
        <v>642</v>
      </c>
      <c r="F589" s="11"/>
      <c r="G589" s="11"/>
      <c r="K589" s="11"/>
      <c r="L589" s="11"/>
    </row>
    <row r="590" spans="1:18" ht="45" x14ac:dyDescent="0.25">
      <c r="A590" s="51">
        <v>106</v>
      </c>
      <c r="B590" s="3" t="s">
        <v>414</v>
      </c>
      <c r="C590" s="3" t="s">
        <v>637</v>
      </c>
      <c r="D590" s="4" t="s">
        <v>94</v>
      </c>
      <c r="E590" s="44"/>
      <c r="F590" s="10"/>
      <c r="G590" s="10"/>
      <c r="H590" s="48">
        <f>VLOOKUP($A590,'Model Inputs'!$A:$C,3,FALSE)</f>
        <v>18</v>
      </c>
      <c r="I590" s="15"/>
      <c r="J590" s="15">
        <f>SUBTOTAL(9,J592:J595)</f>
        <v>7028.0844822528597</v>
      </c>
      <c r="K590" s="10"/>
      <c r="L590" s="55">
        <f>ROUNDUP(SUM(L592,L594)/Workhrs,0)</f>
        <v>2</v>
      </c>
      <c r="M590" s="15">
        <f>SUBTOTAL(9,M592:M595)</f>
        <v>0</v>
      </c>
      <c r="N590" s="15">
        <f>SUBTOTAL(9,N592:N595)</f>
        <v>800</v>
      </c>
      <c r="O590" s="15">
        <f>SUBTOTAL(9,O592:O595)</f>
        <v>0</v>
      </c>
      <c r="P590" s="15">
        <f>SUBTOTAL(9,P592:P595)</f>
        <v>6228.0844822528597</v>
      </c>
      <c r="Q590" s="15">
        <f>SUBTOTAL(9,Q592:Q595)</f>
        <v>7028.0844822528597</v>
      </c>
      <c r="R590" s="249"/>
    </row>
    <row r="591" spans="1:18" x14ac:dyDescent="0.25">
      <c r="A591" s="49" t="s">
        <v>642</v>
      </c>
      <c r="B591" s="5">
        <v>1</v>
      </c>
      <c r="C591" s="8" t="s">
        <v>410</v>
      </c>
      <c r="F591" s="11"/>
      <c r="G591" s="11"/>
      <c r="K591" s="11"/>
      <c r="L591" s="11"/>
    </row>
    <row r="592" spans="1:18" x14ac:dyDescent="0.25">
      <c r="A592" s="52" t="s">
        <v>642</v>
      </c>
      <c r="B592" s="6">
        <v>2</v>
      </c>
      <c r="C592" s="6" t="s">
        <v>411</v>
      </c>
      <c r="D592" s="6" t="s">
        <v>97</v>
      </c>
      <c r="E592" s="45" t="s">
        <v>509</v>
      </c>
      <c r="F592" s="12">
        <v>1</v>
      </c>
      <c r="G592" s="12">
        <v>1</v>
      </c>
      <c r="H592" s="16">
        <f>H590/6.818</f>
        <v>2.6400704018773835</v>
      </c>
      <c r="I592" s="16">
        <f>VLOOKUP(C592,Resources!B:G,6,FALSE)</f>
        <v>1200</v>
      </c>
      <c r="J592" s="16">
        <f>(H592/G592)*I592*F592</f>
        <v>3168.0844822528602</v>
      </c>
      <c r="K592" s="12">
        <f>IF(E592="M"," ",L592*F592)</f>
        <v>2.6400704018773835</v>
      </c>
      <c r="L592" s="12">
        <f>IF(E592="M"," ",H592/G592)</f>
        <v>2.6400704018773835</v>
      </c>
      <c r="M592" s="16">
        <f>IF($E592="L",$J592,0)</f>
        <v>0</v>
      </c>
      <c r="N592" s="16">
        <f>IF($E592="M",$J592,0)</f>
        <v>0</v>
      </c>
      <c r="O592" s="16">
        <f>IF($E592="P",$J592,0)</f>
        <v>0</v>
      </c>
      <c r="P592" s="16">
        <f>IF($E592="S",$J592,0)</f>
        <v>3168.0844822528602</v>
      </c>
      <c r="Q592" s="16">
        <f>SUM(M592:P592)</f>
        <v>3168.0844822528602</v>
      </c>
      <c r="R592" s="250">
        <v>123</v>
      </c>
    </row>
    <row r="593" spans="1:18" x14ac:dyDescent="0.25">
      <c r="A593" s="49" t="s">
        <v>642</v>
      </c>
      <c r="B593" s="5">
        <v>3</v>
      </c>
      <c r="C593" s="8" t="s">
        <v>412</v>
      </c>
      <c r="F593" s="11"/>
      <c r="G593" s="11"/>
      <c r="K593" s="11"/>
      <c r="L593" s="11"/>
    </row>
    <row r="594" spans="1:18" x14ac:dyDescent="0.25">
      <c r="A594" s="52" t="s">
        <v>642</v>
      </c>
      <c r="B594" s="6">
        <v>4</v>
      </c>
      <c r="C594" s="6" t="s">
        <v>522</v>
      </c>
      <c r="D594" s="6" t="s">
        <v>97</v>
      </c>
      <c r="E594" s="45" t="s">
        <v>509</v>
      </c>
      <c r="F594" s="12">
        <v>1</v>
      </c>
      <c r="G594" s="12">
        <v>1</v>
      </c>
      <c r="H594" s="16">
        <f>H590</f>
        <v>18</v>
      </c>
      <c r="I594" s="16">
        <f>VLOOKUP(C594,Resources!B:G,6,FALSE)</f>
        <v>170</v>
      </c>
      <c r="J594" s="16">
        <f>(H594/G594)*I594*F594</f>
        <v>3060</v>
      </c>
      <c r="K594" s="12">
        <f>IF(E594="M"," ",L594*F594)</f>
        <v>9</v>
      </c>
      <c r="L594" s="12">
        <f>IF(E594="M"," ",H594/G594)/(H590/9)</f>
        <v>9</v>
      </c>
      <c r="M594" s="16">
        <f>IF($E594="L",$J594,0)</f>
        <v>0</v>
      </c>
      <c r="N594" s="16">
        <f>IF($E594="M",$J594,0)</f>
        <v>0</v>
      </c>
      <c r="O594" s="16">
        <f>IF($E594="P",$J594,0)</f>
        <v>0</v>
      </c>
      <c r="P594" s="16">
        <f>IF($E594="S",$J594,0)</f>
        <v>3060</v>
      </c>
      <c r="Q594" s="16">
        <f>SUM(M594:P594)</f>
        <v>3060</v>
      </c>
      <c r="R594" s="250">
        <v>123</v>
      </c>
    </row>
    <row r="595" spans="1:18" x14ac:dyDescent="0.25">
      <c r="A595" s="52" t="s">
        <v>642</v>
      </c>
      <c r="B595" s="6">
        <v>5</v>
      </c>
      <c r="C595" s="6" t="s">
        <v>413</v>
      </c>
      <c r="D595" s="6" t="s">
        <v>26</v>
      </c>
      <c r="E595" s="45" t="s">
        <v>507</v>
      </c>
      <c r="F595" s="12">
        <v>1</v>
      </c>
      <c r="G595" s="12">
        <v>1</v>
      </c>
      <c r="H595" s="16">
        <f>H590/36</f>
        <v>0.5</v>
      </c>
      <c r="I595" s="16">
        <f>VLOOKUP(C595,Resources!B:G,6,FALSE)</f>
        <v>1600</v>
      </c>
      <c r="J595" s="16">
        <f>(H595/G595)*I595*F595</f>
        <v>800</v>
      </c>
      <c r="K595" s="12" t="str">
        <f>IF(E595="M"," ",L595*F595)</f>
        <v xml:space="preserve"> </v>
      </c>
      <c r="L595" s="12" t="str">
        <f>IF(E595="M"," ",H595/G595)</f>
        <v xml:space="preserve"> </v>
      </c>
      <c r="M595" s="16">
        <f>IF($E595="L",$J595,0)</f>
        <v>0</v>
      </c>
      <c r="N595" s="16">
        <f>IF($E595="M",$J595,0)</f>
        <v>800</v>
      </c>
      <c r="O595" s="16">
        <f>IF($E595="P",$J595,0)</f>
        <v>0</v>
      </c>
      <c r="P595" s="16">
        <f>IF($E595="S",$J595,0)</f>
        <v>0</v>
      </c>
      <c r="Q595" s="16">
        <f>SUM(M595:P595)</f>
        <v>800</v>
      </c>
      <c r="R595" s="250">
        <v>123</v>
      </c>
    </row>
    <row r="596" spans="1:18" x14ac:dyDescent="0.25">
      <c r="A596" s="49" t="s">
        <v>642</v>
      </c>
      <c r="F596" s="11"/>
      <c r="G596" s="11"/>
      <c r="K596" s="11"/>
      <c r="L596" s="11"/>
    </row>
    <row r="597" spans="1:18" ht="45" x14ac:dyDescent="0.25">
      <c r="A597" s="51">
        <v>107</v>
      </c>
      <c r="B597" s="3" t="s">
        <v>416</v>
      </c>
      <c r="C597" s="3" t="s">
        <v>638</v>
      </c>
      <c r="D597" s="4" t="s">
        <v>382</v>
      </c>
      <c r="E597" s="44"/>
      <c r="F597" s="10"/>
      <c r="G597" s="10"/>
      <c r="H597" s="48">
        <f>VLOOKUP($A597,'Model Inputs'!$A:$C,3,FALSE)</f>
        <v>1</v>
      </c>
      <c r="I597" s="15"/>
      <c r="J597" s="15">
        <f>SUBTOTAL(9,J598)</f>
        <v>4142.8500000000004</v>
      </c>
      <c r="K597" s="10"/>
      <c r="L597" s="15">
        <f t="shared" ref="L597" si="74">MAX(L598)</f>
        <v>0</v>
      </c>
      <c r="M597" s="15">
        <f>SUBTOTAL(9,M598)</f>
        <v>0</v>
      </c>
      <c r="N597" s="15">
        <f>SUBTOTAL(9,N598)</f>
        <v>0</v>
      </c>
      <c r="O597" s="15">
        <f>SUBTOTAL(9,O598)</f>
        <v>0</v>
      </c>
      <c r="P597" s="15">
        <f>SUBTOTAL(9,P598)</f>
        <v>4142.8500000000004</v>
      </c>
      <c r="Q597" s="15">
        <f>SUBTOTAL(9,Q598)</f>
        <v>4142.8500000000004</v>
      </c>
      <c r="R597" s="249"/>
    </row>
    <row r="598" spans="1:18" x14ac:dyDescent="0.25">
      <c r="A598" s="52" t="s">
        <v>642</v>
      </c>
      <c r="B598" s="6">
        <v>1</v>
      </c>
      <c r="C598" s="6" t="s">
        <v>383</v>
      </c>
      <c r="D598" s="6" t="s">
        <v>19</v>
      </c>
      <c r="E598" s="45" t="s">
        <v>509</v>
      </c>
      <c r="F598" s="12">
        <v>4142.8500000000004</v>
      </c>
      <c r="G598" s="12">
        <v>1</v>
      </c>
      <c r="H598" s="16">
        <f>H597</f>
        <v>1</v>
      </c>
      <c r="I598" s="16">
        <f>VLOOKUP(C598,Resources!B:G,6,FALSE)</f>
        <v>1</v>
      </c>
      <c r="J598" s="16">
        <f>(H598/G598)*I598*F598</f>
        <v>4142.8500000000004</v>
      </c>
      <c r="K598" s="12">
        <f>IF(E598="M"," ",L598*F598)</f>
        <v>0</v>
      </c>
      <c r="L598" s="12"/>
      <c r="M598" s="16">
        <f>IF($E598="L",$J598,0)</f>
        <v>0</v>
      </c>
      <c r="N598" s="16">
        <f>IF($E598="M",$J598,0)</f>
        <v>0</v>
      </c>
      <c r="O598" s="16">
        <f>IF($E598="P",$J598,0)</f>
        <v>0</v>
      </c>
      <c r="P598" s="16">
        <f>IF($E598="S",$J598,0)</f>
        <v>4142.8500000000004</v>
      </c>
      <c r="Q598" s="16">
        <f>SUM(M598:P598)</f>
        <v>4142.8500000000004</v>
      </c>
      <c r="R598" s="250">
        <v>121</v>
      </c>
    </row>
    <row r="599" spans="1:18" x14ac:dyDescent="0.25">
      <c r="A599" s="49" t="s">
        <v>642</v>
      </c>
      <c r="F599" s="11"/>
      <c r="G599" s="11"/>
      <c r="K599" s="11"/>
      <c r="L599" s="11"/>
    </row>
    <row r="600" spans="1:18" ht="30" x14ac:dyDescent="0.25">
      <c r="A600" s="51" t="s">
        <v>642</v>
      </c>
      <c r="B600" s="3" t="s">
        <v>418</v>
      </c>
      <c r="C600" s="3" t="s">
        <v>419</v>
      </c>
      <c r="D600" s="4"/>
      <c r="E600" s="44"/>
      <c r="F600" s="10"/>
      <c r="G600" s="10"/>
      <c r="H600" s="15"/>
      <c r="I600" s="15"/>
      <c r="J600" s="15"/>
      <c r="K600" s="10"/>
      <c r="L600" s="10"/>
      <c r="M600" s="15"/>
      <c r="N600" s="15"/>
      <c r="O600" s="15"/>
      <c r="P600" s="15"/>
      <c r="Q600" s="15"/>
      <c r="R600" s="249"/>
    </row>
    <row r="601" spans="1:18" ht="60" x14ac:dyDescent="0.25">
      <c r="A601" s="51">
        <v>108</v>
      </c>
      <c r="B601" s="3" t="s">
        <v>420</v>
      </c>
      <c r="C601" s="3" t="s">
        <v>639</v>
      </c>
      <c r="D601" s="4" t="s">
        <v>19</v>
      </c>
      <c r="E601" s="44"/>
      <c r="F601" s="10"/>
      <c r="G601" s="10"/>
      <c r="H601" s="48">
        <f>VLOOKUP($A601,'Model Inputs'!$A:$C,3,FALSE)</f>
        <v>1</v>
      </c>
      <c r="I601" s="15"/>
      <c r="J601" s="15">
        <f>SUBTOTAL(9,J602:J603)</f>
        <v>21670</v>
      </c>
      <c r="K601" s="10"/>
      <c r="L601" s="15">
        <f>ROUNDUP(MAX(L602:L603)/Workhrs,0)</f>
        <v>30</v>
      </c>
      <c r="M601" s="15">
        <f>SUBTOTAL(9,M602:M603)</f>
        <v>0</v>
      </c>
      <c r="N601" s="15">
        <f>SUBTOTAL(9,N602:N603)</f>
        <v>0</v>
      </c>
      <c r="O601" s="15">
        <f>SUBTOTAL(9,O602:O603)</f>
        <v>0</v>
      </c>
      <c r="P601" s="15">
        <f>SUBTOTAL(9,P602:P603)</f>
        <v>21670</v>
      </c>
      <c r="Q601" s="15">
        <f>SUBTOTAL(9,Q602:Q603)</f>
        <v>21670</v>
      </c>
      <c r="R601" s="249"/>
    </row>
    <row r="602" spans="1:18" x14ac:dyDescent="0.25">
      <c r="A602" s="52" t="s">
        <v>642</v>
      </c>
      <c r="B602" s="6">
        <v>1</v>
      </c>
      <c r="C602" s="6" t="s">
        <v>517</v>
      </c>
      <c r="D602" s="6" t="s">
        <v>54</v>
      </c>
      <c r="E602" s="45" t="s">
        <v>509</v>
      </c>
      <c r="F602" s="12">
        <v>1</v>
      </c>
      <c r="G602" s="12">
        <v>1</v>
      </c>
      <c r="H602" s="16">
        <f>H601</f>
        <v>1</v>
      </c>
      <c r="I602" s="16">
        <f>VLOOKUP(C602,Resources!B:G,6,FALSE)</f>
        <v>20530</v>
      </c>
      <c r="J602" s="16">
        <f>(H602/G602)*I602*F602</f>
        <v>20530</v>
      </c>
      <c r="K602" s="12">
        <f>IF(E602="M"," ",L602*F602)</f>
        <v>270</v>
      </c>
      <c r="L602" s="53">
        <f>IF(E602="M"," ",H602/G602)*6*5*9</f>
        <v>270</v>
      </c>
      <c r="M602" s="16">
        <f>IF($E602="L",$J602,0)</f>
        <v>0</v>
      </c>
      <c r="N602" s="16">
        <f>IF($E602="M",$J602,0)</f>
        <v>0</v>
      </c>
      <c r="O602" s="16">
        <f>IF($E602="P",$J602,0)</f>
        <v>0</v>
      </c>
      <c r="P602" s="16">
        <f>IF($E602="S",$J602,0)</f>
        <v>20530</v>
      </c>
      <c r="Q602" s="16">
        <f>SUM(M602:P602)</f>
        <v>20530</v>
      </c>
      <c r="R602" s="250">
        <v>131</v>
      </c>
    </row>
    <row r="603" spans="1:18" x14ac:dyDescent="0.25">
      <c r="A603" s="52" t="s">
        <v>642</v>
      </c>
      <c r="B603" s="6">
        <v>2</v>
      </c>
      <c r="C603" s="6" t="s">
        <v>374</v>
      </c>
      <c r="D603" s="6" t="s">
        <v>33</v>
      </c>
      <c r="E603" s="45" t="s">
        <v>509</v>
      </c>
      <c r="F603" s="12">
        <v>12</v>
      </c>
      <c r="G603" s="12">
        <v>1</v>
      </c>
      <c r="H603" s="16">
        <f>H601</f>
        <v>1</v>
      </c>
      <c r="I603" s="16">
        <f>VLOOKUP(C603,Resources!B:G,6,FALSE)</f>
        <v>95</v>
      </c>
      <c r="J603" s="16">
        <f>(H603/G603)*I603*F603</f>
        <v>1140</v>
      </c>
      <c r="K603" s="12">
        <f>IF(E603="M"," ",L603*F603)</f>
        <v>108</v>
      </c>
      <c r="L603" s="53">
        <f>IF(E603="M"," ",H603/G603)*9</f>
        <v>9</v>
      </c>
      <c r="M603" s="16">
        <f>IF($E603="L",$J603,0)</f>
        <v>0</v>
      </c>
      <c r="N603" s="16">
        <f>IF($E603="M",$J603,0)</f>
        <v>0</v>
      </c>
      <c r="O603" s="16">
        <f>IF($E603="P",$J603,0)</f>
        <v>0</v>
      </c>
      <c r="P603" s="16">
        <f>IF($E603="S",$J603,0)</f>
        <v>1140</v>
      </c>
      <c r="Q603" s="16">
        <f>SUM(M603:P603)</f>
        <v>1140</v>
      </c>
      <c r="R603" s="250">
        <v>131</v>
      </c>
    </row>
    <row r="604" spans="1:18" x14ac:dyDescent="0.25">
      <c r="A604" s="49" t="s">
        <v>642</v>
      </c>
      <c r="F604" s="11"/>
      <c r="G604" s="11"/>
      <c r="K604" s="11"/>
      <c r="L604" s="11"/>
    </row>
    <row r="605" spans="1:18" ht="60" x14ac:dyDescent="0.25">
      <c r="A605" s="51">
        <v>109</v>
      </c>
      <c r="B605" s="3" t="s">
        <v>422</v>
      </c>
      <c r="C605" s="3" t="s">
        <v>640</v>
      </c>
      <c r="D605" s="4" t="s">
        <v>382</v>
      </c>
      <c r="E605" s="44"/>
      <c r="F605" s="10"/>
      <c r="G605" s="10"/>
      <c r="H605" s="48">
        <f>VLOOKUP($A605,'Model Inputs'!$A:$C,3,FALSE)</f>
        <v>1</v>
      </c>
      <c r="I605" s="15"/>
      <c r="J605" s="15">
        <f>SUBTOTAL(9,J606)</f>
        <v>2704.55</v>
      </c>
      <c r="K605" s="10"/>
      <c r="L605" s="15">
        <f>ROUNDUP(MAX(L606)/Workhrs,0)</f>
        <v>1</v>
      </c>
      <c r="M605" s="15">
        <f>SUBTOTAL(9,M606)</f>
        <v>0</v>
      </c>
      <c r="N605" s="15">
        <f>SUBTOTAL(9,N606)</f>
        <v>0</v>
      </c>
      <c r="O605" s="15">
        <f>SUBTOTAL(9,O606)</f>
        <v>0</v>
      </c>
      <c r="P605" s="15">
        <f>SUBTOTAL(9,P606)</f>
        <v>2704.55</v>
      </c>
      <c r="Q605" s="15">
        <f>SUBTOTAL(9,Q606)</f>
        <v>2704.55</v>
      </c>
      <c r="R605" s="249"/>
    </row>
    <row r="606" spans="1:18" x14ac:dyDescent="0.25">
      <c r="A606" s="52" t="s">
        <v>642</v>
      </c>
      <c r="B606" s="6">
        <v>1</v>
      </c>
      <c r="C606" s="6" t="s">
        <v>383</v>
      </c>
      <c r="D606" s="6" t="s">
        <v>19</v>
      </c>
      <c r="E606" s="45" t="s">
        <v>509</v>
      </c>
      <c r="F606" s="12">
        <v>2704.55</v>
      </c>
      <c r="G606" s="12">
        <v>1</v>
      </c>
      <c r="H606" s="16">
        <f>H605</f>
        <v>1</v>
      </c>
      <c r="I606" s="16">
        <f>VLOOKUP(C606,Resources!B:G,6,FALSE)</f>
        <v>1</v>
      </c>
      <c r="J606" s="16">
        <f>(H606/G606)*I606*F606</f>
        <v>2704.55</v>
      </c>
      <c r="K606" s="12">
        <f>IF(E606="M"," ",L606*F606)</f>
        <v>24340.95</v>
      </c>
      <c r="L606" s="12">
        <f>IF(E606="M"," ",H606/G606)*9</f>
        <v>9</v>
      </c>
      <c r="M606" s="16">
        <f>IF($E606="L",$J606,0)</f>
        <v>0</v>
      </c>
      <c r="N606" s="16">
        <f>IF($E606="M",$J606,0)</f>
        <v>0</v>
      </c>
      <c r="O606" s="16">
        <f>IF($E606="P",$J606,0)</f>
        <v>0</v>
      </c>
      <c r="P606" s="16">
        <f>IF($E606="S",$J606,0)</f>
        <v>2704.55</v>
      </c>
      <c r="Q606" s="16">
        <f>SUM(M606:P606)</f>
        <v>2704.55</v>
      </c>
      <c r="R606" s="250">
        <v>121</v>
      </c>
    </row>
    <row r="607" spans="1:18" x14ac:dyDescent="0.25">
      <c r="A607" s="49" t="s">
        <v>642</v>
      </c>
      <c r="F607" s="11"/>
      <c r="G607" s="11"/>
      <c r="K607" s="11"/>
      <c r="L607" s="11"/>
    </row>
    <row r="608" spans="1:18" ht="75" x14ac:dyDescent="0.25">
      <c r="A608" s="51">
        <v>110</v>
      </c>
      <c r="B608" s="3" t="s">
        <v>424</v>
      </c>
      <c r="C608" s="3" t="s">
        <v>641</v>
      </c>
      <c r="D608" s="4" t="s">
        <v>19</v>
      </c>
      <c r="E608" s="44"/>
      <c r="F608" s="10"/>
      <c r="G608" s="10"/>
      <c r="H608" s="48">
        <f>VLOOKUP($A608,'Model Inputs'!$A:$C,3,FALSE)</f>
        <v>1</v>
      </c>
      <c r="I608" s="15"/>
      <c r="J608" s="15">
        <f>SUBTOTAL(9,J609)</f>
        <v>6515</v>
      </c>
      <c r="K608" s="10"/>
      <c r="L608" s="15">
        <f>ROUNDUP(MAX(L609)/Workhrs,0)</f>
        <v>40</v>
      </c>
      <c r="M608" s="15">
        <f>SUBTOTAL(9,M609)</f>
        <v>0</v>
      </c>
      <c r="N608" s="15">
        <f>SUBTOTAL(9,N609)</f>
        <v>6515</v>
      </c>
      <c r="O608" s="15">
        <f>SUBTOTAL(9,O609)</f>
        <v>0</v>
      </c>
      <c r="P608" s="15">
        <f>SUBTOTAL(9,P609)</f>
        <v>0</v>
      </c>
      <c r="Q608" s="15">
        <f>SUBTOTAL(9,Q609)</f>
        <v>6515</v>
      </c>
      <c r="R608" s="249"/>
    </row>
    <row r="609" spans="1:18" x14ac:dyDescent="0.25">
      <c r="A609" s="52" t="s">
        <v>642</v>
      </c>
      <c r="B609" s="6">
        <v>1</v>
      </c>
      <c r="C609" s="6" t="s">
        <v>514</v>
      </c>
      <c r="D609" s="6" t="s">
        <v>54</v>
      </c>
      <c r="E609" s="45" t="s">
        <v>507</v>
      </c>
      <c r="F609" s="12">
        <v>1</v>
      </c>
      <c r="G609" s="12">
        <v>1</v>
      </c>
      <c r="H609" s="16">
        <f>H608</f>
        <v>1</v>
      </c>
      <c r="I609" s="16">
        <f>VLOOKUP(C609,Resources!B:G,6,FALSE)</f>
        <v>6515</v>
      </c>
      <c r="J609" s="16">
        <f>(H609/G609)*I609*F609</f>
        <v>6515</v>
      </c>
      <c r="K609" s="12" t="str">
        <f>IF(E609="M"," ",L609*F609)</f>
        <v xml:space="preserve"> </v>
      </c>
      <c r="L609" s="53">
        <f>8*5*9</f>
        <v>360</v>
      </c>
      <c r="M609" s="16">
        <f>IF($E609="L",$J609,0)</f>
        <v>0</v>
      </c>
      <c r="N609" s="16">
        <f>IF($E609="M",$J609,0)</f>
        <v>6515</v>
      </c>
      <c r="O609" s="16">
        <f>IF($E609="P",$J609,0)</f>
        <v>0</v>
      </c>
      <c r="P609" s="16">
        <f>IF($E609="S",$J609,0)</f>
        <v>0</v>
      </c>
      <c r="Q609" s="16">
        <f>SUM(M609:P609)</f>
        <v>6515</v>
      </c>
      <c r="R609" s="250">
        <v>123</v>
      </c>
    </row>
    <row r="610" spans="1:18" x14ac:dyDescent="0.25">
      <c r="A610" s="49" t="s">
        <v>642</v>
      </c>
    </row>
    <row r="611" spans="1:18" x14ac:dyDescent="0.25">
      <c r="A611" s="49" t="s">
        <v>642</v>
      </c>
      <c r="C611" s="8" t="s">
        <v>442</v>
      </c>
    </row>
    <row r="612" spans="1:18" x14ac:dyDescent="0.25">
      <c r="A612" s="49" t="s">
        <v>642</v>
      </c>
      <c r="F612" s="5" t="s">
        <v>443</v>
      </c>
      <c r="G612" s="5" t="s">
        <v>444</v>
      </c>
      <c r="H612" s="17" t="s">
        <v>445</v>
      </c>
      <c r="I612" s="17" t="s">
        <v>446</v>
      </c>
      <c r="K612" s="17"/>
      <c r="L612" s="17"/>
    </row>
    <row r="613" spans="1:18" ht="60" x14ac:dyDescent="0.25">
      <c r="A613" s="51">
        <v>111</v>
      </c>
      <c r="B613" s="3" t="s">
        <v>426</v>
      </c>
      <c r="C613" s="3" t="s">
        <v>427</v>
      </c>
      <c r="D613" s="4" t="s">
        <v>19</v>
      </c>
      <c r="E613" s="44"/>
      <c r="F613" s="10"/>
      <c r="G613" s="10"/>
      <c r="H613" s="48">
        <f>VLOOKUP($A613,'Model Inputs'!$A:$C,3,FALSE)</f>
        <v>1</v>
      </c>
      <c r="I613" s="15"/>
      <c r="J613" s="15">
        <f>SUBTOTAL(9,J614)</f>
        <v>11420</v>
      </c>
      <c r="K613" s="10"/>
      <c r="L613" s="15">
        <f>ROUNDUP(MAX(L614)/Workhrs,0)</f>
        <v>1</v>
      </c>
      <c r="M613" s="15">
        <f>SUBTOTAL(9,M614)</f>
        <v>0</v>
      </c>
      <c r="N613" s="15">
        <f>SUBTOTAL(9,N614)</f>
        <v>0</v>
      </c>
      <c r="O613" s="15">
        <f>SUBTOTAL(9,O614)</f>
        <v>0</v>
      </c>
      <c r="P613" s="15">
        <f>SUBTOTAL(9,P614)</f>
        <v>11420</v>
      </c>
      <c r="Q613" s="15">
        <f>SUBTOTAL(9,Q614)</f>
        <v>11420</v>
      </c>
      <c r="R613" s="249"/>
    </row>
    <row r="614" spans="1:18" x14ac:dyDescent="0.25">
      <c r="A614" s="52" t="s">
        <v>642</v>
      </c>
      <c r="B614" s="6">
        <v>1</v>
      </c>
      <c r="C614" s="6" t="s">
        <v>78</v>
      </c>
      <c r="D614" s="6" t="s">
        <v>19</v>
      </c>
      <c r="E614" s="45" t="s">
        <v>509</v>
      </c>
      <c r="F614" s="12">
        <v>11420</v>
      </c>
      <c r="G614" s="12">
        <v>1</v>
      </c>
      <c r="H614" s="16">
        <f>H613</f>
        <v>1</v>
      </c>
      <c r="I614" s="16">
        <f>VLOOKUP(C614,Resources!B:G,6,FALSE)</f>
        <v>1</v>
      </c>
      <c r="J614" s="16">
        <f>(H614/G614)*I614*F614</f>
        <v>11420</v>
      </c>
      <c r="K614" s="12">
        <f>IF(E614="M"," ",L614*F614)</f>
        <v>102780</v>
      </c>
      <c r="L614" s="53">
        <f>IF(E614="M"," ",H614/G614)*9</f>
        <v>9</v>
      </c>
      <c r="M614" s="16">
        <f>IF($E614="L",$J614,0)</f>
        <v>0</v>
      </c>
      <c r="N614" s="16">
        <f>IF($E614="M",$J614,0)</f>
        <v>0</v>
      </c>
      <c r="O614" s="16">
        <f>IF($E614="P",$J614,0)</f>
        <v>0</v>
      </c>
      <c r="P614" s="16">
        <f>IF($E614="S",$J614,0)</f>
        <v>11420</v>
      </c>
      <c r="Q614" s="16">
        <f>SUM(M614:P614)</f>
        <v>11420</v>
      </c>
      <c r="R614" s="250">
        <v>103</v>
      </c>
    </row>
    <row r="615" spans="1:18" x14ac:dyDescent="0.25">
      <c r="A615" s="49" t="s">
        <v>642</v>
      </c>
      <c r="C615" s="5"/>
      <c r="F615" s="11"/>
      <c r="G615" s="11"/>
      <c r="K615" s="11"/>
      <c r="L615" s="11"/>
    </row>
    <row r="616" spans="1:18" ht="75" x14ac:dyDescent="0.25">
      <c r="A616" s="51">
        <v>112</v>
      </c>
      <c r="B616" s="3" t="s">
        <v>428</v>
      </c>
      <c r="C616" s="3" t="s">
        <v>429</v>
      </c>
      <c r="D616" s="4" t="s">
        <v>97</v>
      </c>
      <c r="E616" s="44"/>
      <c r="F616" s="10"/>
      <c r="G616" s="10">
        <v>3285</v>
      </c>
      <c r="H616" s="48">
        <f>VLOOKUP($A616,'Model Inputs'!$A:$C,3,FALSE)</f>
        <v>480</v>
      </c>
      <c r="I616" s="15">
        <v>7.7</v>
      </c>
      <c r="J616" s="15">
        <f>SUBTOTAL(9,J617:J618)</f>
        <v>3284.9896289467615</v>
      </c>
      <c r="K616" s="10"/>
      <c r="L616" s="15">
        <f>ROUNDUP(MAX(L617:L618)/Workhrs,0)</f>
        <v>4</v>
      </c>
      <c r="M616" s="15">
        <f>SUBTOTAL(9,M617:M618)</f>
        <v>2654.9896289467615</v>
      </c>
      <c r="N616" s="15">
        <f>SUBTOTAL(9,N617:N618)</f>
        <v>630</v>
      </c>
      <c r="O616" s="15">
        <f>SUBTOTAL(9,O617:O618)</f>
        <v>0</v>
      </c>
      <c r="P616" s="15">
        <f>SUBTOTAL(9,P617:P618)</f>
        <v>0</v>
      </c>
      <c r="Q616" s="15">
        <f>SUBTOTAL(9,Q617:Q618)</f>
        <v>3284.9896289467615</v>
      </c>
      <c r="R616" s="249"/>
    </row>
    <row r="617" spans="1:18" x14ac:dyDescent="0.25">
      <c r="A617" s="52" t="s">
        <v>642</v>
      </c>
      <c r="B617" s="6">
        <v>1</v>
      </c>
      <c r="C617" s="6" t="s">
        <v>117</v>
      </c>
      <c r="D617" s="6" t="s">
        <v>19</v>
      </c>
      <c r="E617" s="45" t="s">
        <v>507</v>
      </c>
      <c r="F617" s="12">
        <v>1</v>
      </c>
      <c r="G617" s="12">
        <v>1</v>
      </c>
      <c r="H617" s="16">
        <f>H616*1.25</f>
        <v>600</v>
      </c>
      <c r="I617" s="16">
        <f>VLOOKUP(C617,Resources!B:G,6,FALSE)</f>
        <v>1.05</v>
      </c>
      <c r="J617" s="16">
        <f>(H617/G617)*I617*F617</f>
        <v>630</v>
      </c>
      <c r="K617" s="12" t="str">
        <f>IF(E617="M"," ",L617*F617)</f>
        <v xml:space="preserve"> </v>
      </c>
      <c r="L617" s="12" t="str">
        <f>IF(E617="M"," ",H617/G617)</f>
        <v xml:space="preserve"> </v>
      </c>
      <c r="M617" s="16">
        <f>IF($E617="L",$J617,0)</f>
        <v>0</v>
      </c>
      <c r="N617" s="16">
        <f>IF($E617="M",$J617,0)</f>
        <v>630</v>
      </c>
      <c r="O617" s="16">
        <f>IF($E617="P",$J617,0)</f>
        <v>0</v>
      </c>
      <c r="P617" s="16">
        <f>IF($E617="S",$J617,0)</f>
        <v>0</v>
      </c>
      <c r="Q617" s="16">
        <f>SUM(M617:P617)</f>
        <v>630</v>
      </c>
      <c r="R617" s="250">
        <v>222</v>
      </c>
    </row>
    <row r="618" spans="1:18" x14ac:dyDescent="0.25">
      <c r="A618" s="52" t="s">
        <v>642</v>
      </c>
      <c r="B618" s="6">
        <v>1</v>
      </c>
      <c r="C618" s="6" t="s">
        <v>8</v>
      </c>
      <c r="D618" s="6" t="s">
        <v>19</v>
      </c>
      <c r="E618" s="45" t="s">
        <v>506</v>
      </c>
      <c r="F618" s="12">
        <v>2</v>
      </c>
      <c r="G618" s="12">
        <v>21.695</v>
      </c>
      <c r="H618" s="16">
        <f>H617</f>
        <v>600</v>
      </c>
      <c r="I618" s="16">
        <f>VLOOKUP(C618,Resources!B:G,6,FALSE)</f>
        <v>48</v>
      </c>
      <c r="J618" s="16">
        <f>(H618/G618)*I618*F618</f>
        <v>2654.9896289467615</v>
      </c>
      <c r="K618" s="12">
        <f>IF(E618="M"," ",L618*F618)</f>
        <v>55.31228393639087</v>
      </c>
      <c r="L618" s="12">
        <f>IF(E618="M"," ",H618/G618)</f>
        <v>27.656141968195435</v>
      </c>
      <c r="M618" s="16">
        <f>IF($E618="L",$J618,0)</f>
        <v>2654.9896289467615</v>
      </c>
      <c r="N618" s="16">
        <f>IF($E618="M",$J618,0)</f>
        <v>0</v>
      </c>
      <c r="O618" s="16">
        <f>IF($E618="P",$J618,0)</f>
        <v>0</v>
      </c>
      <c r="P618" s="16">
        <f>IF($E618="S",$J618,0)</f>
        <v>0</v>
      </c>
      <c r="Q618" s="16">
        <f>SUM(M618:P618)</f>
        <v>2654.9896289467615</v>
      </c>
      <c r="R618" s="250">
        <v>222</v>
      </c>
    </row>
    <row r="619" spans="1:18" x14ac:dyDescent="0.25">
      <c r="A619" s="49" t="s">
        <v>642</v>
      </c>
      <c r="C619" s="5"/>
      <c r="F619" s="11"/>
      <c r="G619" s="11"/>
      <c r="K619" s="11"/>
      <c r="L619" s="11"/>
    </row>
    <row r="620" spans="1:18" ht="60" x14ac:dyDescent="0.25">
      <c r="A620" s="51">
        <v>113</v>
      </c>
      <c r="B620" s="3" t="s">
        <v>430</v>
      </c>
      <c r="C620" s="3" t="s">
        <v>431</v>
      </c>
      <c r="D620" s="4" t="s">
        <v>97</v>
      </c>
      <c r="E620" s="44"/>
      <c r="F620" s="10"/>
      <c r="G620" s="10"/>
      <c r="H620" s="48">
        <f>VLOOKUP($A620,'Model Inputs'!$A:$C,3,FALSE)</f>
        <v>1492</v>
      </c>
      <c r="I620" s="15"/>
      <c r="J620" s="15">
        <f>SUBTOTAL(9,J622:J631)</f>
        <v>30170.048588203779</v>
      </c>
      <c r="K620" s="10"/>
      <c r="L620" s="15">
        <f>ROUNDUP(MAX(L622:L631)/Workhrs,0)</f>
        <v>1</v>
      </c>
      <c r="M620" s="15">
        <f>SUBTOTAL(9,M622:M631)</f>
        <v>88.087679999999978</v>
      </c>
      <c r="N620" s="15">
        <f>SUBTOTAL(9,N622:N631)</f>
        <v>28444.979999999996</v>
      </c>
      <c r="O620" s="15">
        <f>SUBTOTAL(9,O622:O631)</f>
        <v>1636.9809082037832</v>
      </c>
      <c r="P620" s="15">
        <f>SUBTOTAL(9,P622:P631)</f>
        <v>0</v>
      </c>
      <c r="Q620" s="15">
        <f>SUBTOTAL(9,Q622:Q631)</f>
        <v>30170.048588203779</v>
      </c>
      <c r="R620" s="249"/>
    </row>
    <row r="621" spans="1:18" x14ac:dyDescent="0.25">
      <c r="A621" s="49" t="s">
        <v>642</v>
      </c>
      <c r="B621" s="8"/>
      <c r="C621" s="8" t="s">
        <v>525</v>
      </c>
      <c r="F621" s="11"/>
      <c r="G621" s="11"/>
      <c r="K621" s="11"/>
      <c r="L621" s="17"/>
    </row>
    <row r="622" spans="1:18" x14ac:dyDescent="0.25">
      <c r="A622" s="52">
        <v>113.01</v>
      </c>
      <c r="B622" s="6">
        <v>1</v>
      </c>
      <c r="C622" s="6" t="s">
        <v>139</v>
      </c>
      <c r="D622" s="6" t="s">
        <v>33</v>
      </c>
      <c r="E622" s="45" t="s">
        <v>508</v>
      </c>
      <c r="F622" s="12">
        <v>1</v>
      </c>
      <c r="G622" s="48">
        <f>VLOOKUP($A622,'Model Inputs'!$A:$C,3,FALSE)</f>
        <v>106.78</v>
      </c>
      <c r="H622" s="16">
        <f>H620*0.3</f>
        <v>447.59999999999997</v>
      </c>
      <c r="I622" s="16">
        <f>VLOOKUP(C622,Resources!B:G,6,FALSE)</f>
        <v>125</v>
      </c>
      <c r="J622" s="16">
        <f>(H622/G622)*I622*F622</f>
        <v>523.97452706499337</v>
      </c>
      <c r="K622" s="12">
        <f>IF(E622="M"," ",L622*F622)</f>
        <v>4.1917962165199469</v>
      </c>
      <c r="L622" s="12">
        <f>IF(E622="M"," ",H622/G622)</f>
        <v>4.1917962165199469</v>
      </c>
      <c r="M622" s="16">
        <f>IF($E622="L",$J622,0)</f>
        <v>0</v>
      </c>
      <c r="N622" s="16">
        <f>IF($E622="M",$J622,0)</f>
        <v>0</v>
      </c>
      <c r="O622" s="16">
        <f>IF($E622="P",$J622,0)</f>
        <v>523.97452706499337</v>
      </c>
      <c r="P622" s="16">
        <f>IF($E622="S",$J622,0)</f>
        <v>0</v>
      </c>
      <c r="Q622" s="16">
        <f>SUM(M622:P622)</f>
        <v>523.97452706499337</v>
      </c>
      <c r="R622" s="250">
        <v>53</v>
      </c>
    </row>
    <row r="623" spans="1:18" x14ac:dyDescent="0.25">
      <c r="A623" s="52" t="s">
        <v>642</v>
      </c>
      <c r="B623" s="6">
        <v>2</v>
      </c>
      <c r="C623" s="6" t="s">
        <v>140</v>
      </c>
      <c r="D623" s="6" t="s">
        <v>33</v>
      </c>
      <c r="E623" s="45" t="s">
        <v>508</v>
      </c>
      <c r="F623" s="12">
        <v>2</v>
      </c>
      <c r="G623" s="12">
        <f>G622</f>
        <v>106.78</v>
      </c>
      <c r="H623" s="16">
        <f>H622</f>
        <v>447.59999999999997</v>
      </c>
      <c r="I623" s="16">
        <f>VLOOKUP(C623,Resources!B:G,6,FALSE)</f>
        <v>95</v>
      </c>
      <c r="J623" s="16">
        <f>(H623/G623)*I623*F623</f>
        <v>796.44128113878992</v>
      </c>
      <c r="K623" s="12">
        <f>IF(E623="M"," ",L623*F623)</f>
        <v>8.3835924330398939</v>
      </c>
      <c r="L623" s="12">
        <f>IF(E623="M"," ",H623/G623)</f>
        <v>4.1917962165199469</v>
      </c>
      <c r="M623" s="16">
        <f>IF($E623="L",$J623,0)</f>
        <v>0</v>
      </c>
      <c r="N623" s="16">
        <f>IF($E623="M",$J623,0)</f>
        <v>0</v>
      </c>
      <c r="O623" s="16">
        <f>IF($E623="P",$J623,0)</f>
        <v>796.44128113878992</v>
      </c>
      <c r="P623" s="16">
        <f>IF($E623="S",$J623,0)</f>
        <v>0</v>
      </c>
      <c r="Q623" s="16">
        <f>SUM(M623:P623)</f>
        <v>796.44128113878992</v>
      </c>
      <c r="R623" s="250">
        <v>53</v>
      </c>
    </row>
    <row r="624" spans="1:18" x14ac:dyDescent="0.25">
      <c r="A624" s="49" t="s">
        <v>642</v>
      </c>
      <c r="B624" s="5">
        <v>1</v>
      </c>
      <c r="C624" s="8" t="s">
        <v>27</v>
      </c>
      <c r="F624" s="11"/>
      <c r="G624" s="11"/>
      <c r="K624" s="11"/>
      <c r="L624" s="11"/>
    </row>
    <row r="625" spans="1:18" x14ac:dyDescent="0.25">
      <c r="A625" s="52" t="s">
        <v>642</v>
      </c>
      <c r="B625" s="6">
        <v>2</v>
      </c>
      <c r="C625" s="6" t="s">
        <v>150</v>
      </c>
      <c r="D625" s="6" t="s">
        <v>30</v>
      </c>
      <c r="E625" s="45" t="s">
        <v>507</v>
      </c>
      <c r="F625" s="12">
        <v>1</v>
      </c>
      <c r="G625" s="12">
        <v>1</v>
      </c>
      <c r="H625" s="16">
        <f>H622*2.05</f>
        <v>917.57999999999981</v>
      </c>
      <c r="I625" s="16">
        <f>VLOOKUP(C625,Resources!B:G,6,FALSE)</f>
        <v>31</v>
      </c>
      <c r="J625" s="16">
        <f>(H625/G625)*I625*F625</f>
        <v>28444.979999999996</v>
      </c>
      <c r="K625" s="12" t="str">
        <f>IF(E625="M"," ",L625*F625)</f>
        <v xml:space="preserve"> </v>
      </c>
      <c r="L625" s="12" t="str">
        <f>IF(E625="M"," ",H625/G625)</f>
        <v xml:space="preserve"> </v>
      </c>
      <c r="M625" s="16">
        <f>IF($E625="L",$J625,0)</f>
        <v>0</v>
      </c>
      <c r="N625" s="16">
        <f>IF($E625="M",$J625,0)</f>
        <v>28444.979999999996</v>
      </c>
      <c r="O625" s="16">
        <f>IF($E625="P",$J625,0)</f>
        <v>0</v>
      </c>
      <c r="P625" s="16">
        <f>IF($E625="S",$J625,0)</f>
        <v>0</v>
      </c>
      <c r="Q625" s="16">
        <f>SUM(M625:P625)</f>
        <v>28444.979999999996</v>
      </c>
      <c r="R625" s="250" t="s">
        <v>526</v>
      </c>
    </row>
    <row r="626" spans="1:18" x14ac:dyDescent="0.25">
      <c r="A626" s="49" t="s">
        <v>642</v>
      </c>
      <c r="B626" s="5">
        <v>4</v>
      </c>
      <c r="C626" s="8" t="s">
        <v>152</v>
      </c>
      <c r="F626" s="11"/>
      <c r="G626" s="11"/>
      <c r="K626" s="11"/>
      <c r="L626" s="11"/>
    </row>
    <row r="627" spans="1:18" x14ac:dyDescent="0.25">
      <c r="A627" s="52">
        <v>113.02</v>
      </c>
      <c r="B627" s="6">
        <v>5</v>
      </c>
      <c r="C627" s="6" t="s">
        <v>70</v>
      </c>
      <c r="D627" s="6" t="s">
        <v>33</v>
      </c>
      <c r="E627" s="45" t="s">
        <v>508</v>
      </c>
      <c r="F627" s="12">
        <v>1</v>
      </c>
      <c r="G627" s="48">
        <f>VLOOKUP($A627,'Model Inputs'!$A:$C,3,FALSE)</f>
        <v>1000</v>
      </c>
      <c r="H627" s="16">
        <f>H625</f>
        <v>917.57999999999981</v>
      </c>
      <c r="I627" s="16">
        <f>VLOOKUP(C627,Resources!B:G,6,FALSE)</f>
        <v>135</v>
      </c>
      <c r="J627" s="16">
        <f>(H627/G627)*I627*F627</f>
        <v>123.87329999999997</v>
      </c>
      <c r="K627" s="12">
        <f>IF(E627="M"," ",L627*F627)</f>
        <v>0.91757999999999984</v>
      </c>
      <c r="L627" s="12">
        <f>IF(E627="M"," ",H627/G627)</f>
        <v>0.91757999999999984</v>
      </c>
      <c r="M627" s="16">
        <f>IF($E627="L",$J627,0)</f>
        <v>0</v>
      </c>
      <c r="N627" s="16">
        <f>IF($E627="M",$J627,0)</f>
        <v>0</v>
      </c>
      <c r="O627" s="16">
        <f>IF($E627="P",$J627,0)</f>
        <v>123.87329999999997</v>
      </c>
      <c r="P627" s="16">
        <f>IF($E627="S",$J627,0)</f>
        <v>0</v>
      </c>
      <c r="Q627" s="16">
        <f>SUM(M627:P627)</f>
        <v>123.87329999999997</v>
      </c>
      <c r="R627" s="250">
        <v>62</v>
      </c>
    </row>
    <row r="628" spans="1:18" x14ac:dyDescent="0.25">
      <c r="A628" s="52" t="s">
        <v>642</v>
      </c>
      <c r="B628" s="6">
        <v>6</v>
      </c>
      <c r="C628" s="6" t="s">
        <v>136</v>
      </c>
      <c r="D628" s="6" t="s">
        <v>33</v>
      </c>
      <c r="E628" s="45" t="s">
        <v>508</v>
      </c>
      <c r="F628" s="12">
        <v>1</v>
      </c>
      <c r="G628" s="12">
        <f>G627</f>
        <v>1000</v>
      </c>
      <c r="H628" s="16">
        <f>H625</f>
        <v>917.57999999999981</v>
      </c>
      <c r="I628" s="16">
        <f>VLOOKUP(C628,Resources!B:G,6,FALSE)</f>
        <v>100</v>
      </c>
      <c r="J628" s="16">
        <f>(H628/G628)*I628*F628</f>
        <v>91.757999999999981</v>
      </c>
      <c r="K628" s="12">
        <f>IF(E628="M"," ",L628*F628)</f>
        <v>0.91757999999999984</v>
      </c>
      <c r="L628" s="12">
        <f>IF(E628="M"," ",H628/G628)</f>
        <v>0.91757999999999984</v>
      </c>
      <c r="M628" s="16">
        <f>IF($E628="L",$J628,0)</f>
        <v>0</v>
      </c>
      <c r="N628" s="16">
        <f>IF($E628="M",$J628,0)</f>
        <v>0</v>
      </c>
      <c r="O628" s="16">
        <f>IF($E628="P",$J628,0)</f>
        <v>91.757999999999981</v>
      </c>
      <c r="P628" s="16">
        <f>IF($E628="S",$J628,0)</f>
        <v>0</v>
      </c>
      <c r="Q628" s="16">
        <f>SUM(M628:P628)</f>
        <v>91.757999999999981</v>
      </c>
      <c r="R628" s="250">
        <v>62</v>
      </c>
    </row>
    <row r="629" spans="1:18" x14ac:dyDescent="0.25">
      <c r="A629" s="52" t="s">
        <v>642</v>
      </c>
      <c r="B629" s="6">
        <v>7</v>
      </c>
      <c r="C629" s="6" t="s">
        <v>145</v>
      </c>
      <c r="D629" s="6" t="s">
        <v>33</v>
      </c>
      <c r="E629" s="45" t="s">
        <v>508</v>
      </c>
      <c r="F629" s="12">
        <v>1</v>
      </c>
      <c r="G629" s="12">
        <f>G627</f>
        <v>1000</v>
      </c>
      <c r="H629" s="16">
        <f>H625</f>
        <v>917.57999999999981</v>
      </c>
      <c r="I629" s="16">
        <f>VLOOKUP(C629,Resources!B:G,6,FALSE)</f>
        <v>55</v>
      </c>
      <c r="J629" s="16">
        <f>(H629/G629)*I629*F629</f>
        <v>50.466899999999988</v>
      </c>
      <c r="K629" s="12">
        <f>IF(E629="M"," ",L629*F629)</f>
        <v>0.91757999999999984</v>
      </c>
      <c r="L629" s="12">
        <f>IF(E629="M"," ",H629/G629)</f>
        <v>0.91757999999999984</v>
      </c>
      <c r="M629" s="16">
        <f>IF($E629="L",$J629,0)</f>
        <v>0</v>
      </c>
      <c r="N629" s="16">
        <f>IF($E629="M",$J629,0)</f>
        <v>0</v>
      </c>
      <c r="O629" s="16">
        <f>IF($E629="P",$J629,0)</f>
        <v>50.466899999999988</v>
      </c>
      <c r="P629" s="16">
        <f>IF($E629="S",$J629,0)</f>
        <v>0</v>
      </c>
      <c r="Q629" s="16">
        <f>SUM(M629:P629)</f>
        <v>50.466899999999988</v>
      </c>
      <c r="R629" s="250">
        <v>62</v>
      </c>
    </row>
    <row r="630" spans="1:18" x14ac:dyDescent="0.25">
      <c r="A630" s="52" t="s">
        <v>642</v>
      </c>
      <c r="B630" s="6">
        <v>8</v>
      </c>
      <c r="C630" s="6" t="s">
        <v>153</v>
      </c>
      <c r="D630" s="6" t="s">
        <v>33</v>
      </c>
      <c r="E630" s="45" t="s">
        <v>508</v>
      </c>
      <c r="F630" s="12">
        <v>1</v>
      </c>
      <c r="G630" s="12">
        <f>G627</f>
        <v>1000</v>
      </c>
      <c r="H630" s="16">
        <f>H625</f>
        <v>917.57999999999981</v>
      </c>
      <c r="I630" s="16">
        <f>VLOOKUP(C630,Resources!B:G,6,FALSE)</f>
        <v>55</v>
      </c>
      <c r="J630" s="16">
        <f>(H630/G630)*I630*F630</f>
        <v>50.466899999999988</v>
      </c>
      <c r="K630" s="12">
        <f>IF(E630="M"," ",L630*F630)</f>
        <v>0.91757999999999984</v>
      </c>
      <c r="L630" s="12">
        <f>IF(E630="M"," ",H630/G630)</f>
        <v>0.91757999999999984</v>
      </c>
      <c r="M630" s="16">
        <f>IF($E630="L",$J630,0)</f>
        <v>0</v>
      </c>
      <c r="N630" s="16">
        <f>IF($E630="M",$J630,0)</f>
        <v>0</v>
      </c>
      <c r="O630" s="16">
        <f>IF($E630="P",$J630,0)</f>
        <v>50.466899999999988</v>
      </c>
      <c r="P630" s="16">
        <f>IF($E630="S",$J630,0)</f>
        <v>0</v>
      </c>
      <c r="Q630" s="16">
        <f>SUM(M630:P630)</f>
        <v>50.466899999999988</v>
      </c>
      <c r="R630" s="250">
        <v>62</v>
      </c>
    </row>
    <row r="631" spans="1:18" x14ac:dyDescent="0.25">
      <c r="A631" s="52" t="s">
        <v>642</v>
      </c>
      <c r="B631" s="6">
        <v>9</v>
      </c>
      <c r="C631" s="6" t="s">
        <v>8</v>
      </c>
      <c r="D631" s="6" t="s">
        <v>33</v>
      </c>
      <c r="E631" s="45" t="s">
        <v>506</v>
      </c>
      <c r="F631" s="12">
        <v>2</v>
      </c>
      <c r="G631" s="12">
        <f>G627</f>
        <v>1000</v>
      </c>
      <c r="H631" s="16">
        <f>H625</f>
        <v>917.57999999999981</v>
      </c>
      <c r="I631" s="16">
        <f>VLOOKUP(C631,Resources!B:G,6,FALSE)</f>
        <v>48</v>
      </c>
      <c r="J631" s="16">
        <f>(H631/G631)*I631*F631</f>
        <v>88.087679999999978</v>
      </c>
      <c r="K631" s="12">
        <f>IF(E631="M"," ",L631*F631)</f>
        <v>1.8351599999999997</v>
      </c>
      <c r="L631" s="12">
        <f>IF(E631="M"," ",H631/G631)</f>
        <v>0.91757999999999984</v>
      </c>
      <c r="M631" s="16">
        <f>IF($E631="L",$J631,0)</f>
        <v>88.087679999999978</v>
      </c>
      <c r="N631" s="16">
        <f>IF($E631="M",$J631,0)</f>
        <v>0</v>
      </c>
      <c r="O631" s="16">
        <f>IF($E631="P",$J631,0)</f>
        <v>0</v>
      </c>
      <c r="P631" s="16">
        <f>IF($E631="S",$J631,0)</f>
        <v>0</v>
      </c>
      <c r="Q631" s="16">
        <f>SUM(M631:P631)</f>
        <v>88.087679999999978</v>
      </c>
      <c r="R631" s="250">
        <v>62</v>
      </c>
    </row>
    <row r="632" spans="1:18" x14ac:dyDescent="0.25">
      <c r="A632" s="49" t="s">
        <v>642</v>
      </c>
      <c r="C632" s="5"/>
      <c r="F632" s="11"/>
      <c r="G632" s="11"/>
      <c r="K632" s="11"/>
      <c r="L632" s="11"/>
    </row>
    <row r="633" spans="1:18" ht="90" x14ac:dyDescent="0.25">
      <c r="A633" s="51">
        <v>114</v>
      </c>
      <c r="B633" s="3" t="s">
        <v>432</v>
      </c>
      <c r="C633" s="3" t="s">
        <v>433</v>
      </c>
      <c r="D633" s="4" t="s">
        <v>19</v>
      </c>
      <c r="E633" s="44"/>
      <c r="F633" s="10">
        <v>9500</v>
      </c>
      <c r="G633" s="10">
        <v>9500</v>
      </c>
      <c r="H633" s="48">
        <f>VLOOKUP($A633,'Model Inputs'!$A:$C,3,FALSE)</f>
        <v>27.14</v>
      </c>
      <c r="I633" s="15">
        <v>9500</v>
      </c>
      <c r="J633" s="15">
        <f>SUBTOTAL(9,J635:J635)</f>
        <v>9499</v>
      </c>
      <c r="K633" s="15"/>
      <c r="L633" s="15">
        <f>ROUNDUP(MAX(L635:L635)/Workhrs,0)</f>
        <v>4</v>
      </c>
      <c r="M633" s="15">
        <f>SUBTOTAL(9,M635:M635)</f>
        <v>0</v>
      </c>
      <c r="N633" s="15">
        <f>SUBTOTAL(9,N635:N635)</f>
        <v>0</v>
      </c>
      <c r="O633" s="15">
        <f>SUBTOTAL(9,O635:O635)</f>
        <v>0</v>
      </c>
      <c r="P633" s="15">
        <f>SUBTOTAL(9,P635:P635)</f>
        <v>9499</v>
      </c>
      <c r="Q633" s="15">
        <f>SUBTOTAL(9,Q635:Q635)</f>
        <v>9499</v>
      </c>
      <c r="R633" s="249"/>
    </row>
    <row r="634" spans="1:18" x14ac:dyDescent="0.25">
      <c r="A634" s="49" t="s">
        <v>642</v>
      </c>
      <c r="B634" s="5">
        <v>17</v>
      </c>
      <c r="C634" s="8" t="s">
        <v>124</v>
      </c>
      <c r="F634" s="11"/>
      <c r="G634" s="11"/>
      <c r="K634" s="11"/>
      <c r="L634" s="11"/>
    </row>
    <row r="635" spans="1:18" x14ac:dyDescent="0.25">
      <c r="A635" s="52" t="s">
        <v>642</v>
      </c>
      <c r="B635" s="6">
        <v>18</v>
      </c>
      <c r="C635" s="6" t="s">
        <v>523</v>
      </c>
      <c r="D635" s="6" t="s">
        <v>97</v>
      </c>
      <c r="E635" s="45" t="s">
        <v>509</v>
      </c>
      <c r="F635" s="12">
        <v>1</v>
      </c>
      <c r="G635" s="12">
        <v>1</v>
      </c>
      <c r="H635" s="16">
        <f>H633</f>
        <v>27.14</v>
      </c>
      <c r="I635" s="16">
        <f>VLOOKUP(C635,Resources!B:G,6,FALSE)</f>
        <v>350</v>
      </c>
      <c r="J635" s="16">
        <f>(H635/G635)*I635*F635</f>
        <v>9499</v>
      </c>
      <c r="K635" s="12">
        <f>IF(E635="M"," ",L635*F635)</f>
        <v>32.567999999999998</v>
      </c>
      <c r="L635" s="53">
        <f>IF(E635="M"," ",H635/G635)*9/7.5</f>
        <v>32.567999999999998</v>
      </c>
      <c r="M635" s="16">
        <f>IF($E635="L",$J635,0)</f>
        <v>0</v>
      </c>
      <c r="N635" s="16">
        <f>IF($E635="M",$J635,0)</f>
        <v>0</v>
      </c>
      <c r="O635" s="16">
        <f>IF($E635="P",$J635,0)</f>
        <v>0</v>
      </c>
      <c r="P635" s="16">
        <f>IF($E635="S",$J635,0)</f>
        <v>9499</v>
      </c>
      <c r="Q635" s="16">
        <f>SUM(M635:P635)</f>
        <v>9499</v>
      </c>
      <c r="R635" s="250">
        <v>132</v>
      </c>
    </row>
    <row r="636" spans="1:18" x14ac:dyDescent="0.25">
      <c r="A636" s="49" t="s">
        <v>642</v>
      </c>
      <c r="C636" s="5"/>
      <c r="F636" s="11"/>
      <c r="G636" s="11"/>
      <c r="K636" s="11"/>
      <c r="L636" s="11"/>
    </row>
    <row r="637" spans="1:18" ht="105" x14ac:dyDescent="0.25">
      <c r="A637" s="51">
        <v>115</v>
      </c>
      <c r="B637" s="3" t="s">
        <v>434</v>
      </c>
      <c r="C637" s="3" t="s">
        <v>435</v>
      </c>
      <c r="D637" s="4" t="s">
        <v>19</v>
      </c>
      <c r="E637" s="44"/>
      <c r="F637" s="10">
        <v>0</v>
      </c>
      <c r="G637" s="10">
        <v>0</v>
      </c>
      <c r="H637" s="48">
        <f>VLOOKUP($A637,'Model Inputs'!$A:$C,3,FALSE)</f>
        <v>1</v>
      </c>
      <c r="I637" s="15">
        <v>124941.42</v>
      </c>
      <c r="J637" s="15">
        <f>SUBTOTAL(9,J639:J654)</f>
        <v>93885.950000000012</v>
      </c>
      <c r="K637" s="10"/>
      <c r="L637" s="15">
        <f>ROUNDUP(MAX(L639:L654)/Workhrs,0)</f>
        <v>21</v>
      </c>
      <c r="M637" s="15">
        <f>SUBTOTAL(9,M639:M654)</f>
        <v>172.8</v>
      </c>
      <c r="N637" s="15">
        <f>SUBTOTAL(9,N639:N654)</f>
        <v>3087.6499999999996</v>
      </c>
      <c r="O637" s="15">
        <f>SUBTOTAL(9,O639:O654)</f>
        <v>171</v>
      </c>
      <c r="P637" s="15">
        <f>SUBTOTAL(9,P639:P654)</f>
        <v>90454.5</v>
      </c>
      <c r="Q637" s="15">
        <f>SUBTOTAL(9,Q639:Q654)</f>
        <v>93885.950000000012</v>
      </c>
      <c r="R637" s="249"/>
    </row>
    <row r="638" spans="1:18" x14ac:dyDescent="0.25">
      <c r="A638" s="49" t="s">
        <v>642</v>
      </c>
      <c r="B638" s="5">
        <v>17</v>
      </c>
      <c r="C638" s="8" t="s">
        <v>124</v>
      </c>
      <c r="F638" s="11"/>
      <c r="G638" s="11"/>
      <c r="K638" s="11"/>
      <c r="L638" s="11"/>
    </row>
    <row r="639" spans="1:18" x14ac:dyDescent="0.25">
      <c r="A639" s="52" t="s">
        <v>642</v>
      </c>
      <c r="B639" s="6">
        <v>18</v>
      </c>
      <c r="C639" s="6" t="s">
        <v>523</v>
      </c>
      <c r="D639" s="6" t="s">
        <v>97</v>
      </c>
      <c r="E639" s="45" t="s">
        <v>509</v>
      </c>
      <c r="F639" s="12">
        <v>1</v>
      </c>
      <c r="G639" s="12">
        <v>1</v>
      </c>
      <c r="H639" s="16">
        <f>H637*89.8*1.75</f>
        <v>157.15</v>
      </c>
      <c r="I639" s="16">
        <f>VLOOKUP(C639,Resources!B:G,6,FALSE)</f>
        <v>350</v>
      </c>
      <c r="J639" s="16">
        <f>(H639/G639)*I639*F639</f>
        <v>55002.5</v>
      </c>
      <c r="K639" s="12">
        <f>IF(E639="M"," ",L639*F639)</f>
        <v>188.58</v>
      </c>
      <c r="L639" s="53">
        <f>IF(E639="M"," ",H639/G639)*9/7.5</f>
        <v>188.58</v>
      </c>
      <c r="M639" s="16">
        <f>IF($E639="L",$J639,0)</f>
        <v>0</v>
      </c>
      <c r="N639" s="16">
        <f>IF($E639="M",$J639,0)</f>
        <v>0</v>
      </c>
      <c r="O639" s="16">
        <f>IF($E639="P",$J639,0)</f>
        <v>0</v>
      </c>
      <c r="P639" s="16">
        <f>IF($E639="S",$J639,0)</f>
        <v>55002.5</v>
      </c>
      <c r="Q639" s="16">
        <f>SUM(M639:P639)</f>
        <v>55002.5</v>
      </c>
      <c r="R639" s="250">
        <v>132</v>
      </c>
    </row>
    <row r="640" spans="1:18" x14ac:dyDescent="0.25">
      <c r="A640" s="49" t="s">
        <v>642</v>
      </c>
      <c r="C640" s="5" t="s">
        <v>527</v>
      </c>
      <c r="F640" s="11"/>
      <c r="G640" s="11"/>
      <c r="K640" s="11"/>
      <c r="L640" s="11"/>
    </row>
    <row r="641" spans="1:18" x14ac:dyDescent="0.25">
      <c r="A641" s="52" t="s">
        <v>642</v>
      </c>
      <c r="B641" s="6">
        <v>1</v>
      </c>
      <c r="C641" s="6" t="s">
        <v>383</v>
      </c>
      <c r="D641" s="6" t="s">
        <v>19</v>
      </c>
      <c r="E641" s="45" t="s">
        <v>509</v>
      </c>
      <c r="F641" s="12">
        <v>35420</v>
      </c>
      <c r="G641" s="12">
        <v>1</v>
      </c>
      <c r="H641" s="16">
        <f>H637</f>
        <v>1</v>
      </c>
      <c r="I641" s="16">
        <f>VLOOKUP(C641,Resources!B:G,6,FALSE)</f>
        <v>1</v>
      </c>
      <c r="J641" s="16">
        <f>(H641/G641)*I641*F641</f>
        <v>35420</v>
      </c>
      <c r="K641" s="12">
        <f>IF(E641="M"," ",L641*F641)</f>
        <v>35420</v>
      </c>
      <c r="L641" s="12">
        <f>IF(E641="M"," ",H641/G641)</f>
        <v>1</v>
      </c>
      <c r="M641" s="16">
        <f>IF($E641="L",$J641,0)</f>
        <v>0</v>
      </c>
      <c r="N641" s="16">
        <f>IF($E641="M",$J641,0)</f>
        <v>0</v>
      </c>
      <c r="O641" s="16">
        <f>IF($E641="P",$J641,0)</f>
        <v>0</v>
      </c>
      <c r="P641" s="16">
        <f>IF($E641="S",$J641,0)</f>
        <v>35420</v>
      </c>
      <c r="Q641" s="16">
        <f>SUM(M641:P641)</f>
        <v>35420</v>
      </c>
      <c r="R641" s="250">
        <v>123</v>
      </c>
    </row>
    <row r="642" spans="1:18" x14ac:dyDescent="0.25">
      <c r="A642" s="49" t="s">
        <v>642</v>
      </c>
      <c r="C642" s="5" t="s">
        <v>528</v>
      </c>
      <c r="F642" s="11"/>
      <c r="G642" s="11"/>
      <c r="K642" s="11"/>
      <c r="L642" s="11"/>
    </row>
    <row r="643" spans="1:18" x14ac:dyDescent="0.25">
      <c r="A643" s="49" t="s">
        <v>642</v>
      </c>
      <c r="B643" s="5">
        <v>1</v>
      </c>
      <c r="C643" s="8" t="s">
        <v>27</v>
      </c>
      <c r="F643" s="11"/>
      <c r="G643" s="11"/>
      <c r="K643" s="11"/>
      <c r="L643" s="11"/>
    </row>
    <row r="644" spans="1:18" x14ac:dyDescent="0.25">
      <c r="A644" s="52" t="s">
        <v>642</v>
      </c>
      <c r="B644" s="6">
        <v>2</v>
      </c>
      <c r="C644" s="6" t="s">
        <v>95</v>
      </c>
      <c r="D644" s="6" t="s">
        <v>61</v>
      </c>
      <c r="E644" s="45" t="s">
        <v>507</v>
      </c>
      <c r="F644" s="12">
        <v>1</v>
      </c>
      <c r="G644" s="12">
        <v>1</v>
      </c>
      <c r="H644" s="16">
        <f>H637*90*0.1*1.1</f>
        <v>9.9</v>
      </c>
      <c r="I644" s="16">
        <f>VLOOKUP(C644,Resources!B:G,6,FALSE)</f>
        <v>198</v>
      </c>
      <c r="J644" s="16">
        <f t="shared" ref="J644:J649" si="75">(H644/G644)*I644*F644</f>
        <v>1960.2</v>
      </c>
      <c r="K644" s="12" t="str">
        <f t="shared" ref="K644:K649" si="76">IF(E644="M"," ",L644*F644)</f>
        <v xml:space="preserve"> </v>
      </c>
      <c r="L644" s="12" t="str">
        <f t="shared" ref="L644:L649" si="77">IF(E644="M"," ",H644/G644)</f>
        <v xml:space="preserve"> </v>
      </c>
      <c r="M644" s="16">
        <f t="shared" ref="M644:M649" si="78">IF($E644="L",$J644,0)</f>
        <v>0</v>
      </c>
      <c r="N644" s="16">
        <f t="shared" ref="N644:N649" si="79">IF($E644="M",$J644,0)</f>
        <v>1960.2</v>
      </c>
      <c r="O644" s="16">
        <f t="shared" ref="O644:O649" si="80">IF($E644="P",$J644,0)</f>
        <v>0</v>
      </c>
      <c r="P644" s="16">
        <f t="shared" ref="P644:P649" si="81">IF($E644="S",$J644,0)</f>
        <v>0</v>
      </c>
      <c r="Q644" s="16">
        <f t="shared" ref="Q644:Q649" si="82">SUM(M644:P644)</f>
        <v>1960.2</v>
      </c>
      <c r="R644" s="250" t="s">
        <v>534</v>
      </c>
    </row>
    <row r="645" spans="1:18" x14ac:dyDescent="0.25">
      <c r="A645" s="52" t="s">
        <v>642</v>
      </c>
      <c r="B645" s="6">
        <v>3</v>
      </c>
      <c r="C645" s="6" t="s">
        <v>96</v>
      </c>
      <c r="D645" s="6" t="s">
        <v>97</v>
      </c>
      <c r="E645" s="45" t="s">
        <v>507</v>
      </c>
      <c r="F645" s="12">
        <v>1</v>
      </c>
      <c r="G645" s="12">
        <v>1</v>
      </c>
      <c r="H645" s="16">
        <f>H637*90*1.2</f>
        <v>108</v>
      </c>
      <c r="I645" s="16">
        <f>VLOOKUP(C645,Resources!B:G,6,FALSE)</f>
        <v>6.5</v>
      </c>
      <c r="J645" s="16">
        <f t="shared" si="75"/>
        <v>702</v>
      </c>
      <c r="K645" s="12" t="str">
        <f t="shared" si="76"/>
        <v xml:space="preserve"> </v>
      </c>
      <c r="L645" s="12" t="str">
        <f t="shared" si="77"/>
        <v xml:space="preserve"> </v>
      </c>
      <c r="M645" s="16">
        <f t="shared" si="78"/>
        <v>0</v>
      </c>
      <c r="N645" s="16">
        <f t="shared" si="79"/>
        <v>702</v>
      </c>
      <c r="O645" s="16">
        <f t="shared" si="80"/>
        <v>0</v>
      </c>
      <c r="P645" s="16">
        <f t="shared" si="81"/>
        <v>0</v>
      </c>
      <c r="Q645" s="16">
        <f t="shared" si="82"/>
        <v>702</v>
      </c>
      <c r="R645" s="250" t="s">
        <v>535</v>
      </c>
    </row>
    <row r="646" spans="1:18" x14ac:dyDescent="0.25">
      <c r="A646" s="52" t="s">
        <v>642</v>
      </c>
      <c r="B646" s="6">
        <v>4</v>
      </c>
      <c r="C646" s="6" t="s">
        <v>29</v>
      </c>
      <c r="D646" s="6" t="s">
        <v>30</v>
      </c>
      <c r="E646" s="45" t="s">
        <v>507</v>
      </c>
      <c r="F646" s="12">
        <v>1</v>
      </c>
      <c r="G646" s="12">
        <v>1</v>
      </c>
      <c r="H646" s="16">
        <f>H644</f>
        <v>9.9</v>
      </c>
      <c r="I646" s="16">
        <f>VLOOKUP(C646,Resources!B:G,6,FALSE)</f>
        <v>24</v>
      </c>
      <c r="J646" s="16">
        <f t="shared" si="75"/>
        <v>237.60000000000002</v>
      </c>
      <c r="K646" s="12" t="str">
        <f t="shared" si="76"/>
        <v xml:space="preserve"> </v>
      </c>
      <c r="L646" s="12" t="str">
        <f t="shared" si="77"/>
        <v xml:space="preserve"> </v>
      </c>
      <c r="M646" s="16">
        <f t="shared" si="78"/>
        <v>0</v>
      </c>
      <c r="N646" s="16">
        <f t="shared" si="79"/>
        <v>237.60000000000002</v>
      </c>
      <c r="O646" s="16">
        <f t="shared" si="80"/>
        <v>0</v>
      </c>
      <c r="P646" s="16">
        <f t="shared" si="81"/>
        <v>0</v>
      </c>
      <c r="Q646" s="16">
        <f t="shared" si="82"/>
        <v>237.60000000000002</v>
      </c>
      <c r="R646" s="250" t="s">
        <v>530</v>
      </c>
    </row>
    <row r="647" spans="1:18" x14ac:dyDescent="0.25">
      <c r="A647" s="52" t="s">
        <v>642</v>
      </c>
      <c r="B647" s="6">
        <v>5</v>
      </c>
      <c r="C647" s="6" t="s">
        <v>511</v>
      </c>
      <c r="D647" s="6" t="s">
        <v>97</v>
      </c>
      <c r="E647" s="45" t="s">
        <v>507</v>
      </c>
      <c r="F647" s="12">
        <v>1</v>
      </c>
      <c r="G647" s="12">
        <v>1</v>
      </c>
      <c r="H647" s="16">
        <f>H645</f>
        <v>108</v>
      </c>
      <c r="I647" s="16">
        <f>VLOOKUP(C647,Resources!B:G,6,FALSE)</f>
        <v>1.25</v>
      </c>
      <c r="J647" s="16">
        <f t="shared" si="75"/>
        <v>135</v>
      </c>
      <c r="K647" s="12" t="str">
        <f t="shared" si="76"/>
        <v xml:space="preserve"> </v>
      </c>
      <c r="L647" s="12" t="str">
        <f t="shared" si="77"/>
        <v xml:space="preserve"> </v>
      </c>
      <c r="M647" s="16">
        <f t="shared" si="78"/>
        <v>0</v>
      </c>
      <c r="N647" s="16">
        <f t="shared" si="79"/>
        <v>135</v>
      </c>
      <c r="O647" s="16">
        <f t="shared" si="80"/>
        <v>0</v>
      </c>
      <c r="P647" s="16">
        <f t="shared" si="81"/>
        <v>0</v>
      </c>
      <c r="Q647" s="16">
        <f t="shared" si="82"/>
        <v>135</v>
      </c>
      <c r="R647" s="250" t="s">
        <v>535</v>
      </c>
    </row>
    <row r="648" spans="1:18" x14ac:dyDescent="0.25">
      <c r="A648" s="52" t="s">
        <v>642</v>
      </c>
      <c r="B648" s="6">
        <v>6</v>
      </c>
      <c r="C648" s="6" t="s">
        <v>98</v>
      </c>
      <c r="D648" s="6" t="s">
        <v>99</v>
      </c>
      <c r="E648" s="45" t="s">
        <v>507</v>
      </c>
      <c r="F648" s="12">
        <v>1</v>
      </c>
      <c r="G648" s="12">
        <v>1</v>
      </c>
      <c r="H648" s="16">
        <f>H641</f>
        <v>1</v>
      </c>
      <c r="I648" s="16">
        <f>VLOOKUP(C648,Resources!B:G,6,FALSE)</f>
        <v>3.35</v>
      </c>
      <c r="J648" s="16">
        <f t="shared" si="75"/>
        <v>3.35</v>
      </c>
      <c r="K648" s="12" t="str">
        <f t="shared" si="76"/>
        <v xml:space="preserve"> </v>
      </c>
      <c r="L648" s="12" t="str">
        <f t="shared" si="77"/>
        <v xml:space="preserve"> </v>
      </c>
      <c r="M648" s="16">
        <f t="shared" si="78"/>
        <v>0</v>
      </c>
      <c r="N648" s="16">
        <f t="shared" si="79"/>
        <v>3.35</v>
      </c>
      <c r="O648" s="16">
        <f t="shared" si="80"/>
        <v>0</v>
      </c>
      <c r="P648" s="16">
        <f t="shared" si="81"/>
        <v>0</v>
      </c>
      <c r="Q648" s="16">
        <f t="shared" si="82"/>
        <v>3.35</v>
      </c>
      <c r="R648" s="250" t="s">
        <v>535</v>
      </c>
    </row>
    <row r="649" spans="1:18" x14ac:dyDescent="0.25">
      <c r="A649" s="52" t="s">
        <v>642</v>
      </c>
      <c r="B649" s="6">
        <v>7</v>
      </c>
      <c r="C649" s="6" t="s">
        <v>100</v>
      </c>
      <c r="D649" s="6" t="s">
        <v>19</v>
      </c>
      <c r="E649" s="45" t="s">
        <v>507</v>
      </c>
      <c r="F649" s="12">
        <v>1</v>
      </c>
      <c r="G649" s="12">
        <v>1</v>
      </c>
      <c r="H649" s="16">
        <v>5</v>
      </c>
      <c r="I649" s="16">
        <f>VLOOKUP(C649,Resources!B:G,6,FALSE)</f>
        <v>9.9</v>
      </c>
      <c r="J649" s="16">
        <f t="shared" si="75"/>
        <v>49.5</v>
      </c>
      <c r="K649" s="12" t="str">
        <f t="shared" si="76"/>
        <v xml:space="preserve"> </v>
      </c>
      <c r="L649" s="12" t="str">
        <f t="shared" si="77"/>
        <v xml:space="preserve"> </v>
      </c>
      <c r="M649" s="16">
        <f t="shared" si="78"/>
        <v>0</v>
      </c>
      <c r="N649" s="16">
        <f t="shared" si="79"/>
        <v>49.5</v>
      </c>
      <c r="O649" s="16">
        <f t="shared" si="80"/>
        <v>0</v>
      </c>
      <c r="P649" s="16">
        <f t="shared" si="81"/>
        <v>0</v>
      </c>
      <c r="Q649" s="16">
        <f t="shared" si="82"/>
        <v>49.5</v>
      </c>
      <c r="R649" s="250" t="s">
        <v>535</v>
      </c>
    </row>
    <row r="650" spans="1:18" x14ac:dyDescent="0.25">
      <c r="A650" s="49" t="s">
        <v>642</v>
      </c>
      <c r="B650" s="5">
        <v>8</v>
      </c>
      <c r="C650" s="8" t="s">
        <v>101</v>
      </c>
      <c r="F650" s="11"/>
      <c r="G650" s="11"/>
      <c r="K650" s="11"/>
      <c r="L650" s="11"/>
    </row>
    <row r="651" spans="1:18" x14ac:dyDescent="0.25">
      <c r="A651" s="52">
        <v>20.010000000000002</v>
      </c>
      <c r="B651" s="6">
        <v>9</v>
      </c>
      <c r="C651" s="6" t="s">
        <v>102</v>
      </c>
      <c r="D651" s="6" t="s">
        <v>33</v>
      </c>
      <c r="E651" s="45" t="s">
        <v>508</v>
      </c>
      <c r="F651" s="12">
        <v>1</v>
      </c>
      <c r="G651" s="48">
        <f>VLOOKUP($A651,'Model Inputs'!$A:$C,3,FALSE)</f>
        <v>50</v>
      </c>
      <c r="H651" s="16">
        <f>H637*90</f>
        <v>90</v>
      </c>
      <c r="I651" s="16">
        <f>VLOOKUP(C651,Resources!B:G,6,FALSE)</f>
        <v>95</v>
      </c>
      <c r="J651" s="16">
        <f>(H651/G651)*I651*F651</f>
        <v>171</v>
      </c>
      <c r="K651" s="12">
        <f>IF(E651="M"," ",L651*F651)</f>
        <v>1.8</v>
      </c>
      <c r="L651" s="12">
        <f>IF(E651="M"," ",H651/G651)</f>
        <v>1.8</v>
      </c>
      <c r="M651" s="16">
        <f>IF($E651="L",$J651,0)</f>
        <v>0</v>
      </c>
      <c r="N651" s="16">
        <f>IF($E651="M",$J651,0)</f>
        <v>0</v>
      </c>
      <c r="O651" s="16">
        <f>IF($E651="P",$J651,0)</f>
        <v>171</v>
      </c>
      <c r="P651" s="16">
        <f>IF($E651="S",$J651,0)</f>
        <v>0</v>
      </c>
      <c r="Q651" s="16">
        <f>SUM(M651:P651)</f>
        <v>171</v>
      </c>
      <c r="R651" s="250">
        <v>73</v>
      </c>
    </row>
    <row r="652" spans="1:18" x14ac:dyDescent="0.25">
      <c r="A652" s="52" t="s">
        <v>642</v>
      </c>
      <c r="B652" s="6">
        <v>10</v>
      </c>
      <c r="C652" s="6" t="s">
        <v>8</v>
      </c>
      <c r="D652" s="6" t="s">
        <v>33</v>
      </c>
      <c r="E652" s="45" t="s">
        <v>506</v>
      </c>
      <c r="F652" s="12">
        <v>2</v>
      </c>
      <c r="G652" s="12">
        <f>G651</f>
        <v>50</v>
      </c>
      <c r="H652" s="16">
        <f>H651</f>
        <v>90</v>
      </c>
      <c r="I652" s="16">
        <f>VLOOKUP(C652,Resources!B:G,6,FALSE)</f>
        <v>48</v>
      </c>
      <c r="J652" s="16">
        <f>(H652/G652)*I652*F652</f>
        <v>172.8</v>
      </c>
      <c r="K652" s="12">
        <f>IF(E652="M"," ",L652*F652)</f>
        <v>3.6</v>
      </c>
      <c r="L652" s="12">
        <f>IF(E652="M"," ",H652/G652)</f>
        <v>1.8</v>
      </c>
      <c r="M652" s="16">
        <f>IF($E652="L",$J652,0)</f>
        <v>172.8</v>
      </c>
      <c r="N652" s="16">
        <f>IF($E652="M",$J652,0)</f>
        <v>0</v>
      </c>
      <c r="O652" s="16">
        <f>IF($E652="P",$J652,0)</f>
        <v>0</v>
      </c>
      <c r="P652" s="16">
        <f>IF($E652="S",$J652,0)</f>
        <v>0</v>
      </c>
      <c r="Q652" s="16">
        <f>SUM(M652:P652)</f>
        <v>172.8</v>
      </c>
      <c r="R652" s="250">
        <v>73</v>
      </c>
    </row>
    <row r="653" spans="1:18" x14ac:dyDescent="0.25">
      <c r="A653" s="49" t="s">
        <v>642</v>
      </c>
      <c r="B653" s="5">
        <v>11</v>
      </c>
      <c r="C653" s="8" t="s">
        <v>103</v>
      </c>
      <c r="F653" s="11"/>
      <c r="G653" s="11"/>
      <c r="K653" s="11"/>
      <c r="L653" s="11"/>
    </row>
    <row r="654" spans="1:18" x14ac:dyDescent="0.25">
      <c r="A654" s="52" t="s">
        <v>642</v>
      </c>
      <c r="B654" s="6">
        <v>12</v>
      </c>
      <c r="C654" s="6" t="s">
        <v>104</v>
      </c>
      <c r="D654" s="6" t="s">
        <v>97</v>
      </c>
      <c r="E654" s="45" t="s">
        <v>509</v>
      </c>
      <c r="F654" s="12">
        <v>1</v>
      </c>
      <c r="G654" s="12">
        <v>1</v>
      </c>
      <c r="H654" s="16">
        <f>H641</f>
        <v>1</v>
      </c>
      <c r="I654" s="16">
        <f>VLOOKUP(C654,Resources!B:G,6,FALSE)</f>
        <v>32</v>
      </c>
      <c r="J654" s="16">
        <f>(H654/G654)*I654*F654</f>
        <v>32</v>
      </c>
      <c r="K654" s="12">
        <f>IF(E654="M"," ",L654*F654)</f>
        <v>1</v>
      </c>
      <c r="L654" s="12">
        <f>IF(E654="M"," ",H654/G654)</f>
        <v>1</v>
      </c>
      <c r="M654" s="16">
        <f>IF($E654="L",$J654,0)</f>
        <v>0</v>
      </c>
      <c r="N654" s="16">
        <f>IF($E654="M",$J654,0)</f>
        <v>0</v>
      </c>
      <c r="O654" s="16">
        <f>IF($E654="P",$J654,0)</f>
        <v>0</v>
      </c>
      <c r="P654" s="16">
        <f>IF($E654="S",$J654,0)</f>
        <v>32</v>
      </c>
      <c r="Q654" s="16">
        <f>SUM(M654:P654)</f>
        <v>32</v>
      </c>
      <c r="R654" s="250">
        <v>73</v>
      </c>
    </row>
    <row r="655" spans="1:18" x14ac:dyDescent="0.25">
      <c r="A655" s="49" t="s">
        <v>642</v>
      </c>
      <c r="C655" s="5"/>
      <c r="F655" s="11"/>
      <c r="G655" s="11"/>
      <c r="K655" s="11"/>
      <c r="L655" s="11"/>
    </row>
    <row r="656" spans="1:18" x14ac:dyDescent="0.25">
      <c r="A656" s="49" t="s">
        <v>642</v>
      </c>
      <c r="B656" s="8"/>
      <c r="C656" s="5"/>
      <c r="K656" s="17"/>
      <c r="L656" s="17"/>
    </row>
    <row r="657" spans="1:18" ht="60" x14ac:dyDescent="0.25">
      <c r="A657" s="51">
        <v>116</v>
      </c>
      <c r="B657" s="3" t="s">
        <v>436</v>
      </c>
      <c r="C657" s="3" t="s">
        <v>437</v>
      </c>
      <c r="D657" s="4" t="s">
        <v>19</v>
      </c>
      <c r="E657" s="44"/>
      <c r="F657" s="10"/>
      <c r="G657" s="10"/>
      <c r="H657" s="48">
        <f>VLOOKUP($A657,'Model Inputs'!$A:$C,3,FALSE)</f>
        <v>-1</v>
      </c>
      <c r="I657" s="15">
        <v>-33571.75</v>
      </c>
      <c r="J657" s="15">
        <f>SUBTOTAL(9,J658)</f>
        <v>-33571.75</v>
      </c>
      <c r="K657" s="10"/>
      <c r="L657" s="15">
        <v>0</v>
      </c>
      <c r="M657" s="15">
        <f>SUBTOTAL(9,M658)</f>
        <v>0</v>
      </c>
      <c r="N657" s="15">
        <f>SUBTOTAL(9,N658)</f>
        <v>0</v>
      </c>
      <c r="O657" s="15">
        <f>SUBTOTAL(9,O658)</f>
        <v>0</v>
      </c>
      <c r="P657" s="15">
        <f>SUBTOTAL(9,P658)</f>
        <v>-33571.75</v>
      </c>
      <c r="Q657" s="15">
        <f>SUBTOTAL(9,Q658)</f>
        <v>-33571.75</v>
      </c>
      <c r="R657" s="249"/>
    </row>
    <row r="658" spans="1:18" x14ac:dyDescent="0.25">
      <c r="A658" s="52" t="s">
        <v>642</v>
      </c>
      <c r="B658" s="6">
        <v>1</v>
      </c>
      <c r="C658" s="6" t="s">
        <v>78</v>
      </c>
      <c r="D658" s="6" t="s">
        <v>19</v>
      </c>
      <c r="E658" s="45" t="s">
        <v>509</v>
      </c>
      <c r="F658" s="12">
        <v>33571.75</v>
      </c>
      <c r="G658" s="12">
        <v>1</v>
      </c>
      <c r="H658" s="16">
        <f>H657</f>
        <v>-1</v>
      </c>
      <c r="I658" s="16">
        <f>VLOOKUP(C658,Resources!B:G,6,FALSE)</f>
        <v>1</v>
      </c>
      <c r="J658" s="16">
        <f>(H658/G658)*I658*F658</f>
        <v>-33571.75</v>
      </c>
      <c r="K658" s="12">
        <f>IF(E658="M"," ",L658*F658)</f>
        <v>-33571.75</v>
      </c>
      <c r="L658" s="12">
        <f>IF(E658="M"," ",H658/G658)</f>
        <v>-1</v>
      </c>
      <c r="M658" s="16">
        <f>IF($E658="L",$J658,0)</f>
        <v>0</v>
      </c>
      <c r="N658" s="16">
        <f>IF($E658="M",$J658,0)</f>
        <v>0</v>
      </c>
      <c r="O658" s="16">
        <f>IF($E658="P",$J658,0)</f>
        <v>0</v>
      </c>
      <c r="P658" s="16">
        <f>IF($E658="S",$J658,0)</f>
        <v>-33571.75</v>
      </c>
      <c r="Q658" s="16">
        <f>SUM(M658:P658)</f>
        <v>-33571.75</v>
      </c>
      <c r="R658" s="250">
        <v>103</v>
      </c>
    </row>
    <row r="659" spans="1:18" x14ac:dyDescent="0.25">
      <c r="A659" s="49" t="s">
        <v>642</v>
      </c>
      <c r="C659" s="5"/>
      <c r="F659" s="11"/>
      <c r="G659" s="11"/>
      <c r="K659" s="11"/>
      <c r="L659" s="11"/>
    </row>
    <row r="660" spans="1:18" ht="45" x14ac:dyDescent="0.25">
      <c r="A660" s="51">
        <v>117</v>
      </c>
      <c r="B660" s="3" t="s">
        <v>438</v>
      </c>
      <c r="C660" s="3" t="s">
        <v>439</v>
      </c>
      <c r="D660" s="4" t="s">
        <v>19</v>
      </c>
      <c r="E660" s="44"/>
      <c r="F660" s="10"/>
      <c r="G660" s="10"/>
      <c r="H660" s="48">
        <f>VLOOKUP($A660,'Model Inputs'!$A:$C,3,FALSE)</f>
        <v>71.430000000000007</v>
      </c>
      <c r="I660" s="15"/>
      <c r="J660" s="15">
        <f>SUBTOTAL(9,J662:J662)</f>
        <v>25000.500000000004</v>
      </c>
      <c r="K660" s="15"/>
      <c r="L660" s="15">
        <f>ROUNDUP(MAX(L662:L662)/Workhrs,0)</f>
        <v>10</v>
      </c>
      <c r="M660" s="15">
        <f>SUBTOTAL(9,M662:M662)</f>
        <v>0</v>
      </c>
      <c r="N660" s="15">
        <f>SUBTOTAL(9,N662:N662)</f>
        <v>0</v>
      </c>
      <c r="O660" s="15">
        <f>SUBTOTAL(9,O662:O662)</f>
        <v>0</v>
      </c>
      <c r="P660" s="15">
        <f>SUBTOTAL(9,P662:P662)</f>
        <v>25000.500000000004</v>
      </c>
      <c r="Q660" s="15">
        <f>SUBTOTAL(9,Q662:Q662)</f>
        <v>25000.500000000004</v>
      </c>
      <c r="R660" s="249"/>
    </row>
    <row r="661" spans="1:18" x14ac:dyDescent="0.25">
      <c r="A661" s="49" t="s">
        <v>642</v>
      </c>
      <c r="B661" s="5">
        <v>17</v>
      </c>
      <c r="C661" s="8" t="s">
        <v>124</v>
      </c>
      <c r="F661" s="11"/>
      <c r="G661" s="11"/>
      <c r="K661" s="11"/>
      <c r="L661" s="11"/>
    </row>
    <row r="662" spans="1:18" x14ac:dyDescent="0.25">
      <c r="A662" s="52" t="s">
        <v>642</v>
      </c>
      <c r="B662" s="6">
        <v>18</v>
      </c>
      <c r="C662" s="6" t="s">
        <v>523</v>
      </c>
      <c r="D662" s="6" t="s">
        <v>97</v>
      </c>
      <c r="E662" s="45" t="s">
        <v>509</v>
      </c>
      <c r="F662" s="12">
        <v>1</v>
      </c>
      <c r="G662" s="12">
        <v>1</v>
      </c>
      <c r="H662" s="16">
        <f>H660</f>
        <v>71.430000000000007</v>
      </c>
      <c r="I662" s="16">
        <f>VLOOKUP(C662,Resources!B:G,6,FALSE)</f>
        <v>350</v>
      </c>
      <c r="J662" s="16">
        <f>(H662/G662)*I662*F662</f>
        <v>25000.500000000004</v>
      </c>
      <c r="K662" s="12">
        <f>IF(E662="M"," ",L662*F662)</f>
        <v>85.716000000000022</v>
      </c>
      <c r="L662" s="53">
        <f>IF(E662="M"," ",H662/G662)*9/7.5</f>
        <v>85.716000000000022</v>
      </c>
      <c r="M662" s="16">
        <f>IF($E662="L",$J662,0)</f>
        <v>0</v>
      </c>
      <c r="N662" s="16">
        <f>IF($E662="M",$J662,0)</f>
        <v>0</v>
      </c>
      <c r="O662" s="16">
        <f>IF($E662="P",$J662,0)</f>
        <v>0</v>
      </c>
      <c r="P662" s="16">
        <f>IF($E662="S",$J662,0)</f>
        <v>25000.500000000004</v>
      </c>
      <c r="Q662" s="16">
        <f>SUM(M662:P662)</f>
        <v>25000.500000000004</v>
      </c>
      <c r="R662" s="250">
        <v>132</v>
      </c>
    </row>
    <row r="663" spans="1:18" x14ac:dyDescent="0.25">
      <c r="A663" s="49" t="s">
        <v>642</v>
      </c>
      <c r="C663" s="5"/>
      <c r="F663" s="11"/>
      <c r="G663" s="11"/>
      <c r="K663" s="11"/>
      <c r="L663" s="11"/>
    </row>
    <row r="664" spans="1:18" ht="45" x14ac:dyDescent="0.25">
      <c r="A664" s="51">
        <v>118</v>
      </c>
      <c r="B664" s="3" t="s">
        <v>440</v>
      </c>
      <c r="C664" s="3" t="s">
        <v>441</v>
      </c>
      <c r="D664" s="4" t="s">
        <v>19</v>
      </c>
      <c r="E664" s="44"/>
      <c r="F664" s="10"/>
      <c r="G664" s="10"/>
      <c r="H664" s="48">
        <f>VLOOKUP($A664,'Model Inputs'!$A:$C,3,FALSE)</f>
        <v>1</v>
      </c>
      <c r="I664" s="15">
        <v>1689.1</v>
      </c>
      <c r="J664" s="15">
        <f>SUBTOTAL(9,J665)</f>
        <v>950</v>
      </c>
      <c r="K664" s="10"/>
      <c r="L664" s="15">
        <f t="shared" ref="L664" si="83">MAX(L665)</f>
        <v>0</v>
      </c>
      <c r="M664" s="15">
        <f>SUBTOTAL(9,M665)</f>
        <v>0</v>
      </c>
      <c r="N664" s="15">
        <f>SUBTOTAL(9,N665)</f>
        <v>950</v>
      </c>
      <c r="O664" s="15">
        <f>SUBTOTAL(9,O665)</f>
        <v>0</v>
      </c>
      <c r="P664" s="15">
        <f>SUBTOTAL(9,P665)</f>
        <v>0</v>
      </c>
      <c r="Q664" s="15">
        <f>SUBTOTAL(9,Q665)</f>
        <v>950</v>
      </c>
      <c r="R664" s="249"/>
    </row>
    <row r="665" spans="1:18" x14ac:dyDescent="0.25">
      <c r="A665" s="52" t="s">
        <v>642</v>
      </c>
      <c r="B665" s="6">
        <v>1</v>
      </c>
      <c r="C665" s="6" t="s">
        <v>513</v>
      </c>
      <c r="D665" s="6" t="s">
        <v>52</v>
      </c>
      <c r="E665" s="45" t="s">
        <v>507</v>
      </c>
      <c r="F665" s="12">
        <v>1</v>
      </c>
      <c r="G665" s="12">
        <v>1</v>
      </c>
      <c r="H665" s="16">
        <f>H664</f>
        <v>1</v>
      </c>
      <c r="I665" s="16">
        <f>VLOOKUP(C665,Resources!B:G,6,FALSE)</f>
        <v>950</v>
      </c>
      <c r="J665" s="16">
        <f>(H665/G665)*I665*F665</f>
        <v>950</v>
      </c>
      <c r="K665" s="12" t="str">
        <f>IF(E665="M"," ",L665*F665)</f>
        <v xml:space="preserve"> </v>
      </c>
      <c r="L665" s="12" t="str">
        <f>IF(E665="M"," ",H665/G665)</f>
        <v xml:space="preserve"> </v>
      </c>
      <c r="M665" s="16">
        <f>IF($E665="L",$J665,0)</f>
        <v>0</v>
      </c>
      <c r="N665" s="16">
        <f>IF($E665="M",$J665,0)</f>
        <v>950</v>
      </c>
      <c r="O665" s="16">
        <f>IF($E665="P",$J665,0)</f>
        <v>0</v>
      </c>
      <c r="P665" s="16">
        <f>IF($E665="S",$J665,0)</f>
        <v>0</v>
      </c>
      <c r="Q665" s="16">
        <f>SUM(M665:P665)</f>
        <v>950</v>
      </c>
      <c r="R665" s="250" t="s">
        <v>544</v>
      </c>
    </row>
    <row r="666" spans="1:18" x14ac:dyDescent="0.25">
      <c r="A666" s="49" t="s">
        <v>642</v>
      </c>
    </row>
    <row r="667" spans="1:18" x14ac:dyDescent="0.25">
      <c r="A667" s="49" t="s">
        <v>642</v>
      </c>
    </row>
    <row r="668" spans="1:18" x14ac:dyDescent="0.25">
      <c r="A668" s="49" t="s">
        <v>642</v>
      </c>
    </row>
    <row r="669" spans="1:18" x14ac:dyDescent="0.25">
      <c r="A669" s="50" t="s">
        <v>642</v>
      </c>
      <c r="B669" s="1" t="s">
        <v>0</v>
      </c>
      <c r="C669" s="7" t="s">
        <v>1</v>
      </c>
      <c r="D669" s="1" t="s">
        <v>3</v>
      </c>
      <c r="E669" s="43"/>
      <c r="F669" s="2" t="s">
        <v>4</v>
      </c>
      <c r="G669" s="2" t="s">
        <v>5</v>
      </c>
      <c r="H669" s="13" t="s">
        <v>6</v>
      </c>
      <c r="I669" s="13" t="s">
        <v>7</v>
      </c>
      <c r="J669" s="13"/>
      <c r="K669" s="2"/>
      <c r="L669" s="2"/>
      <c r="M669" s="13" t="s">
        <v>8</v>
      </c>
      <c r="N669" s="13" t="s">
        <v>9</v>
      </c>
      <c r="O669" s="13" t="s">
        <v>10</v>
      </c>
      <c r="P669" s="13" t="s">
        <v>11</v>
      </c>
      <c r="Q669" s="13" t="s">
        <v>12</v>
      </c>
      <c r="R669" s="248"/>
    </row>
    <row r="670" spans="1:18" ht="30" x14ac:dyDescent="0.25">
      <c r="A670" s="51">
        <v>204</v>
      </c>
      <c r="B670" s="3" t="s">
        <v>452</v>
      </c>
      <c r="C670" s="3" t="s">
        <v>453</v>
      </c>
      <c r="D670" s="4"/>
      <c r="E670" s="44"/>
      <c r="F670" s="10"/>
      <c r="G670" s="10"/>
      <c r="H670" s="15">
        <v>1</v>
      </c>
      <c r="I670" s="15"/>
      <c r="J670" s="15">
        <f>SUBTOTAL(9,J671)</f>
        <v>66320</v>
      </c>
      <c r="K670" s="10"/>
      <c r="L670" s="15">
        <f t="shared" ref="L670" si="84">MAX(L671)</f>
        <v>16</v>
      </c>
      <c r="M670" s="15">
        <f>SUBTOTAL(9,M671)</f>
        <v>66320</v>
      </c>
      <c r="N670" s="15">
        <f>SUBTOTAL(9,N671)</f>
        <v>0</v>
      </c>
      <c r="O670" s="15">
        <f>SUBTOTAL(9,O671)</f>
        <v>0</v>
      </c>
      <c r="P670" s="15">
        <f>SUBTOTAL(9,P671)</f>
        <v>0</v>
      </c>
      <c r="Q670" s="15">
        <f>SUBTOTAL(9,Q671)</f>
        <v>66320</v>
      </c>
      <c r="R670" s="249"/>
    </row>
    <row r="671" spans="1:18" x14ac:dyDescent="0.25">
      <c r="A671" s="52" t="s">
        <v>642</v>
      </c>
      <c r="B671" s="6">
        <v>1</v>
      </c>
      <c r="C671" s="6" t="s">
        <v>454</v>
      </c>
      <c r="D671" s="6" t="s">
        <v>455</v>
      </c>
      <c r="E671" s="45" t="s">
        <v>506</v>
      </c>
      <c r="F671" s="12">
        <v>1</v>
      </c>
      <c r="G671" s="12">
        <v>1</v>
      </c>
      <c r="H671" s="16">
        <v>16</v>
      </c>
      <c r="I671" s="16">
        <f>VLOOKUP(C671,Resources!B:G,6,FALSE)</f>
        <v>4145</v>
      </c>
      <c r="J671" s="16">
        <f>(H671/G671)*I671*F671</f>
        <v>66320</v>
      </c>
      <c r="K671" s="12">
        <f>IF(E671="M"," ",L671*F671)</f>
        <v>16</v>
      </c>
      <c r="L671" s="12">
        <f>IF(E671="M"," ",H671/G671)</f>
        <v>16</v>
      </c>
      <c r="M671" s="16">
        <f>IF($E671="L",$J671,0)</f>
        <v>66320</v>
      </c>
      <c r="N671" s="16">
        <f>IF($E671="M",$J671,0)</f>
        <v>0</v>
      </c>
      <c r="O671" s="16">
        <f>IF($E671="P",$J671,0)</f>
        <v>0</v>
      </c>
      <c r="P671" s="16">
        <f>IF($E671="S",$J671,0)</f>
        <v>0</v>
      </c>
      <c r="Q671" s="16">
        <f>SUM(M671:P671)</f>
        <v>66320</v>
      </c>
      <c r="R671" s="250">
        <v>902</v>
      </c>
    </row>
    <row r="672" spans="1:18" x14ac:dyDescent="0.25">
      <c r="A672" s="49" t="s">
        <v>642</v>
      </c>
      <c r="B672"/>
      <c r="C672"/>
      <c r="D672"/>
      <c r="E672" s="20"/>
      <c r="F672" s="11"/>
      <c r="G672" s="11"/>
      <c r="K672" s="11"/>
      <c r="L672" s="11"/>
    </row>
    <row r="673" spans="1:18" ht="30" x14ac:dyDescent="0.25">
      <c r="A673" s="51">
        <v>205</v>
      </c>
      <c r="B673" s="3" t="s">
        <v>456</v>
      </c>
      <c r="C673" s="3" t="s">
        <v>457</v>
      </c>
      <c r="D673" s="4"/>
      <c r="E673" s="44"/>
      <c r="F673" s="10"/>
      <c r="G673" s="10"/>
      <c r="H673" s="15">
        <v>1</v>
      </c>
      <c r="I673" s="15"/>
      <c r="J673" s="15">
        <f>SUBTOTAL(9,J674)</f>
        <v>31200</v>
      </c>
      <c r="K673" s="10"/>
      <c r="L673" s="15">
        <f t="shared" ref="L673" si="85">MAX(L674)</f>
        <v>6</v>
      </c>
      <c r="M673" s="15">
        <f>SUBTOTAL(9,M674)</f>
        <v>31200</v>
      </c>
      <c r="N673" s="15">
        <f>SUBTOTAL(9,N674)</f>
        <v>0</v>
      </c>
      <c r="O673" s="15">
        <f>SUBTOTAL(9,O674)</f>
        <v>0</v>
      </c>
      <c r="P673" s="15">
        <f>SUBTOTAL(9,P674)</f>
        <v>0</v>
      </c>
      <c r="Q673" s="15">
        <f>SUBTOTAL(9,Q674)</f>
        <v>31200</v>
      </c>
      <c r="R673" s="249"/>
    </row>
    <row r="674" spans="1:18" x14ac:dyDescent="0.25">
      <c r="A674" s="52" t="s">
        <v>642</v>
      </c>
      <c r="B674" s="6">
        <v>1</v>
      </c>
      <c r="C674" s="6" t="s">
        <v>458</v>
      </c>
      <c r="D674" s="6" t="s">
        <v>455</v>
      </c>
      <c r="E674" s="45" t="s">
        <v>506</v>
      </c>
      <c r="F674" s="12">
        <v>1</v>
      </c>
      <c r="G674" s="12">
        <v>1</v>
      </c>
      <c r="H674" s="16">
        <v>6</v>
      </c>
      <c r="I674" s="16">
        <f>VLOOKUP(C674,Resources!B:G,6,FALSE)</f>
        <v>5200</v>
      </c>
      <c r="J674" s="16">
        <f>(H674/G674)*I674*F674</f>
        <v>31200</v>
      </c>
      <c r="K674" s="12">
        <f>IF(E674="M"," ",L674*F674)</f>
        <v>6</v>
      </c>
      <c r="L674" s="12">
        <f>IF(E674="M"," ",H674/G674)</f>
        <v>6</v>
      </c>
      <c r="M674" s="16">
        <f>IF($E674="L",$J674,0)</f>
        <v>31200</v>
      </c>
      <c r="N674" s="16">
        <f>IF($E674="M",$J674,0)</f>
        <v>0</v>
      </c>
      <c r="O674" s="16">
        <f>IF($E674="P",$J674,0)</f>
        <v>0</v>
      </c>
      <c r="P674" s="16">
        <f>IF($E674="S",$J674,0)</f>
        <v>0</v>
      </c>
      <c r="Q674" s="16">
        <f>SUM(M674:P674)</f>
        <v>31200</v>
      </c>
      <c r="R674" s="250">
        <v>901</v>
      </c>
    </row>
    <row r="675" spans="1:18" x14ac:dyDescent="0.25">
      <c r="A675" s="49" t="s">
        <v>642</v>
      </c>
      <c r="B675"/>
      <c r="C675"/>
      <c r="D675"/>
      <c r="E675" s="20"/>
      <c r="F675" s="11"/>
      <c r="G675" s="11"/>
      <c r="K675" s="11"/>
      <c r="L675" s="11"/>
    </row>
    <row r="676" spans="1:18" ht="30" x14ac:dyDescent="0.25">
      <c r="A676" s="51">
        <v>206</v>
      </c>
      <c r="B676" s="3" t="s">
        <v>459</v>
      </c>
      <c r="C676" s="3" t="s">
        <v>460</v>
      </c>
      <c r="D676" s="4"/>
      <c r="E676" s="44"/>
      <c r="F676" s="10"/>
      <c r="G676" s="10"/>
      <c r="H676" s="15">
        <v>1</v>
      </c>
      <c r="I676" s="15"/>
      <c r="J676" s="15">
        <f>SUBTOTAL(9,J677)</f>
        <v>30000</v>
      </c>
      <c r="K676" s="10"/>
      <c r="L676" s="15">
        <f t="shared" ref="L676" si="86">MAX(L677)</f>
        <v>8</v>
      </c>
      <c r="M676" s="15">
        <f>SUBTOTAL(9,M677)</f>
        <v>30000</v>
      </c>
      <c r="N676" s="15">
        <f>SUBTOTAL(9,N677)</f>
        <v>0</v>
      </c>
      <c r="O676" s="15">
        <f>SUBTOTAL(9,O677)</f>
        <v>0</v>
      </c>
      <c r="P676" s="15">
        <f>SUBTOTAL(9,P677)</f>
        <v>0</v>
      </c>
      <c r="Q676" s="15">
        <f>SUBTOTAL(9,Q677)</f>
        <v>30000</v>
      </c>
      <c r="R676" s="249"/>
    </row>
    <row r="677" spans="1:18" x14ac:dyDescent="0.25">
      <c r="A677" s="52" t="s">
        <v>642</v>
      </c>
      <c r="B677" s="6">
        <v>1</v>
      </c>
      <c r="C677" s="6" t="s">
        <v>461</v>
      </c>
      <c r="D677" s="6" t="s">
        <v>455</v>
      </c>
      <c r="E677" s="45" t="s">
        <v>506</v>
      </c>
      <c r="F677" s="12">
        <v>1</v>
      </c>
      <c r="G677" s="12">
        <v>1</v>
      </c>
      <c r="H677" s="16">
        <v>8</v>
      </c>
      <c r="I677" s="16">
        <f>VLOOKUP(C677,Resources!B:G,6,FALSE)</f>
        <v>3750</v>
      </c>
      <c r="J677" s="16">
        <f>(H677/G677)*I677*F677</f>
        <v>30000</v>
      </c>
      <c r="K677" s="12">
        <f>IF(E677="M"," ",L677*F677)</f>
        <v>8</v>
      </c>
      <c r="L677" s="12">
        <f>IF(E677="M"," ",H677/G677)</f>
        <v>8</v>
      </c>
      <c r="M677" s="16">
        <f>IF($E677="L",$J677,0)</f>
        <v>30000</v>
      </c>
      <c r="N677" s="16">
        <f>IF($E677="M",$J677,0)</f>
        <v>0</v>
      </c>
      <c r="O677" s="16">
        <f>IF($E677="P",$J677,0)</f>
        <v>0</v>
      </c>
      <c r="P677" s="16">
        <f>IF($E677="S",$J677,0)</f>
        <v>0</v>
      </c>
      <c r="Q677" s="16">
        <f>SUM(M677:P677)</f>
        <v>30000</v>
      </c>
      <c r="R677" s="250">
        <v>901</v>
      </c>
    </row>
    <row r="678" spans="1:18" x14ac:dyDescent="0.25">
      <c r="A678" s="49" t="s">
        <v>642</v>
      </c>
      <c r="B678"/>
      <c r="C678"/>
      <c r="D678"/>
      <c r="E678" s="20"/>
      <c r="F678" s="11"/>
      <c r="G678" s="11"/>
      <c r="K678" s="11"/>
      <c r="L678" s="11"/>
    </row>
    <row r="679" spans="1:18" ht="30" x14ac:dyDescent="0.25">
      <c r="A679" s="51">
        <v>207</v>
      </c>
      <c r="B679" s="3" t="s">
        <v>462</v>
      </c>
      <c r="C679" s="3" t="s">
        <v>463</v>
      </c>
      <c r="D679" s="4"/>
      <c r="E679" s="44"/>
      <c r="F679" s="10"/>
      <c r="G679" s="10"/>
      <c r="H679" s="15">
        <v>1</v>
      </c>
      <c r="I679" s="15"/>
      <c r="J679" s="15">
        <f>SUBTOTAL(9,J680)</f>
        <v>12800</v>
      </c>
      <c r="K679" s="10"/>
      <c r="L679" s="15">
        <f t="shared" ref="L679" si="87">MAX(L680)</f>
        <v>16</v>
      </c>
      <c r="M679" s="15">
        <f>SUBTOTAL(9,M680)</f>
        <v>0</v>
      </c>
      <c r="N679" s="15">
        <f>SUBTOTAL(9,N680)</f>
        <v>0</v>
      </c>
      <c r="O679" s="15">
        <f>SUBTOTAL(9,O680)</f>
        <v>12800</v>
      </c>
      <c r="P679" s="15">
        <f>SUBTOTAL(9,P680)</f>
        <v>0</v>
      </c>
      <c r="Q679" s="15">
        <f>SUBTOTAL(9,Q680)</f>
        <v>12800</v>
      </c>
      <c r="R679" s="249"/>
    </row>
    <row r="680" spans="1:18" x14ac:dyDescent="0.25">
      <c r="A680" s="52" t="s">
        <v>642</v>
      </c>
      <c r="B680" s="6">
        <v>1</v>
      </c>
      <c r="C680" s="6" t="s">
        <v>464</v>
      </c>
      <c r="D680" s="6" t="s">
        <v>455</v>
      </c>
      <c r="E680" s="45" t="s">
        <v>508</v>
      </c>
      <c r="F680" s="12">
        <v>1</v>
      </c>
      <c r="G680" s="12">
        <v>1</v>
      </c>
      <c r="H680" s="16">
        <v>16</v>
      </c>
      <c r="I680" s="16">
        <f>VLOOKUP(C680,Resources!B:G,6,FALSE)</f>
        <v>800</v>
      </c>
      <c r="J680" s="16">
        <f>(H680/G680)*I680*F680</f>
        <v>12800</v>
      </c>
      <c r="K680" s="12">
        <f>IF(E680="M"," ",L680*F680)</f>
        <v>16</v>
      </c>
      <c r="L680" s="12">
        <f>IF(E680="M"," ",H680/G680)</f>
        <v>16</v>
      </c>
      <c r="M680" s="16">
        <f>IF($E680="L",$J680,0)</f>
        <v>0</v>
      </c>
      <c r="N680" s="16">
        <f>IF($E680="M",$J680,0)</f>
        <v>0</v>
      </c>
      <c r="O680" s="16">
        <f>IF($E680="P",$J680,0)</f>
        <v>12800</v>
      </c>
      <c r="P680" s="16">
        <f>IF($E680="S",$J680,0)</f>
        <v>0</v>
      </c>
      <c r="Q680" s="16">
        <f>SUM(M680:P680)</f>
        <v>12800</v>
      </c>
      <c r="R680" s="250">
        <v>903</v>
      </c>
    </row>
    <row r="681" spans="1:18" x14ac:dyDescent="0.25">
      <c r="A681" s="49" t="s">
        <v>642</v>
      </c>
      <c r="B681"/>
      <c r="C681"/>
      <c r="D681"/>
      <c r="E681" s="20"/>
      <c r="F681" s="11"/>
      <c r="G681" s="11"/>
      <c r="K681" s="11"/>
      <c r="L681" s="11"/>
    </row>
    <row r="682" spans="1:18" ht="30" x14ac:dyDescent="0.25">
      <c r="A682" s="51">
        <v>208</v>
      </c>
      <c r="B682" s="3" t="s">
        <v>465</v>
      </c>
      <c r="C682" s="3" t="s">
        <v>466</v>
      </c>
      <c r="D682" s="4"/>
      <c r="E682" s="44"/>
      <c r="F682" s="10"/>
      <c r="G682" s="10"/>
      <c r="H682" s="15">
        <v>1</v>
      </c>
      <c r="I682" s="15"/>
      <c r="J682" s="15">
        <f>SUBTOTAL(9,J683)</f>
        <v>5000</v>
      </c>
      <c r="K682" s="10"/>
      <c r="L682" s="15">
        <f t="shared" ref="L682" si="88">MAX(L683)</f>
        <v>0</v>
      </c>
      <c r="M682" s="15">
        <f>SUBTOTAL(9,M683)</f>
        <v>0</v>
      </c>
      <c r="N682" s="15">
        <f>SUBTOTAL(9,N683)</f>
        <v>5000</v>
      </c>
      <c r="O682" s="15">
        <f>SUBTOTAL(9,O683)</f>
        <v>0</v>
      </c>
      <c r="P682" s="15">
        <f>SUBTOTAL(9,P683)</f>
        <v>0</v>
      </c>
      <c r="Q682" s="15">
        <f>SUBTOTAL(9,Q683)</f>
        <v>5000</v>
      </c>
      <c r="R682" s="249"/>
    </row>
    <row r="683" spans="1:18" x14ac:dyDescent="0.25">
      <c r="A683" s="52" t="s">
        <v>642</v>
      </c>
      <c r="B683" s="6">
        <v>1</v>
      </c>
      <c r="C683" s="6" t="s">
        <v>466</v>
      </c>
      <c r="D683" s="6" t="s">
        <v>19</v>
      </c>
      <c r="E683" s="45" t="s">
        <v>507</v>
      </c>
      <c r="F683" s="12">
        <v>5000</v>
      </c>
      <c r="G683" s="12">
        <v>1</v>
      </c>
      <c r="H683" s="16">
        <v>1</v>
      </c>
      <c r="I683" s="16">
        <f>VLOOKUP(C683,Resources!B:G,6,FALSE)</f>
        <v>1</v>
      </c>
      <c r="J683" s="16">
        <f>(H683/G683)*I683*F683</f>
        <v>5000</v>
      </c>
      <c r="K683" s="12" t="str">
        <f>IF(E683="M"," ",L683*F683)</f>
        <v xml:space="preserve"> </v>
      </c>
      <c r="L683" s="12" t="str">
        <f>IF(E683="M"," ",H683/G683)</f>
        <v xml:space="preserve"> </v>
      </c>
      <c r="M683" s="16">
        <f>IF($E683="L",$J683,0)</f>
        <v>0</v>
      </c>
      <c r="N683" s="16">
        <f>IF($E683="M",$J683,0)</f>
        <v>5000</v>
      </c>
      <c r="O683" s="16">
        <f>IF($E683="P",$J683,0)</f>
        <v>0</v>
      </c>
      <c r="P683" s="16">
        <f>IF($E683="S",$J683,0)</f>
        <v>0</v>
      </c>
      <c r="Q683" s="16">
        <f>SUM(M683:P683)</f>
        <v>5000</v>
      </c>
      <c r="R683" s="250">
        <v>905</v>
      </c>
    </row>
    <row r="684" spans="1:18" x14ac:dyDescent="0.25">
      <c r="A684" s="49" t="s">
        <v>642</v>
      </c>
      <c r="B684"/>
      <c r="C684"/>
      <c r="D684"/>
      <c r="E684" s="20"/>
      <c r="F684" s="11"/>
      <c r="G684" s="11"/>
      <c r="K684" s="11"/>
      <c r="L684" s="11"/>
    </row>
    <row r="685" spans="1:18" ht="30" x14ac:dyDescent="0.25">
      <c r="A685" s="51">
        <v>209</v>
      </c>
      <c r="B685" s="3" t="s">
        <v>467</v>
      </c>
      <c r="C685" s="3" t="s">
        <v>468</v>
      </c>
      <c r="D685" s="4"/>
      <c r="E685" s="44"/>
      <c r="F685" s="10"/>
      <c r="G685" s="10"/>
      <c r="H685" s="15">
        <v>1</v>
      </c>
      <c r="I685" s="15"/>
      <c r="J685" s="15">
        <f>SUBTOTAL(9,J686)</f>
        <v>11700</v>
      </c>
      <c r="K685" s="10"/>
      <c r="L685" s="15">
        <f t="shared" ref="L685" si="89">MAX(L686)</f>
        <v>11700</v>
      </c>
      <c r="M685" s="15">
        <f>SUBTOTAL(9,M686)</f>
        <v>0</v>
      </c>
      <c r="N685" s="15">
        <f>SUBTOTAL(9,N686)</f>
        <v>0</v>
      </c>
      <c r="O685" s="15">
        <f>SUBTOTAL(9,O686)</f>
        <v>0</v>
      </c>
      <c r="P685" s="15">
        <f>SUBTOTAL(9,P686)</f>
        <v>11700</v>
      </c>
      <c r="Q685" s="15">
        <f>SUBTOTAL(9,Q686)</f>
        <v>11700</v>
      </c>
      <c r="R685" s="249"/>
    </row>
    <row r="686" spans="1:18" x14ac:dyDescent="0.25">
      <c r="A686" s="52" t="s">
        <v>642</v>
      </c>
      <c r="B686" s="6">
        <v>1</v>
      </c>
      <c r="C686" s="6" t="s">
        <v>468</v>
      </c>
      <c r="D686" s="6" t="s">
        <v>19</v>
      </c>
      <c r="E686" s="45" t="s">
        <v>509</v>
      </c>
      <c r="F686" s="12">
        <v>1</v>
      </c>
      <c r="G686" s="12">
        <v>1</v>
      </c>
      <c r="H686" s="16">
        <v>11700</v>
      </c>
      <c r="I686" s="16">
        <f>VLOOKUP(C686,Resources!B:G,6,FALSE)</f>
        <v>1</v>
      </c>
      <c r="J686" s="16">
        <f>(H686/G686)*I686*F686</f>
        <v>11700</v>
      </c>
      <c r="K686" s="12">
        <f>IF(E686="M"," ",L686*F686)</f>
        <v>11700</v>
      </c>
      <c r="L686" s="12">
        <f>IF(E686="M"," ",H686/G686)</f>
        <v>11700</v>
      </c>
      <c r="M686" s="16">
        <f>IF($E686="L",$J686,0)</f>
        <v>0</v>
      </c>
      <c r="N686" s="16">
        <f>IF($E686="M",$J686,0)</f>
        <v>0</v>
      </c>
      <c r="O686" s="16">
        <f>IF($E686="P",$J686,0)</f>
        <v>0</v>
      </c>
      <c r="P686" s="16">
        <f>IF($E686="S",$J686,0)</f>
        <v>11700</v>
      </c>
      <c r="Q686" s="16">
        <f>SUM(M686:P686)</f>
        <v>11700</v>
      </c>
      <c r="R686" s="250">
        <v>904</v>
      </c>
    </row>
    <row r="687" spans="1:18" x14ac:dyDescent="0.25">
      <c r="A687" s="49" t="s">
        <v>642</v>
      </c>
      <c r="B687"/>
      <c r="C687"/>
      <c r="D687"/>
      <c r="E687" s="20"/>
      <c r="F687" s="11"/>
      <c r="G687" s="11"/>
      <c r="K687" s="11"/>
      <c r="L687" s="11"/>
    </row>
    <row r="688" spans="1:18" ht="30" x14ac:dyDescent="0.25">
      <c r="A688" s="51">
        <v>210</v>
      </c>
      <c r="B688" s="3" t="s">
        <v>469</v>
      </c>
      <c r="C688" s="3" t="s">
        <v>546</v>
      </c>
      <c r="D688" s="4"/>
      <c r="E688" s="44"/>
      <c r="F688" s="10"/>
      <c r="G688" s="10"/>
      <c r="H688" s="15">
        <v>1</v>
      </c>
      <c r="I688" s="15"/>
      <c r="J688" s="15">
        <f>SUBTOTAL(9,J689:J694)</f>
        <v>232675</v>
      </c>
      <c r="K688" s="10"/>
      <c r="L688" s="15">
        <f t="shared" ref="L688" si="90">MAX(L689:L694)</f>
        <v>600</v>
      </c>
      <c r="M688" s="15">
        <f>SUBTOTAL(9,M689:M694)</f>
        <v>0</v>
      </c>
      <c r="N688" s="15">
        <f>SUBTOTAL(9,N689:N694)</f>
        <v>0</v>
      </c>
      <c r="O688" s="15">
        <f>SUBTOTAL(9,O689:O694)</f>
        <v>232675</v>
      </c>
      <c r="P688" s="15">
        <f>SUBTOTAL(9,P689:P694)</f>
        <v>0</v>
      </c>
      <c r="Q688" s="15">
        <f>SUBTOTAL(9,Q689:Q694)</f>
        <v>232675</v>
      </c>
      <c r="R688" s="249"/>
    </row>
    <row r="689" spans="1:18" x14ac:dyDescent="0.25">
      <c r="A689" s="52"/>
      <c r="B689" s="6">
        <v>1</v>
      </c>
      <c r="C689" s="6" t="s">
        <v>70</v>
      </c>
      <c r="D689" s="6" t="s">
        <v>33</v>
      </c>
      <c r="E689" s="45" t="s">
        <v>508</v>
      </c>
      <c r="F689" s="12">
        <v>1</v>
      </c>
      <c r="G689" s="12">
        <v>1</v>
      </c>
      <c r="H689" s="16">
        <v>300</v>
      </c>
      <c r="I689" s="16">
        <f>VLOOKUP(C689,Resources!B:G,6,FALSE)</f>
        <v>135</v>
      </c>
      <c r="J689" s="16">
        <f t="shared" ref="J689:J694" si="91">(H689/G689)*I689*F689</f>
        <v>40500</v>
      </c>
      <c r="K689" s="12">
        <f t="shared" ref="K689:K694" si="92">IF(E689="M"," ",L689*F689)</f>
        <v>300</v>
      </c>
      <c r="L689" s="12">
        <f t="shared" ref="L689:L694" si="93">IF(E689="M"," ",H689/G689)</f>
        <v>300</v>
      </c>
      <c r="M689" s="16">
        <f t="shared" ref="M689:M694" si="94">IF($E689="L",$J689,0)</f>
        <v>0</v>
      </c>
      <c r="N689" s="16">
        <f t="shared" ref="N689:N694" si="95">IF($E689="M",$J689,0)</f>
        <v>0</v>
      </c>
      <c r="O689" s="16">
        <f t="shared" ref="O689:O694" si="96">IF($E689="P",$J689,0)</f>
        <v>40500</v>
      </c>
      <c r="P689" s="16">
        <f t="shared" ref="P689:P694" si="97">IF($E689="S",$J689,0)</f>
        <v>0</v>
      </c>
      <c r="Q689" s="16">
        <f t="shared" ref="Q689:Q694" si="98">SUM(M689:P689)</f>
        <v>40500</v>
      </c>
      <c r="R689" s="250"/>
    </row>
    <row r="690" spans="1:18" x14ac:dyDescent="0.25">
      <c r="A690" s="52"/>
      <c r="B690" s="6">
        <v>2</v>
      </c>
      <c r="C690" s="6" t="s">
        <v>32</v>
      </c>
      <c r="D690" s="6" t="s">
        <v>33</v>
      </c>
      <c r="E690" s="45" t="s">
        <v>508</v>
      </c>
      <c r="F690" s="12">
        <v>1</v>
      </c>
      <c r="G690" s="12">
        <v>1</v>
      </c>
      <c r="H690" s="16">
        <v>200</v>
      </c>
      <c r="I690" s="16">
        <f>VLOOKUP(C690,Resources!B:G,6,FALSE)</f>
        <v>125</v>
      </c>
      <c r="J690" s="16">
        <f t="shared" si="91"/>
        <v>25000</v>
      </c>
      <c r="K690" s="12">
        <f t="shared" si="92"/>
        <v>200</v>
      </c>
      <c r="L690" s="12">
        <f t="shared" si="93"/>
        <v>200</v>
      </c>
      <c r="M690" s="16">
        <f t="shared" si="94"/>
        <v>0</v>
      </c>
      <c r="N690" s="16">
        <f t="shared" si="95"/>
        <v>0</v>
      </c>
      <c r="O690" s="16">
        <f t="shared" si="96"/>
        <v>25000</v>
      </c>
      <c r="P690" s="16">
        <f t="shared" si="97"/>
        <v>0</v>
      </c>
      <c r="Q690" s="16">
        <f t="shared" si="98"/>
        <v>25000</v>
      </c>
      <c r="R690" s="250"/>
    </row>
    <row r="691" spans="1:18" x14ac:dyDescent="0.25">
      <c r="A691" s="52"/>
      <c r="B691" s="6">
        <v>3</v>
      </c>
      <c r="C691" s="6" t="s">
        <v>140</v>
      </c>
      <c r="D691" s="6" t="s">
        <v>33</v>
      </c>
      <c r="E691" s="45" t="s">
        <v>508</v>
      </c>
      <c r="F691" s="12">
        <v>1</v>
      </c>
      <c r="G691" s="12">
        <v>1</v>
      </c>
      <c r="H691" s="16">
        <v>525</v>
      </c>
      <c r="I691" s="16">
        <f>VLOOKUP(C691,Resources!B:G,6,FALSE)</f>
        <v>95</v>
      </c>
      <c r="J691" s="16">
        <f t="shared" si="91"/>
        <v>49875</v>
      </c>
      <c r="K691" s="12">
        <f t="shared" si="92"/>
        <v>525</v>
      </c>
      <c r="L691" s="12">
        <f t="shared" si="93"/>
        <v>525</v>
      </c>
      <c r="M691" s="16">
        <f t="shared" si="94"/>
        <v>0</v>
      </c>
      <c r="N691" s="16">
        <f t="shared" si="95"/>
        <v>0</v>
      </c>
      <c r="O691" s="16">
        <f t="shared" si="96"/>
        <v>49875</v>
      </c>
      <c r="P691" s="16">
        <f t="shared" si="97"/>
        <v>0</v>
      </c>
      <c r="Q691" s="16">
        <f t="shared" si="98"/>
        <v>49875</v>
      </c>
      <c r="R691" s="250"/>
    </row>
    <row r="692" spans="1:18" x14ac:dyDescent="0.25">
      <c r="A692" s="52"/>
      <c r="B692" s="6">
        <v>4</v>
      </c>
      <c r="C692" s="6" t="s">
        <v>136</v>
      </c>
      <c r="D692" s="6" t="s">
        <v>33</v>
      </c>
      <c r="E692" s="45" t="s">
        <v>508</v>
      </c>
      <c r="F692" s="12">
        <v>1</v>
      </c>
      <c r="G692" s="12">
        <v>1</v>
      </c>
      <c r="H692" s="16">
        <v>600</v>
      </c>
      <c r="I692" s="16">
        <f>VLOOKUP(C692,Resources!B:G,6,FALSE)</f>
        <v>100</v>
      </c>
      <c r="J692" s="16">
        <f t="shared" si="91"/>
        <v>60000</v>
      </c>
      <c r="K692" s="12">
        <f t="shared" si="92"/>
        <v>600</v>
      </c>
      <c r="L692" s="12">
        <f t="shared" si="93"/>
        <v>600</v>
      </c>
      <c r="M692" s="16">
        <f t="shared" si="94"/>
        <v>0</v>
      </c>
      <c r="N692" s="16">
        <f t="shared" si="95"/>
        <v>0</v>
      </c>
      <c r="O692" s="16">
        <f t="shared" si="96"/>
        <v>60000</v>
      </c>
      <c r="P692" s="16">
        <f t="shared" si="97"/>
        <v>0</v>
      </c>
      <c r="Q692" s="16">
        <f t="shared" si="98"/>
        <v>60000</v>
      </c>
      <c r="R692" s="250"/>
    </row>
    <row r="693" spans="1:18" x14ac:dyDescent="0.25">
      <c r="A693" s="52"/>
      <c r="B693" s="6">
        <v>5</v>
      </c>
      <c r="C693" s="6" t="s">
        <v>102</v>
      </c>
      <c r="D693" s="6" t="s">
        <v>33</v>
      </c>
      <c r="E693" s="45" t="s">
        <v>508</v>
      </c>
      <c r="F693" s="12">
        <v>1</v>
      </c>
      <c r="G693" s="12">
        <v>1</v>
      </c>
      <c r="H693" s="16">
        <v>300</v>
      </c>
      <c r="I693" s="16">
        <f>VLOOKUP(C693,Resources!B:G,6,FALSE)</f>
        <v>95</v>
      </c>
      <c r="J693" s="16">
        <f t="shared" si="91"/>
        <v>28500</v>
      </c>
      <c r="K693" s="12">
        <f t="shared" si="92"/>
        <v>300</v>
      </c>
      <c r="L693" s="12">
        <f t="shared" si="93"/>
        <v>300</v>
      </c>
      <c r="M693" s="16">
        <f t="shared" si="94"/>
        <v>0</v>
      </c>
      <c r="N693" s="16">
        <f t="shared" si="95"/>
        <v>0</v>
      </c>
      <c r="O693" s="16">
        <f t="shared" si="96"/>
        <v>28500</v>
      </c>
      <c r="P693" s="16">
        <f t="shared" si="97"/>
        <v>0</v>
      </c>
      <c r="Q693" s="16">
        <f t="shared" si="98"/>
        <v>28500</v>
      </c>
      <c r="R693" s="250"/>
    </row>
    <row r="694" spans="1:18" x14ac:dyDescent="0.25">
      <c r="A694" s="52"/>
      <c r="B694" s="6">
        <v>6</v>
      </c>
      <c r="C694" s="6" t="s">
        <v>8</v>
      </c>
      <c r="D694" s="6" t="s">
        <v>33</v>
      </c>
      <c r="E694" s="45" t="s">
        <v>508</v>
      </c>
      <c r="F694" s="12">
        <v>1</v>
      </c>
      <c r="G694" s="12">
        <v>1</v>
      </c>
      <c r="H694" s="16">
        <v>600</v>
      </c>
      <c r="I694" s="16">
        <f>VLOOKUP(C694,Resources!B:G,6,FALSE)</f>
        <v>48</v>
      </c>
      <c r="J694" s="16">
        <f t="shared" si="91"/>
        <v>28800</v>
      </c>
      <c r="K694" s="12">
        <f t="shared" si="92"/>
        <v>600</v>
      </c>
      <c r="L694" s="12">
        <f t="shared" si="93"/>
        <v>600</v>
      </c>
      <c r="M694" s="16">
        <f t="shared" si="94"/>
        <v>0</v>
      </c>
      <c r="N694" s="16">
        <f t="shared" si="95"/>
        <v>0</v>
      </c>
      <c r="O694" s="16">
        <f t="shared" si="96"/>
        <v>28800</v>
      </c>
      <c r="P694" s="16">
        <f t="shared" si="97"/>
        <v>0</v>
      </c>
      <c r="Q694" s="16">
        <f t="shared" si="98"/>
        <v>28800</v>
      </c>
      <c r="R694" s="250"/>
    </row>
    <row r="695" spans="1:18" x14ac:dyDescent="0.25">
      <c r="B695"/>
      <c r="C695" s="5"/>
      <c r="E695" s="47"/>
      <c r="F695" s="11"/>
      <c r="G695" s="11"/>
      <c r="K695" s="14"/>
      <c r="L695" s="14"/>
    </row>
  </sheetData>
  <sortState xmlns:xlrd2="http://schemas.microsoft.com/office/spreadsheetml/2017/richdata2" ref="Y3:Y707">
    <sortCondition ref="Y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8"/>
  <sheetViews>
    <sheetView topLeftCell="A66" zoomScale="85" zoomScaleNormal="85" workbookViewId="0">
      <selection activeCell="I84" sqref="I84"/>
    </sheetView>
  </sheetViews>
  <sheetFormatPr defaultColWidth="37.140625" defaultRowHeight="15" x14ac:dyDescent="0.25"/>
  <cols>
    <col min="1" max="1" width="12.28515625" customWidth="1"/>
    <col min="2" max="2" width="29.5703125" customWidth="1"/>
    <col min="3" max="3" width="30.140625" customWidth="1"/>
    <col min="4" max="4" width="10.140625" style="20" customWidth="1"/>
    <col min="5" max="5" width="10" style="20" customWidth="1"/>
    <col min="6" max="6" width="12.5703125" style="20" customWidth="1"/>
    <col min="7" max="7" width="13.28515625" style="40" customWidth="1"/>
    <col min="8" max="8" width="9.5703125" customWidth="1"/>
  </cols>
  <sheetData>
    <row r="1" spans="1:8" ht="15.75" thickBot="1" x14ac:dyDescent="0.3"/>
    <row r="2" spans="1:8" ht="15.75" thickBot="1" x14ac:dyDescent="0.3">
      <c r="A2" s="104"/>
      <c r="B2" s="105" t="s">
        <v>2</v>
      </c>
      <c r="C2" s="106" t="s">
        <v>471</v>
      </c>
      <c r="D2" s="107" t="s">
        <v>447</v>
      </c>
      <c r="E2" s="108" t="s">
        <v>3</v>
      </c>
      <c r="F2" s="108" t="s">
        <v>472</v>
      </c>
      <c r="G2" s="109" t="s">
        <v>504</v>
      </c>
      <c r="H2" s="110" t="s">
        <v>505</v>
      </c>
    </row>
    <row r="3" spans="1:8" ht="15" customHeight="1" x14ac:dyDescent="0.25">
      <c r="A3" s="257" t="s">
        <v>728</v>
      </c>
      <c r="B3" s="111" t="s">
        <v>8</v>
      </c>
      <c r="C3" s="112" t="s">
        <v>8</v>
      </c>
      <c r="D3" s="113" t="s">
        <v>506</v>
      </c>
      <c r="E3" s="114" t="s">
        <v>33</v>
      </c>
      <c r="F3" s="114" t="s">
        <v>473</v>
      </c>
      <c r="G3" s="115">
        <v>48</v>
      </c>
      <c r="H3" s="116"/>
    </row>
    <row r="4" spans="1:8" x14ac:dyDescent="0.25">
      <c r="A4" s="258"/>
      <c r="B4" s="21" t="s">
        <v>184</v>
      </c>
      <c r="C4" s="22"/>
      <c r="D4" s="23" t="s">
        <v>506</v>
      </c>
      <c r="E4" s="36" t="s">
        <v>33</v>
      </c>
      <c r="F4" s="36" t="s">
        <v>473</v>
      </c>
      <c r="G4" s="24">
        <v>48</v>
      </c>
      <c r="H4" s="91"/>
    </row>
    <row r="5" spans="1:8" x14ac:dyDescent="0.25">
      <c r="A5" s="258"/>
      <c r="B5" s="21" t="s">
        <v>461</v>
      </c>
      <c r="C5" s="22" t="s">
        <v>474</v>
      </c>
      <c r="D5" s="23" t="s">
        <v>506</v>
      </c>
      <c r="E5" s="36" t="s">
        <v>455</v>
      </c>
      <c r="F5" s="36" t="s">
        <v>473</v>
      </c>
      <c r="G5" s="24">
        <v>3750</v>
      </c>
      <c r="H5" s="92"/>
    </row>
    <row r="6" spans="1:8" x14ac:dyDescent="0.25">
      <c r="A6" s="258"/>
      <c r="B6" s="21" t="s">
        <v>458</v>
      </c>
      <c r="C6" s="22" t="s">
        <v>475</v>
      </c>
      <c r="D6" s="23" t="s">
        <v>506</v>
      </c>
      <c r="E6" s="36" t="s">
        <v>455</v>
      </c>
      <c r="F6" s="36" t="s">
        <v>473</v>
      </c>
      <c r="G6" s="24">
        <v>5200</v>
      </c>
      <c r="H6" s="92"/>
    </row>
    <row r="7" spans="1:8" ht="15.75" thickBot="1" x14ac:dyDescent="0.3">
      <c r="A7" s="259"/>
      <c r="B7" s="117" t="s">
        <v>454</v>
      </c>
      <c r="C7" s="118" t="s">
        <v>454</v>
      </c>
      <c r="D7" s="119" t="s">
        <v>506</v>
      </c>
      <c r="E7" s="120" t="s">
        <v>455</v>
      </c>
      <c r="F7" s="120" t="s">
        <v>473</v>
      </c>
      <c r="G7" s="121">
        <v>4145</v>
      </c>
      <c r="H7" s="122"/>
    </row>
    <row r="8" spans="1:8" x14ac:dyDescent="0.25">
      <c r="A8" s="260" t="s">
        <v>729</v>
      </c>
      <c r="B8" s="123" t="s">
        <v>327</v>
      </c>
      <c r="C8" s="124"/>
      <c r="D8" s="125" t="s">
        <v>507</v>
      </c>
      <c r="E8" s="126" t="s">
        <v>26</v>
      </c>
      <c r="F8" s="126" t="s">
        <v>473</v>
      </c>
      <c r="G8" s="127">
        <v>4.32</v>
      </c>
      <c r="H8" s="128"/>
    </row>
    <row r="9" spans="1:8" x14ac:dyDescent="0.25">
      <c r="A9" s="261"/>
      <c r="B9" s="25" t="s">
        <v>510</v>
      </c>
      <c r="C9" s="26"/>
      <c r="D9" s="27" t="s">
        <v>507</v>
      </c>
      <c r="E9" s="37" t="s">
        <v>26</v>
      </c>
      <c r="F9" s="37" t="s">
        <v>473</v>
      </c>
      <c r="G9" s="28">
        <v>55</v>
      </c>
      <c r="H9" s="93"/>
    </row>
    <row r="10" spans="1:8" x14ac:dyDescent="0.25">
      <c r="A10" s="261"/>
      <c r="B10" s="25" t="s">
        <v>28</v>
      </c>
      <c r="C10" s="26"/>
      <c r="D10" s="27" t="s">
        <v>507</v>
      </c>
      <c r="E10" s="37" t="s">
        <v>26</v>
      </c>
      <c r="F10" s="37" t="s">
        <v>473</v>
      </c>
      <c r="G10" s="28">
        <v>96.09</v>
      </c>
      <c r="H10" s="93"/>
    </row>
    <row r="11" spans="1:8" x14ac:dyDescent="0.25">
      <c r="A11" s="261"/>
      <c r="B11" s="25" t="s">
        <v>37</v>
      </c>
      <c r="C11" s="26"/>
      <c r="D11" s="27" t="s">
        <v>507</v>
      </c>
      <c r="E11" s="37" t="s">
        <v>26</v>
      </c>
      <c r="F11" s="37" t="s">
        <v>473</v>
      </c>
      <c r="G11" s="28">
        <v>119.83</v>
      </c>
      <c r="H11" s="93"/>
    </row>
    <row r="12" spans="1:8" x14ac:dyDescent="0.25">
      <c r="A12" s="261"/>
      <c r="B12" s="25" t="s">
        <v>120</v>
      </c>
      <c r="C12" s="26"/>
      <c r="D12" s="27" t="s">
        <v>507</v>
      </c>
      <c r="E12" s="37" t="s">
        <v>26</v>
      </c>
      <c r="F12" s="37" t="s">
        <v>473</v>
      </c>
      <c r="G12" s="28">
        <v>3</v>
      </c>
      <c r="H12" s="93"/>
    </row>
    <row r="13" spans="1:8" x14ac:dyDescent="0.25">
      <c r="A13" s="261"/>
      <c r="B13" s="25" t="s">
        <v>40</v>
      </c>
      <c r="C13" s="26"/>
      <c r="D13" s="27" t="s">
        <v>507</v>
      </c>
      <c r="E13" s="37" t="s">
        <v>26</v>
      </c>
      <c r="F13" s="37" t="s">
        <v>473</v>
      </c>
      <c r="G13" s="28">
        <v>140.9</v>
      </c>
      <c r="H13" s="93"/>
    </row>
    <row r="14" spans="1:8" x14ac:dyDescent="0.25">
      <c r="A14" s="261"/>
      <c r="B14" s="25" t="s">
        <v>43</v>
      </c>
      <c r="C14" s="26"/>
      <c r="D14" s="27" t="s">
        <v>507</v>
      </c>
      <c r="E14" s="37" t="s">
        <v>26</v>
      </c>
      <c r="F14" s="37" t="s">
        <v>473</v>
      </c>
      <c r="G14" s="28">
        <v>182.58</v>
      </c>
      <c r="H14" s="93"/>
    </row>
    <row r="15" spans="1:8" x14ac:dyDescent="0.25">
      <c r="A15" s="261"/>
      <c r="B15" s="25" t="s">
        <v>117</v>
      </c>
      <c r="C15" s="26" t="s">
        <v>476</v>
      </c>
      <c r="D15" s="27" t="s">
        <v>507</v>
      </c>
      <c r="E15" s="37" t="s">
        <v>97</v>
      </c>
      <c r="F15" s="37" t="s">
        <v>473</v>
      </c>
      <c r="G15" s="28">
        <v>1.05</v>
      </c>
      <c r="H15" s="93"/>
    </row>
    <row r="16" spans="1:8" x14ac:dyDescent="0.25">
      <c r="A16" s="261"/>
      <c r="B16" s="25" t="s">
        <v>121</v>
      </c>
      <c r="C16" s="26"/>
      <c r="D16" s="27" t="s">
        <v>507</v>
      </c>
      <c r="E16" s="37" t="s">
        <v>26</v>
      </c>
      <c r="F16" s="37" t="s">
        <v>473</v>
      </c>
      <c r="G16" s="28">
        <v>1.1000000000000001</v>
      </c>
      <c r="H16" s="93"/>
    </row>
    <row r="17" spans="1:8" x14ac:dyDescent="0.25">
      <c r="A17" s="261"/>
      <c r="B17" s="25" t="s">
        <v>122</v>
      </c>
      <c r="C17" s="26" t="s">
        <v>477</v>
      </c>
      <c r="D17" s="27" t="s">
        <v>507</v>
      </c>
      <c r="E17" s="37" t="s">
        <v>19</v>
      </c>
      <c r="F17" s="37" t="s">
        <v>473</v>
      </c>
      <c r="G17" s="28">
        <v>24.5</v>
      </c>
      <c r="H17" s="93"/>
    </row>
    <row r="18" spans="1:8" x14ac:dyDescent="0.25">
      <c r="A18" s="261"/>
      <c r="B18" s="25" t="s">
        <v>100</v>
      </c>
      <c r="C18" s="26" t="s">
        <v>478</v>
      </c>
      <c r="D18" s="27" t="s">
        <v>507</v>
      </c>
      <c r="E18" s="37" t="s">
        <v>19</v>
      </c>
      <c r="F18" s="37" t="s">
        <v>473</v>
      </c>
      <c r="G18" s="28">
        <v>9.9</v>
      </c>
      <c r="H18" s="93"/>
    </row>
    <row r="19" spans="1:8" ht="15" customHeight="1" x14ac:dyDescent="0.25">
      <c r="A19" s="261"/>
      <c r="B19" s="25" t="s">
        <v>115</v>
      </c>
      <c r="C19" s="26"/>
      <c r="D19" s="27" t="s">
        <v>507</v>
      </c>
      <c r="E19" s="37" t="s">
        <v>54</v>
      </c>
      <c r="F19" s="37" t="s">
        <v>473</v>
      </c>
      <c r="G19" s="28">
        <v>2200</v>
      </c>
      <c r="H19" s="94"/>
    </row>
    <row r="20" spans="1:8" x14ac:dyDescent="0.25">
      <c r="A20" s="261"/>
      <c r="B20" s="25" t="s">
        <v>511</v>
      </c>
      <c r="C20" s="26"/>
      <c r="D20" s="27" t="s">
        <v>507</v>
      </c>
      <c r="E20" s="37" t="s">
        <v>97</v>
      </c>
      <c r="F20" s="37" t="s">
        <v>473</v>
      </c>
      <c r="G20" s="28">
        <v>1.25</v>
      </c>
      <c r="H20" s="93"/>
    </row>
    <row r="21" spans="1:8" x14ac:dyDescent="0.25">
      <c r="A21" s="261"/>
      <c r="B21" s="25" t="s">
        <v>150</v>
      </c>
      <c r="C21" s="26" t="s">
        <v>479</v>
      </c>
      <c r="D21" s="27" t="s">
        <v>507</v>
      </c>
      <c r="E21" s="37" t="s">
        <v>30</v>
      </c>
      <c r="F21" s="37" t="s">
        <v>473</v>
      </c>
      <c r="G21" s="28">
        <v>31</v>
      </c>
      <c r="H21" s="93"/>
    </row>
    <row r="22" spans="1:8" x14ac:dyDescent="0.25">
      <c r="A22" s="261"/>
      <c r="B22" s="25" t="s">
        <v>98</v>
      </c>
      <c r="C22" s="26"/>
      <c r="D22" s="27" t="s">
        <v>507</v>
      </c>
      <c r="E22" s="37" t="s">
        <v>99</v>
      </c>
      <c r="F22" s="37" t="s">
        <v>473</v>
      </c>
      <c r="G22" s="28">
        <v>3.35</v>
      </c>
      <c r="H22" s="93"/>
    </row>
    <row r="23" spans="1:8" x14ac:dyDescent="0.25">
      <c r="A23" s="261"/>
      <c r="B23" s="25" t="s">
        <v>119</v>
      </c>
      <c r="C23" s="26"/>
      <c r="D23" s="27" t="s">
        <v>507</v>
      </c>
      <c r="E23" s="37" t="s">
        <v>52</v>
      </c>
      <c r="F23" s="37" t="s">
        <v>473</v>
      </c>
      <c r="G23" s="28">
        <v>1.4</v>
      </c>
      <c r="H23" s="93"/>
    </row>
    <row r="24" spans="1:8" x14ac:dyDescent="0.25">
      <c r="A24" s="261"/>
      <c r="B24" s="25" t="s">
        <v>118</v>
      </c>
      <c r="C24" s="26"/>
      <c r="D24" s="27" t="s">
        <v>507</v>
      </c>
      <c r="E24" s="37" t="s">
        <v>52</v>
      </c>
      <c r="F24" s="37" t="s">
        <v>473</v>
      </c>
      <c r="G24" s="28">
        <v>8</v>
      </c>
      <c r="H24" s="93"/>
    </row>
    <row r="25" spans="1:8" x14ac:dyDescent="0.25">
      <c r="A25" s="261"/>
      <c r="B25" s="25" t="s">
        <v>116</v>
      </c>
      <c r="C25" s="26" t="s">
        <v>480</v>
      </c>
      <c r="D25" s="27" t="s">
        <v>507</v>
      </c>
      <c r="E25" s="37" t="s">
        <v>30</v>
      </c>
      <c r="F25" s="37" t="s">
        <v>473</v>
      </c>
      <c r="G25" s="28">
        <v>42.5</v>
      </c>
      <c r="H25" s="93"/>
    </row>
    <row r="26" spans="1:8" x14ac:dyDescent="0.25">
      <c r="A26" s="261"/>
      <c r="B26" s="25" t="s">
        <v>328</v>
      </c>
      <c r="C26" s="26"/>
      <c r="D26" s="27" t="s">
        <v>507</v>
      </c>
      <c r="E26" s="37" t="s">
        <v>26</v>
      </c>
      <c r="F26" s="37" t="s">
        <v>473</v>
      </c>
      <c r="G26" s="28">
        <v>0.11</v>
      </c>
      <c r="H26" s="93"/>
    </row>
    <row r="27" spans="1:8" x14ac:dyDescent="0.25">
      <c r="A27" s="261"/>
      <c r="B27" s="25" t="s">
        <v>512</v>
      </c>
      <c r="C27" s="26"/>
      <c r="D27" s="27" t="s">
        <v>507</v>
      </c>
      <c r="E27" s="37" t="s">
        <v>52</v>
      </c>
      <c r="F27" s="37" t="s">
        <v>473</v>
      </c>
      <c r="G27" s="28">
        <v>25</v>
      </c>
      <c r="H27" s="93"/>
    </row>
    <row r="28" spans="1:8" x14ac:dyDescent="0.25">
      <c r="A28" s="261"/>
      <c r="B28" s="25" t="s">
        <v>356</v>
      </c>
      <c r="C28" s="26"/>
      <c r="D28" s="27" t="s">
        <v>507</v>
      </c>
      <c r="E28" s="37" t="s">
        <v>52</v>
      </c>
      <c r="F28" s="37" t="s">
        <v>473</v>
      </c>
      <c r="G28" s="28">
        <v>375</v>
      </c>
      <c r="H28" s="93"/>
    </row>
    <row r="29" spans="1:8" x14ac:dyDescent="0.25">
      <c r="A29" s="261"/>
      <c r="B29" s="25" t="s">
        <v>513</v>
      </c>
      <c r="C29" s="26"/>
      <c r="D29" s="27" t="s">
        <v>507</v>
      </c>
      <c r="E29" s="37" t="s">
        <v>52</v>
      </c>
      <c r="F29" s="37" t="s">
        <v>473</v>
      </c>
      <c r="G29" s="28">
        <v>950</v>
      </c>
      <c r="H29" s="93"/>
    </row>
    <row r="30" spans="1:8" x14ac:dyDescent="0.25">
      <c r="A30" s="261"/>
      <c r="B30" s="25" t="s">
        <v>53</v>
      </c>
      <c r="C30" s="26"/>
      <c r="D30" s="27" t="s">
        <v>507</v>
      </c>
      <c r="E30" s="37" t="s">
        <v>54</v>
      </c>
      <c r="F30" s="37" t="s">
        <v>473</v>
      </c>
      <c r="G30" s="28">
        <v>2500</v>
      </c>
      <c r="H30" s="94"/>
    </row>
    <row r="31" spans="1:8" x14ac:dyDescent="0.25">
      <c r="A31" s="261"/>
      <c r="B31" s="25" t="s">
        <v>75</v>
      </c>
      <c r="C31" s="26" t="s">
        <v>481</v>
      </c>
      <c r="D31" s="27" t="s">
        <v>507</v>
      </c>
      <c r="E31" s="37" t="s">
        <v>19</v>
      </c>
      <c r="F31" s="37" t="s">
        <v>473</v>
      </c>
      <c r="G31" s="28">
        <v>26170</v>
      </c>
      <c r="H31" s="94"/>
    </row>
    <row r="32" spans="1:8" x14ac:dyDescent="0.25">
      <c r="A32" s="261"/>
      <c r="B32" s="25" t="s">
        <v>329</v>
      </c>
      <c r="C32" s="26"/>
      <c r="D32" s="27" t="s">
        <v>507</v>
      </c>
      <c r="E32" s="37" t="s">
        <v>26</v>
      </c>
      <c r="F32" s="37" t="s">
        <v>473</v>
      </c>
      <c r="G32" s="28">
        <v>2.7</v>
      </c>
      <c r="H32" s="93"/>
    </row>
    <row r="33" spans="1:8" x14ac:dyDescent="0.25">
      <c r="A33" s="261"/>
      <c r="B33" s="25" t="s">
        <v>514</v>
      </c>
      <c r="C33" s="26"/>
      <c r="D33" s="27" t="s">
        <v>507</v>
      </c>
      <c r="E33" s="37" t="s">
        <v>54</v>
      </c>
      <c r="F33" s="37" t="s">
        <v>473</v>
      </c>
      <c r="G33" s="28">
        <v>6515</v>
      </c>
      <c r="H33" s="94"/>
    </row>
    <row r="34" spans="1:8" x14ac:dyDescent="0.25">
      <c r="A34" s="261"/>
      <c r="B34" s="25" t="s">
        <v>515</v>
      </c>
      <c r="C34" s="26"/>
      <c r="D34" s="27" t="s">
        <v>507</v>
      </c>
      <c r="E34" s="37" t="s">
        <v>52</v>
      </c>
      <c r="F34" s="37" t="s">
        <v>473</v>
      </c>
      <c r="G34" s="28">
        <v>382</v>
      </c>
      <c r="H34" s="93"/>
    </row>
    <row r="35" spans="1:8" x14ac:dyDescent="0.25">
      <c r="A35" s="261"/>
      <c r="B35" s="25" t="s">
        <v>370</v>
      </c>
      <c r="C35" s="26"/>
      <c r="D35" s="27" t="s">
        <v>507</v>
      </c>
      <c r="E35" s="37" t="s">
        <v>52</v>
      </c>
      <c r="F35" s="37" t="s">
        <v>473</v>
      </c>
      <c r="G35" s="28">
        <v>134</v>
      </c>
      <c r="H35" s="93"/>
    </row>
    <row r="36" spans="1:8" x14ac:dyDescent="0.25">
      <c r="A36" s="261"/>
      <c r="B36" s="25" t="s">
        <v>371</v>
      </c>
      <c r="C36" s="26" t="s">
        <v>482</v>
      </c>
      <c r="D36" s="27" t="s">
        <v>507</v>
      </c>
      <c r="E36" s="37" t="s">
        <v>52</v>
      </c>
      <c r="F36" s="37" t="s">
        <v>473</v>
      </c>
      <c r="G36" s="28">
        <v>414</v>
      </c>
      <c r="H36" s="93"/>
    </row>
    <row r="37" spans="1:8" x14ac:dyDescent="0.25">
      <c r="A37" s="261"/>
      <c r="B37" s="25" t="s">
        <v>413</v>
      </c>
      <c r="C37" s="26"/>
      <c r="D37" s="27" t="s">
        <v>507</v>
      </c>
      <c r="E37" s="37" t="s">
        <v>26</v>
      </c>
      <c r="F37" s="37" t="s">
        <v>473</v>
      </c>
      <c r="G37" s="28">
        <v>1600</v>
      </c>
      <c r="H37" s="94"/>
    </row>
    <row r="38" spans="1:8" x14ac:dyDescent="0.25">
      <c r="A38" s="261"/>
      <c r="B38" s="25" t="s">
        <v>95</v>
      </c>
      <c r="C38" s="26" t="s">
        <v>483</v>
      </c>
      <c r="D38" s="27" t="s">
        <v>507</v>
      </c>
      <c r="E38" s="37" t="s">
        <v>61</v>
      </c>
      <c r="F38" s="37" t="s">
        <v>473</v>
      </c>
      <c r="G38" s="28">
        <v>198</v>
      </c>
      <c r="H38" s="93"/>
    </row>
    <row r="39" spans="1:8" x14ac:dyDescent="0.25">
      <c r="A39" s="261"/>
      <c r="B39" s="25" t="s">
        <v>175</v>
      </c>
      <c r="C39" s="26"/>
      <c r="D39" s="27" t="s">
        <v>507</v>
      </c>
      <c r="E39" s="37" t="s">
        <v>61</v>
      </c>
      <c r="F39" s="37" t="s">
        <v>473</v>
      </c>
      <c r="G39" s="28">
        <v>198</v>
      </c>
      <c r="H39" s="93"/>
    </row>
    <row r="40" spans="1:8" x14ac:dyDescent="0.25">
      <c r="A40" s="261"/>
      <c r="B40" s="25" t="s">
        <v>151</v>
      </c>
      <c r="C40" s="26"/>
      <c r="D40" s="27" t="s">
        <v>507</v>
      </c>
      <c r="E40" s="37" t="s">
        <v>30</v>
      </c>
      <c r="F40" s="37" t="s">
        <v>473</v>
      </c>
      <c r="G40" s="28">
        <v>4</v>
      </c>
      <c r="H40" s="93"/>
    </row>
    <row r="41" spans="1:8" x14ac:dyDescent="0.25">
      <c r="A41" s="261"/>
      <c r="B41" s="25" t="s">
        <v>368</v>
      </c>
      <c r="C41" s="26"/>
      <c r="D41" s="27" t="s">
        <v>507</v>
      </c>
      <c r="E41" s="37" t="s">
        <v>52</v>
      </c>
      <c r="F41" s="37" t="s">
        <v>473</v>
      </c>
      <c r="G41" s="28">
        <v>264</v>
      </c>
      <c r="H41" s="93"/>
    </row>
    <row r="42" spans="1:8" x14ac:dyDescent="0.25">
      <c r="A42" s="261"/>
      <c r="B42" s="25" t="s">
        <v>109</v>
      </c>
      <c r="C42" s="26"/>
      <c r="D42" s="27" t="s">
        <v>507</v>
      </c>
      <c r="E42" s="37" t="s">
        <v>61</v>
      </c>
      <c r="F42" s="37" t="s">
        <v>473</v>
      </c>
      <c r="G42" s="28">
        <v>312</v>
      </c>
      <c r="H42" s="93"/>
    </row>
    <row r="43" spans="1:8" x14ac:dyDescent="0.25">
      <c r="A43" s="261"/>
      <c r="B43" s="25" t="s">
        <v>68</v>
      </c>
      <c r="C43" s="26" t="s">
        <v>68</v>
      </c>
      <c r="D43" s="27" t="s">
        <v>507</v>
      </c>
      <c r="E43" s="37" t="s">
        <v>61</v>
      </c>
      <c r="F43" s="37" t="s">
        <v>473</v>
      </c>
      <c r="G43" s="28">
        <v>202</v>
      </c>
      <c r="H43" s="93"/>
    </row>
    <row r="44" spans="1:8" x14ac:dyDescent="0.25">
      <c r="A44" s="261"/>
      <c r="B44" s="25" t="s">
        <v>96</v>
      </c>
      <c r="C44" s="26" t="s">
        <v>484</v>
      </c>
      <c r="D44" s="27" t="s">
        <v>507</v>
      </c>
      <c r="E44" s="37" t="s">
        <v>97</v>
      </c>
      <c r="F44" s="37" t="s">
        <v>473</v>
      </c>
      <c r="G44" s="28">
        <v>6.5</v>
      </c>
      <c r="H44" s="93"/>
    </row>
    <row r="45" spans="1:8" x14ac:dyDescent="0.25">
      <c r="A45" s="261"/>
      <c r="B45" s="25" t="s">
        <v>29</v>
      </c>
      <c r="C45" s="26" t="s">
        <v>485</v>
      </c>
      <c r="D45" s="27" t="s">
        <v>507</v>
      </c>
      <c r="E45" s="37" t="s">
        <v>30</v>
      </c>
      <c r="F45" s="37" t="s">
        <v>473</v>
      </c>
      <c r="G45" s="28">
        <v>24</v>
      </c>
      <c r="H45" s="93"/>
    </row>
    <row r="46" spans="1:8" x14ac:dyDescent="0.25">
      <c r="A46" s="261"/>
      <c r="B46" s="25" t="s">
        <v>466</v>
      </c>
      <c r="C46" s="26"/>
      <c r="D46" s="27" t="s">
        <v>507</v>
      </c>
      <c r="E46" s="37" t="s">
        <v>19</v>
      </c>
      <c r="F46" s="37" t="s">
        <v>473</v>
      </c>
      <c r="G46" s="28">
        <v>1</v>
      </c>
      <c r="H46" s="93"/>
    </row>
    <row r="47" spans="1:8" x14ac:dyDescent="0.25">
      <c r="A47" s="261"/>
      <c r="B47" s="25" t="s">
        <v>87</v>
      </c>
      <c r="C47" s="26"/>
      <c r="D47" s="27" t="s">
        <v>507</v>
      </c>
      <c r="E47" s="37" t="s">
        <v>26</v>
      </c>
      <c r="F47" s="37" t="s">
        <v>473</v>
      </c>
      <c r="G47" s="28">
        <v>3.3</v>
      </c>
      <c r="H47" s="93"/>
    </row>
    <row r="48" spans="1:8" x14ac:dyDescent="0.25">
      <c r="A48" s="261"/>
      <c r="B48" s="25" t="s">
        <v>88</v>
      </c>
      <c r="C48" s="26"/>
      <c r="D48" s="27" t="s">
        <v>507</v>
      </c>
      <c r="E48" s="37" t="s">
        <v>52</v>
      </c>
      <c r="F48" s="37" t="s">
        <v>473</v>
      </c>
      <c r="G48" s="28">
        <v>65</v>
      </c>
      <c r="H48" s="93"/>
    </row>
    <row r="49" spans="1:8" ht="15.75" thickBot="1" x14ac:dyDescent="0.3">
      <c r="A49" s="262"/>
      <c r="B49" s="129" t="s">
        <v>516</v>
      </c>
      <c r="C49" s="130" t="s">
        <v>486</v>
      </c>
      <c r="D49" s="131" t="s">
        <v>507</v>
      </c>
      <c r="E49" s="132" t="s">
        <v>52</v>
      </c>
      <c r="F49" s="132" t="s">
        <v>473</v>
      </c>
      <c r="G49" s="133">
        <v>70</v>
      </c>
      <c r="H49" s="134"/>
    </row>
    <row r="50" spans="1:8" x14ac:dyDescent="0.25">
      <c r="A50" s="260" t="s">
        <v>730</v>
      </c>
      <c r="B50" s="135" t="s">
        <v>102</v>
      </c>
      <c r="C50" s="136" t="s">
        <v>487</v>
      </c>
      <c r="D50" s="137" t="s">
        <v>508</v>
      </c>
      <c r="E50" s="138" t="s">
        <v>33</v>
      </c>
      <c r="F50" s="138" t="s">
        <v>473</v>
      </c>
      <c r="G50" s="139">
        <v>95</v>
      </c>
      <c r="H50" s="140"/>
    </row>
    <row r="51" spans="1:8" ht="30" x14ac:dyDescent="0.25">
      <c r="A51" s="261"/>
      <c r="B51" s="29" t="s">
        <v>464</v>
      </c>
      <c r="C51" s="30" t="s">
        <v>488</v>
      </c>
      <c r="D51" s="31" t="s">
        <v>508</v>
      </c>
      <c r="E51" s="38" t="s">
        <v>455</v>
      </c>
      <c r="F51" s="38" t="s">
        <v>473</v>
      </c>
      <c r="G51" s="41">
        <v>800</v>
      </c>
      <c r="H51" s="95"/>
    </row>
    <row r="52" spans="1:8" x14ac:dyDescent="0.25">
      <c r="A52" s="261"/>
      <c r="B52" s="29" t="s">
        <v>32</v>
      </c>
      <c r="C52" s="30" t="s">
        <v>489</v>
      </c>
      <c r="D52" s="31" t="s">
        <v>508</v>
      </c>
      <c r="E52" s="38" t="s">
        <v>33</v>
      </c>
      <c r="F52" s="38" t="s">
        <v>473</v>
      </c>
      <c r="G52" s="41">
        <v>125</v>
      </c>
      <c r="H52" s="95"/>
    </row>
    <row r="53" spans="1:8" x14ac:dyDescent="0.25">
      <c r="A53" s="261"/>
      <c r="B53" s="29" t="s">
        <v>139</v>
      </c>
      <c r="C53" s="30" t="s">
        <v>490</v>
      </c>
      <c r="D53" s="31" t="s">
        <v>508</v>
      </c>
      <c r="E53" s="38" t="s">
        <v>33</v>
      </c>
      <c r="F53" s="38" t="s">
        <v>473</v>
      </c>
      <c r="G53" s="41">
        <v>125</v>
      </c>
      <c r="H53" s="95"/>
    </row>
    <row r="54" spans="1:8" x14ac:dyDescent="0.25">
      <c r="A54" s="261"/>
      <c r="B54" s="29" t="s">
        <v>373</v>
      </c>
      <c r="C54" s="30"/>
      <c r="D54" s="31" t="s">
        <v>508</v>
      </c>
      <c r="E54" s="38" t="s">
        <v>33</v>
      </c>
      <c r="F54" s="38" t="s">
        <v>473</v>
      </c>
      <c r="G54" s="41">
        <v>165</v>
      </c>
      <c r="H54" s="95"/>
    </row>
    <row r="55" spans="1:8" x14ac:dyDescent="0.25">
      <c r="A55" s="261"/>
      <c r="B55" s="29" t="s">
        <v>70</v>
      </c>
      <c r="C55" s="30" t="s">
        <v>491</v>
      </c>
      <c r="D55" s="31" t="s">
        <v>508</v>
      </c>
      <c r="E55" s="38" t="s">
        <v>33</v>
      </c>
      <c r="F55" s="38" t="s">
        <v>473</v>
      </c>
      <c r="G55" s="41">
        <v>135</v>
      </c>
      <c r="H55" s="95"/>
    </row>
    <row r="56" spans="1:8" x14ac:dyDescent="0.25">
      <c r="A56" s="261"/>
      <c r="B56" s="29" t="s">
        <v>153</v>
      </c>
      <c r="C56" s="30" t="s">
        <v>492</v>
      </c>
      <c r="D56" s="31" t="s">
        <v>508</v>
      </c>
      <c r="E56" s="38" t="s">
        <v>33</v>
      </c>
      <c r="F56" s="38" t="s">
        <v>473</v>
      </c>
      <c r="G56" s="41">
        <v>55</v>
      </c>
      <c r="H56" s="95"/>
    </row>
    <row r="57" spans="1:8" x14ac:dyDescent="0.25">
      <c r="A57" s="261"/>
      <c r="B57" s="29" t="s">
        <v>135</v>
      </c>
      <c r="C57" s="30"/>
      <c r="D57" s="31" t="s">
        <v>508</v>
      </c>
      <c r="E57" s="38" t="s">
        <v>33</v>
      </c>
      <c r="F57" s="38" t="s">
        <v>473</v>
      </c>
      <c r="G57" s="41">
        <v>58</v>
      </c>
      <c r="H57" s="95"/>
    </row>
    <row r="58" spans="1:8" x14ac:dyDescent="0.25">
      <c r="A58" s="261"/>
      <c r="B58" s="29" t="s">
        <v>34</v>
      </c>
      <c r="C58" s="30" t="s">
        <v>493</v>
      </c>
      <c r="D58" s="31" t="s">
        <v>508</v>
      </c>
      <c r="E58" s="38" t="s">
        <v>33</v>
      </c>
      <c r="F58" s="38" t="s">
        <v>473</v>
      </c>
      <c r="G58" s="41">
        <v>10</v>
      </c>
      <c r="H58" s="95"/>
    </row>
    <row r="59" spans="1:8" ht="30" x14ac:dyDescent="0.25">
      <c r="A59" s="261"/>
      <c r="B59" s="29" t="s">
        <v>145</v>
      </c>
      <c r="C59" s="30" t="s">
        <v>494</v>
      </c>
      <c r="D59" s="31" t="s">
        <v>508</v>
      </c>
      <c r="E59" s="38" t="s">
        <v>33</v>
      </c>
      <c r="F59" s="38" t="s">
        <v>473</v>
      </c>
      <c r="G59" s="41">
        <v>55</v>
      </c>
      <c r="H59" s="95"/>
    </row>
    <row r="60" spans="1:8" x14ac:dyDescent="0.25">
      <c r="A60" s="261"/>
      <c r="B60" s="29" t="s">
        <v>140</v>
      </c>
      <c r="C60" s="30" t="s">
        <v>495</v>
      </c>
      <c r="D60" s="31" t="s">
        <v>508</v>
      </c>
      <c r="E60" s="38" t="s">
        <v>33</v>
      </c>
      <c r="F60" s="38" t="s">
        <v>473</v>
      </c>
      <c r="G60" s="41">
        <v>95</v>
      </c>
      <c r="H60" s="95"/>
    </row>
    <row r="61" spans="1:8" x14ac:dyDescent="0.25">
      <c r="A61" s="261"/>
      <c r="B61" s="29" t="s">
        <v>129</v>
      </c>
      <c r="C61" s="30"/>
      <c r="D61" s="31" t="s">
        <v>508</v>
      </c>
      <c r="E61" s="38" t="s">
        <v>33</v>
      </c>
      <c r="F61" s="38" t="s">
        <v>473</v>
      </c>
      <c r="G61" s="41">
        <v>35</v>
      </c>
      <c r="H61" s="95"/>
    </row>
    <row r="62" spans="1:8" ht="15.75" thickBot="1" x14ac:dyDescent="0.3">
      <c r="A62" s="262"/>
      <c r="B62" s="141" t="s">
        <v>136</v>
      </c>
      <c r="C62" s="142" t="s">
        <v>496</v>
      </c>
      <c r="D62" s="143" t="s">
        <v>508</v>
      </c>
      <c r="E62" s="144" t="s">
        <v>33</v>
      </c>
      <c r="F62" s="144" t="s">
        <v>473</v>
      </c>
      <c r="G62" s="145">
        <v>100</v>
      </c>
      <c r="H62" s="146"/>
    </row>
    <row r="63" spans="1:8" x14ac:dyDescent="0.25">
      <c r="A63" s="260" t="s">
        <v>731</v>
      </c>
      <c r="B63" s="147" t="s">
        <v>517</v>
      </c>
      <c r="C63" s="148"/>
      <c r="D63" s="149" t="s">
        <v>509</v>
      </c>
      <c r="E63" s="150" t="s">
        <v>54</v>
      </c>
      <c r="F63" s="150" t="s">
        <v>473</v>
      </c>
      <c r="G63" s="151">
        <v>20530</v>
      </c>
      <c r="H63" s="152"/>
    </row>
    <row r="64" spans="1:8" x14ac:dyDescent="0.25">
      <c r="A64" s="261"/>
      <c r="B64" s="32" t="s">
        <v>18</v>
      </c>
      <c r="C64" s="33" t="s">
        <v>497</v>
      </c>
      <c r="D64" s="34" t="s">
        <v>509</v>
      </c>
      <c r="E64" s="39" t="s">
        <v>19</v>
      </c>
      <c r="F64" s="39" t="s">
        <v>473</v>
      </c>
      <c r="G64" s="35">
        <v>1</v>
      </c>
      <c r="H64" s="97"/>
    </row>
    <row r="65" spans="1:8" x14ac:dyDescent="0.25">
      <c r="A65" s="261"/>
      <c r="B65" s="32" t="s">
        <v>125</v>
      </c>
      <c r="C65" s="33"/>
      <c r="D65" s="34" t="s">
        <v>509</v>
      </c>
      <c r="E65" s="39" t="s">
        <v>19</v>
      </c>
      <c r="F65" s="39" t="s">
        <v>473</v>
      </c>
      <c r="G65" s="35">
        <v>1</v>
      </c>
      <c r="H65" s="97"/>
    </row>
    <row r="66" spans="1:8" x14ac:dyDescent="0.25">
      <c r="A66" s="261"/>
      <c r="B66" s="32" t="s">
        <v>183</v>
      </c>
      <c r="C66" s="33" t="s">
        <v>498</v>
      </c>
      <c r="D66" s="34" t="s">
        <v>509</v>
      </c>
      <c r="E66" s="39" t="s">
        <v>52</v>
      </c>
      <c r="F66" s="39" t="s">
        <v>473</v>
      </c>
      <c r="G66" s="35">
        <v>225</v>
      </c>
      <c r="H66" s="97"/>
    </row>
    <row r="67" spans="1:8" x14ac:dyDescent="0.25">
      <c r="A67" s="261"/>
      <c r="B67" s="32" t="s">
        <v>411</v>
      </c>
      <c r="C67" s="33" t="s">
        <v>499</v>
      </c>
      <c r="D67" s="34" t="s">
        <v>509</v>
      </c>
      <c r="E67" s="39" t="s">
        <v>97</v>
      </c>
      <c r="F67" s="39" t="s">
        <v>473</v>
      </c>
      <c r="G67" s="35">
        <v>1200</v>
      </c>
      <c r="H67" s="96"/>
    </row>
    <row r="68" spans="1:8" ht="30" x14ac:dyDescent="0.25">
      <c r="A68" s="261"/>
      <c r="B68" s="32" t="s">
        <v>104</v>
      </c>
      <c r="C68" s="33" t="s">
        <v>500</v>
      </c>
      <c r="D68" s="34" t="s">
        <v>509</v>
      </c>
      <c r="E68" s="39" t="s">
        <v>97</v>
      </c>
      <c r="F68" s="39" t="s">
        <v>473</v>
      </c>
      <c r="G68" s="35">
        <v>32</v>
      </c>
      <c r="H68" s="97"/>
    </row>
    <row r="69" spans="1:8" x14ac:dyDescent="0.25">
      <c r="A69" s="261"/>
      <c r="B69" s="32" t="s">
        <v>110</v>
      </c>
      <c r="C69" s="33"/>
      <c r="D69" s="34" t="s">
        <v>509</v>
      </c>
      <c r="E69" s="39" t="s">
        <v>97</v>
      </c>
      <c r="F69" s="39" t="s">
        <v>473</v>
      </c>
      <c r="G69" s="35">
        <v>65</v>
      </c>
      <c r="H69" s="97"/>
    </row>
    <row r="70" spans="1:8" x14ac:dyDescent="0.25">
      <c r="A70" s="261"/>
      <c r="B70" s="32" t="s">
        <v>518</v>
      </c>
      <c r="C70" s="33"/>
      <c r="D70" s="34" t="s">
        <v>509</v>
      </c>
      <c r="E70" s="39" t="s">
        <v>26</v>
      </c>
      <c r="F70" s="39" t="s">
        <v>473</v>
      </c>
      <c r="G70" s="35">
        <v>95</v>
      </c>
      <c r="H70" s="97"/>
    </row>
    <row r="71" spans="1:8" x14ac:dyDescent="0.25">
      <c r="A71" s="261"/>
      <c r="B71" s="32" t="s">
        <v>519</v>
      </c>
      <c r="C71" s="33"/>
      <c r="D71" s="34" t="s">
        <v>509</v>
      </c>
      <c r="E71" s="39" t="s">
        <v>52</v>
      </c>
      <c r="F71" s="39" t="s">
        <v>473</v>
      </c>
      <c r="G71" s="35">
        <v>5760</v>
      </c>
      <c r="H71" s="96"/>
    </row>
    <row r="72" spans="1:8" x14ac:dyDescent="0.25">
      <c r="A72" s="261"/>
      <c r="B72" s="32" t="s">
        <v>168</v>
      </c>
      <c r="C72" s="33" t="s">
        <v>524</v>
      </c>
      <c r="D72" s="34" t="s">
        <v>509</v>
      </c>
      <c r="E72" s="39" t="s">
        <v>30</v>
      </c>
      <c r="F72" s="39" t="s">
        <v>473</v>
      </c>
      <c r="G72" s="35">
        <v>445</v>
      </c>
      <c r="H72" s="96"/>
    </row>
    <row r="73" spans="1:8" x14ac:dyDescent="0.25">
      <c r="A73" s="261"/>
      <c r="B73" s="32" t="s">
        <v>341</v>
      </c>
      <c r="C73" s="33"/>
      <c r="D73" s="34" t="s">
        <v>509</v>
      </c>
      <c r="E73" s="39" t="s">
        <v>19</v>
      </c>
      <c r="F73" s="39" t="s">
        <v>473</v>
      </c>
      <c r="G73" s="35">
        <v>1</v>
      </c>
      <c r="H73" s="97"/>
    </row>
    <row r="74" spans="1:8" x14ac:dyDescent="0.25">
      <c r="A74" s="261"/>
      <c r="B74" s="32" t="s">
        <v>374</v>
      </c>
      <c r="C74" s="33" t="s">
        <v>501</v>
      </c>
      <c r="D74" s="34" t="s">
        <v>509</v>
      </c>
      <c r="E74" s="39" t="s">
        <v>33</v>
      </c>
      <c r="F74" s="39" t="s">
        <v>473</v>
      </c>
      <c r="G74" s="35">
        <v>95</v>
      </c>
      <c r="H74" s="97"/>
    </row>
    <row r="75" spans="1:8" x14ac:dyDescent="0.25">
      <c r="A75" s="261"/>
      <c r="B75" s="32" t="s">
        <v>182</v>
      </c>
      <c r="C75" s="33"/>
      <c r="D75" s="34" t="s">
        <v>509</v>
      </c>
      <c r="E75" s="39" t="s">
        <v>52</v>
      </c>
      <c r="F75" s="39" t="s">
        <v>473</v>
      </c>
      <c r="G75" s="35">
        <v>172</v>
      </c>
      <c r="H75" s="97"/>
    </row>
    <row r="76" spans="1:8" x14ac:dyDescent="0.25">
      <c r="A76" s="261"/>
      <c r="B76" s="32" t="s">
        <v>520</v>
      </c>
      <c r="C76" s="33"/>
      <c r="D76" s="34" t="s">
        <v>509</v>
      </c>
      <c r="E76" s="39" t="s">
        <v>54</v>
      </c>
      <c r="F76" s="39" t="s">
        <v>473</v>
      </c>
      <c r="G76" s="35">
        <v>6500</v>
      </c>
      <c r="H76" s="96"/>
    </row>
    <row r="77" spans="1:8" x14ac:dyDescent="0.25">
      <c r="A77" s="261"/>
      <c r="B77" s="32" t="s">
        <v>521</v>
      </c>
      <c r="C77" s="33"/>
      <c r="D77" s="34" t="s">
        <v>509</v>
      </c>
      <c r="E77" s="39" t="s">
        <v>54</v>
      </c>
      <c r="F77" s="39" t="s">
        <v>473</v>
      </c>
      <c r="G77" s="35">
        <v>1</v>
      </c>
      <c r="H77" s="97"/>
    </row>
    <row r="78" spans="1:8" x14ac:dyDescent="0.25">
      <c r="A78" s="261"/>
      <c r="B78" s="32" t="s">
        <v>69</v>
      </c>
      <c r="C78" s="33"/>
      <c r="D78" s="34" t="s">
        <v>509</v>
      </c>
      <c r="E78" s="39" t="s">
        <v>26</v>
      </c>
      <c r="F78" s="39" t="s">
        <v>473</v>
      </c>
      <c r="G78" s="35">
        <v>35</v>
      </c>
      <c r="H78" s="97"/>
    </row>
    <row r="79" spans="1:8" x14ac:dyDescent="0.25">
      <c r="A79" s="261"/>
      <c r="B79" s="32" t="s">
        <v>383</v>
      </c>
      <c r="C79" s="33"/>
      <c r="D79" s="34" t="s">
        <v>509</v>
      </c>
      <c r="E79" s="39" t="s">
        <v>19</v>
      </c>
      <c r="F79" s="39" t="s">
        <v>473</v>
      </c>
      <c r="G79" s="35">
        <v>1</v>
      </c>
      <c r="H79" s="97"/>
    </row>
    <row r="80" spans="1:8" x14ac:dyDescent="0.25">
      <c r="A80" s="261"/>
      <c r="B80" s="32" t="s">
        <v>522</v>
      </c>
      <c r="C80" s="33"/>
      <c r="D80" s="34" t="s">
        <v>509</v>
      </c>
      <c r="E80" s="39" t="s">
        <v>97</v>
      </c>
      <c r="F80" s="39" t="s">
        <v>473</v>
      </c>
      <c r="G80" s="35">
        <v>170</v>
      </c>
      <c r="H80" s="97"/>
    </row>
    <row r="81" spans="1:8" x14ac:dyDescent="0.25">
      <c r="A81" s="261"/>
      <c r="B81" s="32" t="s">
        <v>163</v>
      </c>
      <c r="C81" s="33"/>
      <c r="D81" s="34" t="s">
        <v>509</v>
      </c>
      <c r="E81" s="39" t="s">
        <v>97</v>
      </c>
      <c r="F81" s="39" t="s">
        <v>473</v>
      </c>
      <c r="G81" s="35">
        <v>17.5</v>
      </c>
      <c r="H81" s="97"/>
    </row>
    <row r="82" spans="1:8" x14ac:dyDescent="0.25">
      <c r="A82" s="261"/>
      <c r="B82" s="32" t="s">
        <v>60</v>
      </c>
      <c r="C82" s="33"/>
      <c r="D82" s="34" t="s">
        <v>509</v>
      </c>
      <c r="E82" s="39" t="s">
        <v>61</v>
      </c>
      <c r="F82" s="39" t="s">
        <v>473</v>
      </c>
      <c r="G82" s="35">
        <v>950</v>
      </c>
      <c r="H82" s="97"/>
    </row>
    <row r="83" spans="1:8" x14ac:dyDescent="0.25">
      <c r="A83" s="261"/>
      <c r="B83" s="32" t="s">
        <v>468</v>
      </c>
      <c r="C83" s="33"/>
      <c r="D83" s="34" t="s">
        <v>509</v>
      </c>
      <c r="E83" s="39" t="s">
        <v>19</v>
      </c>
      <c r="F83" s="39" t="s">
        <v>473</v>
      </c>
      <c r="G83" s="35">
        <v>1</v>
      </c>
      <c r="H83" s="97"/>
    </row>
    <row r="84" spans="1:8" ht="45" x14ac:dyDescent="0.25">
      <c r="A84" s="261"/>
      <c r="B84" s="32" t="s">
        <v>523</v>
      </c>
      <c r="C84" s="33" t="s">
        <v>502</v>
      </c>
      <c r="D84" s="34" t="s">
        <v>509</v>
      </c>
      <c r="E84" s="39" t="s">
        <v>97</v>
      </c>
      <c r="F84" s="39" t="s">
        <v>473</v>
      </c>
      <c r="G84" s="35">
        <v>350</v>
      </c>
      <c r="H84" s="97"/>
    </row>
    <row r="85" spans="1:8" x14ac:dyDescent="0.25">
      <c r="A85" s="261"/>
      <c r="B85" s="32" t="s">
        <v>192</v>
      </c>
      <c r="C85" s="33"/>
      <c r="D85" s="34" t="s">
        <v>509</v>
      </c>
      <c r="E85" s="39" t="s">
        <v>33</v>
      </c>
      <c r="F85" s="39" t="s">
        <v>473</v>
      </c>
      <c r="G85" s="35">
        <v>135</v>
      </c>
      <c r="H85" s="97"/>
    </row>
    <row r="86" spans="1:8" x14ac:dyDescent="0.25">
      <c r="A86" s="261"/>
      <c r="B86" s="32" t="s">
        <v>187</v>
      </c>
      <c r="C86" s="33"/>
      <c r="D86" s="34" t="s">
        <v>509</v>
      </c>
      <c r="E86" s="39" t="s">
        <v>19</v>
      </c>
      <c r="F86" s="39" t="s">
        <v>473</v>
      </c>
      <c r="G86" s="35">
        <v>1</v>
      </c>
      <c r="H86" s="97"/>
    </row>
    <row r="87" spans="1:8" ht="30.75" thickBot="1" x14ac:dyDescent="0.3">
      <c r="A87" s="262"/>
      <c r="B87" s="98" t="s">
        <v>78</v>
      </c>
      <c r="C87" s="99" t="s">
        <v>503</v>
      </c>
      <c r="D87" s="100" t="s">
        <v>509</v>
      </c>
      <c r="E87" s="101" t="s">
        <v>19</v>
      </c>
      <c r="F87" s="101" t="s">
        <v>473</v>
      </c>
      <c r="G87" s="102">
        <v>1</v>
      </c>
      <c r="H87" s="103"/>
    </row>
    <row r="88" spans="1:8" x14ac:dyDescent="0.25">
      <c r="B88" s="18"/>
      <c r="C88" s="18"/>
      <c r="D88" s="19"/>
      <c r="E88" s="19"/>
      <c r="F88" s="19"/>
      <c r="G88" s="42"/>
      <c r="H88" s="18"/>
    </row>
  </sheetData>
  <mergeCells count="4">
    <mergeCell ref="A3:A7"/>
    <mergeCell ref="A8:A49"/>
    <mergeCell ref="A50:A62"/>
    <mergeCell ref="A63:A8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52"/>
  <sheetViews>
    <sheetView topLeftCell="A106" workbookViewId="0">
      <selection activeCell="D153" sqref="D153"/>
    </sheetView>
  </sheetViews>
  <sheetFormatPr defaultRowHeight="15" x14ac:dyDescent="0.25"/>
  <cols>
    <col min="1" max="1" width="8.7109375" style="56"/>
    <col min="2" max="2" width="53.5703125" style="56" customWidth="1"/>
    <col min="3" max="3" width="13.28515625" style="58" bestFit="1" customWidth="1"/>
    <col min="4" max="4" width="13.28515625" style="154" customWidth="1"/>
    <col min="5" max="5" width="9.140625" style="59"/>
  </cols>
  <sheetData>
    <row r="1" spans="1:5" x14ac:dyDescent="0.25">
      <c r="A1" s="60" t="s">
        <v>643</v>
      </c>
      <c r="B1" s="60" t="s">
        <v>644</v>
      </c>
      <c r="C1" s="61" t="s">
        <v>645</v>
      </c>
      <c r="D1" s="153" t="s">
        <v>732</v>
      </c>
      <c r="E1" s="62" t="s">
        <v>646</v>
      </c>
    </row>
    <row r="2" spans="1:5" x14ac:dyDescent="0.25">
      <c r="A2" s="56">
        <v>5</v>
      </c>
      <c r="B2" s="57" t="s">
        <v>16</v>
      </c>
      <c r="C2" s="58">
        <v>1</v>
      </c>
      <c r="D2" s="154" t="s">
        <v>733</v>
      </c>
      <c r="E2" s="59" t="str">
        <f>VLOOKUP(A2,Estimate!A:D,4,FALSE)</f>
        <v xml:space="preserve">Lump </v>
      </c>
    </row>
    <row r="3" spans="1:5" x14ac:dyDescent="0.25">
      <c r="A3" s="56">
        <v>6</v>
      </c>
      <c r="B3" s="57" t="s">
        <v>25</v>
      </c>
      <c r="C3" s="58">
        <v>63.4</v>
      </c>
      <c r="D3" s="154" t="s">
        <v>733</v>
      </c>
      <c r="E3" s="59" t="str">
        <f>VLOOKUP(A3,Estimate!A:D,4,FALSE)</f>
        <v xml:space="preserve">m    </v>
      </c>
    </row>
    <row r="4" spans="1:5" x14ac:dyDescent="0.25">
      <c r="A4" s="56">
        <v>6.01</v>
      </c>
      <c r="B4" s="57" t="s">
        <v>32</v>
      </c>
      <c r="C4" s="58">
        <v>5</v>
      </c>
      <c r="D4" s="154" t="s">
        <v>508</v>
      </c>
      <c r="E4" s="59" t="str">
        <f>VLOOKUP(A4,Estimate!A:D,4,FALSE)</f>
        <v xml:space="preserve">hr   </v>
      </c>
    </row>
    <row r="5" spans="1:5" x14ac:dyDescent="0.25">
      <c r="A5" s="56">
        <v>7</v>
      </c>
      <c r="B5" s="57" t="s">
        <v>36</v>
      </c>
      <c r="C5" s="58">
        <v>26.8</v>
      </c>
      <c r="D5" s="154" t="s">
        <v>733</v>
      </c>
      <c r="E5" s="59" t="str">
        <f>VLOOKUP(A5,Estimate!A:D,4,FALSE)</f>
        <v xml:space="preserve">m    </v>
      </c>
    </row>
    <row r="6" spans="1:5" x14ac:dyDescent="0.25">
      <c r="A6" s="56">
        <v>7.01</v>
      </c>
      <c r="B6" s="57" t="s">
        <v>32</v>
      </c>
      <c r="C6" s="58">
        <v>5</v>
      </c>
      <c r="D6" s="154" t="s">
        <v>508</v>
      </c>
      <c r="E6" s="59" t="str">
        <f>VLOOKUP(A6,Estimate!A:D,4,FALSE)</f>
        <v xml:space="preserve">hr   </v>
      </c>
    </row>
    <row r="7" spans="1:5" x14ac:dyDescent="0.25">
      <c r="A7" s="56">
        <v>8</v>
      </c>
      <c r="B7" s="57" t="s">
        <v>39</v>
      </c>
      <c r="C7" s="58">
        <v>70.7</v>
      </c>
      <c r="D7" s="154" t="s">
        <v>733</v>
      </c>
      <c r="E7" s="59" t="str">
        <f>VLOOKUP(A7,Estimate!A:D,4,FALSE)</f>
        <v xml:space="preserve">m    </v>
      </c>
    </row>
    <row r="8" spans="1:5" x14ac:dyDescent="0.25">
      <c r="A8" s="56">
        <v>8.01</v>
      </c>
      <c r="B8" s="57" t="s">
        <v>32</v>
      </c>
      <c r="C8" s="58">
        <v>5</v>
      </c>
      <c r="D8" s="154" t="s">
        <v>508</v>
      </c>
      <c r="E8" s="59" t="str">
        <f>VLOOKUP(A8,Estimate!A:D,4,FALSE)</f>
        <v xml:space="preserve">hr   </v>
      </c>
    </row>
    <row r="9" spans="1:5" x14ac:dyDescent="0.25">
      <c r="A9" s="56">
        <v>9</v>
      </c>
      <c r="B9" s="57" t="s">
        <v>42</v>
      </c>
      <c r="C9" s="58">
        <v>31.7</v>
      </c>
      <c r="D9" s="154" t="s">
        <v>733</v>
      </c>
      <c r="E9" s="59" t="str">
        <f>VLOOKUP(A9,Estimate!A:D,4,FALSE)</f>
        <v xml:space="preserve">m    </v>
      </c>
    </row>
    <row r="10" spans="1:5" x14ac:dyDescent="0.25">
      <c r="A10" s="56">
        <v>9.01</v>
      </c>
      <c r="B10" s="57" t="s">
        <v>32</v>
      </c>
      <c r="C10" s="58">
        <v>5</v>
      </c>
      <c r="D10" s="154" t="s">
        <v>508</v>
      </c>
      <c r="E10" s="59" t="str">
        <f>VLOOKUP(A10,Estimate!A:D,4,FALSE)</f>
        <v xml:space="preserve">hr   </v>
      </c>
    </row>
    <row r="11" spans="1:5" x14ac:dyDescent="0.25">
      <c r="A11" s="56">
        <v>10</v>
      </c>
      <c r="B11" s="57" t="s">
        <v>47</v>
      </c>
      <c r="C11" s="58">
        <v>315</v>
      </c>
      <c r="D11" s="154" t="s">
        <v>733</v>
      </c>
      <c r="E11" s="59" t="str">
        <f>VLOOKUP(A11,Estimate!A:D,4,FALSE)</f>
        <v xml:space="preserve">m    </v>
      </c>
    </row>
    <row r="12" spans="1:5" x14ac:dyDescent="0.25">
      <c r="A12" s="56">
        <v>10.01</v>
      </c>
      <c r="B12" s="57" t="s">
        <v>32</v>
      </c>
      <c r="C12" s="58">
        <v>5</v>
      </c>
      <c r="D12" s="154" t="s">
        <v>508</v>
      </c>
      <c r="E12" s="59" t="str">
        <f>VLOOKUP(A12,Estimate!A:D,4,FALSE)</f>
        <v xml:space="preserve">hr   </v>
      </c>
    </row>
    <row r="13" spans="1:5" x14ac:dyDescent="0.25">
      <c r="A13" s="56">
        <v>11</v>
      </c>
      <c r="B13" s="57" t="s">
        <v>51</v>
      </c>
      <c r="C13" s="58">
        <v>1</v>
      </c>
      <c r="D13" s="154" t="s">
        <v>733</v>
      </c>
      <c r="E13" s="59" t="str">
        <f>VLOOKUP(A13,Estimate!A:D,4,FALSE)</f>
        <v xml:space="preserve">each </v>
      </c>
    </row>
    <row r="14" spans="1:5" x14ac:dyDescent="0.25">
      <c r="A14" s="56">
        <v>11.01</v>
      </c>
      <c r="B14" s="57" t="s">
        <v>8</v>
      </c>
      <c r="C14" s="58">
        <v>0.33333333333333331</v>
      </c>
      <c r="D14" s="154" t="s">
        <v>508</v>
      </c>
      <c r="E14" s="59" t="str">
        <f>VLOOKUP(A14,Estimate!A:D,4,FALSE)</f>
        <v xml:space="preserve">hr   </v>
      </c>
    </row>
    <row r="15" spans="1:5" x14ac:dyDescent="0.25">
      <c r="A15" s="56">
        <v>11.5</v>
      </c>
      <c r="B15" s="57" t="s">
        <v>58</v>
      </c>
      <c r="C15" s="58">
        <v>1</v>
      </c>
      <c r="D15" s="154" t="s">
        <v>733</v>
      </c>
      <c r="E15" s="59" t="str">
        <f>VLOOKUP(A15,Estimate!A:D,4,FALSE)</f>
        <v xml:space="preserve">m3   </v>
      </c>
    </row>
    <row r="16" spans="1:5" x14ac:dyDescent="0.25">
      <c r="A16" s="56">
        <v>12</v>
      </c>
      <c r="B16" s="57" t="s">
        <v>63</v>
      </c>
      <c r="C16" s="58">
        <v>1</v>
      </c>
      <c r="D16" s="154" t="s">
        <v>733</v>
      </c>
      <c r="E16" s="59" t="str">
        <f>VLOOKUP(A16,Estimate!A:D,4,FALSE)</f>
        <v xml:space="preserve">m3   </v>
      </c>
    </row>
    <row r="17" spans="1:5" x14ac:dyDescent="0.25">
      <c r="A17" s="56">
        <v>13</v>
      </c>
      <c r="B17" s="57" t="s">
        <v>67</v>
      </c>
      <c r="C17" s="58">
        <v>66</v>
      </c>
      <c r="D17" s="154" t="s">
        <v>733</v>
      </c>
      <c r="E17" s="59" t="str">
        <f>VLOOKUP(A17,Estimate!A:D,4,FALSE)</f>
        <v xml:space="preserve">m    </v>
      </c>
    </row>
    <row r="18" spans="1:5" x14ac:dyDescent="0.25">
      <c r="A18" s="56">
        <v>13.01</v>
      </c>
      <c r="B18" s="57" t="s">
        <v>70</v>
      </c>
      <c r="C18" s="58">
        <v>45</v>
      </c>
      <c r="D18" s="154" t="s">
        <v>508</v>
      </c>
      <c r="E18" s="59" t="str">
        <f>VLOOKUP(A18,Estimate!A:D,4,FALSE)</f>
        <v xml:space="preserve">hr   </v>
      </c>
    </row>
    <row r="19" spans="1:5" x14ac:dyDescent="0.25">
      <c r="A19" s="56">
        <v>14</v>
      </c>
      <c r="B19" s="57" t="s">
        <v>72</v>
      </c>
      <c r="C19" s="58">
        <v>377</v>
      </c>
      <c r="D19" s="154" t="s">
        <v>733</v>
      </c>
      <c r="E19" s="59" t="str">
        <f>VLOOKUP(A19,Estimate!A:D,4,FALSE)</f>
        <v xml:space="preserve">m    </v>
      </c>
    </row>
    <row r="20" spans="1:5" x14ac:dyDescent="0.25">
      <c r="A20" s="56">
        <v>14.01</v>
      </c>
      <c r="B20" s="57" t="s">
        <v>70</v>
      </c>
      <c r="C20" s="58">
        <v>45</v>
      </c>
      <c r="D20" s="154" t="s">
        <v>508</v>
      </c>
      <c r="E20" s="59" t="str">
        <f>VLOOKUP(A20,Estimate!A:D,4,FALSE)</f>
        <v xml:space="preserve">hr   </v>
      </c>
    </row>
    <row r="21" spans="1:5" x14ac:dyDescent="0.25">
      <c r="A21" s="56">
        <v>15</v>
      </c>
      <c r="B21" s="57" t="s">
        <v>74</v>
      </c>
      <c r="C21" s="58">
        <v>1</v>
      </c>
      <c r="D21" s="154" t="s">
        <v>733</v>
      </c>
      <c r="E21" s="59" t="str">
        <f>VLOOKUP(A21,Estimate!A:D,4,FALSE)</f>
        <v xml:space="preserve">each </v>
      </c>
    </row>
    <row r="22" spans="1:5" x14ac:dyDescent="0.25">
      <c r="A22" s="56">
        <v>16</v>
      </c>
      <c r="B22" s="57" t="s">
        <v>77</v>
      </c>
      <c r="C22" s="58">
        <v>8</v>
      </c>
      <c r="D22" s="154" t="s">
        <v>733</v>
      </c>
      <c r="E22" s="59" t="str">
        <f>VLOOKUP(A22,Estimate!A:D,4,FALSE)</f>
        <v xml:space="preserve">each </v>
      </c>
    </row>
    <row r="23" spans="1:5" x14ac:dyDescent="0.25">
      <c r="A23" s="56">
        <v>17</v>
      </c>
      <c r="B23" s="57" t="s">
        <v>80</v>
      </c>
      <c r="C23" s="58">
        <v>1</v>
      </c>
      <c r="D23" s="154" t="s">
        <v>733</v>
      </c>
      <c r="E23" s="59" t="str">
        <f>VLOOKUP(A23,Estimate!A:D,4,FALSE)</f>
        <v xml:space="preserve">each </v>
      </c>
    </row>
    <row r="24" spans="1:5" x14ac:dyDescent="0.25">
      <c r="A24" s="56">
        <v>18</v>
      </c>
      <c r="B24" s="57" t="s">
        <v>82</v>
      </c>
      <c r="C24" s="58">
        <v>1</v>
      </c>
      <c r="D24" s="154" t="s">
        <v>733</v>
      </c>
      <c r="E24" s="59" t="str">
        <f>VLOOKUP(A24,Estimate!A:D,4,FALSE)</f>
        <v xml:space="preserve">each </v>
      </c>
    </row>
    <row r="25" spans="1:5" x14ac:dyDescent="0.25">
      <c r="A25" s="56">
        <v>19</v>
      </c>
      <c r="B25" s="57" t="s">
        <v>86</v>
      </c>
      <c r="C25" s="58">
        <v>390</v>
      </c>
      <c r="D25" s="154" t="s">
        <v>733</v>
      </c>
      <c r="E25" s="59" t="str">
        <f>VLOOKUP(A25,Estimate!A:D,4,FALSE)</f>
        <v xml:space="preserve">m    </v>
      </c>
    </row>
    <row r="26" spans="1:5" x14ac:dyDescent="0.25">
      <c r="A26" s="56">
        <v>19.009999999999998</v>
      </c>
      <c r="B26" s="57" t="s">
        <v>32</v>
      </c>
      <c r="C26" s="58">
        <v>7.2222222222222223</v>
      </c>
      <c r="D26" s="154" t="s">
        <v>508</v>
      </c>
      <c r="E26" s="59" t="str">
        <f>VLOOKUP(A26,Estimate!A:D,4,FALSE)</f>
        <v xml:space="preserve">hr   </v>
      </c>
    </row>
    <row r="27" spans="1:5" x14ac:dyDescent="0.25">
      <c r="A27" s="56">
        <v>20</v>
      </c>
      <c r="B27" s="57" t="s">
        <v>93</v>
      </c>
      <c r="C27" s="58">
        <v>188</v>
      </c>
      <c r="D27" s="154" t="s">
        <v>733</v>
      </c>
      <c r="E27" s="59" t="str">
        <f>VLOOKUP(A27,Estimate!A:D,4,FALSE)</f>
        <v xml:space="preserve">m2   </v>
      </c>
    </row>
    <row r="28" spans="1:5" x14ac:dyDescent="0.25">
      <c r="A28" s="56">
        <v>20.010000000000002</v>
      </c>
      <c r="B28" s="57" t="s">
        <v>102</v>
      </c>
      <c r="C28" s="58">
        <v>50</v>
      </c>
      <c r="D28" s="154" t="s">
        <v>508</v>
      </c>
      <c r="E28" s="59" t="str">
        <f>VLOOKUP(A28,Estimate!A:D,4,FALSE)</f>
        <v xml:space="preserve">hr   </v>
      </c>
    </row>
    <row r="29" spans="1:5" x14ac:dyDescent="0.25">
      <c r="A29" s="56">
        <v>21</v>
      </c>
      <c r="B29" s="57" t="s">
        <v>106</v>
      </c>
      <c r="C29" s="58">
        <v>38.1</v>
      </c>
      <c r="D29" s="154" t="s">
        <v>733</v>
      </c>
      <c r="E29" s="59" t="str">
        <f>VLOOKUP(A29,Estimate!A:D,4,FALSE)</f>
        <v xml:space="preserve">m2   </v>
      </c>
    </row>
    <row r="30" spans="1:5" x14ac:dyDescent="0.25">
      <c r="A30" s="56">
        <v>21.01</v>
      </c>
      <c r="B30" s="57" t="s">
        <v>102</v>
      </c>
      <c r="C30" s="58">
        <v>50</v>
      </c>
      <c r="D30" s="154" t="s">
        <v>508</v>
      </c>
      <c r="E30" s="59" t="str">
        <f>VLOOKUP(A30,Estimate!A:D,4,FALSE)</f>
        <v xml:space="preserve">hr   </v>
      </c>
    </row>
    <row r="31" spans="1:5" x14ac:dyDescent="0.25">
      <c r="A31" s="56">
        <v>22</v>
      </c>
      <c r="B31" s="57" t="s">
        <v>108</v>
      </c>
      <c r="C31" s="58">
        <v>240</v>
      </c>
      <c r="D31" s="154" t="s">
        <v>733</v>
      </c>
      <c r="E31" s="59" t="str">
        <f>VLOOKUP(A31,Estimate!A:D,4,FALSE)</f>
        <v xml:space="preserve">m2   </v>
      </c>
    </row>
    <row r="32" spans="1:5" x14ac:dyDescent="0.25">
      <c r="A32" s="56">
        <v>22.01</v>
      </c>
      <c r="B32" s="57" t="s">
        <v>102</v>
      </c>
      <c r="C32" s="58">
        <v>50</v>
      </c>
      <c r="D32" s="154" t="s">
        <v>508</v>
      </c>
      <c r="E32" s="59" t="str">
        <f>VLOOKUP(A32,Estimate!A:D,4,FALSE)</f>
        <v xml:space="preserve">hr   </v>
      </c>
    </row>
    <row r="33" spans="1:5" x14ac:dyDescent="0.25">
      <c r="A33" s="56">
        <v>23</v>
      </c>
      <c r="B33" s="57" t="s">
        <v>114</v>
      </c>
      <c r="C33" s="58">
        <v>677</v>
      </c>
      <c r="D33" s="154" t="s">
        <v>733</v>
      </c>
      <c r="E33" s="59" t="str">
        <f>VLOOKUP(A33,Estimate!A:D,4,FALSE)</f>
        <v xml:space="preserve">m2   </v>
      </c>
    </row>
    <row r="34" spans="1:5" x14ac:dyDescent="0.25">
      <c r="A34" s="56">
        <v>23.01</v>
      </c>
      <c r="B34" s="57" t="s">
        <v>32</v>
      </c>
      <c r="C34" s="58">
        <v>7.2220000000000004</v>
      </c>
      <c r="D34" s="154" t="s">
        <v>508</v>
      </c>
      <c r="E34" s="59" t="str">
        <f>VLOOKUP(A34,Estimate!A:D,4,FALSE)</f>
        <v xml:space="preserve">hr   </v>
      </c>
    </row>
    <row r="35" spans="1:5" x14ac:dyDescent="0.25">
      <c r="A35" s="56">
        <v>23.02</v>
      </c>
      <c r="B35" s="57" t="s">
        <v>102</v>
      </c>
      <c r="C35" s="58">
        <v>10</v>
      </c>
      <c r="D35" s="154" t="s">
        <v>508</v>
      </c>
      <c r="E35" s="59" t="str">
        <f>VLOOKUP(A35,Estimate!A:D,4,FALSE)</f>
        <v xml:space="preserve">hr   </v>
      </c>
    </row>
    <row r="36" spans="1:5" x14ac:dyDescent="0.25">
      <c r="A36" s="56">
        <v>23.03</v>
      </c>
      <c r="B36" s="57" t="s">
        <v>102</v>
      </c>
      <c r="C36" s="58">
        <v>15</v>
      </c>
      <c r="D36" s="154" t="s">
        <v>508</v>
      </c>
      <c r="E36" s="59" t="str">
        <f>VLOOKUP(A36,Estimate!A:D,4,FALSE)</f>
        <v xml:space="preserve">hr   </v>
      </c>
    </row>
    <row r="37" spans="1:5" x14ac:dyDescent="0.25">
      <c r="A37" s="56">
        <v>24</v>
      </c>
      <c r="B37" s="57" t="s">
        <v>133</v>
      </c>
      <c r="C37" s="58">
        <v>380</v>
      </c>
      <c r="D37" s="154" t="s">
        <v>733</v>
      </c>
      <c r="E37" s="59" t="str">
        <f>VLOOKUP(A37,Estimate!A:D,4,FALSE)</f>
        <v xml:space="preserve">m3   </v>
      </c>
    </row>
    <row r="38" spans="1:5" x14ac:dyDescent="0.25">
      <c r="A38" s="56">
        <v>24.01</v>
      </c>
      <c r="B38" s="57" t="s">
        <v>70</v>
      </c>
      <c r="C38" s="58">
        <v>150</v>
      </c>
      <c r="D38" s="154" t="s">
        <v>508</v>
      </c>
      <c r="E38" s="59" t="str">
        <f>VLOOKUP(A38,Estimate!A:D,4,FALSE)</f>
        <v xml:space="preserve">hr   </v>
      </c>
    </row>
    <row r="39" spans="1:5" x14ac:dyDescent="0.25">
      <c r="A39" s="56">
        <v>25</v>
      </c>
      <c r="B39" s="57" t="s">
        <v>138</v>
      </c>
      <c r="C39" s="58">
        <v>1000</v>
      </c>
      <c r="D39" s="154" t="s">
        <v>733</v>
      </c>
      <c r="E39" s="59" t="str">
        <f>VLOOKUP(A39,Estimate!A:D,4,FALSE)</f>
        <v xml:space="preserve">m3   </v>
      </c>
    </row>
    <row r="40" spans="1:5" x14ac:dyDescent="0.25">
      <c r="A40" s="56">
        <v>25.01</v>
      </c>
      <c r="B40" s="57" t="s">
        <v>139</v>
      </c>
      <c r="C40" s="58">
        <v>62</v>
      </c>
      <c r="D40" s="154" t="s">
        <v>508</v>
      </c>
      <c r="E40" s="59" t="str">
        <f>VLOOKUP(A40,Estimate!A:D,4,FALSE)</f>
        <v xml:space="preserve">hr   </v>
      </c>
    </row>
    <row r="41" spans="1:5" x14ac:dyDescent="0.25">
      <c r="A41" s="56">
        <v>26</v>
      </c>
      <c r="B41" s="57" t="s">
        <v>144</v>
      </c>
      <c r="C41" s="58">
        <v>9000</v>
      </c>
      <c r="D41" s="154" t="s">
        <v>733</v>
      </c>
      <c r="E41" s="59" t="str">
        <f>VLOOKUP(A41,Estimate!A:D,4,FALSE)</f>
        <v xml:space="preserve">m2   </v>
      </c>
    </row>
    <row r="42" spans="1:5" x14ac:dyDescent="0.25">
      <c r="A42" s="56">
        <v>26.01</v>
      </c>
      <c r="B42" s="57" t="s">
        <v>70</v>
      </c>
      <c r="C42" s="58">
        <v>350</v>
      </c>
      <c r="D42" s="154" t="s">
        <v>508</v>
      </c>
      <c r="E42" s="59" t="str">
        <f>VLOOKUP(A42,Estimate!A:D,4,FALSE)</f>
        <v xml:space="preserve">hr   </v>
      </c>
    </row>
    <row r="43" spans="1:5" x14ac:dyDescent="0.25">
      <c r="A43" s="56">
        <v>27</v>
      </c>
      <c r="B43" s="57" t="s">
        <v>149</v>
      </c>
      <c r="C43" s="58">
        <v>125</v>
      </c>
      <c r="D43" s="154" t="s">
        <v>733</v>
      </c>
      <c r="E43" s="59" t="str">
        <f>VLOOKUP(A43,Estimate!A:D,4,FALSE)</f>
        <v xml:space="preserve">m3   </v>
      </c>
    </row>
    <row r="44" spans="1:5" x14ac:dyDescent="0.25">
      <c r="A44" s="56">
        <v>27.01</v>
      </c>
      <c r="B44" s="57" t="s">
        <v>70</v>
      </c>
      <c r="C44" s="58">
        <v>44.444444444444443</v>
      </c>
      <c r="D44" s="154" t="s">
        <v>508</v>
      </c>
      <c r="E44" s="59" t="str">
        <f>VLOOKUP(A44,Estimate!A:D,4,FALSE)</f>
        <v xml:space="preserve">hr   </v>
      </c>
    </row>
    <row r="45" spans="1:5" x14ac:dyDescent="0.25">
      <c r="A45" s="56">
        <v>27.02</v>
      </c>
      <c r="B45" s="57" t="s">
        <v>70</v>
      </c>
      <c r="C45" s="58">
        <v>150</v>
      </c>
      <c r="D45" s="154" t="s">
        <v>508</v>
      </c>
      <c r="E45" s="59" t="str">
        <f>VLOOKUP(A45,Estimate!A:D,4,FALSE)</f>
        <v xml:space="preserve">hr   </v>
      </c>
    </row>
    <row r="46" spans="1:5" x14ac:dyDescent="0.25">
      <c r="A46" s="56">
        <v>28</v>
      </c>
      <c r="B46" s="57" t="s">
        <v>156</v>
      </c>
      <c r="C46" s="58">
        <v>190</v>
      </c>
      <c r="D46" s="154" t="s">
        <v>733</v>
      </c>
      <c r="E46" s="59" t="str">
        <f>VLOOKUP(A46,Estimate!A:D,4,FALSE)</f>
        <v xml:space="preserve">m3   </v>
      </c>
    </row>
    <row r="47" spans="1:5" x14ac:dyDescent="0.25">
      <c r="A47" s="56">
        <v>28.01</v>
      </c>
      <c r="B47" s="57" t="s">
        <v>70</v>
      </c>
      <c r="C47" s="58">
        <v>44.444000000000003</v>
      </c>
      <c r="D47" s="154" t="s">
        <v>508</v>
      </c>
      <c r="E47" s="59" t="str">
        <f>VLOOKUP(A47,Estimate!A:D,4,FALSE)</f>
        <v xml:space="preserve">hr   </v>
      </c>
    </row>
    <row r="48" spans="1:5" x14ac:dyDescent="0.25">
      <c r="A48" s="56">
        <v>28.02</v>
      </c>
      <c r="B48" s="57" t="s">
        <v>70</v>
      </c>
      <c r="C48" s="58">
        <v>170</v>
      </c>
      <c r="D48" s="154" t="s">
        <v>508</v>
      </c>
      <c r="E48" s="59" t="str">
        <f>VLOOKUP(A48,Estimate!A:D,4,FALSE)</f>
        <v xml:space="preserve">hr   </v>
      </c>
    </row>
    <row r="49" spans="1:5" x14ac:dyDescent="0.25">
      <c r="A49" s="56">
        <v>29</v>
      </c>
      <c r="B49" s="57" t="s">
        <v>158</v>
      </c>
      <c r="C49" s="58">
        <v>36</v>
      </c>
      <c r="D49" s="154" t="s">
        <v>733</v>
      </c>
      <c r="E49" s="59" t="str">
        <f>VLOOKUP(A49,Estimate!A:D,4,FALSE)</f>
        <v xml:space="preserve">m3   </v>
      </c>
    </row>
    <row r="50" spans="1:5" x14ac:dyDescent="0.25">
      <c r="A50" s="56">
        <v>29.01</v>
      </c>
      <c r="B50" s="57" t="s">
        <v>70</v>
      </c>
      <c r="C50" s="58">
        <v>33.332999999999998</v>
      </c>
      <c r="D50" s="154" t="s">
        <v>508</v>
      </c>
      <c r="E50" s="59" t="str">
        <f>VLOOKUP(A50,Estimate!A:D,4,FALSE)</f>
        <v xml:space="preserve">hr   </v>
      </c>
    </row>
    <row r="51" spans="1:5" x14ac:dyDescent="0.25">
      <c r="A51" s="56">
        <v>29.02</v>
      </c>
      <c r="B51" s="57" t="s">
        <v>70</v>
      </c>
      <c r="C51" s="58">
        <v>50</v>
      </c>
      <c r="D51" s="154" t="s">
        <v>508</v>
      </c>
      <c r="E51" s="59" t="str">
        <f>VLOOKUP(A51,Estimate!A:D,4,FALSE)</f>
        <v xml:space="preserve">hr   </v>
      </c>
    </row>
    <row r="52" spans="1:5" x14ac:dyDescent="0.25">
      <c r="A52" s="56">
        <v>30</v>
      </c>
      <c r="B52" s="57" t="s">
        <v>162</v>
      </c>
      <c r="C52" s="58">
        <v>955</v>
      </c>
      <c r="D52" s="154" t="s">
        <v>733</v>
      </c>
      <c r="E52" s="59" t="str">
        <f>VLOOKUP(A52,Estimate!A:D,4,FALSE)</f>
        <v xml:space="preserve">m2   </v>
      </c>
    </row>
    <row r="53" spans="1:5" x14ac:dyDescent="0.25">
      <c r="A53" s="56">
        <v>31</v>
      </c>
      <c r="B53" s="57" t="s">
        <v>167</v>
      </c>
      <c r="C53" s="58">
        <v>80</v>
      </c>
      <c r="D53" s="154" t="s">
        <v>733</v>
      </c>
      <c r="E53" s="59" t="str">
        <f>VLOOKUP(A53,Estimate!A:D,4,FALSE)</f>
        <v>tonne</v>
      </c>
    </row>
    <row r="54" spans="1:5" x14ac:dyDescent="0.25">
      <c r="A54" s="56">
        <v>32</v>
      </c>
      <c r="B54" s="57" t="s">
        <v>174</v>
      </c>
      <c r="C54" s="58">
        <v>1</v>
      </c>
      <c r="D54" s="154" t="s">
        <v>733</v>
      </c>
      <c r="E54" s="59" t="str">
        <f>VLOOKUP(A54,Estimate!A:D,4,FALSE)</f>
        <v xml:space="preserve">Item </v>
      </c>
    </row>
    <row r="55" spans="1:5" x14ac:dyDescent="0.25">
      <c r="A55" s="56">
        <v>33</v>
      </c>
      <c r="B55" s="57" t="s">
        <v>186</v>
      </c>
      <c r="C55" s="58">
        <v>1</v>
      </c>
      <c r="D55" s="154" t="s">
        <v>733</v>
      </c>
      <c r="E55" s="59" t="str">
        <f>VLOOKUP(A55,Estimate!A:D,4,FALSE)</f>
        <v xml:space="preserve">Lump </v>
      </c>
    </row>
    <row r="56" spans="1:5" x14ac:dyDescent="0.25">
      <c r="A56" s="56">
        <v>34</v>
      </c>
      <c r="B56" s="57" t="s">
        <v>189</v>
      </c>
      <c r="C56" s="58">
        <v>1</v>
      </c>
      <c r="D56" s="154" t="s">
        <v>733</v>
      </c>
      <c r="E56" s="59" t="str">
        <f>VLOOKUP(A56,Estimate!A:D,4,FALSE)</f>
        <v xml:space="preserve">Lump </v>
      </c>
    </row>
    <row r="57" spans="1:5" x14ac:dyDescent="0.25">
      <c r="A57" s="56">
        <v>35</v>
      </c>
      <c r="B57" s="57" t="s">
        <v>191</v>
      </c>
      <c r="C57" s="58">
        <v>1</v>
      </c>
      <c r="D57" s="154" t="s">
        <v>733</v>
      </c>
      <c r="E57" s="59" t="str">
        <f>VLOOKUP(A57,Estimate!A:D,4,FALSE)</f>
        <v xml:space="preserve">Lump </v>
      </c>
    </row>
    <row r="58" spans="1:5" x14ac:dyDescent="0.25">
      <c r="A58" s="56">
        <v>36</v>
      </c>
      <c r="B58" s="57" t="s">
        <v>200</v>
      </c>
      <c r="C58" s="58">
        <v>253</v>
      </c>
      <c r="D58" s="154" t="s">
        <v>733</v>
      </c>
      <c r="E58" s="59" t="str">
        <f>VLOOKUP(A58,Estimate!A:D,4,FALSE)</f>
        <v xml:space="preserve">m    </v>
      </c>
    </row>
    <row r="59" spans="1:5" x14ac:dyDescent="0.25">
      <c r="A59" s="56">
        <v>37</v>
      </c>
      <c r="B59" s="57" t="s">
        <v>200</v>
      </c>
      <c r="C59" s="58">
        <v>6</v>
      </c>
      <c r="D59" s="154" t="s">
        <v>733</v>
      </c>
      <c r="E59" s="59" t="str">
        <f>VLOOKUP(A59,Estimate!A:D,4,FALSE)</f>
        <v xml:space="preserve">Each </v>
      </c>
    </row>
    <row r="60" spans="1:5" x14ac:dyDescent="0.25">
      <c r="A60" s="56">
        <v>38</v>
      </c>
      <c r="B60" s="57" t="s">
        <v>208</v>
      </c>
      <c r="C60" s="58">
        <v>2</v>
      </c>
      <c r="D60" s="154" t="s">
        <v>733</v>
      </c>
      <c r="E60" s="59" t="str">
        <f>VLOOKUP(A60,Estimate!A:D,4,FALSE)</f>
        <v xml:space="preserve">Each </v>
      </c>
    </row>
    <row r="61" spans="1:5" x14ac:dyDescent="0.25">
      <c r="A61" s="56">
        <v>39</v>
      </c>
      <c r="B61" s="57" t="s">
        <v>210</v>
      </c>
      <c r="C61" s="58">
        <v>3</v>
      </c>
      <c r="D61" s="154" t="s">
        <v>733</v>
      </c>
      <c r="E61" s="59" t="str">
        <f>VLOOKUP(A61,Estimate!A:D,4,FALSE)</f>
        <v xml:space="preserve">Each </v>
      </c>
    </row>
    <row r="62" spans="1:5" x14ac:dyDescent="0.25">
      <c r="A62" s="56">
        <v>40</v>
      </c>
      <c r="B62" s="57" t="s">
        <v>212</v>
      </c>
      <c r="C62" s="58">
        <v>2</v>
      </c>
      <c r="D62" s="154" t="s">
        <v>733</v>
      </c>
      <c r="E62" s="59" t="str">
        <f>VLOOKUP(A62,Estimate!A:D,4,FALSE)</f>
        <v xml:space="preserve">Each </v>
      </c>
    </row>
    <row r="63" spans="1:5" x14ac:dyDescent="0.25">
      <c r="A63" s="56">
        <v>41</v>
      </c>
      <c r="B63" s="57" t="s">
        <v>216</v>
      </c>
      <c r="C63" s="58">
        <v>3</v>
      </c>
      <c r="D63" s="154" t="s">
        <v>733</v>
      </c>
      <c r="E63" s="59" t="str">
        <f>VLOOKUP(A63,Estimate!A:D,4,FALSE)</f>
        <v xml:space="preserve">Each </v>
      </c>
    </row>
    <row r="64" spans="1:5" x14ac:dyDescent="0.25">
      <c r="A64" s="56">
        <v>42</v>
      </c>
      <c r="B64" s="57" t="s">
        <v>220</v>
      </c>
      <c r="C64" s="58">
        <v>2</v>
      </c>
      <c r="D64" s="154" t="s">
        <v>733</v>
      </c>
      <c r="E64" s="59" t="str">
        <f>VLOOKUP(A64,Estimate!A:D,4,FALSE)</f>
        <v xml:space="preserve">Each </v>
      </c>
    </row>
    <row r="65" spans="1:5" x14ac:dyDescent="0.25">
      <c r="A65" s="56">
        <v>43</v>
      </c>
      <c r="B65" s="57" t="s">
        <v>222</v>
      </c>
      <c r="C65" s="58">
        <v>2</v>
      </c>
      <c r="D65" s="154" t="s">
        <v>733</v>
      </c>
      <c r="E65" s="59" t="str">
        <f>VLOOKUP(A65,Estimate!A:D,4,FALSE)</f>
        <v xml:space="preserve">Each </v>
      </c>
    </row>
    <row r="66" spans="1:5" x14ac:dyDescent="0.25">
      <c r="A66" s="56">
        <v>44</v>
      </c>
      <c r="B66" s="57" t="s">
        <v>224</v>
      </c>
      <c r="C66" s="58">
        <v>2</v>
      </c>
      <c r="D66" s="154" t="s">
        <v>733</v>
      </c>
      <c r="E66" s="59" t="str">
        <f>VLOOKUP(A66,Estimate!A:D,4,FALSE)</f>
        <v xml:space="preserve">Each </v>
      </c>
    </row>
    <row r="67" spans="1:5" x14ac:dyDescent="0.25">
      <c r="A67" s="56">
        <v>45</v>
      </c>
      <c r="B67" s="57" t="s">
        <v>226</v>
      </c>
      <c r="C67" s="58">
        <v>2</v>
      </c>
      <c r="D67" s="154" t="s">
        <v>733</v>
      </c>
      <c r="E67" s="59" t="str">
        <f>VLOOKUP(A67,Estimate!A:D,4,FALSE)</f>
        <v xml:space="preserve">Each </v>
      </c>
    </row>
    <row r="68" spans="1:5" x14ac:dyDescent="0.25">
      <c r="A68" s="56">
        <v>46</v>
      </c>
      <c r="B68" s="57" t="s">
        <v>228</v>
      </c>
      <c r="C68" s="58">
        <v>2</v>
      </c>
      <c r="D68" s="154" t="s">
        <v>733</v>
      </c>
      <c r="E68" s="59" t="str">
        <f>VLOOKUP(A68,Estimate!A:D,4,FALSE)</f>
        <v xml:space="preserve">Each </v>
      </c>
    </row>
    <row r="69" spans="1:5" x14ac:dyDescent="0.25">
      <c r="A69" s="56">
        <v>47</v>
      </c>
      <c r="B69" s="57" t="s">
        <v>232</v>
      </c>
      <c r="C69" s="58">
        <v>7</v>
      </c>
      <c r="D69" s="154" t="s">
        <v>733</v>
      </c>
      <c r="E69" s="59" t="str">
        <f>VLOOKUP(A69,Estimate!A:D,4,FALSE)</f>
        <v xml:space="preserve">Each </v>
      </c>
    </row>
    <row r="70" spans="1:5" x14ac:dyDescent="0.25">
      <c r="A70" s="56">
        <v>48</v>
      </c>
      <c r="B70" s="57" t="s">
        <v>236</v>
      </c>
      <c r="C70" s="58">
        <v>2</v>
      </c>
      <c r="D70" s="154" t="s">
        <v>733</v>
      </c>
      <c r="E70" s="59" t="str">
        <f>VLOOKUP(A70,Estimate!A:D,4,FALSE)</f>
        <v xml:space="preserve">Each </v>
      </c>
    </row>
    <row r="71" spans="1:5" x14ac:dyDescent="0.25">
      <c r="A71" s="56">
        <v>49</v>
      </c>
      <c r="B71" s="57" t="s">
        <v>240</v>
      </c>
      <c r="C71" s="58">
        <v>7</v>
      </c>
      <c r="D71" s="154" t="s">
        <v>733</v>
      </c>
      <c r="E71" s="59" t="str">
        <f>VLOOKUP(A71,Estimate!A:D,4,FALSE)</f>
        <v xml:space="preserve">Each </v>
      </c>
    </row>
    <row r="72" spans="1:5" x14ac:dyDescent="0.25">
      <c r="A72" s="56">
        <v>50</v>
      </c>
      <c r="B72" s="57" t="s">
        <v>242</v>
      </c>
      <c r="C72" s="58">
        <v>2</v>
      </c>
      <c r="D72" s="154" t="s">
        <v>733</v>
      </c>
      <c r="E72" s="59" t="str">
        <f>VLOOKUP(A72,Estimate!A:D,4,FALSE)</f>
        <v xml:space="preserve">Each </v>
      </c>
    </row>
    <row r="73" spans="1:5" x14ac:dyDescent="0.25">
      <c r="A73" s="56">
        <v>51</v>
      </c>
      <c r="B73" s="57" t="s">
        <v>244</v>
      </c>
      <c r="C73" s="58">
        <v>4</v>
      </c>
      <c r="D73" s="154" t="s">
        <v>733</v>
      </c>
      <c r="E73" s="59" t="str">
        <f>VLOOKUP(A73,Estimate!A:D,4,FALSE)</f>
        <v xml:space="preserve">Each </v>
      </c>
    </row>
    <row r="74" spans="1:5" x14ac:dyDescent="0.25">
      <c r="A74" s="56">
        <v>52</v>
      </c>
      <c r="B74" s="57" t="s">
        <v>246</v>
      </c>
      <c r="C74" s="58">
        <v>3</v>
      </c>
      <c r="D74" s="154" t="s">
        <v>733</v>
      </c>
      <c r="E74" s="59" t="str">
        <f>VLOOKUP(A74,Estimate!A:D,4,FALSE)</f>
        <v xml:space="preserve">Each </v>
      </c>
    </row>
    <row r="75" spans="1:5" x14ac:dyDescent="0.25">
      <c r="A75" s="56">
        <v>53</v>
      </c>
      <c r="B75" s="57" t="s">
        <v>200</v>
      </c>
      <c r="C75" s="58">
        <v>253</v>
      </c>
      <c r="D75" s="154" t="s">
        <v>733</v>
      </c>
      <c r="E75" s="59" t="str">
        <f>VLOOKUP(A75,Estimate!A:D,4,FALSE)</f>
        <v xml:space="preserve">m    </v>
      </c>
    </row>
    <row r="76" spans="1:5" x14ac:dyDescent="0.25">
      <c r="A76" s="56">
        <v>54</v>
      </c>
      <c r="B76" s="57" t="s">
        <v>250</v>
      </c>
      <c r="C76" s="58">
        <v>1</v>
      </c>
      <c r="D76" s="154" t="s">
        <v>733</v>
      </c>
      <c r="E76" s="59" t="str">
        <f>VLOOKUP(A76,Estimate!A:D,4,FALSE)</f>
        <v xml:space="preserve">item </v>
      </c>
    </row>
    <row r="77" spans="1:5" x14ac:dyDescent="0.25">
      <c r="A77" s="56">
        <v>55</v>
      </c>
      <c r="B77" s="57" t="s">
        <v>254</v>
      </c>
      <c r="C77" s="58">
        <v>253</v>
      </c>
      <c r="D77" s="154" t="s">
        <v>733</v>
      </c>
      <c r="E77" s="59" t="str">
        <f>VLOOKUP(A77,Estimate!A:D,4,FALSE)</f>
        <v xml:space="preserve">m    </v>
      </c>
    </row>
    <row r="78" spans="1:5" x14ac:dyDescent="0.25">
      <c r="A78" s="56">
        <v>56</v>
      </c>
      <c r="B78" s="57" t="s">
        <v>256</v>
      </c>
      <c r="C78" s="58">
        <v>25</v>
      </c>
      <c r="D78" s="154" t="s">
        <v>733</v>
      </c>
      <c r="E78" s="59" t="str">
        <f>VLOOKUP(A78,Estimate!A:D,4,FALSE)</f>
        <v xml:space="preserve">m³   </v>
      </c>
    </row>
    <row r="79" spans="1:5" x14ac:dyDescent="0.25">
      <c r="A79" s="56">
        <v>57</v>
      </c>
      <c r="B79" s="57" t="s">
        <v>258</v>
      </c>
      <c r="C79" s="58">
        <v>1</v>
      </c>
      <c r="D79" s="154" t="s">
        <v>733</v>
      </c>
      <c r="E79" s="59" t="str">
        <f>VLOOKUP(A79,Estimate!A:D,4,FALSE)</f>
        <v xml:space="preserve">Each </v>
      </c>
    </row>
    <row r="80" spans="1:5" x14ac:dyDescent="0.25">
      <c r="A80" s="56">
        <v>58</v>
      </c>
      <c r="B80" s="57" t="s">
        <v>260</v>
      </c>
      <c r="C80" s="58">
        <v>5</v>
      </c>
      <c r="D80" s="154" t="s">
        <v>733</v>
      </c>
      <c r="E80" s="59" t="str">
        <f>VLOOKUP(A80,Estimate!A:D,4,FALSE)</f>
        <v xml:space="preserve">m³   </v>
      </c>
    </row>
    <row r="81" spans="1:5" x14ac:dyDescent="0.25">
      <c r="A81" s="56">
        <v>59</v>
      </c>
      <c r="B81" s="57" t="s">
        <v>262</v>
      </c>
      <c r="C81" s="58">
        <v>1</v>
      </c>
      <c r="D81" s="154" t="s">
        <v>733</v>
      </c>
      <c r="E81" s="59" t="str">
        <f>VLOOKUP(A81,Estimate!A:D,4,FALSE)</f>
        <v xml:space="preserve">Lump </v>
      </c>
    </row>
    <row r="82" spans="1:5" x14ac:dyDescent="0.25">
      <c r="A82" s="56">
        <v>60</v>
      </c>
      <c r="B82" s="57" t="s">
        <v>264</v>
      </c>
      <c r="C82" s="58">
        <v>1</v>
      </c>
      <c r="D82" s="154" t="s">
        <v>733</v>
      </c>
      <c r="E82" s="59" t="str">
        <f>VLOOKUP(A82,Estimate!A:D,4,FALSE)</f>
        <v xml:space="preserve">Lump </v>
      </c>
    </row>
    <row r="83" spans="1:5" x14ac:dyDescent="0.25">
      <c r="A83" s="56">
        <v>61</v>
      </c>
      <c r="B83" s="57" t="s">
        <v>266</v>
      </c>
      <c r="C83" s="58">
        <v>1</v>
      </c>
      <c r="D83" s="154" t="s">
        <v>733</v>
      </c>
      <c r="E83" s="59" t="str">
        <f>VLOOKUP(A83,Estimate!A:D,4,FALSE)</f>
        <v xml:space="preserve">Lump </v>
      </c>
    </row>
    <row r="84" spans="1:5" x14ac:dyDescent="0.25">
      <c r="A84" s="56">
        <v>62</v>
      </c>
      <c r="B84" s="57" t="s">
        <v>274</v>
      </c>
      <c r="C84" s="58">
        <v>5.3</v>
      </c>
      <c r="D84" s="154" t="s">
        <v>733</v>
      </c>
      <c r="E84" s="59" t="str">
        <f>VLOOKUP(A84,Estimate!A:D,4,FALSE)</f>
        <v xml:space="preserve">m    </v>
      </c>
    </row>
    <row r="85" spans="1:5" x14ac:dyDescent="0.25">
      <c r="A85" s="56">
        <v>63</v>
      </c>
      <c r="B85" s="57" t="s">
        <v>278</v>
      </c>
      <c r="C85" s="58">
        <v>5.3</v>
      </c>
      <c r="D85" s="154" t="s">
        <v>733</v>
      </c>
      <c r="E85" s="59" t="str">
        <f>VLOOKUP(A85,Estimate!A:D,4,FALSE)</f>
        <v xml:space="preserve">m    </v>
      </c>
    </row>
    <row r="86" spans="1:5" x14ac:dyDescent="0.25">
      <c r="A86" s="56">
        <v>64</v>
      </c>
      <c r="B86" s="57" t="s">
        <v>274</v>
      </c>
      <c r="C86" s="58">
        <v>5.3</v>
      </c>
      <c r="D86" s="154" t="s">
        <v>733</v>
      </c>
      <c r="E86" s="59" t="str">
        <f>VLOOKUP(A86,Estimate!A:D,4,FALSE)</f>
        <v xml:space="preserve">m    </v>
      </c>
    </row>
    <row r="87" spans="1:5" x14ac:dyDescent="0.25">
      <c r="A87" s="56">
        <v>65</v>
      </c>
      <c r="B87" s="57" t="s">
        <v>282</v>
      </c>
      <c r="C87" s="58">
        <v>2</v>
      </c>
      <c r="D87" s="154" t="s">
        <v>733</v>
      </c>
      <c r="E87" s="59" t="str">
        <f>VLOOKUP(A87,Estimate!A:D,4,FALSE)</f>
        <v xml:space="preserve">m³   </v>
      </c>
    </row>
    <row r="88" spans="1:5" x14ac:dyDescent="0.25">
      <c r="A88" s="56">
        <v>66</v>
      </c>
      <c r="B88" s="57" t="s">
        <v>284</v>
      </c>
      <c r="C88" s="58">
        <v>20</v>
      </c>
      <c r="D88" s="154" t="s">
        <v>733</v>
      </c>
      <c r="E88" s="59" t="str">
        <f>VLOOKUP(A88,Estimate!A:D,4,FALSE)</f>
        <v xml:space="preserve">m³   </v>
      </c>
    </row>
    <row r="89" spans="1:5" x14ac:dyDescent="0.25">
      <c r="A89" s="56">
        <v>67</v>
      </c>
      <c r="B89" s="57" t="s">
        <v>288</v>
      </c>
      <c r="C89" s="58">
        <v>6</v>
      </c>
      <c r="D89" s="154" t="s">
        <v>733</v>
      </c>
      <c r="E89" s="59" t="str">
        <f>VLOOKUP(A89,Estimate!A:D,4,FALSE)</f>
        <v xml:space="preserve">m    </v>
      </c>
    </row>
    <row r="90" spans="1:5" x14ac:dyDescent="0.25">
      <c r="A90" s="56">
        <v>68</v>
      </c>
      <c r="B90" s="57" t="s">
        <v>292</v>
      </c>
      <c r="C90" s="58">
        <v>1</v>
      </c>
      <c r="D90" s="154" t="s">
        <v>733</v>
      </c>
      <c r="E90" s="59" t="str">
        <f>VLOOKUP(A90,Estimate!A:D,4,FALSE)</f>
        <v xml:space="preserve">Each </v>
      </c>
    </row>
    <row r="91" spans="1:5" x14ac:dyDescent="0.25">
      <c r="A91" s="56">
        <v>69</v>
      </c>
      <c r="B91" s="57" t="s">
        <v>296</v>
      </c>
      <c r="C91" s="58">
        <v>133</v>
      </c>
      <c r="D91" s="154" t="s">
        <v>733</v>
      </c>
      <c r="E91" s="59" t="str">
        <f>VLOOKUP(A91,Estimate!A:D,4,FALSE)</f>
        <v xml:space="preserve">m    </v>
      </c>
    </row>
    <row r="92" spans="1:5" x14ac:dyDescent="0.25">
      <c r="A92" s="56">
        <v>70</v>
      </c>
      <c r="B92" s="57" t="s">
        <v>298</v>
      </c>
      <c r="C92" s="58">
        <v>237</v>
      </c>
      <c r="D92" s="154" t="s">
        <v>733</v>
      </c>
      <c r="E92" s="59" t="str">
        <f>VLOOKUP(A92,Estimate!A:D,4,FALSE)</f>
        <v xml:space="preserve">m    </v>
      </c>
    </row>
    <row r="93" spans="1:5" x14ac:dyDescent="0.25">
      <c r="A93" s="56">
        <v>71</v>
      </c>
      <c r="B93" s="57" t="s">
        <v>296</v>
      </c>
      <c r="C93" s="58">
        <v>133</v>
      </c>
      <c r="D93" s="154" t="s">
        <v>733</v>
      </c>
      <c r="E93" s="59" t="str">
        <f>VLOOKUP(A93,Estimate!A:D,4,FALSE)</f>
        <v xml:space="preserve">m    </v>
      </c>
    </row>
    <row r="94" spans="1:5" x14ac:dyDescent="0.25">
      <c r="A94" s="56">
        <v>72</v>
      </c>
      <c r="B94" s="57" t="s">
        <v>298</v>
      </c>
      <c r="C94" s="58">
        <v>237</v>
      </c>
      <c r="D94" s="154" t="s">
        <v>733</v>
      </c>
      <c r="E94" s="59" t="str">
        <f>VLOOKUP(A94,Estimate!A:D,4,FALSE)</f>
        <v xml:space="preserve">m    </v>
      </c>
    </row>
    <row r="95" spans="1:5" x14ac:dyDescent="0.25">
      <c r="A95" s="56">
        <v>73</v>
      </c>
      <c r="B95" s="57" t="s">
        <v>304</v>
      </c>
      <c r="C95" s="58">
        <v>22</v>
      </c>
      <c r="D95" s="154" t="s">
        <v>733</v>
      </c>
      <c r="E95" s="59" t="str">
        <f>VLOOKUP(A95,Estimate!A:D,4,FALSE)</f>
        <v xml:space="preserve">Each </v>
      </c>
    </row>
    <row r="96" spans="1:5" x14ac:dyDescent="0.25">
      <c r="A96" s="56">
        <v>74</v>
      </c>
      <c r="B96" s="57" t="s">
        <v>306</v>
      </c>
      <c r="C96" s="58">
        <v>1</v>
      </c>
      <c r="D96" s="154" t="s">
        <v>733</v>
      </c>
      <c r="E96" s="59" t="str">
        <f>VLOOKUP(A96,Estimate!A:D,4,FALSE)</f>
        <v xml:space="preserve">Each </v>
      </c>
    </row>
    <row r="97" spans="1:5" x14ac:dyDescent="0.25">
      <c r="A97" s="56">
        <v>75</v>
      </c>
      <c r="B97" s="57" t="s">
        <v>308</v>
      </c>
      <c r="C97" s="58">
        <v>2</v>
      </c>
      <c r="D97" s="154" t="s">
        <v>733</v>
      </c>
      <c r="E97" s="59" t="str">
        <f>VLOOKUP(A97,Estimate!A:D,4,FALSE)</f>
        <v xml:space="preserve">Each </v>
      </c>
    </row>
    <row r="98" spans="1:5" x14ac:dyDescent="0.25">
      <c r="A98" s="56">
        <v>76</v>
      </c>
      <c r="B98" s="57" t="s">
        <v>310</v>
      </c>
      <c r="C98" s="58">
        <v>370</v>
      </c>
      <c r="D98" s="154" t="s">
        <v>733</v>
      </c>
      <c r="E98" s="59" t="str">
        <f>VLOOKUP(A98,Estimate!A:D,4,FALSE)</f>
        <v xml:space="preserve">m    </v>
      </c>
    </row>
    <row r="99" spans="1:5" x14ac:dyDescent="0.25">
      <c r="A99" s="56">
        <v>77</v>
      </c>
      <c r="B99" s="57" t="s">
        <v>312</v>
      </c>
      <c r="C99" s="58">
        <v>5</v>
      </c>
      <c r="D99" s="154" t="s">
        <v>733</v>
      </c>
      <c r="E99" s="59" t="str">
        <f>VLOOKUP(A99,Estimate!A:D,4,FALSE)</f>
        <v xml:space="preserve">m³   </v>
      </c>
    </row>
    <row r="100" spans="1:5" x14ac:dyDescent="0.25">
      <c r="A100" s="56">
        <v>78</v>
      </c>
      <c r="B100" s="57" t="s">
        <v>314</v>
      </c>
      <c r="C100" s="58">
        <v>1</v>
      </c>
      <c r="D100" s="154" t="s">
        <v>733</v>
      </c>
      <c r="E100" s="59" t="str">
        <f>VLOOKUP(A100,Estimate!A:D,4,FALSE)</f>
        <v xml:space="preserve">Lump </v>
      </c>
    </row>
    <row r="101" spans="1:5" x14ac:dyDescent="0.25">
      <c r="A101" s="56">
        <v>79</v>
      </c>
      <c r="B101" s="57" t="s">
        <v>316</v>
      </c>
      <c r="C101" s="58">
        <v>1</v>
      </c>
      <c r="D101" s="154" t="s">
        <v>733</v>
      </c>
      <c r="E101" s="59" t="str">
        <f>VLOOKUP(A101,Estimate!A:D,4,FALSE)</f>
        <v xml:space="preserve">Lump </v>
      </c>
    </row>
    <row r="102" spans="1:5" x14ac:dyDescent="0.25">
      <c r="A102" s="56">
        <v>80</v>
      </c>
      <c r="B102" s="57" t="s">
        <v>320</v>
      </c>
      <c r="C102" s="58">
        <v>445</v>
      </c>
      <c r="D102" s="154" t="s">
        <v>733</v>
      </c>
      <c r="E102" s="59" t="str">
        <f>VLOOKUP(A102,Estimate!A:D,4,FALSE)</f>
        <v xml:space="preserve">m    </v>
      </c>
    </row>
    <row r="103" spans="1:5" x14ac:dyDescent="0.25">
      <c r="A103" s="56">
        <v>80.010000000000005</v>
      </c>
      <c r="B103" s="57" t="s">
        <v>32</v>
      </c>
      <c r="C103" s="58">
        <v>6.8419999999999996</v>
      </c>
      <c r="D103" s="154" t="s">
        <v>508</v>
      </c>
      <c r="E103" s="59" t="str">
        <f>VLOOKUP(A103,Estimate!A:D,4,FALSE)</f>
        <v xml:space="preserve">hr   </v>
      </c>
    </row>
    <row r="104" spans="1:5" x14ac:dyDescent="0.25">
      <c r="A104" s="56">
        <v>81</v>
      </c>
      <c r="B104" s="57" t="s">
        <v>326</v>
      </c>
      <c r="C104" s="58">
        <v>79</v>
      </c>
      <c r="D104" s="154" t="s">
        <v>733</v>
      </c>
      <c r="E104" s="59" t="str">
        <f>VLOOKUP(A104,Estimate!A:D,4,FALSE)</f>
        <v xml:space="preserve">m    </v>
      </c>
    </row>
    <row r="105" spans="1:5" x14ac:dyDescent="0.25">
      <c r="A105" s="56">
        <v>82</v>
      </c>
      <c r="B105" s="57" t="s">
        <v>331</v>
      </c>
      <c r="C105" s="58">
        <v>16</v>
      </c>
      <c r="D105" s="154" t="s">
        <v>733</v>
      </c>
      <c r="E105" s="59" t="str">
        <f>VLOOKUP(A105,Estimate!A:D,4,FALSE)</f>
        <v xml:space="preserve">m    </v>
      </c>
    </row>
    <row r="106" spans="1:5" x14ac:dyDescent="0.25">
      <c r="A106" s="56">
        <v>83</v>
      </c>
      <c r="B106" s="57" t="s">
        <v>333</v>
      </c>
      <c r="C106" s="58">
        <v>300</v>
      </c>
      <c r="D106" s="154" t="s">
        <v>733</v>
      </c>
      <c r="E106" s="59" t="str">
        <f>VLOOKUP(A106,Estimate!A:D,4,FALSE)</f>
        <v xml:space="preserve">m    </v>
      </c>
    </row>
    <row r="107" spans="1:5" x14ac:dyDescent="0.25">
      <c r="A107" s="56">
        <v>84</v>
      </c>
      <c r="B107" s="57" t="s">
        <v>335</v>
      </c>
      <c r="C107" s="58">
        <v>35</v>
      </c>
      <c r="D107" s="154" t="s">
        <v>733</v>
      </c>
      <c r="E107" s="59" t="str">
        <f>VLOOKUP(A107,Estimate!A:D,4,FALSE)</f>
        <v xml:space="preserve">m    </v>
      </c>
    </row>
    <row r="108" spans="1:5" x14ac:dyDescent="0.25">
      <c r="A108" s="56">
        <v>85</v>
      </c>
      <c r="B108" s="57" t="s">
        <v>337</v>
      </c>
      <c r="C108" s="58">
        <v>11</v>
      </c>
      <c r="D108" s="154" t="s">
        <v>733</v>
      </c>
      <c r="E108" s="59" t="str">
        <f>VLOOKUP(A108,Estimate!A:D,4,FALSE)</f>
        <v xml:space="preserve">No.  </v>
      </c>
    </row>
    <row r="109" spans="1:5" x14ac:dyDescent="0.25">
      <c r="A109" s="56">
        <v>86</v>
      </c>
      <c r="B109" s="57" t="s">
        <v>340</v>
      </c>
      <c r="C109" s="58">
        <v>1</v>
      </c>
      <c r="D109" s="154" t="s">
        <v>733</v>
      </c>
      <c r="E109" s="59" t="str">
        <f>VLOOKUP(A109,Estimate!A:D,4,FALSE)</f>
        <v xml:space="preserve">Item </v>
      </c>
    </row>
    <row r="110" spans="1:5" x14ac:dyDescent="0.25">
      <c r="A110" s="56">
        <v>87</v>
      </c>
      <c r="B110" s="57" t="s">
        <v>343</v>
      </c>
      <c r="C110" s="58">
        <v>1</v>
      </c>
      <c r="D110" s="154" t="s">
        <v>733</v>
      </c>
      <c r="E110" s="59" t="str">
        <f>VLOOKUP(A110,Estimate!A:D,4,FALSE)</f>
        <v xml:space="preserve">Item </v>
      </c>
    </row>
    <row r="111" spans="1:5" x14ac:dyDescent="0.25">
      <c r="A111" s="56">
        <v>88</v>
      </c>
      <c r="B111" s="57" t="s">
        <v>345</v>
      </c>
      <c r="C111" s="58">
        <v>1</v>
      </c>
      <c r="D111" s="154" t="s">
        <v>733</v>
      </c>
      <c r="E111" s="59" t="str">
        <f>VLOOKUP(A111,Estimate!A:D,4,FALSE)</f>
        <v xml:space="preserve">Item </v>
      </c>
    </row>
    <row r="112" spans="1:5" x14ac:dyDescent="0.25">
      <c r="A112" s="56">
        <v>89</v>
      </c>
      <c r="B112" s="57" t="s">
        <v>347</v>
      </c>
      <c r="C112" s="58">
        <v>1</v>
      </c>
      <c r="D112" s="154" t="s">
        <v>733</v>
      </c>
      <c r="E112" s="59" t="str">
        <f>VLOOKUP(A112,Estimate!A:D,4,FALSE)</f>
        <v xml:space="preserve">Item </v>
      </c>
    </row>
    <row r="113" spans="1:5" x14ac:dyDescent="0.25">
      <c r="A113" s="56">
        <v>90</v>
      </c>
      <c r="B113" s="57" t="s">
        <v>353</v>
      </c>
      <c r="C113" s="58">
        <v>15</v>
      </c>
      <c r="D113" s="154" t="s">
        <v>733</v>
      </c>
      <c r="E113" s="59" t="str">
        <f>VLOOKUP(A113,Estimate!A:D,4,FALSE)</f>
        <v xml:space="preserve">m    </v>
      </c>
    </row>
    <row r="114" spans="1:5" x14ac:dyDescent="0.25">
      <c r="A114" s="56">
        <v>91</v>
      </c>
      <c r="B114" s="57" t="s">
        <v>355</v>
      </c>
      <c r="C114" s="58">
        <v>12</v>
      </c>
      <c r="D114" s="154" t="s">
        <v>733</v>
      </c>
      <c r="E114" s="59" t="str">
        <f>VLOOKUP(A114,Estimate!A:D,4,FALSE)</f>
        <v xml:space="preserve">m    </v>
      </c>
    </row>
    <row r="115" spans="1:5" x14ac:dyDescent="0.25">
      <c r="A115" s="56">
        <v>92</v>
      </c>
      <c r="B115" s="57" t="s">
        <v>358</v>
      </c>
      <c r="C115" s="58">
        <v>12</v>
      </c>
      <c r="D115" s="154" t="s">
        <v>733</v>
      </c>
      <c r="E115" s="59" t="str">
        <f>VLOOKUP(A115,Estimate!A:D,4,FALSE)</f>
        <v xml:space="preserve">No   </v>
      </c>
    </row>
    <row r="116" spans="1:5" x14ac:dyDescent="0.25">
      <c r="A116" s="56">
        <v>92.5</v>
      </c>
      <c r="B116" s="57" t="s">
        <v>361</v>
      </c>
      <c r="C116" s="58">
        <v>445</v>
      </c>
      <c r="D116" s="154" t="s">
        <v>733</v>
      </c>
      <c r="E116" s="59" t="str">
        <f>VLOOKUP(A116,Estimate!A:D,4,FALSE)</f>
        <v xml:space="preserve">m    </v>
      </c>
    </row>
    <row r="117" spans="1:5" x14ac:dyDescent="0.25">
      <c r="A117" s="56">
        <v>93</v>
      </c>
      <c r="B117" s="57" t="s">
        <v>367</v>
      </c>
      <c r="C117" s="58">
        <v>10</v>
      </c>
      <c r="D117" s="154" t="s">
        <v>733</v>
      </c>
      <c r="E117" s="59" t="str">
        <f>VLOOKUP(A117,Estimate!A:D,4,FALSE)</f>
        <v xml:space="preserve">No   </v>
      </c>
    </row>
    <row r="118" spans="1:5" x14ac:dyDescent="0.25">
      <c r="A118" s="56">
        <v>93.01</v>
      </c>
      <c r="B118" s="57" t="s">
        <v>32</v>
      </c>
      <c r="C118" s="58">
        <v>1.0529999999999999</v>
      </c>
      <c r="D118" s="154" t="s">
        <v>508</v>
      </c>
      <c r="E118" s="59" t="str">
        <f>VLOOKUP(A118,Estimate!A:D,4,FALSE)</f>
        <v xml:space="preserve">hr   </v>
      </c>
    </row>
    <row r="119" spans="1:5" x14ac:dyDescent="0.25">
      <c r="A119" s="56">
        <v>94</v>
      </c>
      <c r="B119" s="57" t="s">
        <v>377</v>
      </c>
      <c r="C119" s="58">
        <v>22</v>
      </c>
      <c r="D119" s="154" t="s">
        <v>733</v>
      </c>
      <c r="E119" s="59" t="str">
        <f>VLOOKUP(A119,Estimate!A:D,4,FALSE)</f>
        <v xml:space="preserve">No   </v>
      </c>
    </row>
    <row r="120" spans="1:5" x14ac:dyDescent="0.25">
      <c r="A120" s="56">
        <v>95</v>
      </c>
      <c r="B120" s="57" t="s">
        <v>381</v>
      </c>
      <c r="C120" s="58">
        <v>1</v>
      </c>
      <c r="D120" s="154" t="s">
        <v>733</v>
      </c>
      <c r="E120" s="59" t="str">
        <f>VLOOKUP(A120,Estimate!A:D,4,FALSE)</f>
        <v xml:space="preserve">LS   </v>
      </c>
    </row>
    <row r="121" spans="1:5" x14ac:dyDescent="0.25">
      <c r="A121" s="56">
        <v>96</v>
      </c>
      <c r="B121" s="57" t="s">
        <v>385</v>
      </c>
      <c r="C121" s="58">
        <v>1</v>
      </c>
      <c r="D121" s="154" t="s">
        <v>733</v>
      </c>
      <c r="E121" s="59" t="str">
        <f>VLOOKUP(A121,Estimate!A:D,4,FALSE)</f>
        <v xml:space="preserve">LS   </v>
      </c>
    </row>
    <row r="122" spans="1:5" x14ac:dyDescent="0.25">
      <c r="A122" s="56">
        <v>97</v>
      </c>
      <c r="B122" s="57" t="s">
        <v>391</v>
      </c>
      <c r="C122" s="58">
        <v>1</v>
      </c>
      <c r="D122" s="154" t="s">
        <v>733</v>
      </c>
      <c r="E122" s="59" t="str">
        <f>VLOOKUP(A122,Estimate!A:D,4,FALSE)</f>
        <v xml:space="preserve">LS   </v>
      </c>
    </row>
    <row r="123" spans="1:5" x14ac:dyDescent="0.25">
      <c r="A123" s="56">
        <v>98</v>
      </c>
      <c r="B123" s="57" t="s">
        <v>393</v>
      </c>
      <c r="C123" s="58">
        <v>1</v>
      </c>
      <c r="D123" s="154" t="s">
        <v>733</v>
      </c>
      <c r="E123" s="59" t="str">
        <f>VLOOKUP(A123,Estimate!A:D,4,FALSE)</f>
        <v xml:space="preserve">LS   </v>
      </c>
    </row>
    <row r="124" spans="1:5" x14ac:dyDescent="0.25">
      <c r="A124" s="56">
        <v>99</v>
      </c>
      <c r="B124" s="57" t="s">
        <v>395</v>
      </c>
      <c r="C124" s="58">
        <v>3</v>
      </c>
      <c r="D124" s="154" t="s">
        <v>733</v>
      </c>
      <c r="E124" s="59" t="str">
        <f>VLOOKUP(A124,Estimate!A:D,4,FALSE)</f>
        <v xml:space="preserve">each </v>
      </c>
    </row>
    <row r="125" spans="1:5" x14ac:dyDescent="0.25">
      <c r="A125" s="56">
        <v>100</v>
      </c>
      <c r="B125" s="57" t="s">
        <v>397</v>
      </c>
      <c r="C125" s="58">
        <v>1</v>
      </c>
      <c r="D125" s="154" t="s">
        <v>733</v>
      </c>
      <c r="E125" s="59" t="str">
        <f>VLOOKUP(A125,Estimate!A:D,4,FALSE)</f>
        <v xml:space="preserve">LS   </v>
      </c>
    </row>
    <row r="126" spans="1:5" x14ac:dyDescent="0.25">
      <c r="A126" s="56">
        <v>101</v>
      </c>
      <c r="B126" s="57" t="s">
        <v>399</v>
      </c>
      <c r="C126" s="58">
        <v>1</v>
      </c>
      <c r="D126" s="154" t="s">
        <v>733</v>
      </c>
      <c r="E126" s="59" t="str">
        <f>VLOOKUP(A126,Estimate!A:D,4,FALSE)</f>
        <v xml:space="preserve">LS   </v>
      </c>
    </row>
    <row r="127" spans="1:5" x14ac:dyDescent="0.25">
      <c r="A127" s="56">
        <v>102</v>
      </c>
      <c r="B127" s="57" t="s">
        <v>401</v>
      </c>
      <c r="C127" s="58">
        <v>1</v>
      </c>
      <c r="D127" s="154" t="s">
        <v>733</v>
      </c>
      <c r="E127" s="59" t="str">
        <f>VLOOKUP(A127,Estimate!A:D,4,FALSE)</f>
        <v xml:space="preserve">item </v>
      </c>
    </row>
    <row r="128" spans="1:5" x14ac:dyDescent="0.25">
      <c r="A128" s="56">
        <v>103</v>
      </c>
      <c r="B128" s="57" t="s">
        <v>403</v>
      </c>
      <c r="C128" s="58">
        <v>2</v>
      </c>
      <c r="D128" s="154" t="s">
        <v>733</v>
      </c>
      <c r="E128" s="59" t="str">
        <f>VLOOKUP(A128,Estimate!A:D,4,FALSE)</f>
        <v xml:space="preserve">item </v>
      </c>
    </row>
    <row r="129" spans="1:5" x14ac:dyDescent="0.25">
      <c r="A129" s="56">
        <v>104</v>
      </c>
      <c r="B129" s="57" t="s">
        <v>407</v>
      </c>
      <c r="C129" s="58">
        <v>1</v>
      </c>
      <c r="D129" s="154" t="s">
        <v>733</v>
      </c>
      <c r="E129" s="59" t="str">
        <f>VLOOKUP(A129,Estimate!A:D,4,FALSE)</f>
        <v xml:space="preserve">item </v>
      </c>
    </row>
    <row r="130" spans="1:5" x14ac:dyDescent="0.25">
      <c r="A130" s="56">
        <v>105</v>
      </c>
      <c r="B130" s="57" t="s">
        <v>409</v>
      </c>
      <c r="C130" s="58">
        <v>45</v>
      </c>
      <c r="D130" s="154" t="s">
        <v>733</v>
      </c>
      <c r="E130" s="59" t="str">
        <f>VLOOKUP(A130,Estimate!A:D,4,FALSE)</f>
        <v xml:space="preserve">m2   </v>
      </c>
    </row>
    <row r="131" spans="1:5" x14ac:dyDescent="0.25">
      <c r="A131" s="56">
        <v>106</v>
      </c>
      <c r="B131" s="57" t="s">
        <v>415</v>
      </c>
      <c r="C131" s="58">
        <v>18</v>
      </c>
      <c r="D131" s="154" t="s">
        <v>733</v>
      </c>
      <c r="E131" s="59" t="str">
        <f>VLOOKUP(A131,Estimate!A:D,4,FALSE)</f>
        <v xml:space="preserve">m2   </v>
      </c>
    </row>
    <row r="132" spans="1:5" x14ac:dyDescent="0.25">
      <c r="A132" s="56">
        <v>107</v>
      </c>
      <c r="B132" s="57" t="s">
        <v>417</v>
      </c>
      <c r="C132" s="58">
        <v>1</v>
      </c>
      <c r="D132" s="154" t="s">
        <v>733</v>
      </c>
      <c r="E132" s="59" t="str">
        <f>VLOOKUP(A132,Estimate!A:D,4,FALSE)</f>
        <v xml:space="preserve">LS   </v>
      </c>
    </row>
    <row r="133" spans="1:5" x14ac:dyDescent="0.25">
      <c r="A133" s="56">
        <v>108</v>
      </c>
      <c r="B133" s="57" t="s">
        <v>421</v>
      </c>
      <c r="C133" s="58">
        <v>1</v>
      </c>
      <c r="D133" s="154" t="s">
        <v>733</v>
      </c>
      <c r="E133" s="59" t="str">
        <f>VLOOKUP(A133,Estimate!A:D,4,FALSE)</f>
        <v xml:space="preserve">Item </v>
      </c>
    </row>
    <row r="134" spans="1:5" x14ac:dyDescent="0.25">
      <c r="A134" s="56">
        <v>109</v>
      </c>
      <c r="B134" s="57" t="s">
        <v>423</v>
      </c>
      <c r="C134" s="58">
        <v>1</v>
      </c>
      <c r="D134" s="154" t="s">
        <v>733</v>
      </c>
      <c r="E134" s="59" t="str">
        <f>VLOOKUP(A134,Estimate!A:D,4,FALSE)</f>
        <v xml:space="preserve">LS   </v>
      </c>
    </row>
    <row r="135" spans="1:5" x14ac:dyDescent="0.25">
      <c r="A135" s="56">
        <v>110</v>
      </c>
      <c r="B135" s="57" t="s">
        <v>425</v>
      </c>
      <c r="C135" s="58">
        <v>1</v>
      </c>
      <c r="D135" s="154" t="s">
        <v>733</v>
      </c>
      <c r="E135" s="59" t="str">
        <f>VLOOKUP(A135,Estimate!A:D,4,FALSE)</f>
        <v xml:space="preserve">Item </v>
      </c>
    </row>
    <row r="136" spans="1:5" x14ac:dyDescent="0.25">
      <c r="A136" s="56">
        <v>111</v>
      </c>
      <c r="B136" s="57" t="s">
        <v>427</v>
      </c>
      <c r="C136" s="58">
        <v>1</v>
      </c>
      <c r="D136" s="154" t="s">
        <v>733</v>
      </c>
      <c r="E136" s="59" t="str">
        <f>VLOOKUP(A136,Estimate!A:D,4,FALSE)</f>
        <v xml:space="preserve">Item </v>
      </c>
    </row>
    <row r="137" spans="1:5" x14ac:dyDescent="0.25">
      <c r="A137" s="56">
        <v>112</v>
      </c>
      <c r="B137" s="57" t="s">
        <v>429</v>
      </c>
      <c r="C137" s="58">
        <v>480</v>
      </c>
      <c r="D137" s="154" t="s">
        <v>733</v>
      </c>
      <c r="E137" s="59" t="str">
        <f>VLOOKUP(A137,Estimate!A:D,4,FALSE)</f>
        <v xml:space="preserve">m²   </v>
      </c>
    </row>
    <row r="138" spans="1:5" x14ac:dyDescent="0.25">
      <c r="A138" s="56">
        <v>113</v>
      </c>
      <c r="B138" s="57" t="s">
        <v>431</v>
      </c>
      <c r="C138" s="58">
        <v>1492</v>
      </c>
      <c r="D138" s="154" t="s">
        <v>733</v>
      </c>
      <c r="E138" s="59" t="str">
        <f>VLOOKUP(A138,Estimate!A:D,4,FALSE)</f>
        <v xml:space="preserve">m²   </v>
      </c>
    </row>
    <row r="139" spans="1:5" x14ac:dyDescent="0.25">
      <c r="A139" s="56">
        <v>113.01</v>
      </c>
      <c r="B139" s="57" t="s">
        <v>139</v>
      </c>
      <c r="C139" s="58">
        <v>106.78</v>
      </c>
      <c r="D139" s="154" t="s">
        <v>508</v>
      </c>
      <c r="E139" s="59" t="str">
        <f>VLOOKUP(A139,Estimate!A:D,4,FALSE)</f>
        <v xml:space="preserve">hr   </v>
      </c>
    </row>
    <row r="140" spans="1:5" x14ac:dyDescent="0.25">
      <c r="A140" s="56">
        <v>113.02</v>
      </c>
      <c r="B140" s="57" t="s">
        <v>70</v>
      </c>
      <c r="C140" s="58">
        <v>1000</v>
      </c>
      <c r="D140" s="154" t="s">
        <v>508</v>
      </c>
      <c r="E140" s="59" t="str">
        <f>VLOOKUP(A140,Estimate!A:D,4,FALSE)</f>
        <v xml:space="preserve">hr   </v>
      </c>
    </row>
    <row r="141" spans="1:5" x14ac:dyDescent="0.25">
      <c r="A141" s="56">
        <v>114</v>
      </c>
      <c r="B141" s="57" t="s">
        <v>433</v>
      </c>
      <c r="C141" s="58">
        <v>27.14</v>
      </c>
      <c r="D141" s="154" t="s">
        <v>733</v>
      </c>
      <c r="E141" s="59" t="str">
        <f>VLOOKUP(A141,Estimate!A:D,4,FALSE)</f>
        <v xml:space="preserve">Item </v>
      </c>
    </row>
    <row r="142" spans="1:5" x14ac:dyDescent="0.25">
      <c r="A142" s="56">
        <v>115</v>
      </c>
      <c r="B142" s="57" t="s">
        <v>435</v>
      </c>
      <c r="C142" s="58">
        <v>1</v>
      </c>
      <c r="D142" s="154" t="s">
        <v>733</v>
      </c>
      <c r="E142" s="59" t="str">
        <f>VLOOKUP(A142,Estimate!A:D,4,FALSE)</f>
        <v xml:space="preserve">Item </v>
      </c>
    </row>
    <row r="143" spans="1:5" x14ac:dyDescent="0.25">
      <c r="A143" s="56">
        <v>116</v>
      </c>
      <c r="B143" s="57" t="s">
        <v>437</v>
      </c>
      <c r="C143" s="58">
        <v>-1</v>
      </c>
      <c r="D143" s="154" t="s">
        <v>733</v>
      </c>
      <c r="E143" s="59" t="str">
        <f>VLOOKUP(A143,Estimate!A:D,4,FALSE)</f>
        <v xml:space="preserve">Item </v>
      </c>
    </row>
    <row r="144" spans="1:5" x14ac:dyDescent="0.25">
      <c r="A144" s="56">
        <v>117</v>
      </c>
      <c r="B144" s="57" t="s">
        <v>439</v>
      </c>
      <c r="C144" s="58">
        <v>71.430000000000007</v>
      </c>
      <c r="D144" s="154" t="s">
        <v>733</v>
      </c>
      <c r="E144" s="59" t="str">
        <f>VLOOKUP(A144,Estimate!A:D,4,FALSE)</f>
        <v xml:space="preserve">Item </v>
      </c>
    </row>
    <row r="145" spans="1:5" x14ac:dyDescent="0.25">
      <c r="A145" s="56">
        <v>118</v>
      </c>
      <c r="B145" s="57" t="s">
        <v>441</v>
      </c>
      <c r="C145" s="58">
        <v>1</v>
      </c>
      <c r="D145" s="154" t="s">
        <v>733</v>
      </c>
      <c r="E145" s="59" t="str">
        <f>VLOOKUP(A145,Estimate!A:D,4,FALSE)</f>
        <v xml:space="preserve">Item </v>
      </c>
    </row>
    <row r="146" spans="1:5" x14ac:dyDescent="0.25">
      <c r="A146" s="56">
        <v>204</v>
      </c>
      <c r="B146" s="57" t="s">
        <v>453</v>
      </c>
      <c r="C146" s="58">
        <v>1</v>
      </c>
      <c r="D146" s="154" t="s">
        <v>733</v>
      </c>
      <c r="E146" s="59">
        <f>VLOOKUP(A146,Estimate!A:D,4,FALSE)</f>
        <v>0</v>
      </c>
    </row>
    <row r="147" spans="1:5" x14ac:dyDescent="0.25">
      <c r="A147" s="56">
        <v>205</v>
      </c>
      <c r="B147" s="57" t="s">
        <v>457</v>
      </c>
      <c r="C147" s="58">
        <v>1</v>
      </c>
      <c r="D147" s="154" t="s">
        <v>733</v>
      </c>
      <c r="E147" s="59">
        <f>VLOOKUP(A147,Estimate!A:D,4,FALSE)</f>
        <v>0</v>
      </c>
    </row>
    <row r="148" spans="1:5" x14ac:dyDescent="0.25">
      <c r="A148" s="56">
        <v>206</v>
      </c>
      <c r="B148" s="57" t="s">
        <v>460</v>
      </c>
      <c r="C148" s="58">
        <v>1</v>
      </c>
      <c r="D148" s="154" t="s">
        <v>733</v>
      </c>
      <c r="E148" s="59">
        <f>VLOOKUP(A148,Estimate!A:D,4,FALSE)</f>
        <v>0</v>
      </c>
    </row>
    <row r="149" spans="1:5" x14ac:dyDescent="0.25">
      <c r="A149" s="56">
        <v>207</v>
      </c>
      <c r="B149" s="57" t="s">
        <v>463</v>
      </c>
      <c r="C149" s="58">
        <v>1</v>
      </c>
      <c r="D149" s="154" t="s">
        <v>733</v>
      </c>
      <c r="E149" s="59">
        <f>VLOOKUP(A149,Estimate!A:D,4,FALSE)</f>
        <v>0</v>
      </c>
    </row>
    <row r="150" spans="1:5" x14ac:dyDescent="0.25">
      <c r="A150" s="56">
        <v>208</v>
      </c>
      <c r="B150" s="57" t="s">
        <v>466</v>
      </c>
      <c r="C150" s="58">
        <v>1</v>
      </c>
      <c r="D150" s="154" t="s">
        <v>733</v>
      </c>
      <c r="E150" s="59">
        <f>VLOOKUP(A150,Estimate!A:D,4,FALSE)</f>
        <v>0</v>
      </c>
    </row>
    <row r="151" spans="1:5" x14ac:dyDescent="0.25">
      <c r="A151" s="56">
        <v>209</v>
      </c>
      <c r="B151" s="57" t="s">
        <v>468</v>
      </c>
      <c r="C151" s="58">
        <v>1</v>
      </c>
      <c r="D151" s="154" t="s">
        <v>733</v>
      </c>
      <c r="E151" s="59">
        <f>VLOOKUP(A151,Estimate!A:D,4,FALSE)</f>
        <v>0</v>
      </c>
    </row>
    <row r="152" spans="1:5" x14ac:dyDescent="0.25">
      <c r="A152" s="56">
        <v>210</v>
      </c>
      <c r="B152" s="57" t="s">
        <v>470</v>
      </c>
      <c r="C152" s="58">
        <v>1</v>
      </c>
      <c r="D152" s="154" t="s">
        <v>733</v>
      </c>
      <c r="E152" s="59">
        <f>VLOOKUP(A152,Estimate!A:D,4,FALSE)</f>
        <v>0</v>
      </c>
    </row>
  </sheetData>
  <sortState xmlns:xlrd2="http://schemas.microsoft.com/office/spreadsheetml/2017/richdata2" ref="A1:A69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2"/>
  <sheetViews>
    <sheetView topLeftCell="A46" workbookViewId="0">
      <selection activeCell="C75" sqref="C75"/>
    </sheetView>
  </sheetViews>
  <sheetFormatPr defaultRowHeight="15" x14ac:dyDescent="0.25"/>
  <cols>
    <col min="1" max="1" width="16.85546875" bestFit="1" customWidth="1"/>
    <col min="2" max="11" width="10.140625" bestFit="1" customWidth="1"/>
  </cols>
  <sheetData>
    <row r="1" spans="2:15" ht="15.75" thickBot="1" x14ac:dyDescent="0.3">
      <c r="B1" s="263" t="s">
        <v>647</v>
      </c>
      <c r="C1" s="263"/>
      <c r="D1" s="263"/>
      <c r="E1" s="263"/>
      <c r="F1" s="263"/>
      <c r="G1" s="263"/>
      <c r="H1" s="263"/>
      <c r="I1" s="263"/>
      <c r="J1" s="263"/>
      <c r="K1" s="263"/>
      <c r="L1" s="64"/>
      <c r="M1" s="64"/>
      <c r="N1" s="64"/>
      <c r="O1" s="64"/>
    </row>
    <row r="2" spans="2:15" x14ac:dyDescent="0.25">
      <c r="B2" s="264">
        <v>40544</v>
      </c>
      <c r="C2" s="265"/>
      <c r="D2" s="266">
        <v>40909</v>
      </c>
      <c r="E2" s="266"/>
      <c r="F2" s="265">
        <v>41275</v>
      </c>
      <c r="G2" s="265"/>
      <c r="H2" s="266">
        <v>41640</v>
      </c>
      <c r="I2" s="266"/>
      <c r="J2" s="265">
        <v>42005</v>
      </c>
      <c r="K2" s="267"/>
      <c r="L2" s="64"/>
      <c r="M2" s="64"/>
      <c r="N2" s="64"/>
      <c r="O2" s="64"/>
    </row>
    <row r="3" spans="2:15" x14ac:dyDescent="0.25">
      <c r="B3" s="66">
        <v>40551</v>
      </c>
      <c r="C3" s="67">
        <v>40552</v>
      </c>
      <c r="D3" s="68">
        <v>40922</v>
      </c>
      <c r="E3" s="68">
        <v>40923</v>
      </c>
      <c r="F3" s="67">
        <v>41293</v>
      </c>
      <c r="G3" s="67">
        <v>41294</v>
      </c>
      <c r="H3" s="68">
        <v>41657</v>
      </c>
      <c r="I3" s="68">
        <v>41658</v>
      </c>
      <c r="J3" s="67">
        <v>42021</v>
      </c>
      <c r="K3" s="69">
        <v>42022</v>
      </c>
      <c r="L3" s="70"/>
      <c r="M3" s="70"/>
      <c r="N3" s="70"/>
      <c r="O3" s="70"/>
    </row>
    <row r="4" spans="2:15" x14ac:dyDescent="0.25">
      <c r="B4" s="71">
        <v>40544</v>
      </c>
      <c r="C4" s="72">
        <v>40545</v>
      </c>
      <c r="D4" s="73"/>
      <c r="E4" s="73">
        <v>40909</v>
      </c>
      <c r="F4" s="72">
        <v>41279</v>
      </c>
      <c r="G4" s="72">
        <v>41280</v>
      </c>
      <c r="H4" s="73">
        <v>41643</v>
      </c>
      <c r="I4" s="73">
        <v>41644</v>
      </c>
      <c r="J4" s="72">
        <v>42007</v>
      </c>
      <c r="K4" s="74">
        <v>42008</v>
      </c>
      <c r="N4" s="63"/>
      <c r="O4" s="63"/>
    </row>
    <row r="5" spans="2:15" x14ac:dyDescent="0.25">
      <c r="B5" s="71">
        <v>40551</v>
      </c>
      <c r="C5" s="72">
        <v>40552</v>
      </c>
      <c r="D5" s="73">
        <v>40915</v>
      </c>
      <c r="E5" s="73">
        <v>40916</v>
      </c>
      <c r="F5" s="72">
        <v>41286</v>
      </c>
      <c r="G5" s="72">
        <v>41287</v>
      </c>
      <c r="H5" s="73">
        <v>41650</v>
      </c>
      <c r="I5" s="73">
        <v>41651</v>
      </c>
      <c r="J5" s="72">
        <v>42014</v>
      </c>
      <c r="K5" s="74">
        <v>42015</v>
      </c>
    </row>
    <row r="6" spans="2:15" x14ac:dyDescent="0.25">
      <c r="B6" s="71">
        <v>40558</v>
      </c>
      <c r="C6" s="72">
        <v>40559</v>
      </c>
      <c r="D6" s="73">
        <v>40922</v>
      </c>
      <c r="E6" s="73">
        <v>40923</v>
      </c>
      <c r="F6" s="72">
        <v>41293</v>
      </c>
      <c r="G6" s="72">
        <v>41294</v>
      </c>
      <c r="H6" s="73">
        <v>41657</v>
      </c>
      <c r="I6" s="73">
        <v>41658</v>
      </c>
      <c r="J6" s="72">
        <v>42021</v>
      </c>
      <c r="K6" s="74">
        <v>42022</v>
      </c>
    </row>
    <row r="7" spans="2:15" x14ac:dyDescent="0.25">
      <c r="B7" s="71">
        <v>40565</v>
      </c>
      <c r="C7" s="72">
        <v>40566</v>
      </c>
      <c r="D7" s="73">
        <v>40929</v>
      </c>
      <c r="E7" s="73">
        <v>40930</v>
      </c>
      <c r="F7" s="72">
        <v>41300</v>
      </c>
      <c r="G7" s="72">
        <v>41301</v>
      </c>
      <c r="H7" s="73">
        <v>41664</v>
      </c>
      <c r="I7" s="73">
        <v>41665</v>
      </c>
      <c r="J7" s="72">
        <v>42028</v>
      </c>
      <c r="K7" s="74">
        <v>42029</v>
      </c>
    </row>
    <row r="8" spans="2:15" x14ac:dyDescent="0.25">
      <c r="B8" s="71">
        <v>40572</v>
      </c>
      <c r="C8" s="72">
        <v>40573</v>
      </c>
      <c r="D8" s="73">
        <v>40936</v>
      </c>
      <c r="E8" s="73">
        <v>40937</v>
      </c>
      <c r="F8" s="72">
        <v>41307</v>
      </c>
      <c r="G8" s="72">
        <v>41308</v>
      </c>
      <c r="H8" s="73">
        <v>41671</v>
      </c>
      <c r="I8" s="73">
        <v>41672</v>
      </c>
      <c r="J8" s="72">
        <v>42035</v>
      </c>
      <c r="K8" s="74">
        <v>42036</v>
      </c>
      <c r="M8" s="63"/>
    </row>
    <row r="9" spans="2:15" x14ac:dyDescent="0.25">
      <c r="B9" s="71">
        <v>40579</v>
      </c>
      <c r="C9" s="72">
        <v>40580</v>
      </c>
      <c r="D9" s="73">
        <v>40943</v>
      </c>
      <c r="E9" s="73">
        <v>40944</v>
      </c>
      <c r="F9" s="72">
        <v>41314</v>
      </c>
      <c r="G9" s="72">
        <v>41315</v>
      </c>
      <c r="H9" s="73">
        <v>41678</v>
      </c>
      <c r="I9" s="73">
        <v>41679</v>
      </c>
      <c r="J9" s="72">
        <v>42042</v>
      </c>
      <c r="K9" s="74">
        <v>42043</v>
      </c>
    </row>
    <row r="10" spans="2:15" x14ac:dyDescent="0.25">
      <c r="B10" s="71">
        <v>40586</v>
      </c>
      <c r="C10" s="72">
        <v>40587</v>
      </c>
      <c r="D10" s="73">
        <v>40950</v>
      </c>
      <c r="E10" s="73">
        <v>40951</v>
      </c>
      <c r="F10" s="72">
        <v>41321</v>
      </c>
      <c r="G10" s="72">
        <v>41322</v>
      </c>
      <c r="H10" s="73">
        <v>41685</v>
      </c>
      <c r="I10" s="73">
        <v>41686</v>
      </c>
      <c r="J10" s="72">
        <v>42049</v>
      </c>
      <c r="K10" s="74">
        <v>42050</v>
      </c>
    </row>
    <row r="11" spans="2:15" x14ac:dyDescent="0.25">
      <c r="B11" s="71">
        <v>40593</v>
      </c>
      <c r="C11" s="72">
        <v>40594</v>
      </c>
      <c r="D11" s="73">
        <v>40957</v>
      </c>
      <c r="E11" s="73">
        <v>40958</v>
      </c>
      <c r="F11" s="72">
        <v>41328</v>
      </c>
      <c r="G11" s="72">
        <v>41329</v>
      </c>
      <c r="H11" s="73">
        <v>41692</v>
      </c>
      <c r="I11" s="73">
        <v>41693</v>
      </c>
      <c r="J11" s="72">
        <v>42056</v>
      </c>
      <c r="K11" s="74">
        <v>42057</v>
      </c>
    </row>
    <row r="12" spans="2:15" x14ac:dyDescent="0.25">
      <c r="B12" s="71">
        <v>40600</v>
      </c>
      <c r="C12" s="72">
        <v>40601</v>
      </c>
      <c r="D12" s="73">
        <v>40964</v>
      </c>
      <c r="E12" s="73">
        <v>40965</v>
      </c>
      <c r="F12" s="72">
        <v>41335</v>
      </c>
      <c r="G12" s="72">
        <v>41336</v>
      </c>
      <c r="H12" s="73">
        <v>41699</v>
      </c>
      <c r="I12" s="73">
        <v>41700</v>
      </c>
      <c r="J12" s="72">
        <v>42063</v>
      </c>
      <c r="K12" s="74">
        <v>42064</v>
      </c>
    </row>
    <row r="13" spans="2:15" x14ac:dyDescent="0.25">
      <c r="B13" s="71">
        <v>40607</v>
      </c>
      <c r="C13" s="72">
        <v>40608</v>
      </c>
      <c r="D13" s="73">
        <v>40971</v>
      </c>
      <c r="E13" s="73">
        <v>40972</v>
      </c>
      <c r="F13" s="72">
        <v>41342</v>
      </c>
      <c r="G13" s="72">
        <v>41343</v>
      </c>
      <c r="H13" s="73">
        <v>41706</v>
      </c>
      <c r="I13" s="73">
        <v>41707</v>
      </c>
      <c r="J13" s="72">
        <v>42070</v>
      </c>
      <c r="K13" s="74">
        <v>42071</v>
      </c>
    </row>
    <row r="14" spans="2:15" x14ac:dyDescent="0.25">
      <c r="B14" s="71">
        <v>40614</v>
      </c>
      <c r="C14" s="72">
        <v>40615</v>
      </c>
      <c r="D14" s="73">
        <v>40978</v>
      </c>
      <c r="E14" s="73">
        <v>40979</v>
      </c>
      <c r="F14" s="72">
        <v>41349</v>
      </c>
      <c r="G14" s="72">
        <v>41350</v>
      </c>
      <c r="H14" s="73">
        <v>41713</v>
      </c>
      <c r="I14" s="73">
        <v>41714</v>
      </c>
      <c r="J14" s="72">
        <v>42077</v>
      </c>
      <c r="K14" s="74">
        <v>42078</v>
      </c>
    </row>
    <row r="15" spans="2:15" x14ac:dyDescent="0.25">
      <c r="B15" s="71">
        <v>40621</v>
      </c>
      <c r="C15" s="72">
        <v>40622</v>
      </c>
      <c r="D15" s="73">
        <v>40985</v>
      </c>
      <c r="E15" s="73">
        <v>40986</v>
      </c>
      <c r="F15" s="72">
        <v>41356</v>
      </c>
      <c r="G15" s="72">
        <v>41357</v>
      </c>
      <c r="H15" s="73">
        <v>41720</v>
      </c>
      <c r="I15" s="73">
        <v>41721</v>
      </c>
      <c r="J15" s="72">
        <v>42084</v>
      </c>
      <c r="K15" s="74">
        <v>42085</v>
      </c>
    </row>
    <row r="16" spans="2:15" x14ac:dyDescent="0.25">
      <c r="B16" s="71">
        <v>40628</v>
      </c>
      <c r="C16" s="72">
        <v>40629</v>
      </c>
      <c r="D16" s="73">
        <v>40992</v>
      </c>
      <c r="E16" s="73">
        <v>40993</v>
      </c>
      <c r="F16" s="72">
        <v>41363</v>
      </c>
      <c r="G16" s="72">
        <v>41364</v>
      </c>
      <c r="H16" s="73">
        <v>41727</v>
      </c>
      <c r="I16" s="73">
        <v>41728</v>
      </c>
      <c r="J16" s="72">
        <v>42091</v>
      </c>
      <c r="K16" s="74">
        <v>42092</v>
      </c>
    </row>
    <row r="17" spans="2:11" x14ac:dyDescent="0.25">
      <c r="B17" s="71">
        <v>40635</v>
      </c>
      <c r="C17" s="72">
        <v>40636</v>
      </c>
      <c r="D17" s="73">
        <v>40999</v>
      </c>
      <c r="E17" s="73">
        <v>41000</v>
      </c>
      <c r="F17" s="72">
        <v>41370</v>
      </c>
      <c r="G17" s="72">
        <v>41371</v>
      </c>
      <c r="H17" s="73">
        <v>41734</v>
      </c>
      <c r="I17" s="73">
        <v>41735</v>
      </c>
      <c r="J17" s="72">
        <v>42098</v>
      </c>
      <c r="K17" s="74">
        <v>42099</v>
      </c>
    </row>
    <row r="18" spans="2:11" x14ac:dyDescent="0.25">
      <c r="B18" s="71">
        <v>40642</v>
      </c>
      <c r="C18" s="72">
        <v>40643</v>
      </c>
      <c r="D18" s="73">
        <v>41006</v>
      </c>
      <c r="E18" s="73">
        <v>41007</v>
      </c>
      <c r="F18" s="72">
        <v>41377</v>
      </c>
      <c r="G18" s="72">
        <v>41378</v>
      </c>
      <c r="H18" s="73">
        <v>41741</v>
      </c>
      <c r="I18" s="73">
        <v>41742</v>
      </c>
      <c r="J18" s="72">
        <v>42105</v>
      </c>
      <c r="K18" s="74">
        <v>42106</v>
      </c>
    </row>
    <row r="19" spans="2:11" x14ac:dyDescent="0.25">
      <c r="B19" s="71">
        <v>40649</v>
      </c>
      <c r="C19" s="72">
        <v>40650</v>
      </c>
      <c r="D19" s="73">
        <v>41013</v>
      </c>
      <c r="E19" s="73">
        <v>41014</v>
      </c>
      <c r="F19" s="72">
        <v>41384</v>
      </c>
      <c r="G19" s="72">
        <v>41385</v>
      </c>
      <c r="H19" s="73">
        <v>41748</v>
      </c>
      <c r="I19" s="73">
        <v>41749</v>
      </c>
      <c r="J19" s="72">
        <v>42112</v>
      </c>
      <c r="K19" s="74">
        <v>42113</v>
      </c>
    </row>
    <row r="20" spans="2:11" x14ac:dyDescent="0.25">
      <c r="B20" s="71">
        <v>40656</v>
      </c>
      <c r="C20" s="72">
        <v>40657</v>
      </c>
      <c r="D20" s="73">
        <v>41020</v>
      </c>
      <c r="E20" s="73">
        <v>41021</v>
      </c>
      <c r="F20" s="72">
        <v>41391</v>
      </c>
      <c r="G20" s="72">
        <v>41392</v>
      </c>
      <c r="H20" s="73">
        <v>41755</v>
      </c>
      <c r="I20" s="73">
        <v>41756</v>
      </c>
      <c r="J20" s="72">
        <v>42119</v>
      </c>
      <c r="K20" s="74">
        <v>42120</v>
      </c>
    </row>
    <row r="21" spans="2:11" x14ac:dyDescent="0.25">
      <c r="B21" s="71">
        <v>40663</v>
      </c>
      <c r="C21" s="72">
        <v>40664</v>
      </c>
      <c r="D21" s="73">
        <v>41027</v>
      </c>
      <c r="E21" s="73">
        <v>41028</v>
      </c>
      <c r="F21" s="72">
        <v>41398</v>
      </c>
      <c r="G21" s="72">
        <v>41399</v>
      </c>
      <c r="H21" s="73">
        <v>41762</v>
      </c>
      <c r="I21" s="73">
        <v>41763</v>
      </c>
      <c r="J21" s="72">
        <v>42126</v>
      </c>
      <c r="K21" s="74">
        <v>42127</v>
      </c>
    </row>
    <row r="22" spans="2:11" x14ac:dyDescent="0.25">
      <c r="B22" s="71">
        <v>40670</v>
      </c>
      <c r="C22" s="72">
        <v>40671</v>
      </c>
      <c r="D22" s="73">
        <v>41034</v>
      </c>
      <c r="E22" s="73">
        <v>41035</v>
      </c>
      <c r="F22" s="72">
        <v>41405</v>
      </c>
      <c r="G22" s="72">
        <v>41406</v>
      </c>
      <c r="H22" s="73">
        <v>41769</v>
      </c>
      <c r="I22" s="73">
        <v>41770</v>
      </c>
      <c r="J22" s="72">
        <v>42133</v>
      </c>
      <c r="K22" s="74">
        <v>42134</v>
      </c>
    </row>
    <row r="23" spans="2:11" x14ac:dyDescent="0.25">
      <c r="B23" s="71">
        <v>40677</v>
      </c>
      <c r="C23" s="72">
        <v>40678</v>
      </c>
      <c r="D23" s="73">
        <v>41041</v>
      </c>
      <c r="E23" s="73">
        <v>41042</v>
      </c>
      <c r="F23" s="72">
        <v>41412</v>
      </c>
      <c r="G23" s="72">
        <v>41413</v>
      </c>
      <c r="H23" s="73">
        <v>41776</v>
      </c>
      <c r="I23" s="73">
        <v>41777</v>
      </c>
      <c r="J23" s="72">
        <v>42140</v>
      </c>
      <c r="K23" s="74">
        <v>42141</v>
      </c>
    </row>
    <row r="24" spans="2:11" x14ac:dyDescent="0.25">
      <c r="B24" s="71">
        <v>40684</v>
      </c>
      <c r="C24" s="72">
        <v>40685</v>
      </c>
      <c r="D24" s="73">
        <v>41048</v>
      </c>
      <c r="E24" s="73">
        <v>41049</v>
      </c>
      <c r="F24" s="72">
        <v>41419</v>
      </c>
      <c r="G24" s="72">
        <v>41420</v>
      </c>
      <c r="H24" s="73">
        <v>41783</v>
      </c>
      <c r="I24" s="73">
        <v>41784</v>
      </c>
      <c r="J24" s="72">
        <v>42147</v>
      </c>
      <c r="K24" s="74">
        <v>42148</v>
      </c>
    </row>
    <row r="25" spans="2:11" x14ac:dyDescent="0.25">
      <c r="B25" s="71">
        <v>40691</v>
      </c>
      <c r="C25" s="72">
        <v>40692</v>
      </c>
      <c r="D25" s="73">
        <v>41055</v>
      </c>
      <c r="E25" s="73">
        <v>41056</v>
      </c>
      <c r="F25" s="72">
        <v>41426</v>
      </c>
      <c r="G25" s="72">
        <v>41427</v>
      </c>
      <c r="H25" s="73">
        <v>41790</v>
      </c>
      <c r="I25" s="73">
        <v>41791</v>
      </c>
      <c r="J25" s="72">
        <v>42154</v>
      </c>
      <c r="K25" s="74">
        <v>42155</v>
      </c>
    </row>
    <row r="26" spans="2:11" x14ac:dyDescent="0.25">
      <c r="B26" s="71">
        <v>40698</v>
      </c>
      <c r="C26" s="72">
        <v>40699</v>
      </c>
      <c r="D26" s="73">
        <v>41062</v>
      </c>
      <c r="E26" s="73">
        <v>41063</v>
      </c>
      <c r="F26" s="72">
        <v>41433</v>
      </c>
      <c r="G26" s="72">
        <v>41434</v>
      </c>
      <c r="H26" s="73">
        <v>41797</v>
      </c>
      <c r="I26" s="73">
        <v>41798</v>
      </c>
      <c r="J26" s="72">
        <v>42161</v>
      </c>
      <c r="K26" s="74">
        <v>42162</v>
      </c>
    </row>
    <row r="27" spans="2:11" x14ac:dyDescent="0.25">
      <c r="B27" s="71">
        <v>40705</v>
      </c>
      <c r="C27" s="72">
        <v>40706</v>
      </c>
      <c r="D27" s="73">
        <v>41069</v>
      </c>
      <c r="E27" s="73">
        <v>41070</v>
      </c>
      <c r="F27" s="72">
        <v>41440</v>
      </c>
      <c r="G27" s="72">
        <v>41441</v>
      </c>
      <c r="H27" s="73">
        <v>41804</v>
      </c>
      <c r="I27" s="73">
        <v>41805</v>
      </c>
      <c r="J27" s="72">
        <v>42168</v>
      </c>
      <c r="K27" s="74">
        <v>42169</v>
      </c>
    </row>
    <row r="28" spans="2:11" x14ac:dyDescent="0.25">
      <c r="B28" s="71">
        <v>40712</v>
      </c>
      <c r="C28" s="72">
        <v>40713</v>
      </c>
      <c r="D28" s="73">
        <v>41076</v>
      </c>
      <c r="E28" s="73">
        <v>41077</v>
      </c>
      <c r="F28" s="72">
        <v>41447</v>
      </c>
      <c r="G28" s="72">
        <v>41448</v>
      </c>
      <c r="H28" s="73">
        <v>41811</v>
      </c>
      <c r="I28" s="73">
        <v>41812</v>
      </c>
      <c r="J28" s="72">
        <v>42175</v>
      </c>
      <c r="K28" s="74">
        <v>42176</v>
      </c>
    </row>
    <row r="29" spans="2:11" x14ac:dyDescent="0.25">
      <c r="B29" s="71">
        <v>40719</v>
      </c>
      <c r="C29" s="72">
        <v>40720</v>
      </c>
      <c r="D29" s="73">
        <v>41083</v>
      </c>
      <c r="E29" s="73">
        <v>41084</v>
      </c>
      <c r="F29" s="72">
        <v>41454</v>
      </c>
      <c r="G29" s="72">
        <v>41455</v>
      </c>
      <c r="H29" s="73">
        <v>41818</v>
      </c>
      <c r="I29" s="73">
        <v>41819</v>
      </c>
      <c r="J29" s="72">
        <v>42182</v>
      </c>
      <c r="K29" s="74">
        <v>42183</v>
      </c>
    </row>
    <row r="30" spans="2:11" x14ac:dyDescent="0.25">
      <c r="B30" s="71">
        <v>40726</v>
      </c>
      <c r="C30" s="72">
        <v>40727</v>
      </c>
      <c r="D30" s="73">
        <v>41090</v>
      </c>
      <c r="E30" s="73">
        <v>41091</v>
      </c>
      <c r="F30" s="72">
        <v>41461</v>
      </c>
      <c r="G30" s="72">
        <v>41462</v>
      </c>
      <c r="H30" s="73">
        <v>41825</v>
      </c>
      <c r="I30" s="73">
        <v>41826</v>
      </c>
      <c r="J30" s="72">
        <v>42189</v>
      </c>
      <c r="K30" s="74">
        <v>42190</v>
      </c>
    </row>
    <row r="31" spans="2:11" x14ac:dyDescent="0.25">
      <c r="B31" s="71">
        <v>40733</v>
      </c>
      <c r="C31" s="72">
        <v>40734</v>
      </c>
      <c r="D31" s="73">
        <v>41097</v>
      </c>
      <c r="E31" s="73">
        <v>41098</v>
      </c>
      <c r="F31" s="72">
        <v>41468</v>
      </c>
      <c r="G31" s="72">
        <v>41469</v>
      </c>
      <c r="H31" s="73">
        <v>41832</v>
      </c>
      <c r="I31" s="73">
        <v>41833</v>
      </c>
      <c r="J31" s="72">
        <v>42196</v>
      </c>
      <c r="K31" s="74">
        <v>42197</v>
      </c>
    </row>
    <row r="32" spans="2:11" x14ac:dyDescent="0.25">
      <c r="B32" s="71">
        <v>40740</v>
      </c>
      <c r="C32" s="72">
        <v>40741</v>
      </c>
      <c r="D32" s="73">
        <v>41104</v>
      </c>
      <c r="E32" s="73">
        <v>41105</v>
      </c>
      <c r="F32" s="72">
        <v>41475</v>
      </c>
      <c r="G32" s="72">
        <v>41476</v>
      </c>
      <c r="H32" s="73">
        <v>41839</v>
      </c>
      <c r="I32" s="73">
        <v>41840</v>
      </c>
      <c r="J32" s="72">
        <v>42203</v>
      </c>
      <c r="K32" s="74">
        <v>42204</v>
      </c>
    </row>
    <row r="33" spans="2:11" x14ac:dyDescent="0.25">
      <c r="B33" s="71">
        <v>40747</v>
      </c>
      <c r="C33" s="72">
        <v>40748</v>
      </c>
      <c r="D33" s="73">
        <v>41111</v>
      </c>
      <c r="E33" s="73">
        <v>41112</v>
      </c>
      <c r="F33" s="72">
        <v>41482</v>
      </c>
      <c r="G33" s="72">
        <v>41483</v>
      </c>
      <c r="H33" s="73">
        <v>41846</v>
      </c>
      <c r="I33" s="73">
        <v>41847</v>
      </c>
      <c r="J33" s="72">
        <v>42210</v>
      </c>
      <c r="K33" s="74">
        <v>42211</v>
      </c>
    </row>
    <row r="34" spans="2:11" x14ac:dyDescent="0.25">
      <c r="B34" s="71">
        <v>40754</v>
      </c>
      <c r="C34" s="72">
        <v>40755</v>
      </c>
      <c r="D34" s="73">
        <v>41118</v>
      </c>
      <c r="E34" s="73">
        <v>41119</v>
      </c>
      <c r="F34" s="72">
        <v>41489</v>
      </c>
      <c r="G34" s="72">
        <v>41490</v>
      </c>
      <c r="H34" s="73">
        <v>41853</v>
      </c>
      <c r="I34" s="73">
        <v>41854</v>
      </c>
      <c r="J34" s="72">
        <v>42217</v>
      </c>
      <c r="K34" s="74">
        <v>42218</v>
      </c>
    </row>
    <row r="35" spans="2:11" x14ac:dyDescent="0.25">
      <c r="B35" s="71">
        <v>40761</v>
      </c>
      <c r="C35" s="72">
        <v>40762</v>
      </c>
      <c r="D35" s="73">
        <v>41125</v>
      </c>
      <c r="E35" s="73">
        <v>41126</v>
      </c>
      <c r="F35" s="72">
        <v>41496</v>
      </c>
      <c r="G35" s="72">
        <v>41497</v>
      </c>
      <c r="H35" s="73">
        <v>41860</v>
      </c>
      <c r="I35" s="73">
        <v>41861</v>
      </c>
      <c r="J35" s="72">
        <v>42224</v>
      </c>
      <c r="K35" s="74">
        <v>42225</v>
      </c>
    </row>
    <row r="36" spans="2:11" x14ac:dyDescent="0.25">
      <c r="B36" s="71">
        <v>40768</v>
      </c>
      <c r="C36" s="72">
        <v>40769</v>
      </c>
      <c r="D36" s="73">
        <v>41132</v>
      </c>
      <c r="E36" s="73">
        <v>41133</v>
      </c>
      <c r="F36" s="72">
        <v>41503</v>
      </c>
      <c r="G36" s="72">
        <v>41504</v>
      </c>
      <c r="H36" s="73">
        <v>41867</v>
      </c>
      <c r="I36" s="73">
        <v>41868</v>
      </c>
      <c r="J36" s="72">
        <v>42231</v>
      </c>
      <c r="K36" s="74">
        <v>42232</v>
      </c>
    </row>
    <row r="37" spans="2:11" x14ac:dyDescent="0.25">
      <c r="B37" s="71">
        <v>40775</v>
      </c>
      <c r="C37" s="72">
        <v>40776</v>
      </c>
      <c r="D37" s="73">
        <v>41139</v>
      </c>
      <c r="E37" s="73">
        <v>41140</v>
      </c>
      <c r="F37" s="72">
        <v>41510</v>
      </c>
      <c r="G37" s="72">
        <v>41511</v>
      </c>
      <c r="H37" s="73">
        <v>41874</v>
      </c>
      <c r="I37" s="73">
        <v>41875</v>
      </c>
      <c r="J37" s="72">
        <v>42238</v>
      </c>
      <c r="K37" s="74">
        <v>42239</v>
      </c>
    </row>
    <row r="38" spans="2:11" x14ac:dyDescent="0.25">
      <c r="B38" s="71">
        <v>40782</v>
      </c>
      <c r="C38" s="72">
        <v>40783</v>
      </c>
      <c r="D38" s="73">
        <v>41146</v>
      </c>
      <c r="E38" s="73">
        <v>41147</v>
      </c>
      <c r="F38" s="72">
        <v>41517</v>
      </c>
      <c r="G38" s="72">
        <v>41518</v>
      </c>
      <c r="H38" s="73">
        <v>41881</v>
      </c>
      <c r="I38" s="73">
        <v>41882</v>
      </c>
      <c r="J38" s="72">
        <v>42245</v>
      </c>
      <c r="K38" s="74">
        <v>42246</v>
      </c>
    </row>
    <row r="39" spans="2:11" x14ac:dyDescent="0.25">
      <c r="B39" s="71">
        <v>40789</v>
      </c>
      <c r="C39" s="72">
        <v>40790</v>
      </c>
      <c r="D39" s="73">
        <v>41153</v>
      </c>
      <c r="E39" s="73">
        <v>41154</v>
      </c>
      <c r="F39" s="72">
        <v>41524</v>
      </c>
      <c r="G39" s="72">
        <v>41525</v>
      </c>
      <c r="H39" s="73">
        <v>41888</v>
      </c>
      <c r="I39" s="73">
        <v>41889</v>
      </c>
      <c r="J39" s="72">
        <v>42252</v>
      </c>
      <c r="K39" s="74">
        <v>42253</v>
      </c>
    </row>
    <row r="40" spans="2:11" x14ac:dyDescent="0.25">
      <c r="B40" s="71">
        <v>40796</v>
      </c>
      <c r="C40" s="72">
        <v>40797</v>
      </c>
      <c r="D40" s="73">
        <v>41160</v>
      </c>
      <c r="E40" s="73">
        <v>41161</v>
      </c>
      <c r="F40" s="72">
        <v>41531</v>
      </c>
      <c r="G40" s="72">
        <v>41532</v>
      </c>
      <c r="H40" s="73">
        <v>41895</v>
      </c>
      <c r="I40" s="73">
        <v>41896</v>
      </c>
      <c r="J40" s="72">
        <v>42259</v>
      </c>
      <c r="K40" s="74">
        <v>42260</v>
      </c>
    </row>
    <row r="41" spans="2:11" x14ac:dyDescent="0.25">
      <c r="B41" s="71">
        <v>40803</v>
      </c>
      <c r="C41" s="72">
        <v>40804</v>
      </c>
      <c r="D41" s="73">
        <v>41167</v>
      </c>
      <c r="E41" s="73">
        <v>41168</v>
      </c>
      <c r="F41" s="72">
        <v>41538</v>
      </c>
      <c r="G41" s="72">
        <v>41539</v>
      </c>
      <c r="H41" s="73">
        <v>41902</v>
      </c>
      <c r="I41" s="73">
        <v>41903</v>
      </c>
      <c r="J41" s="72">
        <v>42266</v>
      </c>
      <c r="K41" s="74">
        <v>42267</v>
      </c>
    </row>
    <row r="42" spans="2:11" x14ac:dyDescent="0.25">
      <c r="B42" s="71">
        <v>40810</v>
      </c>
      <c r="C42" s="72">
        <v>40811</v>
      </c>
      <c r="D42" s="73">
        <v>41174</v>
      </c>
      <c r="E42" s="73">
        <v>41175</v>
      </c>
      <c r="F42" s="72">
        <v>41545</v>
      </c>
      <c r="G42" s="72">
        <v>41546</v>
      </c>
      <c r="H42" s="73">
        <v>41909</v>
      </c>
      <c r="I42" s="73">
        <v>41910</v>
      </c>
      <c r="J42" s="72">
        <v>42273</v>
      </c>
      <c r="K42" s="74">
        <v>42274</v>
      </c>
    </row>
    <row r="43" spans="2:11" x14ac:dyDescent="0.25">
      <c r="B43" s="71">
        <v>40817</v>
      </c>
      <c r="C43" s="72">
        <v>40818</v>
      </c>
      <c r="D43" s="73">
        <v>41181</v>
      </c>
      <c r="E43" s="73">
        <v>41182</v>
      </c>
      <c r="F43" s="72">
        <v>41552</v>
      </c>
      <c r="G43" s="72">
        <v>41553</v>
      </c>
      <c r="H43" s="73">
        <v>41916</v>
      </c>
      <c r="I43" s="73">
        <v>41917</v>
      </c>
      <c r="J43" s="72">
        <v>42280</v>
      </c>
      <c r="K43" s="74">
        <v>42281</v>
      </c>
    </row>
    <row r="44" spans="2:11" x14ac:dyDescent="0.25">
      <c r="B44" s="71">
        <v>40824</v>
      </c>
      <c r="C44" s="72">
        <v>40825</v>
      </c>
      <c r="D44" s="73">
        <v>41188</v>
      </c>
      <c r="E44" s="73">
        <v>41189</v>
      </c>
      <c r="F44" s="72">
        <v>41559</v>
      </c>
      <c r="G44" s="72">
        <v>41560</v>
      </c>
      <c r="H44" s="73">
        <v>41923</v>
      </c>
      <c r="I44" s="73">
        <v>41924</v>
      </c>
      <c r="J44" s="72">
        <v>42287</v>
      </c>
      <c r="K44" s="74">
        <v>42288</v>
      </c>
    </row>
    <row r="45" spans="2:11" x14ac:dyDescent="0.25">
      <c r="B45" s="71">
        <v>40831</v>
      </c>
      <c r="C45" s="72">
        <v>40832</v>
      </c>
      <c r="D45" s="73">
        <v>41195</v>
      </c>
      <c r="E45" s="73">
        <v>41196</v>
      </c>
      <c r="F45" s="72">
        <v>41566</v>
      </c>
      <c r="G45" s="72">
        <v>41567</v>
      </c>
      <c r="H45" s="73">
        <v>41930</v>
      </c>
      <c r="I45" s="73">
        <v>41931</v>
      </c>
      <c r="J45" s="72">
        <v>42294</v>
      </c>
      <c r="K45" s="74">
        <v>42295</v>
      </c>
    </row>
    <row r="46" spans="2:11" x14ac:dyDescent="0.25">
      <c r="B46" s="71">
        <v>40838</v>
      </c>
      <c r="C46" s="72">
        <v>40839</v>
      </c>
      <c r="D46" s="73">
        <v>41202</v>
      </c>
      <c r="E46" s="73">
        <v>41203</v>
      </c>
      <c r="F46" s="72">
        <v>41573</v>
      </c>
      <c r="G46" s="72">
        <v>41574</v>
      </c>
      <c r="H46" s="73">
        <v>41937</v>
      </c>
      <c r="I46" s="73">
        <v>41938</v>
      </c>
      <c r="J46" s="72">
        <v>42301</v>
      </c>
      <c r="K46" s="74">
        <v>42302</v>
      </c>
    </row>
    <row r="47" spans="2:11" x14ac:dyDescent="0.25">
      <c r="B47" s="71">
        <v>40845</v>
      </c>
      <c r="C47" s="72">
        <v>40846</v>
      </c>
      <c r="D47" s="73">
        <v>41209</v>
      </c>
      <c r="E47" s="73">
        <v>41210</v>
      </c>
      <c r="F47" s="72">
        <v>41580</v>
      </c>
      <c r="G47" s="72">
        <v>41581</v>
      </c>
      <c r="H47" s="73">
        <v>41944</v>
      </c>
      <c r="I47" s="73">
        <v>41945</v>
      </c>
      <c r="J47" s="72">
        <v>42308</v>
      </c>
      <c r="K47" s="74">
        <v>42309</v>
      </c>
    </row>
    <row r="48" spans="2:11" x14ac:dyDescent="0.25">
      <c r="B48" s="71">
        <v>40852</v>
      </c>
      <c r="C48" s="72">
        <v>40853</v>
      </c>
      <c r="D48" s="73">
        <v>41216</v>
      </c>
      <c r="E48" s="73">
        <v>41217</v>
      </c>
      <c r="F48" s="72">
        <v>41587</v>
      </c>
      <c r="G48" s="72">
        <v>41588</v>
      </c>
      <c r="H48" s="73">
        <v>41951</v>
      </c>
      <c r="I48" s="73">
        <v>41952</v>
      </c>
      <c r="J48" s="72">
        <v>42315</v>
      </c>
      <c r="K48" s="74">
        <v>42316</v>
      </c>
    </row>
    <row r="49" spans="1:11" x14ac:dyDescent="0.25">
      <c r="B49" s="71">
        <v>40859</v>
      </c>
      <c r="C49" s="72">
        <v>40860</v>
      </c>
      <c r="D49" s="73">
        <v>41223</v>
      </c>
      <c r="E49" s="73">
        <v>41224</v>
      </c>
      <c r="F49" s="72">
        <v>41594</v>
      </c>
      <c r="G49" s="72">
        <v>41595</v>
      </c>
      <c r="H49" s="73">
        <v>41958</v>
      </c>
      <c r="I49" s="73">
        <v>41959</v>
      </c>
      <c r="J49" s="72">
        <v>42322</v>
      </c>
      <c r="K49" s="74">
        <v>42323</v>
      </c>
    </row>
    <row r="50" spans="1:11" x14ac:dyDescent="0.25">
      <c r="B50" s="71">
        <v>40866</v>
      </c>
      <c r="C50" s="72">
        <v>40867</v>
      </c>
      <c r="D50" s="73">
        <v>41230</v>
      </c>
      <c r="E50" s="73">
        <v>41231</v>
      </c>
      <c r="F50" s="72">
        <v>41601</v>
      </c>
      <c r="G50" s="72">
        <v>41602</v>
      </c>
      <c r="H50" s="73">
        <v>41965</v>
      </c>
      <c r="I50" s="73">
        <v>41966</v>
      </c>
      <c r="J50" s="72">
        <v>42329</v>
      </c>
      <c r="K50" s="74">
        <v>42330</v>
      </c>
    </row>
    <row r="51" spans="1:11" x14ac:dyDescent="0.25">
      <c r="B51" s="71">
        <v>40873</v>
      </c>
      <c r="C51" s="72">
        <v>40874</v>
      </c>
      <c r="D51" s="73">
        <v>41237</v>
      </c>
      <c r="E51" s="73">
        <v>41238</v>
      </c>
      <c r="F51" s="72">
        <v>41608</v>
      </c>
      <c r="G51" s="72">
        <v>41609</v>
      </c>
      <c r="H51" s="73">
        <v>41972</v>
      </c>
      <c r="I51" s="73">
        <v>41973</v>
      </c>
      <c r="J51" s="72">
        <v>42336</v>
      </c>
      <c r="K51" s="74">
        <v>42337</v>
      </c>
    </row>
    <row r="52" spans="1:11" x14ac:dyDescent="0.25">
      <c r="B52" s="71">
        <v>40880</v>
      </c>
      <c r="C52" s="72">
        <v>40881</v>
      </c>
      <c r="D52" s="73">
        <v>41244</v>
      </c>
      <c r="E52" s="73">
        <v>41245</v>
      </c>
      <c r="F52" s="72">
        <v>41615</v>
      </c>
      <c r="G52" s="72">
        <v>41616</v>
      </c>
      <c r="H52" s="73">
        <v>41979</v>
      </c>
      <c r="I52" s="73">
        <v>41980</v>
      </c>
      <c r="J52" s="72">
        <v>42343</v>
      </c>
      <c r="K52" s="74">
        <v>42344</v>
      </c>
    </row>
    <row r="53" spans="1:11" x14ac:dyDescent="0.25">
      <c r="B53" s="71">
        <v>40887</v>
      </c>
      <c r="C53" s="72">
        <v>40888</v>
      </c>
      <c r="D53" s="73">
        <v>41251</v>
      </c>
      <c r="E53" s="73">
        <v>41252</v>
      </c>
      <c r="F53" s="72">
        <v>41622</v>
      </c>
      <c r="G53" s="72">
        <v>41623</v>
      </c>
      <c r="H53" s="73">
        <v>41986</v>
      </c>
      <c r="I53" s="73">
        <v>41987</v>
      </c>
      <c r="J53" s="72">
        <v>42350</v>
      </c>
      <c r="K53" s="74">
        <v>42351</v>
      </c>
    </row>
    <row r="54" spans="1:11" x14ac:dyDescent="0.25">
      <c r="B54" s="71">
        <v>40894</v>
      </c>
      <c r="C54" s="72">
        <v>40895</v>
      </c>
      <c r="D54" s="73">
        <v>41258</v>
      </c>
      <c r="E54" s="73">
        <v>41259</v>
      </c>
      <c r="F54" s="72">
        <v>41629</v>
      </c>
      <c r="G54" s="72">
        <v>41630</v>
      </c>
      <c r="H54" s="73">
        <v>41993</v>
      </c>
      <c r="I54" s="73">
        <v>41994</v>
      </c>
      <c r="J54" s="72">
        <v>42357</v>
      </c>
      <c r="K54" s="74">
        <v>42358</v>
      </c>
    </row>
    <row r="55" spans="1:11" x14ac:dyDescent="0.25">
      <c r="B55" s="71">
        <v>40901</v>
      </c>
      <c r="C55" s="72">
        <v>40902</v>
      </c>
      <c r="D55" s="73">
        <v>41265</v>
      </c>
      <c r="E55" s="73">
        <v>41266</v>
      </c>
      <c r="F55" s="72">
        <v>41636</v>
      </c>
      <c r="G55" s="72">
        <v>41637</v>
      </c>
      <c r="H55" s="73">
        <v>42000</v>
      </c>
      <c r="I55" s="73">
        <v>42001</v>
      </c>
      <c r="J55" s="72">
        <v>42364</v>
      </c>
      <c r="K55" s="74">
        <v>42365</v>
      </c>
    </row>
    <row r="56" spans="1:11" ht="15.75" thickBot="1" x14ac:dyDescent="0.3">
      <c r="B56" s="75">
        <v>40908</v>
      </c>
      <c r="C56" s="76"/>
      <c r="D56" s="77">
        <v>41272</v>
      </c>
      <c r="E56" s="77">
        <v>41273</v>
      </c>
      <c r="F56" s="76"/>
      <c r="G56" s="76"/>
      <c r="H56" s="77"/>
      <c r="I56" s="77"/>
      <c r="J56" s="76"/>
      <c r="K56" s="78"/>
    </row>
    <row r="57" spans="1:11" ht="15.75" thickTop="1" x14ac:dyDescent="0.25">
      <c r="A57" s="79" t="s">
        <v>648</v>
      </c>
      <c r="B57" s="80">
        <v>40902</v>
      </c>
      <c r="C57" s="81">
        <v>40900</v>
      </c>
      <c r="D57" s="82">
        <v>41268</v>
      </c>
      <c r="E57" s="82">
        <v>40910</v>
      </c>
      <c r="F57" s="81">
        <v>41633</v>
      </c>
      <c r="G57" s="81">
        <v>41276</v>
      </c>
      <c r="H57" s="82">
        <v>41998</v>
      </c>
      <c r="I57" s="82">
        <v>41641</v>
      </c>
      <c r="J57" s="81">
        <v>42363</v>
      </c>
      <c r="K57" s="83">
        <v>42006</v>
      </c>
    </row>
    <row r="58" spans="1:11" x14ac:dyDescent="0.25">
      <c r="A58" s="79" t="s">
        <v>649</v>
      </c>
      <c r="B58" s="71">
        <v>40904</v>
      </c>
      <c r="C58" s="72">
        <v>40901</v>
      </c>
      <c r="D58" s="73">
        <v>41269</v>
      </c>
      <c r="E58" s="73">
        <v>40911</v>
      </c>
      <c r="F58" s="72">
        <v>41634</v>
      </c>
      <c r="G58" s="72">
        <v>41277</v>
      </c>
      <c r="H58" s="73">
        <v>41999</v>
      </c>
      <c r="I58" s="73">
        <v>41642</v>
      </c>
      <c r="J58" s="72">
        <v>42364</v>
      </c>
      <c r="K58" s="74">
        <v>42009</v>
      </c>
    </row>
    <row r="59" spans="1:11" x14ac:dyDescent="0.25">
      <c r="A59" s="79" t="s">
        <v>650</v>
      </c>
      <c r="B59" s="71">
        <v>40544</v>
      </c>
      <c r="C59" s="72">
        <v>40905</v>
      </c>
      <c r="D59" s="73">
        <v>40909</v>
      </c>
      <c r="E59" s="73">
        <v>40912</v>
      </c>
      <c r="F59" s="72">
        <v>41275</v>
      </c>
      <c r="G59" s="72">
        <v>41278</v>
      </c>
      <c r="H59" s="73">
        <v>41640</v>
      </c>
      <c r="I59" s="73">
        <v>41995</v>
      </c>
      <c r="J59" s="72">
        <v>42005</v>
      </c>
      <c r="K59" s="74">
        <v>42010</v>
      </c>
    </row>
    <row r="60" spans="1:11" x14ac:dyDescent="0.25">
      <c r="A60" s="79" t="s">
        <v>651</v>
      </c>
      <c r="B60" s="71">
        <v>40569</v>
      </c>
      <c r="C60" s="72">
        <v>40906</v>
      </c>
      <c r="D60" s="73">
        <v>41300</v>
      </c>
      <c r="E60" s="73">
        <v>40913</v>
      </c>
      <c r="F60" s="72">
        <v>41302</v>
      </c>
      <c r="G60" s="72">
        <v>41631</v>
      </c>
      <c r="H60" s="73">
        <v>41666</v>
      </c>
      <c r="I60" s="73">
        <v>41996</v>
      </c>
      <c r="J60" s="72">
        <v>42030</v>
      </c>
      <c r="K60" s="74">
        <v>42011</v>
      </c>
    </row>
    <row r="61" spans="1:11" x14ac:dyDescent="0.25">
      <c r="A61" s="79" t="s">
        <v>652</v>
      </c>
      <c r="B61" s="71">
        <v>40655</v>
      </c>
      <c r="C61" s="72">
        <v>40907</v>
      </c>
      <c r="D61" s="73">
        <v>41005</v>
      </c>
      <c r="E61" s="73">
        <v>40914</v>
      </c>
      <c r="F61" s="72">
        <v>41362</v>
      </c>
      <c r="G61" s="72">
        <v>41632</v>
      </c>
      <c r="H61" s="73">
        <v>41747</v>
      </c>
      <c r="I61" s="73">
        <v>41997</v>
      </c>
      <c r="J61" s="72">
        <v>42097</v>
      </c>
      <c r="K61" s="74">
        <v>42012</v>
      </c>
    </row>
    <row r="62" spans="1:11" x14ac:dyDescent="0.25">
      <c r="A62" s="79" t="s">
        <v>653</v>
      </c>
      <c r="B62" s="71">
        <v>40658</v>
      </c>
      <c r="C62" s="72"/>
      <c r="D62" s="73">
        <v>41008</v>
      </c>
      <c r="E62" s="73">
        <v>41267</v>
      </c>
      <c r="F62" s="72">
        <v>41365</v>
      </c>
      <c r="G62" s="72">
        <v>41635</v>
      </c>
      <c r="H62" s="73">
        <v>41750</v>
      </c>
      <c r="I62" s="73">
        <v>42002</v>
      </c>
      <c r="J62" s="72">
        <v>42100</v>
      </c>
      <c r="K62" s="74">
        <v>42013</v>
      </c>
    </row>
    <row r="63" spans="1:11" x14ac:dyDescent="0.25">
      <c r="A63" s="79" t="s">
        <v>654</v>
      </c>
      <c r="B63" s="71">
        <v>40659</v>
      </c>
      <c r="C63" s="72"/>
      <c r="D63" s="73">
        <v>41024</v>
      </c>
      <c r="E63" s="73">
        <v>41270</v>
      </c>
      <c r="F63" s="72">
        <v>41389</v>
      </c>
      <c r="G63" s="72">
        <v>41638</v>
      </c>
      <c r="H63" s="73">
        <v>41754</v>
      </c>
      <c r="I63" s="73">
        <v>42003</v>
      </c>
      <c r="J63" s="72">
        <v>42121</v>
      </c>
      <c r="K63" s="74">
        <v>42362</v>
      </c>
    </row>
    <row r="64" spans="1:11" x14ac:dyDescent="0.25">
      <c r="A64" s="79" t="s">
        <v>655</v>
      </c>
      <c r="B64" s="71">
        <v>40665</v>
      </c>
      <c r="C64" s="72"/>
      <c r="D64" s="73">
        <v>41036</v>
      </c>
      <c r="E64" s="73">
        <v>41271</v>
      </c>
      <c r="F64" s="72">
        <v>41435</v>
      </c>
      <c r="G64" s="72">
        <v>41639</v>
      </c>
      <c r="H64" s="73">
        <v>41918</v>
      </c>
      <c r="I64" s="73">
        <v>42004</v>
      </c>
      <c r="J64" s="72">
        <v>42282</v>
      </c>
      <c r="K64" s="74">
        <v>42365</v>
      </c>
    </row>
    <row r="65" spans="1:11" x14ac:dyDescent="0.25">
      <c r="A65" s="79" t="s">
        <v>656</v>
      </c>
      <c r="B65" s="71">
        <v>40707</v>
      </c>
      <c r="C65" s="72"/>
      <c r="D65" s="73">
        <v>41071</v>
      </c>
      <c r="E65" s="73">
        <v>41274</v>
      </c>
      <c r="F65" s="72">
        <v>41554</v>
      </c>
      <c r="G65" s="72"/>
      <c r="H65" s="73">
        <v>41799</v>
      </c>
      <c r="I65" s="73"/>
      <c r="J65" s="72">
        <v>42163</v>
      </c>
      <c r="K65" s="74">
        <v>42366</v>
      </c>
    </row>
    <row r="66" spans="1:11" x14ac:dyDescent="0.25">
      <c r="B66" s="71"/>
      <c r="C66" s="72"/>
      <c r="D66" s="73"/>
      <c r="E66" s="73"/>
      <c r="F66" s="72"/>
      <c r="G66" s="72"/>
      <c r="H66" s="65"/>
      <c r="I66" s="65"/>
      <c r="J66" s="72"/>
      <c r="K66" s="74">
        <v>42367</v>
      </c>
    </row>
    <row r="67" spans="1:11" x14ac:dyDescent="0.25">
      <c r="B67" s="71"/>
      <c r="C67" s="72"/>
      <c r="D67" s="73"/>
      <c r="E67" s="73"/>
      <c r="F67" s="72"/>
      <c r="G67" s="72"/>
      <c r="H67" s="65"/>
      <c r="I67" s="65"/>
      <c r="J67" s="72"/>
      <c r="K67" s="74">
        <v>42368</v>
      </c>
    </row>
    <row r="68" spans="1:11" x14ac:dyDescent="0.25">
      <c r="B68" s="71"/>
      <c r="C68" s="72"/>
      <c r="D68" s="73"/>
      <c r="E68" s="73"/>
      <c r="F68" s="72"/>
      <c r="G68" s="72"/>
      <c r="H68" s="65"/>
      <c r="I68" s="65"/>
      <c r="J68" s="72"/>
      <c r="K68" s="74">
        <v>42369</v>
      </c>
    </row>
    <row r="69" spans="1:11" ht="15.75" thickBot="1" x14ac:dyDescent="0.3">
      <c r="B69" s="84"/>
      <c r="C69" s="85" t="s">
        <v>657</v>
      </c>
      <c r="D69" s="86"/>
      <c r="E69" s="85" t="s">
        <v>657</v>
      </c>
      <c r="F69" s="87"/>
      <c r="G69" s="85" t="s">
        <v>657</v>
      </c>
      <c r="H69" s="88"/>
      <c r="I69" s="85" t="s">
        <v>657</v>
      </c>
      <c r="J69" s="87"/>
      <c r="K69" s="89" t="s">
        <v>657</v>
      </c>
    </row>
    <row r="71" spans="1:11" x14ac:dyDescent="0.25">
      <c r="A71" s="90" t="s">
        <v>660</v>
      </c>
      <c r="B71" s="90">
        <v>9</v>
      </c>
    </row>
    <row r="72" spans="1:11" x14ac:dyDescent="0.25">
      <c r="A72" s="90" t="s">
        <v>1504</v>
      </c>
      <c r="B72" s="246">
        <v>41730</v>
      </c>
    </row>
  </sheetData>
  <mergeCells count="6">
    <mergeCell ref="B1:K1"/>
    <mergeCell ref="B2:C2"/>
    <mergeCell ref="D2:E2"/>
    <mergeCell ref="F2:G2"/>
    <mergeCell ref="H2:I2"/>
    <mergeCell ref="J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20"/>
  <sheetViews>
    <sheetView topLeftCell="A86" workbookViewId="0">
      <selection activeCell="F125" sqref="F125"/>
    </sheetView>
  </sheetViews>
  <sheetFormatPr defaultRowHeight="15" x14ac:dyDescent="0.25"/>
  <cols>
    <col min="1" max="1" width="9.140625" style="46"/>
    <col min="2" max="2" width="48.42578125" style="8" customWidth="1"/>
    <col min="3" max="3" width="9.140625" style="5"/>
    <col min="4" max="4" width="13.28515625" style="5" bestFit="1" customWidth="1"/>
    <col min="5" max="5" width="26.42578125" style="216" customWidth="1"/>
    <col min="6" max="6" width="19.85546875" style="216" customWidth="1"/>
    <col min="8" max="8" width="13.140625" style="5" customWidth="1"/>
    <col min="9" max="15" width="13.140625" customWidth="1"/>
  </cols>
  <sheetData>
    <row r="1" spans="1:19" s="158" customFormat="1" x14ac:dyDescent="0.25">
      <c r="A1" s="155" t="s">
        <v>643</v>
      </c>
      <c r="B1" s="155" t="s">
        <v>734</v>
      </c>
      <c r="C1" s="155" t="s">
        <v>450</v>
      </c>
      <c r="D1" s="155" t="s">
        <v>737</v>
      </c>
      <c r="E1" s="156" t="s">
        <v>735</v>
      </c>
      <c r="F1" s="156" t="s">
        <v>736</v>
      </c>
      <c r="G1" s="157" t="s">
        <v>737</v>
      </c>
      <c r="H1" s="213">
        <v>41730</v>
      </c>
      <c r="I1" s="212">
        <v>41760</v>
      </c>
      <c r="J1" s="212">
        <v>41791</v>
      </c>
      <c r="K1" s="212">
        <v>41821</v>
      </c>
      <c r="L1" s="212">
        <v>41852</v>
      </c>
      <c r="M1" s="212">
        <v>41883</v>
      </c>
      <c r="N1" s="212">
        <v>41913</v>
      </c>
      <c r="O1" s="212">
        <v>41944</v>
      </c>
      <c r="P1" s="212">
        <v>41974</v>
      </c>
      <c r="Q1" s="212">
        <v>42005</v>
      </c>
      <c r="R1" s="212">
        <v>42036</v>
      </c>
      <c r="S1" s="212">
        <v>42064</v>
      </c>
    </row>
    <row r="2" spans="1:19" ht="45" x14ac:dyDescent="0.25">
      <c r="A2" s="217"/>
      <c r="B2" s="218" t="s">
        <v>738</v>
      </c>
      <c r="C2" s="219"/>
      <c r="D2" s="219"/>
      <c r="E2" s="220"/>
      <c r="F2" s="221"/>
      <c r="G2" s="197"/>
      <c r="H2" s="219"/>
      <c r="I2" s="197"/>
      <c r="J2" s="197"/>
      <c r="K2" s="197"/>
      <c r="L2" s="197"/>
      <c r="M2" s="197"/>
      <c r="N2" s="197"/>
      <c r="O2" s="197"/>
      <c r="P2" s="197"/>
      <c r="Q2" s="197"/>
      <c r="R2" s="197"/>
      <c r="S2" s="197"/>
    </row>
    <row r="3" spans="1:19" x14ac:dyDescent="0.25">
      <c r="A3" s="217"/>
      <c r="B3" s="222" t="s">
        <v>661</v>
      </c>
      <c r="C3" s="219"/>
      <c r="D3" s="219"/>
      <c r="E3" s="220"/>
      <c r="F3" s="221">
        <v>5</v>
      </c>
      <c r="G3" s="197"/>
      <c r="H3" s="219"/>
      <c r="I3" s="197"/>
      <c r="J3" s="197"/>
      <c r="K3" s="197"/>
      <c r="L3" s="197"/>
      <c r="M3" s="197"/>
      <c r="N3" s="197"/>
      <c r="O3" s="197"/>
      <c r="P3" s="197"/>
      <c r="Q3" s="197"/>
      <c r="R3" s="197"/>
      <c r="S3" s="197"/>
    </row>
    <row r="4" spans="1:19" x14ac:dyDescent="0.25">
      <c r="A4" s="217"/>
      <c r="B4" s="222" t="s">
        <v>739</v>
      </c>
      <c r="C4" s="219"/>
      <c r="D4" s="219"/>
      <c r="E4" s="221" t="s">
        <v>662</v>
      </c>
      <c r="F4" s="220"/>
      <c r="G4" s="197"/>
      <c r="H4" s="219"/>
      <c r="I4" s="197"/>
      <c r="J4" s="197"/>
      <c r="K4" s="197"/>
      <c r="L4" s="197"/>
      <c r="M4" s="197"/>
      <c r="N4" s="197"/>
      <c r="O4" s="197"/>
      <c r="P4" s="197"/>
      <c r="Q4" s="197"/>
      <c r="R4" s="197"/>
      <c r="S4" s="197"/>
    </row>
    <row r="5" spans="1:19" ht="30" x14ac:dyDescent="0.25">
      <c r="A5" s="217">
        <v>5</v>
      </c>
      <c r="B5" s="222" t="str">
        <f>VLOOKUP(A5,Estimate!A:C,3,FALSE)</f>
        <v>ROADWORKS AND DRAINAGE Site establishment and disestablishment</v>
      </c>
      <c r="C5" s="219">
        <f>VLOOKUP(A5,Estimate!A:L,12,FALSE)</f>
        <v>5</v>
      </c>
      <c r="D5" s="223">
        <f>VLOOKUP(A5,Estimate!A:Q,17,FALSE)</f>
        <v>12000</v>
      </c>
      <c r="E5" s="221">
        <v>3</v>
      </c>
      <c r="F5" s="221" t="s">
        <v>663</v>
      </c>
      <c r="G5" s="197"/>
      <c r="H5" s="214">
        <f>VLOOKUP($A5,'Budget &amp; Revenue'!$A:$AH,12,FALSE)</f>
        <v>0.75</v>
      </c>
      <c r="I5" s="214">
        <f>VLOOKUP($A5,'Budget &amp; Revenue'!$A:$AH,14,FALSE)</f>
        <v>0.75</v>
      </c>
      <c r="J5" s="214">
        <f>VLOOKUP($A5,'Budget &amp; Revenue'!$A:$AH,16,FALSE)</f>
        <v>0.75</v>
      </c>
      <c r="K5" s="214">
        <f>VLOOKUP($A5,'Budget &amp; Revenue'!$A:$AH,18,FALSE)</f>
        <v>0.8</v>
      </c>
      <c r="L5" s="214">
        <f>VLOOKUP($A5,'Budget &amp; Revenue'!$A:$AH,20,FALSE)</f>
        <v>0.8</v>
      </c>
      <c r="M5" s="214">
        <f>VLOOKUP($A5,'Budget &amp; Revenue'!$A:$AH,22,FALSE)</f>
        <v>0.8</v>
      </c>
      <c r="N5" s="214">
        <f>VLOOKUP($A5,'Budget &amp; Revenue'!$A:$AH,24,FALSE)</f>
        <v>0.8</v>
      </c>
      <c r="O5" s="214">
        <f>VLOOKUP($A5,'Budget &amp; Revenue'!$A:$AH,26,FALSE)</f>
        <v>0.8</v>
      </c>
      <c r="P5" s="214">
        <f>VLOOKUP($A5,'Budget &amp; Revenue'!$A:$AH,28,FALSE)</f>
        <v>0.8</v>
      </c>
      <c r="Q5" s="214">
        <f>VLOOKUP($A5,'Budget &amp; Revenue'!$A:$AH,30,FALSE)</f>
        <v>0.8</v>
      </c>
      <c r="R5" s="214">
        <f>VLOOKUP($A5,'Budget &amp; Revenue'!$A:$AH,32,FALSE)</f>
        <v>1</v>
      </c>
      <c r="S5" s="214">
        <f>VLOOKUP($A5,'Budget &amp; Revenue'!$A:$AH,34,FALSE)</f>
        <v>1</v>
      </c>
    </row>
    <row r="6" spans="1:19" ht="90" x14ac:dyDescent="0.25">
      <c r="A6" s="217">
        <v>6</v>
      </c>
      <c r="B6" s="222" t="str">
        <f>VLOOKUP(A6,Estimate!A:C,3,FALSE)</f>
        <v>Drainage, Retaining Structures &amp; Protective TreatmentsSupply of Precast Concrete Pipe Culverts in accordance with AS 4058 - Exposure Class B1, and Installation of Culverts to MRS03Supply and installation of concrete pipe culvert components, Class 2, RRJ, 375mm diameter with saltwater cover</v>
      </c>
      <c r="C6" s="219">
        <f>VLOOKUP(A6,Estimate!A:L,12,FALSE)</f>
        <v>2</v>
      </c>
      <c r="D6" s="223">
        <f>VLOOKUP(A6,Estimate!A:Q,17,FALSE)</f>
        <v>9401.5859999999993</v>
      </c>
      <c r="E6" s="221" t="s">
        <v>664</v>
      </c>
      <c r="F6" s="221">
        <v>7</v>
      </c>
      <c r="G6" s="197"/>
      <c r="H6" s="214" t="str">
        <f>VLOOKUP($A6,'Budget &amp; Revenue'!$A:$AH,12,FALSE)</f>
        <v xml:space="preserve"> </v>
      </c>
      <c r="I6" s="214">
        <f>VLOOKUP($A6,'Budget &amp; Revenue'!$A:$AH,14,FALSE)</f>
        <v>1</v>
      </c>
      <c r="J6" s="214">
        <f>VLOOKUP($A6,'Budget &amp; Revenue'!$A:$AH,16,FALSE)</f>
        <v>1</v>
      </c>
      <c r="K6" s="214">
        <f>VLOOKUP($A6,'Budget &amp; Revenue'!$A:$AH,18,FALSE)</f>
        <v>1</v>
      </c>
      <c r="L6" s="214">
        <f>VLOOKUP($A6,'Budget &amp; Revenue'!$A:$AH,20,FALSE)</f>
        <v>1</v>
      </c>
      <c r="M6" s="214">
        <f>VLOOKUP($A6,'Budget &amp; Revenue'!$A:$AH,22,FALSE)</f>
        <v>1</v>
      </c>
      <c r="N6" s="214">
        <f>VLOOKUP($A6,'Budget &amp; Revenue'!$A:$AH,24,FALSE)</f>
        <v>1</v>
      </c>
      <c r="O6" s="214">
        <f>VLOOKUP($A6,'Budget &amp; Revenue'!$A:$AH,26,FALSE)</f>
        <v>1</v>
      </c>
      <c r="P6" s="214">
        <f>VLOOKUP($A6,'Budget &amp; Revenue'!$A:$AH,28,FALSE)</f>
        <v>1</v>
      </c>
      <c r="Q6" s="214">
        <f>VLOOKUP($A6,'Budget &amp; Revenue'!$A:$AH,30,FALSE)</f>
        <v>1</v>
      </c>
      <c r="R6" s="214">
        <f>VLOOKUP($A6,'Budget &amp; Revenue'!$A:$AH,32,FALSE)</f>
        <v>1</v>
      </c>
      <c r="S6" s="214">
        <f>VLOOKUP($A6,'Budget &amp; Revenue'!$A:$AH,34,FALSE)</f>
        <v>1</v>
      </c>
    </row>
    <row r="7" spans="1:19" ht="45" x14ac:dyDescent="0.25">
      <c r="A7" s="217">
        <v>7</v>
      </c>
      <c r="B7" s="222" t="str">
        <f>VLOOKUP(A7,Estimate!A:C,3,FALSE)</f>
        <v>Supply and installation of concrete pipe culvert components, Class 2, RRJ, 450mm diameter with saltwater cover</v>
      </c>
      <c r="C7" s="219">
        <f>VLOOKUP(A7,Estimate!A:L,12,FALSE)</f>
        <v>1</v>
      </c>
      <c r="D7" s="223">
        <f>VLOOKUP(A7,Estimate!A:Q,17,FALSE)</f>
        <v>4610.4040000000005</v>
      </c>
      <c r="E7" s="221">
        <v>6</v>
      </c>
      <c r="F7" s="221">
        <v>8</v>
      </c>
      <c r="G7" s="197"/>
      <c r="H7" s="214" t="str">
        <f>VLOOKUP($A7,'Budget &amp; Revenue'!$A:$AH,12,FALSE)</f>
        <v xml:space="preserve"> </v>
      </c>
      <c r="I7" s="214">
        <f>VLOOKUP($A7,'Budget &amp; Revenue'!$A:$AH,14,FALSE)</f>
        <v>1</v>
      </c>
      <c r="J7" s="214">
        <f>VLOOKUP($A7,'Budget &amp; Revenue'!$A:$AH,16,FALSE)</f>
        <v>1</v>
      </c>
      <c r="K7" s="214">
        <f>VLOOKUP($A7,'Budget &amp; Revenue'!$A:$AH,18,FALSE)</f>
        <v>1</v>
      </c>
      <c r="L7" s="214">
        <f>VLOOKUP($A7,'Budget &amp; Revenue'!$A:$AH,20,FALSE)</f>
        <v>1</v>
      </c>
      <c r="M7" s="214">
        <f>VLOOKUP($A7,'Budget &amp; Revenue'!$A:$AH,22,FALSE)</f>
        <v>1</v>
      </c>
      <c r="N7" s="214">
        <f>VLOOKUP($A7,'Budget &amp; Revenue'!$A:$AH,24,FALSE)</f>
        <v>1</v>
      </c>
      <c r="O7" s="214">
        <f>VLOOKUP($A7,'Budget &amp; Revenue'!$A:$AH,26,FALSE)</f>
        <v>1</v>
      </c>
      <c r="P7" s="214">
        <f>VLOOKUP($A7,'Budget &amp; Revenue'!$A:$AH,28,FALSE)</f>
        <v>1</v>
      </c>
      <c r="Q7" s="214">
        <f>VLOOKUP($A7,'Budget &amp; Revenue'!$A:$AH,30,FALSE)</f>
        <v>1</v>
      </c>
      <c r="R7" s="214">
        <f>VLOOKUP($A7,'Budget &amp; Revenue'!$A:$AH,32,FALSE)</f>
        <v>1</v>
      </c>
      <c r="S7" s="214">
        <f>VLOOKUP($A7,'Budget &amp; Revenue'!$A:$AH,34,FALSE)</f>
        <v>1</v>
      </c>
    </row>
    <row r="8" spans="1:19" ht="45" x14ac:dyDescent="0.25">
      <c r="A8" s="217">
        <v>8</v>
      </c>
      <c r="B8" s="222" t="str">
        <f>VLOOKUP(A8,Estimate!A:C,3,FALSE)</f>
        <v>Supply and installation of concrete pipe culvert components, Class 2, RRJ, 525mm diameter with saltwater cover</v>
      </c>
      <c r="C8" s="219">
        <f>VLOOKUP(A8,Estimate!A:L,12,FALSE)</f>
        <v>2</v>
      </c>
      <c r="D8" s="223">
        <f>VLOOKUP(A8,Estimate!A:Q,17,FALSE)</f>
        <v>13652.170000000002</v>
      </c>
      <c r="E8" s="221">
        <v>7</v>
      </c>
      <c r="F8" s="221">
        <v>9</v>
      </c>
      <c r="G8" s="197"/>
      <c r="H8" s="214" t="str">
        <f>VLOOKUP($A8,'Budget &amp; Revenue'!$A:$AH,12,FALSE)</f>
        <v xml:space="preserve"> </v>
      </c>
      <c r="I8" s="214">
        <f>VLOOKUP($A8,'Budget &amp; Revenue'!$A:$AH,14,FALSE)</f>
        <v>1</v>
      </c>
      <c r="J8" s="214">
        <f>VLOOKUP($A8,'Budget &amp; Revenue'!$A:$AH,16,FALSE)</f>
        <v>1</v>
      </c>
      <c r="K8" s="214">
        <f>VLOOKUP($A8,'Budget &amp; Revenue'!$A:$AH,18,FALSE)</f>
        <v>1</v>
      </c>
      <c r="L8" s="214">
        <f>VLOOKUP($A8,'Budget &amp; Revenue'!$A:$AH,20,FALSE)</f>
        <v>1</v>
      </c>
      <c r="M8" s="214">
        <f>VLOOKUP($A8,'Budget &amp; Revenue'!$A:$AH,22,FALSE)</f>
        <v>1</v>
      </c>
      <c r="N8" s="214">
        <f>VLOOKUP($A8,'Budget &amp; Revenue'!$A:$AH,24,FALSE)</f>
        <v>1</v>
      </c>
      <c r="O8" s="214">
        <f>VLOOKUP($A8,'Budget &amp; Revenue'!$A:$AH,26,FALSE)</f>
        <v>1</v>
      </c>
      <c r="P8" s="214">
        <f>VLOOKUP($A8,'Budget &amp; Revenue'!$A:$AH,28,FALSE)</f>
        <v>1</v>
      </c>
      <c r="Q8" s="214">
        <f>VLOOKUP($A8,'Budget &amp; Revenue'!$A:$AH,30,FALSE)</f>
        <v>1</v>
      </c>
      <c r="R8" s="214">
        <f>VLOOKUP($A8,'Budget &amp; Revenue'!$A:$AH,32,FALSE)</f>
        <v>1</v>
      </c>
      <c r="S8" s="214">
        <f>VLOOKUP($A8,'Budget &amp; Revenue'!$A:$AH,34,FALSE)</f>
        <v>1</v>
      </c>
    </row>
    <row r="9" spans="1:19" ht="45" x14ac:dyDescent="0.25">
      <c r="A9" s="217">
        <v>9</v>
      </c>
      <c r="B9" s="222" t="str">
        <f>VLOOKUP(A9,Estimate!A:C,3,FALSE)</f>
        <v>Supply and installation of concrete pipe culvert components, Class 2,RRJ, 600mm diameter with saltwater cover</v>
      </c>
      <c r="C9" s="219">
        <f>VLOOKUP(A9,Estimate!A:L,12,FALSE)</f>
        <v>1</v>
      </c>
      <c r="D9" s="223">
        <f>VLOOKUP(A9,Estimate!A:Q,17,FALSE)</f>
        <v>7442.5259999999998</v>
      </c>
      <c r="E9" s="221">
        <v>8</v>
      </c>
      <c r="F9" s="221">
        <v>10</v>
      </c>
      <c r="G9" s="197"/>
      <c r="H9" s="214" t="str">
        <f>VLOOKUP($A9,'Budget &amp; Revenue'!$A:$AH,12,FALSE)</f>
        <v xml:space="preserve"> </v>
      </c>
      <c r="I9" s="214">
        <f>VLOOKUP($A9,'Budget &amp; Revenue'!$A:$AH,14,FALSE)</f>
        <v>1</v>
      </c>
      <c r="J9" s="214">
        <f>VLOOKUP($A9,'Budget &amp; Revenue'!$A:$AH,16,FALSE)</f>
        <v>1</v>
      </c>
      <c r="K9" s="214">
        <f>VLOOKUP($A9,'Budget &amp; Revenue'!$A:$AH,18,FALSE)</f>
        <v>1</v>
      </c>
      <c r="L9" s="214">
        <f>VLOOKUP($A9,'Budget &amp; Revenue'!$A:$AH,20,FALSE)</f>
        <v>1</v>
      </c>
      <c r="M9" s="214">
        <f>VLOOKUP($A9,'Budget &amp; Revenue'!$A:$AH,22,FALSE)</f>
        <v>1</v>
      </c>
      <c r="N9" s="214">
        <f>VLOOKUP($A9,'Budget &amp; Revenue'!$A:$AH,24,FALSE)</f>
        <v>1</v>
      </c>
      <c r="O9" s="214">
        <f>VLOOKUP($A9,'Budget &amp; Revenue'!$A:$AH,26,FALSE)</f>
        <v>1</v>
      </c>
      <c r="P9" s="214">
        <f>VLOOKUP($A9,'Budget &amp; Revenue'!$A:$AH,28,FALSE)</f>
        <v>1</v>
      </c>
      <c r="Q9" s="214">
        <f>VLOOKUP($A9,'Budget &amp; Revenue'!$A:$AH,30,FALSE)</f>
        <v>1</v>
      </c>
      <c r="R9" s="214">
        <f>VLOOKUP($A9,'Budget &amp; Revenue'!$A:$AH,32,FALSE)</f>
        <v>1</v>
      </c>
      <c r="S9" s="214">
        <f>VLOOKUP($A9,'Budget &amp; Revenue'!$A:$AH,34,FALSE)</f>
        <v>1</v>
      </c>
    </row>
    <row r="10" spans="1:19" ht="105" x14ac:dyDescent="0.25">
      <c r="A10" s="217">
        <v>10</v>
      </c>
      <c r="B10" s="222" t="str">
        <f>VLOOKUP(A10,Estimate!A:C,3,FALSE)</f>
        <v>Supply of Stormwater Drainage Pipe Culverts in accordance with AS/NZS 5065, and installation of Culverts to MRS03 - Supply of Stormwater Drainage Pipe Culverts in accordance with AS/NZS 5065, and installation of Culverts to MRS03 - Supply and installation of BlackMAX stormwater pipe, Class SN8, 150 mm diameter</v>
      </c>
      <c r="C10" s="219">
        <f>VLOOKUP(A10,Estimate!A:L,12,FALSE)</f>
        <v>7</v>
      </c>
      <c r="D10" s="223">
        <f>VLOOKUP(A10,Estimate!A:Q,17,FALSE)</f>
        <v>33768</v>
      </c>
      <c r="E10" s="221">
        <v>9</v>
      </c>
      <c r="F10" s="221" t="s">
        <v>665</v>
      </c>
      <c r="G10" s="197"/>
      <c r="H10" s="214" t="str">
        <f>VLOOKUP($A10,'Budget &amp; Revenue'!$A:$AH,12,FALSE)</f>
        <v xml:space="preserve"> </v>
      </c>
      <c r="I10" s="214" t="str">
        <f>VLOOKUP($A10,'Budget &amp; Revenue'!$A:$AH,14,FALSE)</f>
        <v xml:space="preserve"> </v>
      </c>
      <c r="J10" s="214" t="str">
        <f>VLOOKUP($A10,'Budget &amp; Revenue'!$A:$AH,16,FALSE)</f>
        <v xml:space="preserve"> </v>
      </c>
      <c r="K10" s="214" t="str">
        <f>VLOOKUP($A10,'Budget &amp; Revenue'!$A:$AH,18,FALSE)</f>
        <v xml:space="preserve"> </v>
      </c>
      <c r="L10" s="214" t="str">
        <f>VLOOKUP($A10,'Budget &amp; Revenue'!$A:$AH,20,FALSE)</f>
        <v xml:space="preserve"> </v>
      </c>
      <c r="M10" s="214">
        <f>VLOOKUP($A10,'Budget &amp; Revenue'!$A:$AH,22,FALSE)</f>
        <v>1</v>
      </c>
      <c r="N10" s="214">
        <f>VLOOKUP($A10,'Budget &amp; Revenue'!$A:$AH,24,FALSE)</f>
        <v>1</v>
      </c>
      <c r="O10" s="214">
        <f>VLOOKUP($A10,'Budget &amp; Revenue'!$A:$AH,26,FALSE)</f>
        <v>1</v>
      </c>
      <c r="P10" s="214">
        <f>VLOOKUP($A10,'Budget &amp; Revenue'!$A:$AH,28,FALSE)</f>
        <v>1</v>
      </c>
      <c r="Q10" s="214">
        <f>VLOOKUP($A10,'Budget &amp; Revenue'!$A:$AH,30,FALSE)</f>
        <v>1</v>
      </c>
      <c r="R10" s="214">
        <f>VLOOKUP($A10,'Budget &amp; Revenue'!$A:$AH,32,FALSE)</f>
        <v>1</v>
      </c>
      <c r="S10" s="214">
        <f>VLOOKUP($A10,'Budget &amp; Revenue'!$A:$AH,34,FALSE)</f>
        <v>1</v>
      </c>
    </row>
    <row r="11" spans="1:19" ht="30" x14ac:dyDescent="0.25">
      <c r="A11" s="217">
        <v>11</v>
      </c>
      <c r="B11" s="222" t="str">
        <f>VLOOKUP(A11,Estimate!A:C,3,FALSE)</f>
        <v>Supply and Installation of Drainage Components - Supply and install 600mm flood flap</v>
      </c>
      <c r="C11" s="219">
        <f>VLOOKUP(A11,Estimate!A:L,12,FALSE)</f>
        <v>1</v>
      </c>
      <c r="D11" s="223">
        <f>VLOOKUP(A11,Estimate!A:Q,17,FALSE)</f>
        <v>2788</v>
      </c>
      <c r="E11" s="221">
        <v>10</v>
      </c>
      <c r="F11" s="221">
        <v>12</v>
      </c>
      <c r="G11" s="197"/>
      <c r="H11" s="214" t="str">
        <f>VLOOKUP($A11,'Budget &amp; Revenue'!$A:$AH,12,FALSE)</f>
        <v xml:space="preserve"> </v>
      </c>
      <c r="I11" s="214" t="str">
        <f>VLOOKUP($A11,'Budget &amp; Revenue'!$A:$AH,14,FALSE)</f>
        <v xml:space="preserve"> </v>
      </c>
      <c r="J11" s="214" t="str">
        <f>VLOOKUP($A11,'Budget &amp; Revenue'!$A:$AH,16,FALSE)</f>
        <v xml:space="preserve"> </v>
      </c>
      <c r="K11" s="214">
        <f>VLOOKUP($A11,'Budget &amp; Revenue'!$A:$AH,18,FALSE)</f>
        <v>1</v>
      </c>
      <c r="L11" s="214">
        <f>VLOOKUP($A11,'Budget &amp; Revenue'!$A:$AH,20,FALSE)</f>
        <v>1</v>
      </c>
      <c r="M11" s="214">
        <f>VLOOKUP($A11,'Budget &amp; Revenue'!$A:$AH,22,FALSE)</f>
        <v>1</v>
      </c>
      <c r="N11" s="214">
        <f>VLOOKUP($A11,'Budget &amp; Revenue'!$A:$AH,24,FALSE)</f>
        <v>1</v>
      </c>
      <c r="O11" s="214">
        <f>VLOOKUP($A11,'Budget &amp; Revenue'!$A:$AH,26,FALSE)</f>
        <v>1</v>
      </c>
      <c r="P11" s="214">
        <f>VLOOKUP($A11,'Budget &amp; Revenue'!$A:$AH,28,FALSE)</f>
        <v>1</v>
      </c>
      <c r="Q11" s="214">
        <f>VLOOKUP($A11,'Budget &amp; Revenue'!$A:$AH,30,FALSE)</f>
        <v>1</v>
      </c>
      <c r="R11" s="214">
        <f>VLOOKUP($A11,'Budget &amp; Revenue'!$A:$AH,32,FALSE)</f>
        <v>1</v>
      </c>
      <c r="S11" s="214">
        <f>VLOOKUP($A11,'Budget &amp; Revenue'!$A:$AH,34,FALSE)</f>
        <v>1</v>
      </c>
    </row>
    <row r="12" spans="1:19" ht="30" x14ac:dyDescent="0.25">
      <c r="A12" s="217">
        <v>12</v>
      </c>
      <c r="B12" s="222" t="str">
        <f>VLOOKUP(A12,Estimate!A:C,3,FALSE)</f>
        <v>Concrete in Culverts and End Structures, MRS03 - Aprons to culverts, reinforced concrete</v>
      </c>
      <c r="C12" s="219">
        <f>VLOOKUP(A12,Estimate!A:L,12,FALSE)</f>
        <v>1</v>
      </c>
      <c r="D12" s="223">
        <f>VLOOKUP(A12,Estimate!A:Q,17,FALSE)</f>
        <v>950</v>
      </c>
      <c r="E12" s="221">
        <v>11</v>
      </c>
      <c r="F12" s="221">
        <v>26</v>
      </c>
      <c r="G12" s="197"/>
      <c r="H12" s="214" t="str">
        <f>VLOOKUP($A12,'Budget &amp; Revenue'!$A:$AH,12,FALSE)</f>
        <v xml:space="preserve"> </v>
      </c>
      <c r="I12" s="214" t="str">
        <f>VLOOKUP($A12,'Budget &amp; Revenue'!$A:$AH,14,FALSE)</f>
        <v xml:space="preserve"> </v>
      </c>
      <c r="J12" s="214" t="str">
        <f>VLOOKUP($A12,'Budget &amp; Revenue'!$A:$AH,16,FALSE)</f>
        <v xml:space="preserve"> </v>
      </c>
      <c r="K12" s="214">
        <f>VLOOKUP($A12,'Budget &amp; Revenue'!$A:$AH,18,FALSE)</f>
        <v>1</v>
      </c>
      <c r="L12" s="214">
        <f>VLOOKUP($A12,'Budget &amp; Revenue'!$A:$AH,20,FALSE)</f>
        <v>1</v>
      </c>
      <c r="M12" s="214">
        <f>VLOOKUP($A12,'Budget &amp; Revenue'!$A:$AH,22,FALSE)</f>
        <v>1</v>
      </c>
      <c r="N12" s="214">
        <f>VLOOKUP($A12,'Budget &amp; Revenue'!$A:$AH,24,FALSE)</f>
        <v>1</v>
      </c>
      <c r="O12" s="214">
        <f>VLOOKUP($A12,'Budget &amp; Revenue'!$A:$AH,26,FALSE)</f>
        <v>1</v>
      </c>
      <c r="P12" s="214">
        <f>VLOOKUP($A12,'Budget &amp; Revenue'!$A:$AH,28,FALSE)</f>
        <v>1</v>
      </c>
      <c r="Q12" s="214">
        <f>VLOOKUP($A12,'Budget &amp; Revenue'!$A:$AH,30,FALSE)</f>
        <v>1</v>
      </c>
      <c r="R12" s="214">
        <f>VLOOKUP($A12,'Budget &amp; Revenue'!$A:$AH,32,FALSE)</f>
        <v>1</v>
      </c>
      <c r="S12" s="214">
        <f>VLOOKUP($A12,'Budget &amp; Revenue'!$A:$AH,34,FALSE)</f>
        <v>1</v>
      </c>
    </row>
    <row r="13" spans="1:19" ht="30" x14ac:dyDescent="0.25">
      <c r="A13" s="217">
        <v>13</v>
      </c>
      <c r="B13" s="222" t="str">
        <f>VLOOKUP(A13,Estimate!A:C,3,FALSE)</f>
        <v>Pavement Drainage, MRS03 Concrete kerb and channel, barrier (B2)</v>
      </c>
      <c r="C13" s="219">
        <f>VLOOKUP(A13,Estimate!A:L,12,FALSE)</f>
        <v>1</v>
      </c>
      <c r="D13" s="223">
        <f>VLOOKUP(A13,Estimate!A:Q,17,FALSE)</f>
        <v>3396.8</v>
      </c>
      <c r="E13" s="221">
        <v>28</v>
      </c>
      <c r="F13" s="221" t="s">
        <v>666</v>
      </c>
      <c r="G13" s="197"/>
      <c r="H13" s="214" t="str">
        <f>VLOOKUP($A13,'Budget &amp; Revenue'!$A:$AH,12,FALSE)</f>
        <v xml:space="preserve"> </v>
      </c>
      <c r="I13" s="214" t="str">
        <f>VLOOKUP($A13,'Budget &amp; Revenue'!$A:$AH,14,FALSE)</f>
        <v xml:space="preserve"> </v>
      </c>
      <c r="J13" s="214" t="str">
        <f>VLOOKUP($A13,'Budget &amp; Revenue'!$A:$AH,16,FALSE)</f>
        <v xml:space="preserve"> </v>
      </c>
      <c r="K13" s="214" t="str">
        <f>VLOOKUP($A13,'Budget &amp; Revenue'!$A:$AH,18,FALSE)</f>
        <v xml:space="preserve"> </v>
      </c>
      <c r="L13" s="214" t="str">
        <f>VLOOKUP($A13,'Budget &amp; Revenue'!$A:$AH,20,FALSE)</f>
        <v xml:space="preserve"> </v>
      </c>
      <c r="M13" s="214">
        <f>VLOOKUP($A13,'Budget &amp; Revenue'!$A:$AH,22,FALSE)</f>
        <v>1</v>
      </c>
      <c r="N13" s="214">
        <f>VLOOKUP($A13,'Budget &amp; Revenue'!$A:$AH,24,FALSE)</f>
        <v>1</v>
      </c>
      <c r="O13" s="214">
        <f>VLOOKUP($A13,'Budget &amp; Revenue'!$A:$AH,26,FALSE)</f>
        <v>1</v>
      </c>
      <c r="P13" s="214">
        <f>VLOOKUP($A13,'Budget &amp; Revenue'!$A:$AH,28,FALSE)</f>
        <v>1</v>
      </c>
      <c r="Q13" s="214">
        <f>VLOOKUP($A13,'Budget &amp; Revenue'!$A:$AH,30,FALSE)</f>
        <v>1</v>
      </c>
      <c r="R13" s="214">
        <f>VLOOKUP($A13,'Budget &amp; Revenue'!$A:$AH,32,FALSE)</f>
        <v>1</v>
      </c>
      <c r="S13" s="214">
        <f>VLOOKUP($A13,'Budget &amp; Revenue'!$A:$AH,34,FALSE)</f>
        <v>1</v>
      </c>
    </row>
    <row r="14" spans="1:19" ht="30" x14ac:dyDescent="0.25">
      <c r="A14" s="217">
        <v>14</v>
      </c>
      <c r="B14" s="222" t="str">
        <f>VLOOKUP(A14,Estimate!A:C,3,FALSE)</f>
        <v>Pavement Drainage, MRS03 Type 1 main roads flush kerb (300x200)</v>
      </c>
      <c r="C14" s="219">
        <f>VLOOKUP(A14,Estimate!A:L,12,FALSE)</f>
        <v>1</v>
      </c>
      <c r="D14" s="223">
        <f>VLOOKUP(A14,Estimate!A:Q,17,FALSE)</f>
        <v>19808.254697286015</v>
      </c>
      <c r="E14" s="221">
        <v>13</v>
      </c>
      <c r="F14" s="221">
        <v>27</v>
      </c>
      <c r="G14" s="197"/>
      <c r="H14" s="214" t="str">
        <f>VLOOKUP($A14,'Budget &amp; Revenue'!$A:$AH,12,FALSE)</f>
        <v xml:space="preserve"> </v>
      </c>
      <c r="I14" s="214" t="str">
        <f>VLOOKUP($A14,'Budget &amp; Revenue'!$A:$AH,14,FALSE)</f>
        <v xml:space="preserve"> </v>
      </c>
      <c r="J14" s="214" t="str">
        <f>VLOOKUP($A14,'Budget &amp; Revenue'!$A:$AH,16,FALSE)</f>
        <v xml:space="preserve"> </v>
      </c>
      <c r="K14" s="214" t="str">
        <f>VLOOKUP($A14,'Budget &amp; Revenue'!$A:$AH,18,FALSE)</f>
        <v xml:space="preserve"> </v>
      </c>
      <c r="L14" s="214" t="str">
        <f>VLOOKUP($A14,'Budget &amp; Revenue'!$A:$AH,20,FALSE)</f>
        <v xml:space="preserve"> </v>
      </c>
      <c r="M14" s="214">
        <f>VLOOKUP($A14,'Budget &amp; Revenue'!$A:$AH,22,FALSE)</f>
        <v>1</v>
      </c>
      <c r="N14" s="214">
        <f>VLOOKUP($A14,'Budget &amp; Revenue'!$A:$AH,24,FALSE)</f>
        <v>1</v>
      </c>
      <c r="O14" s="214">
        <f>VLOOKUP($A14,'Budget &amp; Revenue'!$A:$AH,26,FALSE)</f>
        <v>1</v>
      </c>
      <c r="P14" s="214">
        <f>VLOOKUP($A14,'Budget &amp; Revenue'!$A:$AH,28,FALSE)</f>
        <v>1</v>
      </c>
      <c r="Q14" s="214">
        <f>VLOOKUP($A14,'Budget &amp; Revenue'!$A:$AH,30,FALSE)</f>
        <v>1</v>
      </c>
      <c r="R14" s="214">
        <f>VLOOKUP($A14,'Budget &amp; Revenue'!$A:$AH,32,FALSE)</f>
        <v>1</v>
      </c>
      <c r="S14" s="214">
        <f>VLOOKUP($A14,'Budget &amp; Revenue'!$A:$AH,34,FALSE)</f>
        <v>1</v>
      </c>
    </row>
    <row r="15" spans="1:19" ht="30" x14ac:dyDescent="0.25">
      <c r="A15" s="217">
        <v>15</v>
      </c>
      <c r="B15" s="222" t="str">
        <f>VLOOKUP(A15,Estimate!A:C,3,FALSE)</f>
        <v>Pavement Drainage, MRS03 3450x1500 ecosol RSF 500 GPT with class B lid</v>
      </c>
      <c r="C15" s="219">
        <f>VLOOKUP(A15,Estimate!A:L,12,FALSE)</f>
        <v>1</v>
      </c>
      <c r="D15" s="223">
        <f>VLOOKUP(A15,Estimate!A:Q,17,FALSE)</f>
        <v>32670</v>
      </c>
      <c r="E15" s="221">
        <v>18</v>
      </c>
      <c r="F15" s="221" t="s">
        <v>667</v>
      </c>
      <c r="G15" s="197"/>
      <c r="H15" s="214" t="str">
        <f>VLOOKUP($A15,'Budget &amp; Revenue'!$A:$AH,12,FALSE)</f>
        <v xml:space="preserve"> </v>
      </c>
      <c r="I15" s="214">
        <f>VLOOKUP($A15,'Budget &amp; Revenue'!$A:$AH,14,FALSE)</f>
        <v>1</v>
      </c>
      <c r="J15" s="214">
        <f>VLOOKUP($A15,'Budget &amp; Revenue'!$A:$AH,16,FALSE)</f>
        <v>1</v>
      </c>
      <c r="K15" s="214">
        <f>VLOOKUP($A15,'Budget &amp; Revenue'!$A:$AH,18,FALSE)</f>
        <v>1</v>
      </c>
      <c r="L15" s="214">
        <f>VLOOKUP($A15,'Budget &amp; Revenue'!$A:$AH,20,FALSE)</f>
        <v>1</v>
      </c>
      <c r="M15" s="214">
        <f>VLOOKUP($A15,'Budget &amp; Revenue'!$A:$AH,22,FALSE)</f>
        <v>1</v>
      </c>
      <c r="N15" s="214">
        <f>VLOOKUP($A15,'Budget &amp; Revenue'!$A:$AH,24,FALSE)</f>
        <v>1</v>
      </c>
      <c r="O15" s="214">
        <f>VLOOKUP($A15,'Budget &amp; Revenue'!$A:$AH,26,FALSE)</f>
        <v>1</v>
      </c>
      <c r="P15" s="214">
        <f>VLOOKUP($A15,'Budget &amp; Revenue'!$A:$AH,28,FALSE)</f>
        <v>1</v>
      </c>
      <c r="Q15" s="214">
        <f>VLOOKUP($A15,'Budget &amp; Revenue'!$A:$AH,30,FALSE)</f>
        <v>1</v>
      </c>
      <c r="R15" s="214">
        <f>VLOOKUP($A15,'Budget &amp; Revenue'!$A:$AH,32,FALSE)</f>
        <v>1</v>
      </c>
      <c r="S15" s="214">
        <f>VLOOKUP($A15,'Budget &amp; Revenue'!$A:$AH,34,FALSE)</f>
        <v>1</v>
      </c>
    </row>
    <row r="16" spans="1:19" ht="30" x14ac:dyDescent="0.25">
      <c r="A16" s="217">
        <v>16</v>
      </c>
      <c r="B16" s="222" t="str">
        <f>VLOOKUP(A16,Estimate!A:C,3,FALSE)</f>
        <v>Pavement Drainage, MRS03 600x600 RKO pit with riser 600x600 V-Grate &amp; Concrete Surround</v>
      </c>
      <c r="C16" s="219">
        <f>VLOOKUP(A16,Estimate!A:L,12,FALSE)</f>
        <v>16</v>
      </c>
      <c r="D16" s="223">
        <f>VLOOKUP(A16,Estimate!A:Q,17,FALSE)</f>
        <v>27200</v>
      </c>
      <c r="E16" s="221">
        <v>10</v>
      </c>
      <c r="F16" s="221" t="s">
        <v>668</v>
      </c>
      <c r="G16" s="197"/>
      <c r="H16" s="214" t="str">
        <f>VLOOKUP($A16,'Budget &amp; Revenue'!$A:$AH,12,FALSE)</f>
        <v xml:space="preserve"> </v>
      </c>
      <c r="I16" s="214">
        <f>VLOOKUP($A16,'Budget &amp; Revenue'!$A:$AH,14,FALSE)</f>
        <v>0.875</v>
      </c>
      <c r="J16" s="214">
        <f>VLOOKUP($A16,'Budget &amp; Revenue'!$A:$AH,16,FALSE)</f>
        <v>0.875</v>
      </c>
      <c r="K16" s="214">
        <f>VLOOKUP($A16,'Budget &amp; Revenue'!$A:$AH,18,FALSE)</f>
        <v>0.875</v>
      </c>
      <c r="L16" s="214">
        <f>VLOOKUP($A16,'Budget &amp; Revenue'!$A:$AH,20,FALSE)</f>
        <v>0.875</v>
      </c>
      <c r="M16" s="214">
        <f>VLOOKUP($A16,'Budget &amp; Revenue'!$A:$AH,22,FALSE)</f>
        <v>1</v>
      </c>
      <c r="N16" s="214">
        <f>VLOOKUP($A16,'Budget &amp; Revenue'!$A:$AH,24,FALSE)</f>
        <v>1</v>
      </c>
      <c r="O16" s="214">
        <f>VLOOKUP($A16,'Budget &amp; Revenue'!$A:$AH,26,FALSE)</f>
        <v>1</v>
      </c>
      <c r="P16" s="214">
        <f>VLOOKUP($A16,'Budget &amp; Revenue'!$A:$AH,28,FALSE)</f>
        <v>1</v>
      </c>
      <c r="Q16" s="214">
        <f>VLOOKUP($A16,'Budget &amp; Revenue'!$A:$AH,30,FALSE)</f>
        <v>1</v>
      </c>
      <c r="R16" s="214">
        <f>VLOOKUP($A16,'Budget &amp; Revenue'!$A:$AH,32,FALSE)</f>
        <v>1</v>
      </c>
      <c r="S16" s="214">
        <f>VLOOKUP($A16,'Budget &amp; Revenue'!$A:$AH,34,FALSE)</f>
        <v>1</v>
      </c>
    </row>
    <row r="17" spans="1:19" ht="30" x14ac:dyDescent="0.25">
      <c r="A17" s="217">
        <v>17</v>
      </c>
      <c r="B17" s="222" t="str">
        <f>VLOOKUP(A17,Estimate!A:C,3,FALSE)</f>
        <v>Pavement Drainage, MRS03 - Concrete gullies, Drainway 0TP/X maxflow grate, standard</v>
      </c>
      <c r="C17" s="219">
        <f>VLOOKUP(A17,Estimate!A:L,12,FALSE)</f>
        <v>1</v>
      </c>
      <c r="D17" s="223">
        <f>VLOOKUP(A17,Estimate!A:Q,17,FALSE)</f>
        <v>3950</v>
      </c>
      <c r="E17" s="221">
        <v>13</v>
      </c>
      <c r="F17" s="221">
        <v>27</v>
      </c>
      <c r="G17" s="197"/>
      <c r="H17" s="214" t="str">
        <f>VLOOKUP($A17,'Budget &amp; Revenue'!$A:$AH,12,FALSE)</f>
        <v xml:space="preserve"> </v>
      </c>
      <c r="I17" s="214" t="str">
        <f>VLOOKUP($A17,'Budget &amp; Revenue'!$A:$AH,14,FALSE)</f>
        <v xml:space="preserve"> </v>
      </c>
      <c r="J17" s="214" t="str">
        <f>VLOOKUP($A17,'Budget &amp; Revenue'!$A:$AH,16,FALSE)</f>
        <v xml:space="preserve"> </v>
      </c>
      <c r="K17" s="214">
        <f>VLOOKUP($A17,'Budget &amp; Revenue'!$A:$AH,18,FALSE)</f>
        <v>0.8</v>
      </c>
      <c r="L17" s="214">
        <f>VLOOKUP($A17,'Budget &amp; Revenue'!$A:$AH,20,FALSE)</f>
        <v>0.8</v>
      </c>
      <c r="M17" s="214">
        <f>VLOOKUP($A17,'Budget &amp; Revenue'!$A:$AH,22,FALSE)</f>
        <v>1</v>
      </c>
      <c r="N17" s="214">
        <f>VLOOKUP($A17,'Budget &amp; Revenue'!$A:$AH,24,FALSE)</f>
        <v>1</v>
      </c>
      <c r="O17" s="214">
        <f>VLOOKUP($A17,'Budget &amp; Revenue'!$A:$AH,26,FALSE)</f>
        <v>1</v>
      </c>
      <c r="P17" s="214">
        <f>VLOOKUP($A17,'Budget &amp; Revenue'!$A:$AH,28,FALSE)</f>
        <v>1</v>
      </c>
      <c r="Q17" s="214">
        <f>VLOOKUP($A17,'Budget &amp; Revenue'!$A:$AH,30,FALSE)</f>
        <v>1</v>
      </c>
      <c r="R17" s="214">
        <f>VLOOKUP($A17,'Budget &amp; Revenue'!$A:$AH,32,FALSE)</f>
        <v>1</v>
      </c>
      <c r="S17" s="214">
        <f>VLOOKUP($A17,'Budget &amp; Revenue'!$A:$AH,34,FALSE)</f>
        <v>1</v>
      </c>
    </row>
    <row r="18" spans="1:19" ht="30" x14ac:dyDescent="0.25">
      <c r="A18" s="217">
        <v>18</v>
      </c>
      <c r="B18" s="222" t="str">
        <f>VLOOKUP(A18,Estimate!A:C,3,FALSE)</f>
        <v>Pavement Drainage, MRS03 - Concrete manhole with 600dia access lid (major)</v>
      </c>
      <c r="C18" s="219">
        <f>VLOOKUP(A18,Estimate!A:L,12,FALSE)</f>
        <v>3</v>
      </c>
      <c r="D18" s="223">
        <f>VLOOKUP(A18,Estimate!A:Q,17,FALSE)</f>
        <v>3950</v>
      </c>
      <c r="E18" s="221">
        <v>16</v>
      </c>
      <c r="F18" s="221">
        <v>15</v>
      </c>
      <c r="G18" s="197"/>
      <c r="H18" s="214" t="str">
        <f>VLOOKUP($A18,'Budget &amp; Revenue'!$A:$AH,12,FALSE)</f>
        <v xml:space="preserve"> </v>
      </c>
      <c r="I18" s="214">
        <f>VLOOKUP($A18,'Budget &amp; Revenue'!$A:$AH,14,FALSE)</f>
        <v>0.8</v>
      </c>
      <c r="J18" s="214">
        <f>VLOOKUP($A18,'Budget &amp; Revenue'!$A:$AH,16,FALSE)</f>
        <v>0.8</v>
      </c>
      <c r="K18" s="214">
        <f>VLOOKUP($A18,'Budget &amp; Revenue'!$A:$AH,18,FALSE)</f>
        <v>0.8</v>
      </c>
      <c r="L18" s="214">
        <f>VLOOKUP($A18,'Budget &amp; Revenue'!$A:$AH,20,FALSE)</f>
        <v>0.8</v>
      </c>
      <c r="M18" s="214">
        <f>VLOOKUP($A18,'Budget &amp; Revenue'!$A:$AH,22,FALSE)</f>
        <v>1</v>
      </c>
      <c r="N18" s="214">
        <f>VLOOKUP($A18,'Budget &amp; Revenue'!$A:$AH,24,FALSE)</f>
        <v>1</v>
      </c>
      <c r="O18" s="214">
        <f>VLOOKUP($A18,'Budget &amp; Revenue'!$A:$AH,26,FALSE)</f>
        <v>1</v>
      </c>
      <c r="P18" s="214">
        <f>VLOOKUP($A18,'Budget &amp; Revenue'!$A:$AH,28,FALSE)</f>
        <v>1</v>
      </c>
      <c r="Q18" s="214">
        <f>VLOOKUP($A18,'Budget &amp; Revenue'!$A:$AH,30,FALSE)</f>
        <v>1</v>
      </c>
      <c r="R18" s="214">
        <f>VLOOKUP($A18,'Budget &amp; Revenue'!$A:$AH,32,FALSE)</f>
        <v>1</v>
      </c>
      <c r="S18" s="214">
        <f>VLOOKUP($A18,'Budget &amp; Revenue'!$A:$AH,34,FALSE)</f>
        <v>1</v>
      </c>
    </row>
    <row r="19" spans="1:19" ht="30" x14ac:dyDescent="0.25">
      <c r="A19" s="217">
        <v>19</v>
      </c>
      <c r="B19" s="222" t="str">
        <f>VLOOKUP(A19,Estimate!A:C,3,FALSE)</f>
        <v>Subsurface Drainage MRS03 - Subsoil drains, Type C, 100 mm diameter including outlets and flush points</v>
      </c>
      <c r="C19" s="219">
        <f>VLOOKUP(A19,Estimate!A:L,12,FALSE)</f>
        <v>6</v>
      </c>
      <c r="D19" s="223">
        <f>VLOOKUP(A19,Estimate!A:Q,17,FALSE)</f>
        <v>15382.542537881385</v>
      </c>
      <c r="E19" s="221">
        <v>15</v>
      </c>
      <c r="F19" s="221">
        <v>29</v>
      </c>
      <c r="G19" s="197"/>
      <c r="H19" s="214" t="str">
        <f>VLOOKUP($A19,'Budget &amp; Revenue'!$A:$AH,12,FALSE)</f>
        <v xml:space="preserve"> </v>
      </c>
      <c r="I19" s="214" t="str">
        <f>VLOOKUP($A19,'Budget &amp; Revenue'!$A:$AH,14,FALSE)</f>
        <v xml:space="preserve"> </v>
      </c>
      <c r="J19" s="214" t="str">
        <f>VLOOKUP($A19,'Budget &amp; Revenue'!$A:$AH,16,FALSE)</f>
        <v xml:space="preserve"> </v>
      </c>
      <c r="K19" s="214" t="str">
        <f>VLOOKUP($A19,'Budget &amp; Revenue'!$A:$AH,18,FALSE)</f>
        <v xml:space="preserve"> </v>
      </c>
      <c r="L19" s="214" t="str">
        <f>VLOOKUP($A19,'Budget &amp; Revenue'!$A:$AH,20,FALSE)</f>
        <v xml:space="preserve"> </v>
      </c>
      <c r="M19" s="214">
        <f>VLOOKUP($A19,'Budget &amp; Revenue'!$A:$AH,22,FALSE)</f>
        <v>1</v>
      </c>
      <c r="N19" s="214">
        <f>VLOOKUP($A19,'Budget &amp; Revenue'!$A:$AH,24,FALSE)</f>
        <v>1</v>
      </c>
      <c r="O19" s="214">
        <f>VLOOKUP($A19,'Budget &amp; Revenue'!$A:$AH,26,FALSE)</f>
        <v>1</v>
      </c>
      <c r="P19" s="214">
        <f>VLOOKUP($A19,'Budget &amp; Revenue'!$A:$AH,28,FALSE)</f>
        <v>1</v>
      </c>
      <c r="Q19" s="214">
        <f>VLOOKUP($A19,'Budget &amp; Revenue'!$A:$AH,30,FALSE)</f>
        <v>1</v>
      </c>
      <c r="R19" s="214">
        <f>VLOOKUP($A19,'Budget &amp; Revenue'!$A:$AH,32,FALSE)</f>
        <v>1</v>
      </c>
      <c r="S19" s="214">
        <f>VLOOKUP($A19,'Budget &amp; Revenue'!$A:$AH,34,FALSE)</f>
        <v>1</v>
      </c>
    </row>
    <row r="20" spans="1:19" ht="45" x14ac:dyDescent="0.25">
      <c r="A20" s="217">
        <v>20</v>
      </c>
      <c r="B20" s="222" t="str">
        <f>VLOOKUP(A20,Estimate!A:C,3,FALSE)</f>
        <v>Protective Treatments, MRS03 - Hand-placed concrete paving, 100mm thick, N25/20 with SL62 mesh central to footpaths 1.2m wide</v>
      </c>
      <c r="C20" s="219">
        <f>VLOOKUP(A20,Estimate!A:L,12,FALSE)</f>
        <v>4</v>
      </c>
      <c r="D20" s="223">
        <f>VLOOKUP(A20,Estimate!A:Q,17,FALSE)</f>
        <v>13898.474090859092</v>
      </c>
      <c r="E20" s="221">
        <v>31</v>
      </c>
      <c r="F20" s="221" t="s">
        <v>669</v>
      </c>
      <c r="G20" s="197"/>
      <c r="H20" s="214" t="str">
        <f>VLOOKUP($A20,'Budget &amp; Revenue'!$A:$AH,12,FALSE)</f>
        <v xml:space="preserve"> </v>
      </c>
      <c r="I20" s="214" t="str">
        <f>VLOOKUP($A20,'Budget &amp; Revenue'!$A:$AH,14,FALSE)</f>
        <v xml:space="preserve"> </v>
      </c>
      <c r="J20" s="214" t="str">
        <f>VLOOKUP($A20,'Budget &amp; Revenue'!$A:$AH,16,FALSE)</f>
        <v xml:space="preserve"> </v>
      </c>
      <c r="K20" s="214" t="str">
        <f>VLOOKUP($A20,'Budget &amp; Revenue'!$A:$AH,18,FALSE)</f>
        <v xml:space="preserve"> </v>
      </c>
      <c r="L20" s="214" t="str">
        <f>VLOOKUP($A20,'Budget &amp; Revenue'!$A:$AH,20,FALSE)</f>
        <v xml:space="preserve"> </v>
      </c>
      <c r="M20" s="214" t="str">
        <f>VLOOKUP($A20,'Budget &amp; Revenue'!$A:$AH,22,FALSE)</f>
        <v xml:space="preserve"> </v>
      </c>
      <c r="N20" s="214">
        <f>VLOOKUP($A20,'Budget &amp; Revenue'!$A:$AH,24,FALSE)</f>
        <v>0.47872340425531917</v>
      </c>
      <c r="O20" s="214">
        <f>VLOOKUP($A20,'Budget &amp; Revenue'!$A:$AH,26,FALSE)</f>
        <v>0.7978723404255319</v>
      </c>
      <c r="P20" s="214">
        <f>VLOOKUP($A20,'Budget &amp; Revenue'!$A:$AH,28,FALSE)</f>
        <v>1</v>
      </c>
      <c r="Q20" s="214">
        <f>VLOOKUP($A20,'Budget &amp; Revenue'!$A:$AH,30,FALSE)</f>
        <v>1</v>
      </c>
      <c r="R20" s="214">
        <f>VLOOKUP($A20,'Budget &amp; Revenue'!$A:$AH,32,FALSE)</f>
        <v>1</v>
      </c>
      <c r="S20" s="214">
        <f>VLOOKUP($A20,'Budget &amp; Revenue'!$A:$AH,34,FALSE)</f>
        <v>1</v>
      </c>
    </row>
    <row r="21" spans="1:19" ht="45" x14ac:dyDescent="0.25">
      <c r="A21" s="217">
        <v>21</v>
      </c>
      <c r="B21" s="222" t="str">
        <f>VLOOKUP(A21,Estimate!A:C,3,FALSE)</f>
        <v>Protective Treatments, MRS03 - Hand-placed concrete paving, 100mm thick, N25/20 with SL62 mesh central to footpaths 2.0m wide</v>
      </c>
      <c r="C21" s="219">
        <f>VLOOKUP(A21,Estimate!A:L,12,FALSE)</f>
        <v>1</v>
      </c>
      <c r="D21" s="223">
        <f>VLOOKUP(A21,Estimate!A:Q,17,FALSE)</f>
        <v>2816.5271960730397</v>
      </c>
      <c r="E21" s="221">
        <v>20</v>
      </c>
      <c r="F21" s="221">
        <v>26</v>
      </c>
      <c r="G21" s="197"/>
      <c r="H21" s="214" t="str">
        <f>VLOOKUP($A21,'Budget &amp; Revenue'!$A:$AH,12,FALSE)</f>
        <v xml:space="preserve"> </v>
      </c>
      <c r="I21" s="214" t="str">
        <f>VLOOKUP($A21,'Budget &amp; Revenue'!$A:$AH,14,FALSE)</f>
        <v xml:space="preserve"> </v>
      </c>
      <c r="J21" s="214" t="str">
        <f>VLOOKUP($A21,'Budget &amp; Revenue'!$A:$AH,16,FALSE)</f>
        <v xml:space="preserve"> </v>
      </c>
      <c r="K21" s="214" t="str">
        <f>VLOOKUP($A21,'Budget &amp; Revenue'!$A:$AH,18,FALSE)</f>
        <v xml:space="preserve"> </v>
      </c>
      <c r="L21" s="214" t="str">
        <f>VLOOKUP($A21,'Budget &amp; Revenue'!$A:$AH,20,FALSE)</f>
        <v xml:space="preserve"> </v>
      </c>
      <c r="M21" s="214" t="str">
        <f>VLOOKUP($A21,'Budget &amp; Revenue'!$A:$AH,22,FALSE)</f>
        <v xml:space="preserve"> </v>
      </c>
      <c r="N21" s="214" t="str">
        <f>VLOOKUP($A21,'Budget &amp; Revenue'!$A:$AH,24,FALSE)</f>
        <v xml:space="preserve"> </v>
      </c>
      <c r="O21" s="214">
        <f>VLOOKUP($A21,'Budget &amp; Revenue'!$A:$AH,26,FALSE)</f>
        <v>1</v>
      </c>
      <c r="P21" s="214">
        <f>VLOOKUP($A21,'Budget &amp; Revenue'!$A:$AH,28,FALSE)</f>
        <v>1</v>
      </c>
      <c r="Q21" s="214">
        <f>VLOOKUP($A21,'Budget &amp; Revenue'!$A:$AH,30,FALSE)</f>
        <v>1</v>
      </c>
      <c r="R21" s="214">
        <f>VLOOKUP($A21,'Budget &amp; Revenue'!$A:$AH,32,FALSE)</f>
        <v>1</v>
      </c>
      <c r="S21" s="214">
        <f>VLOOKUP($A21,'Budget &amp; Revenue'!$A:$AH,34,FALSE)</f>
        <v>1</v>
      </c>
    </row>
    <row r="22" spans="1:19" ht="60" x14ac:dyDescent="0.25">
      <c r="A22" s="217">
        <v>22</v>
      </c>
      <c r="B22" s="222" t="str">
        <f>VLOOKUP(A22,Estimate!A:C,3,FALSE)</f>
        <v>Protective Treatments, MRS03 - Hand-placed concrete paving, 170mm thick, N32/20 with SL82 mesh central with exposed aggregate finish (incl. joints as detailed)</v>
      </c>
      <c r="C22" s="219">
        <f>VLOOKUP(A22,Estimate!A:L,12,FALSE)</f>
        <v>5</v>
      </c>
      <c r="D22" s="223">
        <f>VLOOKUP(A22,Estimate!A:Q,17,FALSE)</f>
        <v>34443.189550376002</v>
      </c>
      <c r="E22" s="221">
        <v>28</v>
      </c>
      <c r="F22" s="221">
        <v>27</v>
      </c>
      <c r="G22" s="197"/>
      <c r="H22" s="214" t="str">
        <f>VLOOKUP($A22,'Budget &amp; Revenue'!$A:$AH,12,FALSE)</f>
        <v xml:space="preserve"> </v>
      </c>
      <c r="I22" s="214" t="str">
        <f>VLOOKUP($A22,'Budget &amp; Revenue'!$A:$AH,14,FALSE)</f>
        <v xml:space="preserve"> </v>
      </c>
      <c r="J22" s="214" t="str">
        <f>VLOOKUP($A22,'Budget &amp; Revenue'!$A:$AH,16,FALSE)</f>
        <v xml:space="preserve"> </v>
      </c>
      <c r="K22" s="214" t="str">
        <f>VLOOKUP($A22,'Budget &amp; Revenue'!$A:$AH,18,FALSE)</f>
        <v xml:space="preserve"> </v>
      </c>
      <c r="L22" s="214" t="str">
        <f>VLOOKUP($A22,'Budget &amp; Revenue'!$A:$AH,20,FALSE)</f>
        <v xml:space="preserve"> </v>
      </c>
      <c r="M22" s="214" t="str">
        <f>VLOOKUP($A22,'Budget &amp; Revenue'!$A:$AH,22,FALSE)</f>
        <v xml:space="preserve"> </v>
      </c>
      <c r="N22" s="214" t="str">
        <f>VLOOKUP($A22,'Budget &amp; Revenue'!$A:$AH,24,FALSE)</f>
        <v xml:space="preserve"> </v>
      </c>
      <c r="O22" s="214">
        <f>VLOOKUP($A22,'Budget &amp; Revenue'!$A:$AH,26,FALSE)</f>
        <v>0.89583333333333337</v>
      </c>
      <c r="P22" s="214">
        <f>VLOOKUP($A22,'Budget &amp; Revenue'!$A:$AH,28,FALSE)</f>
        <v>1</v>
      </c>
      <c r="Q22" s="214">
        <f>VLOOKUP($A22,'Budget &amp; Revenue'!$A:$AH,30,FALSE)</f>
        <v>1</v>
      </c>
      <c r="R22" s="214">
        <f>VLOOKUP($A22,'Budget &amp; Revenue'!$A:$AH,32,FALSE)</f>
        <v>1</v>
      </c>
      <c r="S22" s="214">
        <f>VLOOKUP($A22,'Budget &amp; Revenue'!$A:$AH,34,FALSE)</f>
        <v>1</v>
      </c>
    </row>
    <row r="23" spans="1:19" ht="45" x14ac:dyDescent="0.25">
      <c r="A23" s="217">
        <v>23</v>
      </c>
      <c r="B23" s="222" t="str">
        <f>VLOOKUP(A23,Estimate!A:C,3,FALSE)</f>
        <v>Retaining Walls, MRS03 - Natural local stone mass gravity wall. 500mm thick, vertical face including footing (1m x 400mm thick) and rear drainage</v>
      </c>
      <c r="C23" s="219">
        <f>VLOOKUP(A23,Estimate!A:L,12,FALSE)</f>
        <v>91</v>
      </c>
      <c r="D23" s="223">
        <f>VLOOKUP(A23,Estimate!A:Q,17,FALSE)</f>
        <v>456355.22600835306</v>
      </c>
      <c r="E23" s="221">
        <v>25</v>
      </c>
      <c r="F23" s="221" t="s">
        <v>670</v>
      </c>
      <c r="G23" s="197"/>
      <c r="H23" s="214" t="str">
        <f>VLOOKUP($A23,'Budget &amp; Revenue'!$A:$AH,12,FALSE)</f>
        <v xml:space="preserve"> </v>
      </c>
      <c r="I23" s="214">
        <f>VLOOKUP($A23,'Budget &amp; Revenue'!$A:$AH,14,FALSE)</f>
        <v>0.21418020679468242</v>
      </c>
      <c r="J23" s="214">
        <f>VLOOKUP($A23,'Budget &amp; Revenue'!$A:$AH,16,FALSE)</f>
        <v>0.56868537666174301</v>
      </c>
      <c r="K23" s="214">
        <f>VLOOKUP($A23,'Budget &amp; Revenue'!$A:$AH,18,FALSE)</f>
        <v>1</v>
      </c>
      <c r="L23" s="214">
        <f>VLOOKUP($A23,'Budget &amp; Revenue'!$A:$AH,20,FALSE)</f>
        <v>1</v>
      </c>
      <c r="M23" s="214">
        <f>VLOOKUP($A23,'Budget &amp; Revenue'!$A:$AH,22,FALSE)</f>
        <v>1</v>
      </c>
      <c r="N23" s="214">
        <f>VLOOKUP($A23,'Budget &amp; Revenue'!$A:$AH,24,FALSE)</f>
        <v>1</v>
      </c>
      <c r="O23" s="214">
        <f>VLOOKUP($A23,'Budget &amp; Revenue'!$A:$AH,26,FALSE)</f>
        <v>1</v>
      </c>
      <c r="P23" s="214">
        <f>VLOOKUP($A23,'Budget &amp; Revenue'!$A:$AH,28,FALSE)</f>
        <v>1</v>
      </c>
      <c r="Q23" s="214">
        <f>VLOOKUP($A23,'Budget &amp; Revenue'!$A:$AH,30,FALSE)</f>
        <v>1</v>
      </c>
      <c r="R23" s="214">
        <f>VLOOKUP($A23,'Budget &amp; Revenue'!$A:$AH,32,FALSE)</f>
        <v>1</v>
      </c>
      <c r="S23" s="214">
        <f>VLOOKUP($A23,'Budget &amp; Revenue'!$A:$AH,34,FALSE)</f>
        <v>1</v>
      </c>
    </row>
    <row r="24" spans="1:19" ht="30" x14ac:dyDescent="0.25">
      <c r="A24" s="217">
        <v>24</v>
      </c>
      <c r="B24" s="222" t="str">
        <f>VLOOKUP(A24,Estimate!A:C,3,FALSE)</f>
        <v>Earthworks - Road excavation, all materials to reprofile the subgrade level</v>
      </c>
      <c r="C24" s="219">
        <f>VLOOKUP(A24,Estimate!A:L,12,FALSE)</f>
        <v>1</v>
      </c>
      <c r="D24" s="223">
        <f>VLOOKUP(A24,Estimate!A:Q,17,FALSE)</f>
        <v>3690.2222222222222</v>
      </c>
      <c r="E24" s="221">
        <v>5</v>
      </c>
      <c r="F24" s="224">
        <v>25112</v>
      </c>
      <c r="G24" s="197"/>
      <c r="H24" s="214" t="str">
        <f>VLOOKUP($A24,'Budget &amp; Revenue'!$A:$AH,12,FALSE)</f>
        <v xml:space="preserve"> </v>
      </c>
      <c r="I24" s="214" t="str">
        <f>VLOOKUP($A24,'Budget &amp; Revenue'!$A:$AH,14,FALSE)</f>
        <v xml:space="preserve"> </v>
      </c>
      <c r="J24" s="214">
        <f>VLOOKUP($A24,'Budget &amp; Revenue'!$A:$AH,16,FALSE)</f>
        <v>0.2</v>
      </c>
      <c r="K24" s="214">
        <f>VLOOKUP($A24,'Budget &amp; Revenue'!$A:$AH,18,FALSE)</f>
        <v>0.72631578947368425</v>
      </c>
      <c r="L24" s="214">
        <f>VLOOKUP($A24,'Budget &amp; Revenue'!$A:$AH,20,FALSE)</f>
        <v>1</v>
      </c>
      <c r="M24" s="214">
        <f>VLOOKUP($A24,'Budget &amp; Revenue'!$A:$AH,22,FALSE)</f>
        <v>1</v>
      </c>
      <c r="N24" s="214">
        <f>VLOOKUP($A24,'Budget &amp; Revenue'!$A:$AH,24,FALSE)</f>
        <v>1</v>
      </c>
      <c r="O24" s="214">
        <f>VLOOKUP($A24,'Budget &amp; Revenue'!$A:$AH,26,FALSE)</f>
        <v>1</v>
      </c>
      <c r="P24" s="214">
        <f>VLOOKUP($A24,'Budget &amp; Revenue'!$A:$AH,28,FALSE)</f>
        <v>1</v>
      </c>
      <c r="Q24" s="214">
        <f>VLOOKUP($A24,'Budget &amp; Revenue'!$A:$AH,30,FALSE)</f>
        <v>1</v>
      </c>
      <c r="R24" s="214">
        <f>VLOOKUP($A24,'Budget &amp; Revenue'!$A:$AH,32,FALSE)</f>
        <v>1</v>
      </c>
      <c r="S24" s="214">
        <f>VLOOKUP($A24,'Budget &amp; Revenue'!$A:$AH,34,FALSE)</f>
        <v>1</v>
      </c>
    </row>
    <row r="25" spans="1:19" ht="30" x14ac:dyDescent="0.25">
      <c r="A25" s="217">
        <v>25</v>
      </c>
      <c r="B25" s="222" t="str">
        <f>VLOOKUP(A25,Estimate!A:C,3,FALSE)</f>
        <v>Earthworks - Allotment excavation to Revised RL (3.9 - 3.7)</v>
      </c>
      <c r="C25" s="219">
        <f>VLOOKUP(A25,Estimate!A:L,12,FALSE)</f>
        <v>2</v>
      </c>
      <c r="D25" s="223">
        <f>VLOOKUP(A25,Estimate!A:Q,17,FALSE)</f>
        <v>10548.387096774193</v>
      </c>
      <c r="E25" s="221">
        <v>24</v>
      </c>
      <c r="F25" s="221" t="s">
        <v>671</v>
      </c>
      <c r="G25" s="197"/>
      <c r="H25" s="214" t="str">
        <f>VLOOKUP($A25,'Budget &amp; Revenue'!$A:$AH,12,FALSE)</f>
        <v xml:space="preserve"> </v>
      </c>
      <c r="I25" s="214" t="str">
        <f>VLOOKUP($A25,'Budget &amp; Revenue'!$A:$AH,14,FALSE)</f>
        <v xml:space="preserve"> </v>
      </c>
      <c r="J25" s="214">
        <f>VLOOKUP($A25,'Budget &amp; Revenue'!$A:$AH,16,FALSE)</f>
        <v>0.2</v>
      </c>
      <c r="K25" s="214">
        <f>VLOOKUP($A25,'Budget &amp; Revenue'!$A:$AH,18,FALSE)</f>
        <v>0.75</v>
      </c>
      <c r="L25" s="214">
        <f>VLOOKUP($A25,'Budget &amp; Revenue'!$A:$AH,20,FALSE)</f>
        <v>1</v>
      </c>
      <c r="M25" s="214">
        <f>VLOOKUP($A25,'Budget &amp; Revenue'!$A:$AH,22,FALSE)</f>
        <v>1</v>
      </c>
      <c r="N25" s="214">
        <f>VLOOKUP($A25,'Budget &amp; Revenue'!$A:$AH,24,FALSE)</f>
        <v>1</v>
      </c>
      <c r="O25" s="214">
        <f>VLOOKUP($A25,'Budget &amp; Revenue'!$A:$AH,26,FALSE)</f>
        <v>1</v>
      </c>
      <c r="P25" s="214">
        <f>VLOOKUP($A25,'Budget &amp; Revenue'!$A:$AH,28,FALSE)</f>
        <v>1</v>
      </c>
      <c r="Q25" s="214">
        <f>VLOOKUP($A25,'Budget &amp; Revenue'!$A:$AH,30,FALSE)</f>
        <v>1</v>
      </c>
      <c r="R25" s="214">
        <f>VLOOKUP($A25,'Budget &amp; Revenue'!$A:$AH,32,FALSE)</f>
        <v>1</v>
      </c>
      <c r="S25" s="214">
        <f>VLOOKUP($A25,'Budget &amp; Revenue'!$A:$AH,34,FALSE)</f>
        <v>1</v>
      </c>
    </row>
    <row r="26" spans="1:19" ht="30" x14ac:dyDescent="0.25">
      <c r="A26" s="217">
        <v>26</v>
      </c>
      <c r="B26" s="222" t="str">
        <f>VLOOKUP(A26,Estimate!A:C,3,FALSE)</f>
        <v>Earthworks, Embankment, MRS04 - Re-trim allotments to revised FL</v>
      </c>
      <c r="C26" s="219">
        <f>VLOOKUP(A26,Estimate!A:L,12,FALSE)</f>
        <v>3</v>
      </c>
      <c r="D26" s="223">
        <f>VLOOKUP(A26,Estimate!A:Q,17,FALSE)</f>
        <v>9925.7142857142862</v>
      </c>
      <c r="E26" s="221" t="s">
        <v>672</v>
      </c>
      <c r="F26" s="221">
        <v>95</v>
      </c>
      <c r="G26" s="197"/>
      <c r="H26" s="214" t="str">
        <f>VLOOKUP($A26,'Budget &amp; Revenue'!$A:$AH,12,FALSE)</f>
        <v xml:space="preserve"> </v>
      </c>
      <c r="I26" s="214" t="str">
        <f>VLOOKUP($A26,'Budget &amp; Revenue'!$A:$AH,14,FALSE)</f>
        <v xml:space="preserve"> </v>
      </c>
      <c r="J26" s="214">
        <f>VLOOKUP($A26,'Budget &amp; Revenue'!$A:$AH,16,FALSE)</f>
        <v>0.2</v>
      </c>
      <c r="K26" s="214">
        <f>VLOOKUP($A26,'Budget &amp; Revenue'!$A:$AH,18,FALSE)</f>
        <v>0.66666666666666663</v>
      </c>
      <c r="L26" s="214">
        <f>VLOOKUP($A26,'Budget &amp; Revenue'!$A:$AH,20,FALSE)</f>
        <v>1</v>
      </c>
      <c r="M26" s="214">
        <f>VLOOKUP($A26,'Budget &amp; Revenue'!$A:$AH,22,FALSE)</f>
        <v>1</v>
      </c>
      <c r="N26" s="214">
        <f>VLOOKUP($A26,'Budget &amp; Revenue'!$A:$AH,24,FALSE)</f>
        <v>1</v>
      </c>
      <c r="O26" s="214">
        <f>VLOOKUP($A26,'Budget &amp; Revenue'!$A:$AH,26,FALSE)</f>
        <v>1</v>
      </c>
      <c r="P26" s="214">
        <f>VLOOKUP($A26,'Budget &amp; Revenue'!$A:$AH,28,FALSE)</f>
        <v>1</v>
      </c>
      <c r="Q26" s="214">
        <f>VLOOKUP($A26,'Budget &amp; Revenue'!$A:$AH,30,FALSE)</f>
        <v>1</v>
      </c>
      <c r="R26" s="214">
        <f>VLOOKUP($A26,'Budget &amp; Revenue'!$A:$AH,32,FALSE)</f>
        <v>1</v>
      </c>
      <c r="S26" s="214">
        <f>VLOOKUP($A26,'Budget &amp; Revenue'!$A:$AH,34,FALSE)</f>
        <v>1</v>
      </c>
    </row>
    <row r="27" spans="1:19" ht="30" x14ac:dyDescent="0.25">
      <c r="A27" s="217">
        <v>27</v>
      </c>
      <c r="B27" s="222" t="str">
        <f>VLOOKUP(A27,Estimate!A:C,3,FALSE)</f>
        <v>Unbound Pavements, MRS05 - Base, unbound pavement, Type 2, Subtype 2.1</v>
      </c>
      <c r="C27" s="219">
        <f>VLOOKUP(A27,Estimate!A:L,12,FALSE)</f>
        <v>1</v>
      </c>
      <c r="D27" s="223">
        <f>VLOOKUP(A27,Estimate!A:Q,17,FALSE)</f>
        <v>16887.861111111109</v>
      </c>
      <c r="E27" s="221" t="s">
        <v>673</v>
      </c>
      <c r="F27" s="221">
        <v>30</v>
      </c>
      <c r="G27" s="197"/>
      <c r="H27" s="214" t="str">
        <f>VLOOKUP($A27,'Budget &amp; Revenue'!$A:$AH,12,FALSE)</f>
        <v xml:space="preserve"> </v>
      </c>
      <c r="I27" s="214" t="str">
        <f>VLOOKUP($A27,'Budget &amp; Revenue'!$A:$AH,14,FALSE)</f>
        <v xml:space="preserve"> </v>
      </c>
      <c r="J27" s="214" t="str">
        <f>VLOOKUP($A27,'Budget &amp; Revenue'!$A:$AH,16,FALSE)</f>
        <v xml:space="preserve"> </v>
      </c>
      <c r="K27" s="214" t="str">
        <f>VLOOKUP($A27,'Budget &amp; Revenue'!$A:$AH,18,FALSE)</f>
        <v xml:space="preserve"> </v>
      </c>
      <c r="L27" s="214" t="str">
        <f>VLOOKUP($A27,'Budget &amp; Revenue'!$A:$AH,20,FALSE)</f>
        <v xml:space="preserve"> </v>
      </c>
      <c r="M27" s="214">
        <f>VLOOKUP($A27,'Budget &amp; Revenue'!$A:$AH,22,FALSE)</f>
        <v>1</v>
      </c>
      <c r="N27" s="214">
        <f>VLOOKUP($A27,'Budget &amp; Revenue'!$A:$AH,24,FALSE)</f>
        <v>1</v>
      </c>
      <c r="O27" s="214">
        <f>VLOOKUP($A27,'Budget &amp; Revenue'!$A:$AH,26,FALSE)</f>
        <v>1</v>
      </c>
      <c r="P27" s="214">
        <f>VLOOKUP($A27,'Budget &amp; Revenue'!$A:$AH,28,FALSE)</f>
        <v>1</v>
      </c>
      <c r="Q27" s="214">
        <f>VLOOKUP($A27,'Budget &amp; Revenue'!$A:$AH,30,FALSE)</f>
        <v>1</v>
      </c>
      <c r="R27" s="214">
        <f>VLOOKUP($A27,'Budget &amp; Revenue'!$A:$AH,32,FALSE)</f>
        <v>1</v>
      </c>
      <c r="S27" s="214">
        <f>VLOOKUP($A27,'Budget &amp; Revenue'!$A:$AH,34,FALSE)</f>
        <v>1</v>
      </c>
    </row>
    <row r="28" spans="1:19" ht="30" x14ac:dyDescent="0.25">
      <c r="A28" s="217">
        <v>28</v>
      </c>
      <c r="B28" s="222" t="str">
        <f>VLOOKUP(A28,Estimate!A:C,3,FALSE)</f>
        <v>Unbound Pavements, MRS05 - Subbase, unbound pavement, Type 2, Subtype 2.3</v>
      </c>
      <c r="C28" s="219">
        <f>VLOOKUP(A28,Estimate!A:L,12,FALSE)</f>
        <v>2</v>
      </c>
      <c r="D28" s="223">
        <f>VLOOKUP(A28,Estimate!A:Q,17,FALSE)</f>
        <v>23360.783678425018</v>
      </c>
      <c r="E28" s="221">
        <v>29</v>
      </c>
      <c r="F28" s="221" t="s">
        <v>674</v>
      </c>
      <c r="G28" s="197"/>
      <c r="H28" s="214" t="str">
        <f>VLOOKUP($A28,'Budget &amp; Revenue'!$A:$AH,12,FALSE)</f>
        <v xml:space="preserve"> </v>
      </c>
      <c r="I28" s="214" t="str">
        <f>VLOOKUP($A28,'Budget &amp; Revenue'!$A:$AH,14,FALSE)</f>
        <v xml:space="preserve"> </v>
      </c>
      <c r="J28" s="214" t="str">
        <f>VLOOKUP($A28,'Budget &amp; Revenue'!$A:$AH,16,FALSE)</f>
        <v xml:space="preserve"> </v>
      </c>
      <c r="K28" s="214" t="str">
        <f>VLOOKUP($A28,'Budget &amp; Revenue'!$A:$AH,18,FALSE)</f>
        <v xml:space="preserve"> </v>
      </c>
      <c r="L28" s="214" t="str">
        <f>VLOOKUP($A28,'Budget &amp; Revenue'!$A:$AH,20,FALSE)</f>
        <v xml:space="preserve"> </v>
      </c>
      <c r="M28" s="214">
        <f>VLOOKUP($A28,'Budget &amp; Revenue'!$A:$AH,22,FALSE)</f>
        <v>1</v>
      </c>
      <c r="N28" s="214">
        <f>VLOOKUP($A28,'Budget &amp; Revenue'!$A:$AH,24,FALSE)</f>
        <v>1</v>
      </c>
      <c r="O28" s="214">
        <f>VLOOKUP($A28,'Budget &amp; Revenue'!$A:$AH,26,FALSE)</f>
        <v>1</v>
      </c>
      <c r="P28" s="214">
        <f>VLOOKUP($A28,'Budget &amp; Revenue'!$A:$AH,28,FALSE)</f>
        <v>1</v>
      </c>
      <c r="Q28" s="214">
        <f>VLOOKUP($A28,'Budget &amp; Revenue'!$A:$AH,30,FALSE)</f>
        <v>1</v>
      </c>
      <c r="R28" s="214">
        <f>VLOOKUP($A28,'Budget &amp; Revenue'!$A:$AH,32,FALSE)</f>
        <v>1</v>
      </c>
      <c r="S28" s="214">
        <f>VLOOKUP($A28,'Budget &amp; Revenue'!$A:$AH,34,FALSE)</f>
        <v>1</v>
      </c>
    </row>
    <row r="29" spans="1:19" ht="45" x14ac:dyDescent="0.25">
      <c r="A29" s="217">
        <v>29</v>
      </c>
      <c r="B29" s="222" t="str">
        <f>VLOOKUP(A29,Estimate!A:C,3,FALSE)</f>
        <v>Unbound Pavements, MRS05 - Subbase, unbound pavement, Type 2, Subtype 2.3 under 170mm Concrete</v>
      </c>
      <c r="C29" s="219">
        <f>VLOOKUP(A29,Estimate!A:L,12,FALSE)</f>
        <v>1</v>
      </c>
      <c r="D29" s="223">
        <f>VLOOKUP(A29,Estimate!A:Q,17,FALSE)</f>
        <v>6019.8834308343085</v>
      </c>
      <c r="E29" s="221" t="s">
        <v>675</v>
      </c>
      <c r="F29" s="221">
        <v>28</v>
      </c>
      <c r="G29" s="197"/>
      <c r="H29" s="214" t="str">
        <f>VLOOKUP($A29,'Budget &amp; Revenue'!$A:$AH,12,FALSE)</f>
        <v xml:space="preserve"> </v>
      </c>
      <c r="I29" s="214" t="str">
        <f>VLOOKUP($A29,'Budget &amp; Revenue'!$A:$AH,14,FALSE)</f>
        <v xml:space="preserve"> </v>
      </c>
      <c r="J29" s="214" t="str">
        <f>VLOOKUP($A29,'Budget &amp; Revenue'!$A:$AH,16,FALSE)</f>
        <v xml:space="preserve"> </v>
      </c>
      <c r="K29" s="214" t="str">
        <f>VLOOKUP($A29,'Budget &amp; Revenue'!$A:$AH,18,FALSE)</f>
        <v xml:space="preserve"> </v>
      </c>
      <c r="L29" s="214" t="str">
        <f>VLOOKUP($A29,'Budget &amp; Revenue'!$A:$AH,20,FALSE)</f>
        <v xml:space="preserve"> </v>
      </c>
      <c r="M29" s="214">
        <f>VLOOKUP($A29,'Budget &amp; Revenue'!$A:$AH,22,FALSE)</f>
        <v>1</v>
      </c>
      <c r="N29" s="214">
        <f>VLOOKUP($A29,'Budget &amp; Revenue'!$A:$AH,24,FALSE)</f>
        <v>1</v>
      </c>
      <c r="O29" s="214">
        <f>VLOOKUP($A29,'Budget &amp; Revenue'!$A:$AH,26,FALSE)</f>
        <v>1</v>
      </c>
      <c r="P29" s="214">
        <f>VLOOKUP($A29,'Budget &amp; Revenue'!$A:$AH,28,FALSE)</f>
        <v>1</v>
      </c>
      <c r="Q29" s="214">
        <f>VLOOKUP($A29,'Budget &amp; Revenue'!$A:$AH,30,FALSE)</f>
        <v>1</v>
      </c>
      <c r="R29" s="214">
        <f>VLOOKUP($A29,'Budget &amp; Revenue'!$A:$AH,32,FALSE)</f>
        <v>1</v>
      </c>
      <c r="S29" s="214">
        <f>VLOOKUP($A29,'Budget &amp; Revenue'!$A:$AH,34,FALSE)</f>
        <v>1</v>
      </c>
    </row>
    <row r="30" spans="1:19" ht="90" x14ac:dyDescent="0.25">
      <c r="A30" s="217">
        <v>30</v>
      </c>
      <c r="B30" s="222" t="str">
        <f>VLOOKUP(A30,Estimate!A:C,3,FALSE)</f>
        <v>Sprayed Bituminous Surfacing (Excluding Emulsion), MRS11 - Sprayed bituminous surfacing, including supply of binder, including supply of additives, including supply and spreading of precoated cover aggregates.  7mm Primerseal, MC5 1.0L/m2, 175m2/m3</v>
      </c>
      <c r="C30" s="219">
        <f>VLOOKUP(A30,Estimate!A:L,12,FALSE)</f>
        <v>1</v>
      </c>
      <c r="D30" s="223">
        <f>VLOOKUP(A30,Estimate!A:Q,17,FALSE)</f>
        <v>17548.125</v>
      </c>
      <c r="E30" s="221">
        <v>27</v>
      </c>
      <c r="F30" s="221">
        <v>31</v>
      </c>
      <c r="G30" s="197"/>
      <c r="H30" s="214" t="str">
        <f>VLOOKUP($A30,'Budget &amp; Revenue'!$A:$AH,12,FALSE)</f>
        <v xml:space="preserve"> </v>
      </c>
      <c r="I30" s="214" t="str">
        <f>VLOOKUP($A30,'Budget &amp; Revenue'!$A:$AH,14,FALSE)</f>
        <v xml:space="preserve"> </v>
      </c>
      <c r="J30" s="214" t="str">
        <f>VLOOKUP($A30,'Budget &amp; Revenue'!$A:$AH,16,FALSE)</f>
        <v xml:space="preserve"> </v>
      </c>
      <c r="K30" s="214" t="str">
        <f>VLOOKUP($A30,'Budget &amp; Revenue'!$A:$AH,18,FALSE)</f>
        <v xml:space="preserve"> </v>
      </c>
      <c r="L30" s="214" t="str">
        <f>VLOOKUP($A30,'Budget &amp; Revenue'!$A:$AH,20,FALSE)</f>
        <v xml:space="preserve"> </v>
      </c>
      <c r="M30" s="214" t="str">
        <f>VLOOKUP($A30,'Budget &amp; Revenue'!$A:$AH,22,FALSE)</f>
        <v xml:space="preserve"> </v>
      </c>
      <c r="N30" s="214">
        <f>VLOOKUP($A30,'Budget &amp; Revenue'!$A:$AH,24,FALSE)</f>
        <v>1</v>
      </c>
      <c r="O30" s="214">
        <f>VLOOKUP($A30,'Budget &amp; Revenue'!$A:$AH,26,FALSE)</f>
        <v>1</v>
      </c>
      <c r="P30" s="214">
        <f>VLOOKUP($A30,'Budget &amp; Revenue'!$A:$AH,28,FALSE)</f>
        <v>1</v>
      </c>
      <c r="Q30" s="214">
        <f>VLOOKUP($A30,'Budget &amp; Revenue'!$A:$AH,30,FALSE)</f>
        <v>1</v>
      </c>
      <c r="R30" s="214">
        <f>VLOOKUP($A30,'Budget &amp; Revenue'!$A:$AH,32,FALSE)</f>
        <v>1</v>
      </c>
      <c r="S30" s="214">
        <f>VLOOKUP($A30,'Budget &amp; Revenue'!$A:$AH,34,FALSE)</f>
        <v>1</v>
      </c>
    </row>
    <row r="31" spans="1:19" ht="45" x14ac:dyDescent="0.25">
      <c r="A31" s="217">
        <v>31</v>
      </c>
      <c r="B31" s="222" t="str">
        <f>VLOOKUP(A31,Estimate!A:C,3,FALSE)</f>
        <v>Asphalt Surfacing, Brisbane City Council Asphalt Specification S310 - Asphalt Surfacing, Brisbane City Council Asphalt Specification S310 - AC10 Type 2 mix</v>
      </c>
      <c r="C31" s="219">
        <f>VLOOKUP(A31,Estimate!A:L,12,FALSE)</f>
        <v>1</v>
      </c>
      <c r="D31" s="223">
        <f>VLOOKUP(A31,Estimate!A:Q,17,FALSE)</f>
        <v>39160</v>
      </c>
      <c r="E31" s="221">
        <v>30</v>
      </c>
      <c r="F31" s="221" t="s">
        <v>676</v>
      </c>
      <c r="G31" s="197"/>
      <c r="H31" s="214" t="str">
        <f>VLOOKUP($A31,'Budget &amp; Revenue'!$A:$AH,12,FALSE)</f>
        <v xml:space="preserve"> </v>
      </c>
      <c r="I31" s="214" t="str">
        <f>VLOOKUP($A31,'Budget &amp; Revenue'!$A:$AH,14,FALSE)</f>
        <v xml:space="preserve"> </v>
      </c>
      <c r="J31" s="214" t="str">
        <f>VLOOKUP($A31,'Budget &amp; Revenue'!$A:$AH,16,FALSE)</f>
        <v xml:space="preserve"> </v>
      </c>
      <c r="K31" s="214" t="str">
        <f>VLOOKUP($A31,'Budget &amp; Revenue'!$A:$AH,18,FALSE)</f>
        <v xml:space="preserve"> </v>
      </c>
      <c r="L31" s="214" t="str">
        <f>VLOOKUP($A31,'Budget &amp; Revenue'!$A:$AH,20,FALSE)</f>
        <v xml:space="preserve"> </v>
      </c>
      <c r="M31" s="214" t="str">
        <f>VLOOKUP($A31,'Budget &amp; Revenue'!$A:$AH,22,FALSE)</f>
        <v xml:space="preserve"> </v>
      </c>
      <c r="N31" s="214">
        <f>VLOOKUP($A31,'Budget &amp; Revenue'!$A:$AH,24,FALSE)</f>
        <v>1</v>
      </c>
      <c r="O31" s="214">
        <f>VLOOKUP($A31,'Budget &amp; Revenue'!$A:$AH,26,FALSE)</f>
        <v>1</v>
      </c>
      <c r="P31" s="214">
        <f>VLOOKUP($A31,'Budget &amp; Revenue'!$A:$AH,28,FALSE)</f>
        <v>1</v>
      </c>
      <c r="Q31" s="214">
        <f>VLOOKUP($A31,'Budget &amp; Revenue'!$A:$AH,30,FALSE)</f>
        <v>1</v>
      </c>
      <c r="R31" s="214">
        <f>VLOOKUP($A31,'Budget &amp; Revenue'!$A:$AH,32,FALSE)</f>
        <v>1</v>
      </c>
      <c r="S31" s="214">
        <f>VLOOKUP($A31,'Budget &amp; Revenue'!$A:$AH,34,FALSE)</f>
        <v>1</v>
      </c>
    </row>
    <row r="32" spans="1:19" ht="30" x14ac:dyDescent="0.25">
      <c r="A32" s="217">
        <v>32</v>
      </c>
      <c r="B32" s="222" t="str">
        <f>VLOOKUP(A32,Estimate!A:C,3,FALSE)</f>
        <v>Roadside Structures, MRS16A - Stair Risers and treads (Hardwood &amp; Stainless - Provisional)</v>
      </c>
      <c r="C32" s="219">
        <f>VLOOKUP(A32,Estimate!A:L,12,FALSE)</f>
        <v>13</v>
      </c>
      <c r="D32" s="223">
        <f>VLOOKUP(A32,Estimate!A:Q,17,FALSE)</f>
        <v>84579.6</v>
      </c>
      <c r="E32" s="221">
        <v>31</v>
      </c>
      <c r="F32" s="221">
        <v>99</v>
      </c>
      <c r="G32" s="197"/>
      <c r="H32" s="214" t="str">
        <f>VLOOKUP($A32,'Budget &amp; Revenue'!$A:$AH,12,FALSE)</f>
        <v xml:space="preserve"> </v>
      </c>
      <c r="I32" s="214" t="str">
        <f>VLOOKUP($A32,'Budget &amp; Revenue'!$A:$AH,14,FALSE)</f>
        <v xml:space="preserve"> </v>
      </c>
      <c r="J32" s="214">
        <f>VLOOKUP($A32,'Budget &amp; Revenue'!$A:$AH,16,FALSE)</f>
        <v>0.04</v>
      </c>
      <c r="K32" s="214">
        <f>VLOOKUP($A32,'Budget &amp; Revenue'!$A:$AH,18,FALSE)</f>
        <v>0.04</v>
      </c>
      <c r="L32" s="214">
        <f>VLOOKUP($A32,'Budget &amp; Revenue'!$A:$AH,20,FALSE)</f>
        <v>0.04</v>
      </c>
      <c r="M32" s="214">
        <f>VLOOKUP($A32,'Budget &amp; Revenue'!$A:$AH,22,FALSE)</f>
        <v>0.8</v>
      </c>
      <c r="N32" s="214">
        <f>VLOOKUP($A32,'Budget &amp; Revenue'!$A:$AH,24,FALSE)</f>
        <v>1</v>
      </c>
      <c r="O32" s="214">
        <f>VLOOKUP($A32,'Budget &amp; Revenue'!$A:$AH,26,FALSE)</f>
        <v>1</v>
      </c>
      <c r="P32" s="214">
        <f>VLOOKUP($A32,'Budget &amp; Revenue'!$A:$AH,28,FALSE)</f>
        <v>1</v>
      </c>
      <c r="Q32" s="214">
        <f>VLOOKUP($A32,'Budget &amp; Revenue'!$A:$AH,30,FALSE)</f>
        <v>1</v>
      </c>
      <c r="R32" s="214">
        <f>VLOOKUP($A32,'Budget &amp; Revenue'!$A:$AH,32,FALSE)</f>
        <v>1</v>
      </c>
      <c r="S32" s="214">
        <f>VLOOKUP($A32,'Budget &amp; Revenue'!$A:$AH,34,FALSE)</f>
        <v>1</v>
      </c>
    </row>
    <row r="33" spans="1:19" x14ac:dyDescent="0.25">
      <c r="A33" s="217">
        <v>33</v>
      </c>
      <c r="B33" s="222" t="str">
        <f>VLOOKUP(A33,Estimate!A:C,3,FALSE)</f>
        <v>Survey Set Out</v>
      </c>
      <c r="C33" s="219">
        <f>VLOOKUP(A33,Estimate!A:L,12,FALSE)</f>
        <v>0</v>
      </c>
      <c r="D33" s="223">
        <f>VLOOKUP(A33,Estimate!A:Q,17,FALSE)</f>
        <v>15945</v>
      </c>
      <c r="E33" s="221">
        <v>5</v>
      </c>
      <c r="F33" s="221">
        <v>34</v>
      </c>
      <c r="G33" s="197"/>
      <c r="H33" s="214">
        <f>VLOOKUP($A33,'Budget &amp; Revenue'!$A:$AH,12,FALSE)</f>
        <v>0.25</v>
      </c>
      <c r="I33" s="214">
        <f>VLOOKUP($A33,'Budget &amp; Revenue'!$A:$AH,14,FALSE)</f>
        <v>0.5</v>
      </c>
      <c r="J33" s="214">
        <f>VLOOKUP($A33,'Budget &amp; Revenue'!$A:$AH,16,FALSE)</f>
        <v>0.7</v>
      </c>
      <c r="K33" s="214">
        <f>VLOOKUP($A33,'Budget &amp; Revenue'!$A:$AH,18,FALSE)</f>
        <v>0.8</v>
      </c>
      <c r="L33" s="214">
        <f>VLOOKUP($A33,'Budget &amp; Revenue'!$A:$AH,20,FALSE)</f>
        <v>0.9</v>
      </c>
      <c r="M33" s="214">
        <f>VLOOKUP($A33,'Budget &amp; Revenue'!$A:$AH,22,FALSE)</f>
        <v>0.95</v>
      </c>
      <c r="N33" s="214">
        <f>VLOOKUP($A33,'Budget &amp; Revenue'!$A:$AH,24,FALSE)</f>
        <v>1</v>
      </c>
      <c r="O33" s="214">
        <f>VLOOKUP($A33,'Budget &amp; Revenue'!$A:$AH,26,FALSE)</f>
        <v>1</v>
      </c>
      <c r="P33" s="214">
        <f>VLOOKUP($A33,'Budget &amp; Revenue'!$A:$AH,28,FALSE)</f>
        <v>1</v>
      </c>
      <c r="Q33" s="214">
        <f>VLOOKUP($A33,'Budget &amp; Revenue'!$A:$AH,30,FALSE)</f>
        <v>1</v>
      </c>
      <c r="R33" s="214">
        <f>VLOOKUP($A33,'Budget &amp; Revenue'!$A:$AH,32,FALSE)</f>
        <v>1</v>
      </c>
      <c r="S33" s="214">
        <f>VLOOKUP($A33,'Budget &amp; Revenue'!$A:$AH,34,FALSE)</f>
        <v>1</v>
      </c>
    </row>
    <row r="34" spans="1:19" ht="30" x14ac:dyDescent="0.25">
      <c r="A34" s="217">
        <v>34</v>
      </c>
      <c r="B34" s="222" t="str">
        <f>VLOOKUP(A34,Estimate!A:C,3,FALSE)</f>
        <v>Preparation of "As constructed" drawings for submission</v>
      </c>
      <c r="C34" s="219">
        <f>VLOOKUP(A34,Estimate!A:L,12,FALSE)</f>
        <v>5</v>
      </c>
      <c r="D34" s="223">
        <f>VLOOKUP(A34,Estimate!A:Q,17,FALSE)</f>
        <v>7390</v>
      </c>
      <c r="E34" s="221" t="s">
        <v>677</v>
      </c>
      <c r="F34" s="221">
        <v>4</v>
      </c>
      <c r="G34" s="197"/>
      <c r="H34" s="214" t="str">
        <f>VLOOKUP($A34,'Budget &amp; Revenue'!$A:$AH,12,FALSE)</f>
        <v xml:space="preserve"> </v>
      </c>
      <c r="I34" s="214" t="str">
        <f>VLOOKUP($A34,'Budget &amp; Revenue'!$A:$AH,14,FALSE)</f>
        <v xml:space="preserve"> </v>
      </c>
      <c r="J34" s="214" t="str">
        <f>VLOOKUP($A34,'Budget &amp; Revenue'!$A:$AH,16,FALSE)</f>
        <v xml:space="preserve"> </v>
      </c>
      <c r="K34" s="214">
        <f>VLOOKUP($A34,'Budget &amp; Revenue'!$A:$AH,18,FALSE)</f>
        <v>0.6</v>
      </c>
      <c r="L34" s="214">
        <f>VLOOKUP($A34,'Budget &amp; Revenue'!$A:$AH,20,FALSE)</f>
        <v>0.65</v>
      </c>
      <c r="M34" s="214">
        <f>VLOOKUP($A34,'Budget &amp; Revenue'!$A:$AH,22,FALSE)</f>
        <v>0.8</v>
      </c>
      <c r="N34" s="214">
        <f>VLOOKUP($A34,'Budget &amp; Revenue'!$A:$AH,24,FALSE)</f>
        <v>1</v>
      </c>
      <c r="O34" s="214">
        <f>VLOOKUP($A34,'Budget &amp; Revenue'!$A:$AH,26,FALSE)</f>
        <v>1</v>
      </c>
      <c r="P34" s="214">
        <f>VLOOKUP($A34,'Budget &amp; Revenue'!$A:$AH,28,FALSE)</f>
        <v>1</v>
      </c>
      <c r="Q34" s="214">
        <f>VLOOKUP($A34,'Budget &amp; Revenue'!$A:$AH,30,FALSE)</f>
        <v>1</v>
      </c>
      <c r="R34" s="214">
        <f>VLOOKUP($A34,'Budget &amp; Revenue'!$A:$AH,32,FALSE)</f>
        <v>1</v>
      </c>
      <c r="S34" s="214">
        <f>VLOOKUP($A34,'Budget &amp; Revenue'!$A:$AH,34,FALSE)</f>
        <v>1</v>
      </c>
    </row>
    <row r="35" spans="1:19" x14ac:dyDescent="0.25">
      <c r="A35" s="217">
        <v>35</v>
      </c>
      <c r="B35" s="222" t="str">
        <f>VLOOKUP(A35,Estimate!A:C,3,FALSE)</f>
        <v>Locate and protect services - general</v>
      </c>
      <c r="C35" s="219">
        <f>VLOOKUP(A35,Estimate!A:L,12,FALSE)</f>
        <v>2</v>
      </c>
      <c r="D35" s="223">
        <f>VLOOKUP(A35,Estimate!A:Q,17,FALSE)</f>
        <v>1998</v>
      </c>
      <c r="E35" s="221">
        <v>5</v>
      </c>
      <c r="F35" s="221">
        <v>6</v>
      </c>
      <c r="G35" s="197"/>
      <c r="H35" s="214">
        <f>VLOOKUP($A35,'Budget &amp; Revenue'!$A:$AH,12,FALSE)</f>
        <v>0.1</v>
      </c>
      <c r="I35" s="214">
        <f>VLOOKUP($A35,'Budget &amp; Revenue'!$A:$AH,14,FALSE)</f>
        <v>0.25</v>
      </c>
      <c r="J35" s="214">
        <f>VLOOKUP($A35,'Budget &amp; Revenue'!$A:$AH,16,FALSE)</f>
        <v>0.5</v>
      </c>
      <c r="K35" s="214">
        <f>VLOOKUP($A35,'Budget &amp; Revenue'!$A:$AH,18,FALSE)</f>
        <v>0.75</v>
      </c>
      <c r="L35" s="214">
        <f>VLOOKUP($A35,'Budget &amp; Revenue'!$A:$AH,20,FALSE)</f>
        <v>1</v>
      </c>
      <c r="M35" s="214">
        <f>VLOOKUP($A35,'Budget &amp; Revenue'!$A:$AH,22,FALSE)</f>
        <v>1</v>
      </c>
      <c r="N35" s="214">
        <f>VLOOKUP($A35,'Budget &amp; Revenue'!$A:$AH,24,FALSE)</f>
        <v>1</v>
      </c>
      <c r="O35" s="214">
        <f>VLOOKUP($A35,'Budget &amp; Revenue'!$A:$AH,26,FALSE)</f>
        <v>1</v>
      </c>
      <c r="P35" s="214">
        <f>VLOOKUP($A35,'Budget &amp; Revenue'!$A:$AH,28,FALSE)</f>
        <v>1</v>
      </c>
      <c r="Q35" s="214">
        <f>VLOOKUP($A35,'Budget &amp; Revenue'!$A:$AH,30,FALSE)</f>
        <v>1</v>
      </c>
      <c r="R35" s="214">
        <f>VLOOKUP($A35,'Budget &amp; Revenue'!$A:$AH,32,FALSE)</f>
        <v>1</v>
      </c>
      <c r="S35" s="214">
        <f>VLOOKUP($A35,'Budget &amp; Revenue'!$A:$AH,34,FALSE)</f>
        <v>1</v>
      </c>
    </row>
    <row r="36" spans="1:19" ht="45" x14ac:dyDescent="0.25">
      <c r="A36" s="217">
        <v>36</v>
      </c>
      <c r="B36" s="222" t="str">
        <f>VLOOKUP(A36,Estimate!A:C,3,FALSE)</f>
        <v>WATER PRESSURE MAINS - Water Reticulation - Supply OPVC pressure pipe, RRJ, (C.I.O.D. compatible) PN 16 100mm dia</v>
      </c>
      <c r="C36" s="219">
        <f>VLOOKUP(A36,Estimate!A:L,12,FALSE)</f>
        <v>4</v>
      </c>
      <c r="D36" s="223">
        <f>VLOOKUP(A36,Estimate!A:Q,17,FALSE)</f>
        <v>3795</v>
      </c>
      <c r="E36" s="221">
        <v>16</v>
      </c>
      <c r="F36" s="221" t="s">
        <v>678</v>
      </c>
      <c r="G36" s="197"/>
      <c r="H36" s="214" t="str">
        <f>VLOOKUP($A36,'Budget &amp; Revenue'!$A:$AH,12,FALSE)</f>
        <v xml:space="preserve"> </v>
      </c>
      <c r="I36" s="214" t="str">
        <f>VLOOKUP($A36,'Budget &amp; Revenue'!$A:$AH,14,FALSE)</f>
        <v xml:space="preserve"> </v>
      </c>
      <c r="J36" s="214">
        <f>VLOOKUP($A36,'Budget &amp; Revenue'!$A:$AH,16,FALSE)</f>
        <v>1</v>
      </c>
      <c r="K36" s="214">
        <f>VLOOKUP($A36,'Budget &amp; Revenue'!$A:$AH,18,FALSE)</f>
        <v>1</v>
      </c>
      <c r="L36" s="214">
        <f>VLOOKUP($A36,'Budget &amp; Revenue'!$A:$AH,20,FALSE)</f>
        <v>1</v>
      </c>
      <c r="M36" s="214">
        <f>VLOOKUP($A36,'Budget &amp; Revenue'!$A:$AH,22,FALSE)</f>
        <v>1</v>
      </c>
      <c r="N36" s="214">
        <f>VLOOKUP($A36,'Budget &amp; Revenue'!$A:$AH,24,FALSE)</f>
        <v>1</v>
      </c>
      <c r="O36" s="214">
        <f>VLOOKUP($A36,'Budget &amp; Revenue'!$A:$AH,26,FALSE)</f>
        <v>1</v>
      </c>
      <c r="P36" s="214">
        <f>VLOOKUP($A36,'Budget &amp; Revenue'!$A:$AH,28,FALSE)</f>
        <v>1</v>
      </c>
      <c r="Q36" s="214">
        <f>VLOOKUP($A36,'Budget &amp; Revenue'!$A:$AH,30,FALSE)</f>
        <v>1</v>
      </c>
      <c r="R36" s="214">
        <f>VLOOKUP($A36,'Budget &amp; Revenue'!$A:$AH,32,FALSE)</f>
        <v>1</v>
      </c>
      <c r="S36" s="214">
        <f>VLOOKUP($A36,'Budget &amp; Revenue'!$A:$AH,34,FALSE)</f>
        <v>1</v>
      </c>
    </row>
    <row r="37" spans="1:19" ht="60" x14ac:dyDescent="0.25">
      <c r="A37" s="217">
        <v>37</v>
      </c>
      <c r="B37" s="222" t="str">
        <f>VLOOKUP(A37,Estimate!A:C,3,FALSE)</f>
        <v>WATER PRESSURE MAINS Supply sluice valves, C.I.  to AS 2544, PN 16, counterclockwise to close c/w spindle cap incl.  F.B.E./Rilsan coating, incl 316 S/S Flange insertion set (FL-FL) 100mm dia</v>
      </c>
      <c r="C37" s="219">
        <f>VLOOKUP(A37,Estimate!A:L,12,FALSE)</f>
        <v>0</v>
      </c>
      <c r="D37" s="223">
        <f>VLOOKUP(A37,Estimate!A:Q,17,FALSE)</f>
        <v>8100</v>
      </c>
      <c r="E37" s="221" t="s">
        <v>679</v>
      </c>
      <c r="F37" s="221" t="s">
        <v>680</v>
      </c>
      <c r="G37" s="197"/>
      <c r="H37" s="214" t="str">
        <f>VLOOKUP($A37,'Budget &amp; Revenue'!$A:$AH,12,FALSE)</f>
        <v xml:space="preserve"> </v>
      </c>
      <c r="I37" s="214" t="str">
        <f>VLOOKUP($A37,'Budget &amp; Revenue'!$A:$AH,14,FALSE)</f>
        <v xml:space="preserve"> </v>
      </c>
      <c r="J37" s="214">
        <f>VLOOKUP($A37,'Budget &amp; Revenue'!$A:$AH,16,FALSE)</f>
        <v>1</v>
      </c>
      <c r="K37" s="214">
        <f>VLOOKUP($A37,'Budget &amp; Revenue'!$A:$AH,18,FALSE)</f>
        <v>1</v>
      </c>
      <c r="L37" s="214">
        <f>VLOOKUP($A37,'Budget &amp; Revenue'!$A:$AH,20,FALSE)</f>
        <v>1</v>
      </c>
      <c r="M37" s="214">
        <f>VLOOKUP($A37,'Budget &amp; Revenue'!$A:$AH,22,FALSE)</f>
        <v>1</v>
      </c>
      <c r="N37" s="214">
        <f>VLOOKUP($A37,'Budget &amp; Revenue'!$A:$AH,24,FALSE)</f>
        <v>1</v>
      </c>
      <c r="O37" s="214">
        <f>VLOOKUP($A37,'Budget &amp; Revenue'!$A:$AH,26,FALSE)</f>
        <v>1</v>
      </c>
      <c r="P37" s="214">
        <f>VLOOKUP($A37,'Budget &amp; Revenue'!$A:$AH,28,FALSE)</f>
        <v>1</v>
      </c>
      <c r="Q37" s="214">
        <f>VLOOKUP($A37,'Budget &amp; Revenue'!$A:$AH,30,FALSE)</f>
        <v>1</v>
      </c>
      <c r="R37" s="214">
        <f>VLOOKUP($A37,'Budget &amp; Revenue'!$A:$AH,32,FALSE)</f>
        <v>1</v>
      </c>
      <c r="S37" s="214">
        <f>VLOOKUP($A37,'Budget &amp; Revenue'!$A:$AH,34,FALSE)</f>
        <v>1</v>
      </c>
    </row>
    <row r="38" spans="1:19" ht="60" x14ac:dyDescent="0.25">
      <c r="A38" s="217">
        <v>38</v>
      </c>
      <c r="B38" s="222" t="str">
        <f>VLOOKUP(A38,Estimate!A:C,3,FALSE)</f>
        <v>WATER PRESSURE MAINS - Supply bends, DICL to AS 2280, RRJ,  Class K12, bitumen coated with polyethylene sleeving to AS 3680 and 3681 (SOC-SOC) 100mm x 22½o</v>
      </c>
      <c r="C38" s="219">
        <f>VLOOKUP(A38,Estimate!A:L,12,FALSE)</f>
        <v>0</v>
      </c>
      <c r="D38" s="223">
        <f>VLOOKUP(A38,Estimate!A:Q,17,FALSE)</f>
        <v>240</v>
      </c>
      <c r="E38" s="221" t="s">
        <v>681</v>
      </c>
      <c r="F38" s="221" t="s">
        <v>682</v>
      </c>
      <c r="G38" s="197"/>
      <c r="H38" s="214" t="str">
        <f>VLOOKUP($A38,'Budget &amp; Revenue'!$A:$AH,12,FALSE)</f>
        <v xml:space="preserve"> </v>
      </c>
      <c r="I38" s="214" t="str">
        <f>VLOOKUP($A38,'Budget &amp; Revenue'!$A:$AH,14,FALSE)</f>
        <v xml:space="preserve"> </v>
      </c>
      <c r="J38" s="214">
        <f>VLOOKUP($A38,'Budget &amp; Revenue'!$A:$AH,16,FALSE)</f>
        <v>1</v>
      </c>
      <c r="K38" s="214">
        <f>VLOOKUP($A38,'Budget &amp; Revenue'!$A:$AH,18,FALSE)</f>
        <v>1</v>
      </c>
      <c r="L38" s="214">
        <f>VLOOKUP($A38,'Budget &amp; Revenue'!$A:$AH,20,FALSE)</f>
        <v>1</v>
      </c>
      <c r="M38" s="214">
        <f>VLOOKUP($A38,'Budget &amp; Revenue'!$A:$AH,22,FALSE)</f>
        <v>1</v>
      </c>
      <c r="N38" s="214">
        <f>VLOOKUP($A38,'Budget &amp; Revenue'!$A:$AH,24,FALSE)</f>
        <v>1</v>
      </c>
      <c r="O38" s="214">
        <f>VLOOKUP($A38,'Budget &amp; Revenue'!$A:$AH,26,FALSE)</f>
        <v>1</v>
      </c>
      <c r="P38" s="214">
        <f>VLOOKUP($A38,'Budget &amp; Revenue'!$A:$AH,28,FALSE)</f>
        <v>1</v>
      </c>
      <c r="Q38" s="214">
        <f>VLOOKUP($A38,'Budget &amp; Revenue'!$A:$AH,30,FALSE)</f>
        <v>1</v>
      </c>
      <c r="R38" s="214">
        <f>VLOOKUP($A38,'Budget &amp; Revenue'!$A:$AH,32,FALSE)</f>
        <v>1</v>
      </c>
      <c r="S38" s="214">
        <f>VLOOKUP($A38,'Budget &amp; Revenue'!$A:$AH,34,FALSE)</f>
        <v>1</v>
      </c>
    </row>
    <row r="39" spans="1:19" x14ac:dyDescent="0.25">
      <c r="A39" s="217">
        <v>39</v>
      </c>
      <c r="B39" s="222" t="str">
        <f>VLOOKUP(A39,Estimate!A:C,3,FALSE)</f>
        <v>WATER PRESSURE MAINS - 100mm x 45o</v>
      </c>
      <c r="C39" s="219">
        <f>VLOOKUP(A39,Estimate!A:L,12,FALSE)</f>
        <v>0</v>
      </c>
      <c r="D39" s="223">
        <f>VLOOKUP(A39,Estimate!A:Q,17,FALSE)</f>
        <v>360</v>
      </c>
      <c r="E39" s="221" t="s">
        <v>680</v>
      </c>
      <c r="F39" s="221" t="s">
        <v>683</v>
      </c>
      <c r="G39" s="197"/>
      <c r="H39" s="214" t="str">
        <f>VLOOKUP($A39,'Budget &amp; Revenue'!$A:$AH,12,FALSE)</f>
        <v xml:space="preserve"> </v>
      </c>
      <c r="I39" s="214" t="str">
        <f>VLOOKUP($A39,'Budget &amp; Revenue'!$A:$AH,14,FALSE)</f>
        <v xml:space="preserve"> </v>
      </c>
      <c r="J39" s="214">
        <f>VLOOKUP($A39,'Budget &amp; Revenue'!$A:$AH,16,FALSE)</f>
        <v>1</v>
      </c>
      <c r="K39" s="214">
        <f>VLOOKUP($A39,'Budget &amp; Revenue'!$A:$AH,18,FALSE)</f>
        <v>1</v>
      </c>
      <c r="L39" s="214">
        <f>VLOOKUP($A39,'Budget &amp; Revenue'!$A:$AH,20,FALSE)</f>
        <v>1</v>
      </c>
      <c r="M39" s="214">
        <f>VLOOKUP($A39,'Budget &amp; Revenue'!$A:$AH,22,FALSE)</f>
        <v>1</v>
      </c>
      <c r="N39" s="214">
        <f>VLOOKUP($A39,'Budget &amp; Revenue'!$A:$AH,24,FALSE)</f>
        <v>1</v>
      </c>
      <c r="O39" s="214">
        <f>VLOOKUP($A39,'Budget &amp; Revenue'!$A:$AH,26,FALSE)</f>
        <v>1</v>
      </c>
      <c r="P39" s="214">
        <f>VLOOKUP($A39,'Budget &amp; Revenue'!$A:$AH,28,FALSE)</f>
        <v>1</v>
      </c>
      <c r="Q39" s="214">
        <f>VLOOKUP($A39,'Budget &amp; Revenue'!$A:$AH,30,FALSE)</f>
        <v>1</v>
      </c>
      <c r="R39" s="214">
        <f>VLOOKUP($A39,'Budget &amp; Revenue'!$A:$AH,32,FALSE)</f>
        <v>1</v>
      </c>
      <c r="S39" s="214">
        <f>VLOOKUP($A39,'Budget &amp; Revenue'!$A:$AH,34,FALSE)</f>
        <v>1</v>
      </c>
    </row>
    <row r="40" spans="1:19" x14ac:dyDescent="0.25">
      <c r="A40" s="217">
        <v>40</v>
      </c>
      <c r="B40" s="222" t="str">
        <f>VLOOKUP(A40,Estimate!A:C,3,FALSE)</f>
        <v>WATER PRESSURE MAINS - 100mm x 90o</v>
      </c>
      <c r="C40" s="219">
        <f>VLOOKUP(A40,Estimate!A:L,12,FALSE)</f>
        <v>0</v>
      </c>
      <c r="D40" s="223">
        <f>VLOOKUP(A40,Estimate!A:Q,17,FALSE)</f>
        <v>280</v>
      </c>
      <c r="E40" s="221" t="s">
        <v>682</v>
      </c>
      <c r="F40" s="221" t="s">
        <v>684</v>
      </c>
      <c r="G40" s="197"/>
      <c r="H40" s="214" t="str">
        <f>VLOOKUP($A40,'Budget &amp; Revenue'!$A:$AH,12,FALSE)</f>
        <v xml:space="preserve"> </v>
      </c>
      <c r="I40" s="214" t="str">
        <f>VLOOKUP($A40,'Budget &amp; Revenue'!$A:$AH,14,FALSE)</f>
        <v xml:space="preserve"> </v>
      </c>
      <c r="J40" s="214">
        <f>VLOOKUP($A40,'Budget &amp; Revenue'!$A:$AH,16,FALSE)</f>
        <v>1</v>
      </c>
      <c r="K40" s="214">
        <f>VLOOKUP($A40,'Budget &amp; Revenue'!$A:$AH,18,FALSE)</f>
        <v>1</v>
      </c>
      <c r="L40" s="214">
        <f>VLOOKUP($A40,'Budget &amp; Revenue'!$A:$AH,20,FALSE)</f>
        <v>1</v>
      </c>
      <c r="M40" s="214">
        <f>VLOOKUP($A40,'Budget &amp; Revenue'!$A:$AH,22,FALSE)</f>
        <v>1</v>
      </c>
      <c r="N40" s="214">
        <f>VLOOKUP($A40,'Budget &amp; Revenue'!$A:$AH,24,FALSE)</f>
        <v>1</v>
      </c>
      <c r="O40" s="214">
        <f>VLOOKUP($A40,'Budget &amp; Revenue'!$A:$AH,26,FALSE)</f>
        <v>1</v>
      </c>
      <c r="P40" s="214">
        <f>VLOOKUP($A40,'Budget &amp; Revenue'!$A:$AH,28,FALSE)</f>
        <v>1</v>
      </c>
      <c r="Q40" s="214">
        <f>VLOOKUP($A40,'Budget &amp; Revenue'!$A:$AH,30,FALSE)</f>
        <v>1</v>
      </c>
      <c r="R40" s="214">
        <f>VLOOKUP($A40,'Budget &amp; Revenue'!$A:$AH,32,FALSE)</f>
        <v>1</v>
      </c>
      <c r="S40" s="214">
        <f>VLOOKUP($A40,'Budget &amp; Revenue'!$A:$AH,34,FALSE)</f>
        <v>1</v>
      </c>
    </row>
    <row r="41" spans="1:19" ht="75" x14ac:dyDescent="0.25">
      <c r="A41" s="217">
        <v>41</v>
      </c>
      <c r="B41" s="222" t="str">
        <f>VLOOKUP(A41,Estimate!A:C,3,FALSE)</f>
        <v>WATER PRESSURE MAINS - Supply tees,  DICL to AS 2280, RRJ,  Class K12, bitumen coated with polyethylene sleeving to AS 3680 and 3681, incl 316 S/S Flange insertion set for flange ends - 100 x 100mm (FL-FLxFL)</v>
      </c>
      <c r="C41" s="219">
        <f>VLOOKUP(A41,Estimate!A:L,12,FALSE)</f>
        <v>0</v>
      </c>
      <c r="D41" s="223">
        <f>VLOOKUP(A41,Estimate!A:Q,17,FALSE)</f>
        <v>840</v>
      </c>
      <c r="E41" s="221" t="s">
        <v>683</v>
      </c>
      <c r="F41" s="221" t="s">
        <v>685</v>
      </c>
      <c r="G41" s="197"/>
      <c r="H41" s="214" t="str">
        <f>VLOOKUP($A41,'Budget &amp; Revenue'!$A:$AH,12,FALSE)</f>
        <v xml:space="preserve"> </v>
      </c>
      <c r="I41" s="214" t="str">
        <f>VLOOKUP($A41,'Budget &amp; Revenue'!$A:$AH,14,FALSE)</f>
        <v xml:space="preserve"> </v>
      </c>
      <c r="J41" s="214">
        <f>VLOOKUP($A41,'Budget &amp; Revenue'!$A:$AH,16,FALSE)</f>
        <v>1</v>
      </c>
      <c r="K41" s="214">
        <f>VLOOKUP($A41,'Budget &amp; Revenue'!$A:$AH,18,FALSE)</f>
        <v>1</v>
      </c>
      <c r="L41" s="214">
        <f>VLOOKUP($A41,'Budget &amp; Revenue'!$A:$AH,20,FALSE)</f>
        <v>1</v>
      </c>
      <c r="M41" s="214">
        <f>VLOOKUP($A41,'Budget &amp; Revenue'!$A:$AH,22,FALSE)</f>
        <v>1</v>
      </c>
      <c r="N41" s="214">
        <f>VLOOKUP($A41,'Budget &amp; Revenue'!$A:$AH,24,FALSE)</f>
        <v>1</v>
      </c>
      <c r="O41" s="214">
        <f>VLOOKUP($A41,'Budget &amp; Revenue'!$A:$AH,26,FALSE)</f>
        <v>1</v>
      </c>
      <c r="P41" s="214">
        <f>VLOOKUP($A41,'Budget &amp; Revenue'!$A:$AH,28,FALSE)</f>
        <v>1</v>
      </c>
      <c r="Q41" s="214">
        <f>VLOOKUP($A41,'Budget &amp; Revenue'!$A:$AH,30,FALSE)</f>
        <v>1</v>
      </c>
      <c r="R41" s="214">
        <f>VLOOKUP($A41,'Budget &amp; Revenue'!$A:$AH,32,FALSE)</f>
        <v>1</v>
      </c>
      <c r="S41" s="214">
        <f>VLOOKUP($A41,'Budget &amp; Revenue'!$A:$AH,34,FALSE)</f>
        <v>1</v>
      </c>
    </row>
    <row r="42" spans="1:19" ht="60" x14ac:dyDescent="0.25">
      <c r="A42" s="217">
        <v>42</v>
      </c>
      <c r="B42" s="222" t="str">
        <f>VLOOKUP(A42,Estimate!A:C,3,FALSE)</f>
        <v>WATER PRESSURE MAINS -Supply hydrant tee,  DICL to AS 2280, RRJ,  Class K12, bitumen coated with polyethylene sleeving to AS 3680 and 3681, incl 316 S/S Flange insertion set (SOC-SOCxFL) - 100x80?</v>
      </c>
      <c r="C42" s="219">
        <f>VLOOKUP(A42,Estimate!A:L,12,FALSE)</f>
        <v>0</v>
      </c>
      <c r="D42" s="223">
        <f>VLOOKUP(A42,Estimate!A:Q,17,FALSE)</f>
        <v>560</v>
      </c>
      <c r="E42" s="221" t="s">
        <v>684</v>
      </c>
      <c r="F42" s="221" t="s">
        <v>686</v>
      </c>
      <c r="G42" s="197"/>
      <c r="H42" s="214" t="str">
        <f>VLOOKUP($A42,'Budget &amp; Revenue'!$A:$AH,12,FALSE)</f>
        <v xml:space="preserve"> </v>
      </c>
      <c r="I42" s="214" t="str">
        <f>VLOOKUP($A42,'Budget &amp; Revenue'!$A:$AH,14,FALSE)</f>
        <v xml:space="preserve"> </v>
      </c>
      <c r="J42" s="214">
        <f>VLOOKUP($A42,'Budget &amp; Revenue'!$A:$AH,16,FALSE)</f>
        <v>1</v>
      </c>
      <c r="K42" s="214">
        <f>VLOOKUP($A42,'Budget &amp; Revenue'!$A:$AH,18,FALSE)</f>
        <v>1</v>
      </c>
      <c r="L42" s="214">
        <f>VLOOKUP($A42,'Budget &amp; Revenue'!$A:$AH,20,FALSE)</f>
        <v>1</v>
      </c>
      <c r="M42" s="214">
        <f>VLOOKUP($A42,'Budget &amp; Revenue'!$A:$AH,22,FALSE)</f>
        <v>1</v>
      </c>
      <c r="N42" s="214">
        <f>VLOOKUP($A42,'Budget &amp; Revenue'!$A:$AH,24,FALSE)</f>
        <v>1</v>
      </c>
      <c r="O42" s="214">
        <f>VLOOKUP($A42,'Budget &amp; Revenue'!$A:$AH,26,FALSE)</f>
        <v>1</v>
      </c>
      <c r="P42" s="214">
        <f>VLOOKUP($A42,'Budget &amp; Revenue'!$A:$AH,28,FALSE)</f>
        <v>1</v>
      </c>
      <c r="Q42" s="214">
        <f>VLOOKUP($A42,'Budget &amp; Revenue'!$A:$AH,30,FALSE)</f>
        <v>1</v>
      </c>
      <c r="R42" s="214">
        <f>VLOOKUP($A42,'Budget &amp; Revenue'!$A:$AH,32,FALSE)</f>
        <v>1</v>
      </c>
      <c r="S42" s="214">
        <f>VLOOKUP($A42,'Budget &amp; Revenue'!$A:$AH,34,FALSE)</f>
        <v>1</v>
      </c>
    </row>
    <row r="43" spans="1:19" ht="30" x14ac:dyDescent="0.25">
      <c r="A43" s="217">
        <v>43</v>
      </c>
      <c r="B43" s="222" t="str">
        <f>VLOOKUP(A43,Estimate!A:C,3,FALSE)</f>
        <v>WATER PRESSURE MAINS -Supply spring hydrant incl. F.B.E./Rilsan coating</v>
      </c>
      <c r="C43" s="219">
        <f>VLOOKUP(A43,Estimate!A:L,12,FALSE)</f>
        <v>0</v>
      </c>
      <c r="D43" s="223">
        <f>VLOOKUP(A43,Estimate!A:Q,17,FALSE)</f>
        <v>600</v>
      </c>
      <c r="E43" s="221" t="s">
        <v>685</v>
      </c>
      <c r="F43" s="221" t="s">
        <v>687</v>
      </c>
      <c r="G43" s="197"/>
      <c r="H43" s="214" t="str">
        <f>VLOOKUP($A43,'Budget &amp; Revenue'!$A:$AH,12,FALSE)</f>
        <v xml:space="preserve"> </v>
      </c>
      <c r="I43" s="214" t="str">
        <f>VLOOKUP($A43,'Budget &amp; Revenue'!$A:$AH,14,FALSE)</f>
        <v xml:space="preserve"> </v>
      </c>
      <c r="J43" s="214">
        <f>VLOOKUP($A43,'Budget &amp; Revenue'!$A:$AH,16,FALSE)</f>
        <v>1</v>
      </c>
      <c r="K43" s="214">
        <f>VLOOKUP($A43,'Budget &amp; Revenue'!$A:$AH,18,FALSE)</f>
        <v>1</v>
      </c>
      <c r="L43" s="214">
        <f>VLOOKUP($A43,'Budget &amp; Revenue'!$A:$AH,20,FALSE)</f>
        <v>1</v>
      </c>
      <c r="M43" s="214">
        <f>VLOOKUP($A43,'Budget &amp; Revenue'!$A:$AH,22,FALSE)</f>
        <v>1</v>
      </c>
      <c r="N43" s="214">
        <f>VLOOKUP($A43,'Budget &amp; Revenue'!$A:$AH,24,FALSE)</f>
        <v>1</v>
      </c>
      <c r="O43" s="214">
        <f>VLOOKUP($A43,'Budget &amp; Revenue'!$A:$AH,26,FALSE)</f>
        <v>1</v>
      </c>
      <c r="P43" s="214">
        <f>VLOOKUP($A43,'Budget &amp; Revenue'!$A:$AH,28,FALSE)</f>
        <v>1</v>
      </c>
      <c r="Q43" s="214">
        <f>VLOOKUP($A43,'Budget &amp; Revenue'!$A:$AH,30,FALSE)</f>
        <v>1</v>
      </c>
      <c r="R43" s="214">
        <f>VLOOKUP($A43,'Budget &amp; Revenue'!$A:$AH,32,FALSE)</f>
        <v>1</v>
      </c>
      <c r="S43" s="214">
        <f>VLOOKUP($A43,'Budget &amp; Revenue'!$A:$AH,34,FALSE)</f>
        <v>1</v>
      </c>
    </row>
    <row r="44" spans="1:19" ht="30" x14ac:dyDescent="0.25">
      <c r="A44" s="217">
        <v>44</v>
      </c>
      <c r="B44" s="222" t="str">
        <f>VLOOKUP(A44,Estimate!A:C,3,FALSE)</f>
        <v>WATER PRESSURE MAINS - Supply hydrant risers 80?x300mm (FL-FL) (Provisional, if ordered)</v>
      </c>
      <c r="C44" s="219">
        <f>VLOOKUP(A44,Estimate!A:L,12,FALSE)</f>
        <v>0</v>
      </c>
      <c r="D44" s="223">
        <f>VLOOKUP(A44,Estimate!A:Q,17,FALSE)</f>
        <v>260</v>
      </c>
      <c r="E44" s="221" t="s">
        <v>686</v>
      </c>
      <c r="F44" s="221" t="s">
        <v>688</v>
      </c>
      <c r="G44" s="197"/>
      <c r="H44" s="214" t="str">
        <f>VLOOKUP($A44,'Budget &amp; Revenue'!$A:$AH,12,FALSE)</f>
        <v xml:space="preserve"> </v>
      </c>
      <c r="I44" s="214" t="str">
        <f>VLOOKUP($A44,'Budget &amp; Revenue'!$A:$AH,14,FALSE)</f>
        <v xml:space="preserve"> </v>
      </c>
      <c r="J44" s="214" t="str">
        <f>VLOOKUP($A44,'Budget &amp; Revenue'!$A:$AH,16,FALSE)</f>
        <v xml:space="preserve"> </v>
      </c>
      <c r="K44" s="214" t="str">
        <f>VLOOKUP($A44,'Budget &amp; Revenue'!$A:$AH,18,FALSE)</f>
        <v xml:space="preserve"> </v>
      </c>
      <c r="L44" s="214" t="str">
        <f>VLOOKUP($A44,'Budget &amp; Revenue'!$A:$AH,20,FALSE)</f>
        <v xml:space="preserve"> </v>
      </c>
      <c r="M44" s="214" t="str">
        <f>VLOOKUP($A44,'Budget &amp; Revenue'!$A:$AH,22,FALSE)</f>
        <v xml:space="preserve"> </v>
      </c>
      <c r="N44" s="214">
        <f>VLOOKUP($A44,'Budget &amp; Revenue'!$A:$AH,24,FALSE)</f>
        <v>1</v>
      </c>
      <c r="O44" s="214">
        <f>VLOOKUP($A44,'Budget &amp; Revenue'!$A:$AH,26,FALSE)</f>
        <v>1</v>
      </c>
      <c r="P44" s="214">
        <f>VLOOKUP($A44,'Budget &amp; Revenue'!$A:$AH,28,FALSE)</f>
        <v>1</v>
      </c>
      <c r="Q44" s="214">
        <f>VLOOKUP($A44,'Budget &amp; Revenue'!$A:$AH,30,FALSE)</f>
        <v>1</v>
      </c>
      <c r="R44" s="214">
        <f>VLOOKUP($A44,'Budget &amp; Revenue'!$A:$AH,32,FALSE)</f>
        <v>1</v>
      </c>
      <c r="S44" s="214">
        <f>VLOOKUP($A44,'Budget &amp; Revenue'!$A:$AH,34,FALSE)</f>
        <v>1</v>
      </c>
    </row>
    <row r="45" spans="1:19" ht="30" x14ac:dyDescent="0.25">
      <c r="A45" s="217">
        <v>45</v>
      </c>
      <c r="B45" s="222" t="str">
        <f>VLOOKUP(A45,Estimate!A:C,3,FALSE)</f>
        <v>WATER PRESSURE MAINS - Supply hydrant cover boxes</v>
      </c>
      <c r="C45" s="219">
        <f>VLOOKUP(A45,Estimate!A:L,12,FALSE)</f>
        <v>0</v>
      </c>
      <c r="D45" s="223">
        <f>VLOOKUP(A45,Estimate!A:Q,17,FALSE)</f>
        <v>200</v>
      </c>
      <c r="E45" s="221" t="s">
        <v>687</v>
      </c>
      <c r="F45" s="221" t="s">
        <v>689</v>
      </c>
      <c r="G45" s="197"/>
      <c r="H45" s="214" t="str">
        <f>VLOOKUP($A45,'Budget &amp; Revenue'!$A:$AH,12,FALSE)</f>
        <v xml:space="preserve"> </v>
      </c>
      <c r="I45" s="214" t="str">
        <f>VLOOKUP($A45,'Budget &amp; Revenue'!$A:$AH,14,FALSE)</f>
        <v xml:space="preserve"> </v>
      </c>
      <c r="J45" s="214">
        <f>VLOOKUP($A45,'Budget &amp; Revenue'!$A:$AH,16,FALSE)</f>
        <v>1</v>
      </c>
      <c r="K45" s="214">
        <f>VLOOKUP($A45,'Budget &amp; Revenue'!$A:$AH,18,FALSE)</f>
        <v>1</v>
      </c>
      <c r="L45" s="214">
        <f>VLOOKUP($A45,'Budget &amp; Revenue'!$A:$AH,20,FALSE)</f>
        <v>1</v>
      </c>
      <c r="M45" s="214">
        <f>VLOOKUP($A45,'Budget &amp; Revenue'!$A:$AH,22,FALSE)</f>
        <v>1</v>
      </c>
      <c r="N45" s="214">
        <f>VLOOKUP($A45,'Budget &amp; Revenue'!$A:$AH,24,FALSE)</f>
        <v>1</v>
      </c>
      <c r="O45" s="214">
        <f>VLOOKUP($A45,'Budget &amp; Revenue'!$A:$AH,26,FALSE)</f>
        <v>1</v>
      </c>
      <c r="P45" s="214">
        <f>VLOOKUP($A45,'Budget &amp; Revenue'!$A:$AH,28,FALSE)</f>
        <v>1</v>
      </c>
      <c r="Q45" s="214">
        <f>VLOOKUP($A45,'Budget &amp; Revenue'!$A:$AH,30,FALSE)</f>
        <v>1</v>
      </c>
      <c r="R45" s="214">
        <f>VLOOKUP($A45,'Budget &amp; Revenue'!$A:$AH,32,FALSE)</f>
        <v>1</v>
      </c>
      <c r="S45" s="214">
        <f>VLOOKUP($A45,'Budget &amp; Revenue'!$A:$AH,34,FALSE)</f>
        <v>1</v>
      </c>
    </row>
    <row r="46" spans="1:19" ht="45" x14ac:dyDescent="0.25">
      <c r="A46" s="217">
        <v>46</v>
      </c>
      <c r="B46" s="222" t="str">
        <f>VLOOKUP(A46,Estimate!A:C,3,FALSE)</f>
        <v>WATER PRESSURE MAINS - Install cover boxes to hydrants incl. supply of margin sets &amp; bedding bricks &amp; markers</v>
      </c>
      <c r="C46" s="219">
        <f>VLOOKUP(A46,Estimate!A:L,12,FALSE)</f>
        <v>0</v>
      </c>
      <c r="D46" s="223">
        <f>VLOOKUP(A46,Estimate!A:Q,17,FALSE)</f>
        <v>1040</v>
      </c>
      <c r="E46" s="221" t="s">
        <v>688</v>
      </c>
      <c r="F46" s="221" t="s">
        <v>690</v>
      </c>
      <c r="G46" s="197"/>
      <c r="H46" s="214" t="str">
        <f>VLOOKUP($A46,'Budget &amp; Revenue'!$A:$AH,12,FALSE)</f>
        <v xml:space="preserve"> </v>
      </c>
      <c r="I46" s="214" t="str">
        <f>VLOOKUP($A46,'Budget &amp; Revenue'!$A:$AH,14,FALSE)</f>
        <v xml:space="preserve"> </v>
      </c>
      <c r="J46" s="214" t="str">
        <f>VLOOKUP($A46,'Budget &amp; Revenue'!$A:$AH,16,FALSE)</f>
        <v xml:space="preserve"> </v>
      </c>
      <c r="K46" s="214" t="str">
        <f>VLOOKUP($A46,'Budget &amp; Revenue'!$A:$AH,18,FALSE)</f>
        <v xml:space="preserve"> </v>
      </c>
      <c r="L46" s="214" t="str">
        <f>VLOOKUP($A46,'Budget &amp; Revenue'!$A:$AH,20,FALSE)</f>
        <v xml:space="preserve"> </v>
      </c>
      <c r="M46" s="214" t="str">
        <f>VLOOKUP($A46,'Budget &amp; Revenue'!$A:$AH,22,FALSE)</f>
        <v xml:space="preserve"> </v>
      </c>
      <c r="N46" s="214">
        <f>VLOOKUP($A46,'Budget &amp; Revenue'!$A:$AH,24,FALSE)</f>
        <v>1</v>
      </c>
      <c r="O46" s="214">
        <f>VLOOKUP($A46,'Budget &amp; Revenue'!$A:$AH,26,FALSE)</f>
        <v>1</v>
      </c>
      <c r="P46" s="214">
        <f>VLOOKUP($A46,'Budget &amp; Revenue'!$A:$AH,28,FALSE)</f>
        <v>1</v>
      </c>
      <c r="Q46" s="214">
        <f>VLOOKUP($A46,'Budget &amp; Revenue'!$A:$AH,30,FALSE)</f>
        <v>1</v>
      </c>
      <c r="R46" s="214">
        <f>VLOOKUP($A46,'Budget &amp; Revenue'!$A:$AH,32,FALSE)</f>
        <v>1</v>
      </c>
      <c r="S46" s="214">
        <f>VLOOKUP($A46,'Budget &amp; Revenue'!$A:$AH,34,FALSE)</f>
        <v>1</v>
      </c>
    </row>
    <row r="47" spans="1:19" ht="60" x14ac:dyDescent="0.25">
      <c r="A47" s="217">
        <v>47</v>
      </c>
      <c r="B47" s="222" t="str">
        <f>VLOOKUP(A47,Estimate!A:C,3,FALSE)</f>
        <v>WATER PRESSURE MAINS - Supply connectors (FL-SOC) DICL to AS 2280, RRJ,  Class K12, bitumen coated with polyethylene sleeving to AS 3680 and 3681, incl 316 S/S Flange insertion set - 100?</v>
      </c>
      <c r="C47" s="219">
        <f>VLOOKUP(A47,Estimate!A:L,12,FALSE)</f>
        <v>0</v>
      </c>
      <c r="D47" s="223">
        <f>VLOOKUP(A47,Estimate!A:Q,17,FALSE)</f>
        <v>700</v>
      </c>
      <c r="E47" s="221" t="s">
        <v>689</v>
      </c>
      <c r="F47" s="221" t="s">
        <v>691</v>
      </c>
      <c r="G47" s="197"/>
      <c r="H47" s="214" t="str">
        <f>VLOOKUP($A47,'Budget &amp; Revenue'!$A:$AH,12,FALSE)</f>
        <v xml:space="preserve"> </v>
      </c>
      <c r="I47" s="214" t="str">
        <f>VLOOKUP($A47,'Budget &amp; Revenue'!$A:$AH,14,FALSE)</f>
        <v xml:space="preserve"> </v>
      </c>
      <c r="J47" s="214" t="str">
        <f>VLOOKUP($A47,'Budget &amp; Revenue'!$A:$AH,16,FALSE)</f>
        <v xml:space="preserve"> </v>
      </c>
      <c r="K47" s="214" t="str">
        <f>VLOOKUP($A47,'Budget &amp; Revenue'!$A:$AH,18,FALSE)</f>
        <v xml:space="preserve"> </v>
      </c>
      <c r="L47" s="214" t="str">
        <f>VLOOKUP($A47,'Budget &amp; Revenue'!$A:$AH,20,FALSE)</f>
        <v xml:space="preserve"> </v>
      </c>
      <c r="M47" s="214">
        <f>VLOOKUP($A47,'Budget &amp; Revenue'!$A:$AH,22,FALSE)</f>
        <v>1</v>
      </c>
      <c r="N47" s="214">
        <f>VLOOKUP($A47,'Budget &amp; Revenue'!$A:$AH,24,FALSE)</f>
        <v>1</v>
      </c>
      <c r="O47" s="214">
        <f>VLOOKUP($A47,'Budget &amp; Revenue'!$A:$AH,26,FALSE)</f>
        <v>1</v>
      </c>
      <c r="P47" s="214">
        <f>VLOOKUP($A47,'Budget &amp; Revenue'!$A:$AH,28,FALSE)</f>
        <v>1</v>
      </c>
      <c r="Q47" s="214">
        <f>VLOOKUP($A47,'Budget &amp; Revenue'!$A:$AH,30,FALSE)</f>
        <v>1</v>
      </c>
      <c r="R47" s="214">
        <f>VLOOKUP($A47,'Budget &amp; Revenue'!$A:$AH,32,FALSE)</f>
        <v>1</v>
      </c>
      <c r="S47" s="214">
        <f>VLOOKUP($A47,'Budget &amp; Revenue'!$A:$AH,34,FALSE)</f>
        <v>1</v>
      </c>
    </row>
    <row r="48" spans="1:19" ht="30" x14ac:dyDescent="0.25">
      <c r="A48" s="217">
        <v>48</v>
      </c>
      <c r="B48" s="222" t="str">
        <f>VLOOKUP(A48,Estimate!A:C,3,FALSE)</f>
        <v>WATER PRESSURE MAINS - Supply gibault joints 150mm dia</v>
      </c>
      <c r="C48" s="219">
        <f>VLOOKUP(A48,Estimate!A:L,12,FALSE)</f>
        <v>0</v>
      </c>
      <c r="D48" s="223">
        <f>VLOOKUP(A48,Estimate!A:Q,17,FALSE)</f>
        <v>500</v>
      </c>
      <c r="E48" s="221" t="s">
        <v>690</v>
      </c>
      <c r="F48" s="221">
        <v>62</v>
      </c>
      <c r="G48" s="197"/>
      <c r="H48" s="214" t="str">
        <f>VLOOKUP($A48,'Budget &amp; Revenue'!$A:$AH,12,FALSE)</f>
        <v xml:space="preserve"> </v>
      </c>
      <c r="I48" s="214" t="str">
        <f>VLOOKUP($A48,'Budget &amp; Revenue'!$A:$AH,14,FALSE)</f>
        <v xml:space="preserve"> </v>
      </c>
      <c r="J48" s="214" t="str">
        <f>VLOOKUP($A48,'Budget &amp; Revenue'!$A:$AH,16,FALSE)</f>
        <v xml:space="preserve"> </v>
      </c>
      <c r="K48" s="214" t="str">
        <f>VLOOKUP($A48,'Budget &amp; Revenue'!$A:$AH,18,FALSE)</f>
        <v xml:space="preserve"> </v>
      </c>
      <c r="L48" s="214" t="str">
        <f>VLOOKUP($A48,'Budget &amp; Revenue'!$A:$AH,20,FALSE)</f>
        <v xml:space="preserve"> </v>
      </c>
      <c r="M48" s="214">
        <f>VLOOKUP($A48,'Budget &amp; Revenue'!$A:$AH,22,FALSE)</f>
        <v>1</v>
      </c>
      <c r="N48" s="214">
        <f>VLOOKUP($A48,'Budget &amp; Revenue'!$A:$AH,24,FALSE)</f>
        <v>1</v>
      </c>
      <c r="O48" s="214">
        <f>VLOOKUP($A48,'Budget &amp; Revenue'!$A:$AH,26,FALSE)</f>
        <v>1</v>
      </c>
      <c r="P48" s="214">
        <f>VLOOKUP($A48,'Budget &amp; Revenue'!$A:$AH,28,FALSE)</f>
        <v>1</v>
      </c>
      <c r="Q48" s="214">
        <f>VLOOKUP($A48,'Budget &amp; Revenue'!$A:$AH,30,FALSE)</f>
        <v>1</v>
      </c>
      <c r="R48" s="214">
        <f>VLOOKUP($A48,'Budget &amp; Revenue'!$A:$AH,32,FALSE)</f>
        <v>1</v>
      </c>
      <c r="S48" s="214">
        <f>VLOOKUP($A48,'Budget &amp; Revenue'!$A:$AH,34,FALSE)</f>
        <v>1</v>
      </c>
    </row>
    <row r="49" spans="1:19" ht="90" x14ac:dyDescent="0.25">
      <c r="A49" s="217">
        <v>49</v>
      </c>
      <c r="B49" s="222" t="str">
        <f>VLOOKUP(A49,Estimate!A:C,3,FALSE)</f>
        <v>WATER PRESSURE MAINS - House Connection Services  (Refer MRC Std Dwg A3-00840) including supply and installation of 100 mm tapping band, main cock and poly pipe to property boundary - 32mm single  (WATER METERS NOT INCLUDED - BY FUTURE OWNERS)</v>
      </c>
      <c r="C49" s="219">
        <f>VLOOKUP(A49,Estimate!A:L,12,FALSE)</f>
        <v>3</v>
      </c>
      <c r="D49" s="223">
        <f>VLOOKUP(A49,Estimate!A:Q,17,FALSE)</f>
        <v>2800</v>
      </c>
      <c r="E49" s="221">
        <v>36</v>
      </c>
      <c r="F49" s="221">
        <v>50</v>
      </c>
      <c r="G49" s="197"/>
      <c r="H49" s="214" t="str">
        <f>VLOOKUP($A49,'Budget &amp; Revenue'!$A:$AH,12,FALSE)</f>
        <v xml:space="preserve"> </v>
      </c>
      <c r="I49" s="214" t="str">
        <f>VLOOKUP($A49,'Budget &amp; Revenue'!$A:$AH,14,FALSE)</f>
        <v xml:space="preserve"> </v>
      </c>
      <c r="J49" s="214" t="str">
        <f>VLOOKUP($A49,'Budget &amp; Revenue'!$A:$AH,16,FALSE)</f>
        <v xml:space="preserve"> </v>
      </c>
      <c r="K49" s="214" t="str">
        <f>VLOOKUP($A49,'Budget &amp; Revenue'!$A:$AH,18,FALSE)</f>
        <v xml:space="preserve"> </v>
      </c>
      <c r="L49" s="214" t="str">
        <f>VLOOKUP($A49,'Budget &amp; Revenue'!$A:$AH,20,FALSE)</f>
        <v xml:space="preserve"> </v>
      </c>
      <c r="M49" s="214">
        <f>VLOOKUP($A49,'Budget &amp; Revenue'!$A:$AH,22,FALSE)</f>
        <v>1</v>
      </c>
      <c r="N49" s="214">
        <f>VLOOKUP($A49,'Budget &amp; Revenue'!$A:$AH,24,FALSE)</f>
        <v>1</v>
      </c>
      <c r="O49" s="214">
        <f>VLOOKUP($A49,'Budget &amp; Revenue'!$A:$AH,26,FALSE)</f>
        <v>1</v>
      </c>
      <c r="P49" s="214">
        <f>VLOOKUP($A49,'Budget &amp; Revenue'!$A:$AH,28,FALSE)</f>
        <v>1</v>
      </c>
      <c r="Q49" s="214">
        <f>VLOOKUP($A49,'Budget &amp; Revenue'!$A:$AH,30,FALSE)</f>
        <v>1</v>
      </c>
      <c r="R49" s="214">
        <f>VLOOKUP($A49,'Budget &amp; Revenue'!$A:$AH,32,FALSE)</f>
        <v>1</v>
      </c>
      <c r="S49" s="214">
        <f>VLOOKUP($A49,'Budget &amp; Revenue'!$A:$AH,34,FALSE)</f>
        <v>1</v>
      </c>
    </row>
    <row r="50" spans="1:19" ht="45" x14ac:dyDescent="0.25">
      <c r="A50" s="217">
        <v>50</v>
      </c>
      <c r="B50" s="222" t="str">
        <f>VLOOKUP(A50,Estimate!A:C,3,FALSE)</f>
        <v>WATER PRESSURE MAINS - 32mm single under road including enveloper conduit (WATER METERS NOT INCLUDED - BY FUTURE OWNERS)</v>
      </c>
      <c r="C50" s="219">
        <f>VLOOKUP(A50,Estimate!A:L,12,FALSE)</f>
        <v>2</v>
      </c>
      <c r="D50" s="223">
        <f>VLOOKUP(A50,Estimate!A:Q,17,FALSE)</f>
        <v>4000</v>
      </c>
      <c r="E50" s="221">
        <v>49</v>
      </c>
      <c r="F50" s="221">
        <v>51</v>
      </c>
      <c r="G50" s="197"/>
      <c r="H50" s="214" t="str">
        <f>VLOOKUP($A50,'Budget &amp; Revenue'!$A:$AH,12,FALSE)</f>
        <v xml:space="preserve"> </v>
      </c>
      <c r="I50" s="214" t="str">
        <f>VLOOKUP($A50,'Budget &amp; Revenue'!$A:$AH,14,FALSE)</f>
        <v xml:space="preserve"> </v>
      </c>
      <c r="J50" s="214" t="str">
        <f>VLOOKUP($A50,'Budget &amp; Revenue'!$A:$AH,16,FALSE)</f>
        <v xml:space="preserve"> </v>
      </c>
      <c r="K50" s="214" t="str">
        <f>VLOOKUP($A50,'Budget &amp; Revenue'!$A:$AH,18,FALSE)</f>
        <v xml:space="preserve"> </v>
      </c>
      <c r="L50" s="214" t="str">
        <f>VLOOKUP($A50,'Budget &amp; Revenue'!$A:$AH,20,FALSE)</f>
        <v xml:space="preserve"> </v>
      </c>
      <c r="M50" s="214">
        <f>VLOOKUP($A50,'Budget &amp; Revenue'!$A:$AH,22,FALSE)</f>
        <v>1</v>
      </c>
      <c r="N50" s="214">
        <f>VLOOKUP($A50,'Budget &amp; Revenue'!$A:$AH,24,FALSE)</f>
        <v>1</v>
      </c>
      <c r="O50" s="214">
        <f>VLOOKUP($A50,'Budget &amp; Revenue'!$A:$AH,26,FALSE)</f>
        <v>1</v>
      </c>
      <c r="P50" s="214">
        <f>VLOOKUP($A50,'Budget &amp; Revenue'!$A:$AH,28,FALSE)</f>
        <v>1</v>
      </c>
      <c r="Q50" s="214">
        <f>VLOOKUP($A50,'Budget &amp; Revenue'!$A:$AH,30,FALSE)</f>
        <v>1</v>
      </c>
      <c r="R50" s="214">
        <f>VLOOKUP($A50,'Budget &amp; Revenue'!$A:$AH,32,FALSE)</f>
        <v>1</v>
      </c>
      <c r="S50" s="214">
        <f>VLOOKUP($A50,'Budget &amp; Revenue'!$A:$AH,34,FALSE)</f>
        <v>1</v>
      </c>
    </row>
    <row r="51" spans="1:19" ht="30" x14ac:dyDescent="0.25">
      <c r="A51" s="217">
        <v>51</v>
      </c>
      <c r="B51" s="222" t="str">
        <f>VLOOKUP(A51,Estimate!A:C,3,FALSE)</f>
        <v>WATER PRESSURE MAINS -  32mm dual (WATER METERS NOT INCLUDED - BY FUTURE OWNERS)</v>
      </c>
      <c r="C51" s="219">
        <f>VLOOKUP(A51,Estimate!A:L,12,FALSE)</f>
        <v>1</v>
      </c>
      <c r="D51" s="223">
        <f>VLOOKUP(A51,Estimate!A:Q,17,FALSE)</f>
        <v>1920</v>
      </c>
      <c r="E51" s="221">
        <v>50</v>
      </c>
      <c r="F51" s="221">
        <v>52</v>
      </c>
      <c r="G51" s="197"/>
      <c r="H51" s="214" t="str">
        <f>VLOOKUP($A51,'Budget &amp; Revenue'!$A:$AH,12,FALSE)</f>
        <v xml:space="preserve"> </v>
      </c>
      <c r="I51" s="214" t="str">
        <f>VLOOKUP($A51,'Budget &amp; Revenue'!$A:$AH,14,FALSE)</f>
        <v xml:space="preserve"> </v>
      </c>
      <c r="J51" s="214" t="str">
        <f>VLOOKUP($A51,'Budget &amp; Revenue'!$A:$AH,16,FALSE)</f>
        <v xml:space="preserve"> </v>
      </c>
      <c r="K51" s="214" t="str">
        <f>VLOOKUP($A51,'Budget &amp; Revenue'!$A:$AH,18,FALSE)</f>
        <v xml:space="preserve"> </v>
      </c>
      <c r="L51" s="214" t="str">
        <f>VLOOKUP($A51,'Budget &amp; Revenue'!$A:$AH,20,FALSE)</f>
        <v xml:space="preserve"> </v>
      </c>
      <c r="M51" s="214">
        <f>VLOOKUP($A51,'Budget &amp; Revenue'!$A:$AH,22,FALSE)</f>
        <v>1</v>
      </c>
      <c r="N51" s="214">
        <f>VLOOKUP($A51,'Budget &amp; Revenue'!$A:$AH,24,FALSE)</f>
        <v>1</v>
      </c>
      <c r="O51" s="214">
        <f>VLOOKUP($A51,'Budget &amp; Revenue'!$A:$AH,26,FALSE)</f>
        <v>1</v>
      </c>
      <c r="P51" s="214">
        <f>VLOOKUP($A51,'Budget &amp; Revenue'!$A:$AH,28,FALSE)</f>
        <v>1</v>
      </c>
      <c r="Q51" s="214">
        <f>VLOOKUP($A51,'Budget &amp; Revenue'!$A:$AH,30,FALSE)</f>
        <v>1</v>
      </c>
      <c r="R51" s="214">
        <f>VLOOKUP($A51,'Budget &amp; Revenue'!$A:$AH,32,FALSE)</f>
        <v>1</v>
      </c>
      <c r="S51" s="214">
        <f>VLOOKUP($A51,'Budget &amp; Revenue'!$A:$AH,34,FALSE)</f>
        <v>1</v>
      </c>
    </row>
    <row r="52" spans="1:19" ht="45" x14ac:dyDescent="0.25">
      <c r="A52" s="217">
        <v>52</v>
      </c>
      <c r="B52" s="222" t="str">
        <f>VLOOKUP(A52,Estimate!A:C,3,FALSE)</f>
        <v>WATER PRESSURE MAINS - 32mm dual under road including enveloper conduit (WATER METERS NOT INCLUDED - BY FUTURE OWNERS)</v>
      </c>
      <c r="C52" s="219">
        <f>VLOOKUP(A52,Estimate!A:L,12,FALSE)</f>
        <v>3</v>
      </c>
      <c r="D52" s="223">
        <f>VLOOKUP(A52,Estimate!A:Q,17,FALSE)</f>
        <v>6240</v>
      </c>
      <c r="E52" s="221">
        <v>51</v>
      </c>
      <c r="F52" s="221">
        <v>53</v>
      </c>
      <c r="G52" s="197"/>
      <c r="H52" s="214" t="str">
        <f>VLOOKUP($A52,'Budget &amp; Revenue'!$A:$AH,12,FALSE)</f>
        <v xml:space="preserve"> </v>
      </c>
      <c r="I52" s="214" t="str">
        <f>VLOOKUP($A52,'Budget &amp; Revenue'!$A:$AH,14,FALSE)</f>
        <v xml:space="preserve"> </v>
      </c>
      <c r="J52" s="214" t="str">
        <f>VLOOKUP($A52,'Budget &amp; Revenue'!$A:$AH,16,FALSE)</f>
        <v xml:space="preserve"> </v>
      </c>
      <c r="K52" s="214" t="str">
        <f>VLOOKUP($A52,'Budget &amp; Revenue'!$A:$AH,18,FALSE)</f>
        <v xml:space="preserve"> </v>
      </c>
      <c r="L52" s="214" t="str">
        <f>VLOOKUP($A52,'Budget &amp; Revenue'!$A:$AH,20,FALSE)</f>
        <v xml:space="preserve"> </v>
      </c>
      <c r="M52" s="214">
        <f>VLOOKUP($A52,'Budget &amp; Revenue'!$A:$AH,22,FALSE)</f>
        <v>1</v>
      </c>
      <c r="N52" s="214">
        <f>VLOOKUP($A52,'Budget &amp; Revenue'!$A:$AH,24,FALSE)</f>
        <v>1</v>
      </c>
      <c r="O52" s="214">
        <f>VLOOKUP($A52,'Budget &amp; Revenue'!$A:$AH,26,FALSE)</f>
        <v>1</v>
      </c>
      <c r="P52" s="214">
        <f>VLOOKUP($A52,'Budget &amp; Revenue'!$A:$AH,28,FALSE)</f>
        <v>1</v>
      </c>
      <c r="Q52" s="214">
        <f>VLOOKUP($A52,'Budget &amp; Revenue'!$A:$AH,30,FALSE)</f>
        <v>1</v>
      </c>
      <c r="R52" s="214">
        <f>VLOOKUP($A52,'Budget &amp; Revenue'!$A:$AH,32,FALSE)</f>
        <v>1</v>
      </c>
      <c r="S52" s="214">
        <f>VLOOKUP($A52,'Budget &amp; Revenue'!$A:$AH,34,FALSE)</f>
        <v>1</v>
      </c>
    </row>
    <row r="53" spans="1:19" ht="90" x14ac:dyDescent="0.25">
      <c r="A53" s="217">
        <v>53</v>
      </c>
      <c r="B53" s="222" t="str">
        <f>VLOOKUP(A53,Estimate!A:C,3,FALSE)</f>
        <v>WATER PRESSURE MAINS - Excavate, lay, bed, joint and backfill OPVC pressure pipe, RRJ main and specials, including supply and installation of sand bedding to 150mm above top of pipe, installation of thrust blocks and disposal of spoil.  (Type 1 construction, MRC Std Dwg A3-00835) - 100mm dia</v>
      </c>
      <c r="C53" s="219">
        <f>VLOOKUP(A53,Estimate!A:L,12,FALSE)</f>
        <v>5</v>
      </c>
      <c r="D53" s="223">
        <f>VLOOKUP(A53,Estimate!A:Q,17,FALSE)</f>
        <v>20240</v>
      </c>
      <c r="E53" s="221">
        <v>52</v>
      </c>
      <c r="F53" s="221" t="s">
        <v>692</v>
      </c>
      <c r="G53" s="197"/>
      <c r="H53" s="214" t="str">
        <f>VLOOKUP($A53,'Budget &amp; Revenue'!$A:$AH,12,FALSE)</f>
        <v xml:space="preserve"> </v>
      </c>
      <c r="I53" s="214" t="str">
        <f>VLOOKUP($A53,'Budget &amp; Revenue'!$A:$AH,14,FALSE)</f>
        <v xml:space="preserve"> </v>
      </c>
      <c r="J53" s="214">
        <f>VLOOKUP($A53,'Budget &amp; Revenue'!$A:$AH,16,FALSE)</f>
        <v>1</v>
      </c>
      <c r="K53" s="214">
        <f>VLOOKUP($A53,'Budget &amp; Revenue'!$A:$AH,18,FALSE)</f>
        <v>1</v>
      </c>
      <c r="L53" s="214">
        <f>VLOOKUP($A53,'Budget &amp; Revenue'!$A:$AH,20,FALSE)</f>
        <v>1</v>
      </c>
      <c r="M53" s="214">
        <f>VLOOKUP($A53,'Budget &amp; Revenue'!$A:$AH,22,FALSE)</f>
        <v>1</v>
      </c>
      <c r="N53" s="214">
        <f>VLOOKUP($A53,'Budget &amp; Revenue'!$A:$AH,24,FALSE)</f>
        <v>1</v>
      </c>
      <c r="O53" s="214">
        <f>VLOOKUP($A53,'Budget &amp; Revenue'!$A:$AH,26,FALSE)</f>
        <v>1</v>
      </c>
      <c r="P53" s="214">
        <f>VLOOKUP($A53,'Budget &amp; Revenue'!$A:$AH,28,FALSE)</f>
        <v>1</v>
      </c>
      <c r="Q53" s="214">
        <f>VLOOKUP($A53,'Budget &amp; Revenue'!$A:$AH,30,FALSE)</f>
        <v>1</v>
      </c>
      <c r="R53" s="214">
        <f>VLOOKUP($A53,'Budget &amp; Revenue'!$A:$AH,32,FALSE)</f>
        <v>1</v>
      </c>
      <c r="S53" s="214">
        <f>VLOOKUP($A53,'Budget &amp; Revenue'!$A:$AH,34,FALSE)</f>
        <v>1</v>
      </c>
    </row>
    <row r="54" spans="1:19" ht="45" x14ac:dyDescent="0.25">
      <c r="A54" s="217">
        <v>54</v>
      </c>
      <c r="B54" s="222" t="str">
        <f>VLOOKUP(A54,Estimate!A:C,3,FALSE)</f>
        <v>WATER PRESSURE MAINS - Supply &amp; Installation of 100mm diameter water meter with an 80mm bypass line as per detail A of U13481.001-122(B)</v>
      </c>
      <c r="C54" s="219">
        <f>VLOOKUP(A54,Estimate!A:L,12,FALSE)</f>
        <v>1</v>
      </c>
      <c r="D54" s="223">
        <f>VLOOKUP(A54,Estimate!A:Q,17,FALSE)</f>
        <v>9600</v>
      </c>
      <c r="E54" s="221">
        <v>53</v>
      </c>
      <c r="F54" s="221">
        <v>62</v>
      </c>
      <c r="G54" s="197"/>
      <c r="H54" s="214" t="str">
        <f>VLOOKUP($A54,'Budget &amp; Revenue'!$A:$AH,12,FALSE)</f>
        <v xml:space="preserve"> </v>
      </c>
      <c r="I54" s="214" t="str">
        <f>VLOOKUP($A54,'Budget &amp; Revenue'!$A:$AH,14,FALSE)</f>
        <v xml:space="preserve"> </v>
      </c>
      <c r="J54" s="214" t="str">
        <f>VLOOKUP($A54,'Budget &amp; Revenue'!$A:$AH,16,FALSE)</f>
        <v xml:space="preserve"> </v>
      </c>
      <c r="K54" s="214" t="str">
        <f>VLOOKUP($A54,'Budget &amp; Revenue'!$A:$AH,18,FALSE)</f>
        <v xml:space="preserve"> </v>
      </c>
      <c r="L54" s="214" t="str">
        <f>VLOOKUP($A54,'Budget &amp; Revenue'!$A:$AH,20,FALSE)</f>
        <v xml:space="preserve"> </v>
      </c>
      <c r="M54" s="214" t="str">
        <f>VLOOKUP($A54,'Budget &amp; Revenue'!$A:$AH,22,FALSE)</f>
        <v xml:space="preserve"> </v>
      </c>
      <c r="N54" s="214">
        <f>VLOOKUP($A54,'Budget &amp; Revenue'!$A:$AH,24,FALSE)</f>
        <v>1</v>
      </c>
      <c r="O54" s="214">
        <f>VLOOKUP($A54,'Budget &amp; Revenue'!$A:$AH,26,FALSE)</f>
        <v>1</v>
      </c>
      <c r="P54" s="214">
        <f>VLOOKUP($A54,'Budget &amp; Revenue'!$A:$AH,28,FALSE)</f>
        <v>1</v>
      </c>
      <c r="Q54" s="214">
        <f>VLOOKUP($A54,'Budget &amp; Revenue'!$A:$AH,30,FALSE)</f>
        <v>1</v>
      </c>
      <c r="R54" s="214">
        <f>VLOOKUP($A54,'Budget &amp; Revenue'!$A:$AH,32,FALSE)</f>
        <v>1</v>
      </c>
      <c r="S54" s="214">
        <f>VLOOKUP($A54,'Budget &amp; Revenue'!$A:$AH,34,FALSE)</f>
        <v>1</v>
      </c>
    </row>
    <row r="55" spans="1:19" ht="30" x14ac:dyDescent="0.25">
      <c r="A55" s="217">
        <v>55</v>
      </c>
      <c r="B55" s="222" t="str">
        <f>VLOOKUP(A55,Estimate!A:C,3,FALSE)</f>
        <v>WATER PRESSURE MAINS - Dewatering of trench extra to Items 9521 - 9524 (Provisional, if ordered)</v>
      </c>
      <c r="C55" s="219">
        <f>VLOOKUP(A55,Estimate!A:L,12,FALSE)</f>
        <v>0</v>
      </c>
      <c r="D55" s="223">
        <f>VLOOKUP(A55,Estimate!A:Q,17,FALSE)</f>
        <v>3795</v>
      </c>
      <c r="E55" s="221" t="s">
        <v>693</v>
      </c>
      <c r="F55" s="221">
        <v>62</v>
      </c>
      <c r="G55" s="197"/>
      <c r="H55" s="214" t="str">
        <f>VLOOKUP($A55,'Budget &amp; Revenue'!$A:$AH,12,FALSE)</f>
        <v xml:space="preserve"> </v>
      </c>
      <c r="I55" s="214" t="str">
        <f>VLOOKUP($A55,'Budget &amp; Revenue'!$A:$AH,14,FALSE)</f>
        <v xml:space="preserve"> </v>
      </c>
      <c r="J55" s="214" t="str">
        <f>VLOOKUP($A55,'Budget &amp; Revenue'!$A:$AH,16,FALSE)</f>
        <v xml:space="preserve"> </v>
      </c>
      <c r="K55" s="214" t="str">
        <f>VLOOKUP($A55,'Budget &amp; Revenue'!$A:$AH,18,FALSE)</f>
        <v xml:space="preserve"> </v>
      </c>
      <c r="L55" s="214" t="str">
        <f>VLOOKUP($A55,'Budget &amp; Revenue'!$A:$AH,20,FALSE)</f>
        <v xml:space="preserve"> </v>
      </c>
      <c r="M55" s="214" t="str">
        <f>VLOOKUP($A55,'Budget &amp; Revenue'!$A:$AH,22,FALSE)</f>
        <v xml:space="preserve"> </v>
      </c>
      <c r="N55" s="214" t="str">
        <f>VLOOKUP($A55,'Budget &amp; Revenue'!$A:$AH,24,FALSE)</f>
        <v xml:space="preserve"> </v>
      </c>
      <c r="O55" s="214" t="str">
        <f>VLOOKUP($A55,'Budget &amp; Revenue'!$A:$AH,26,FALSE)</f>
        <v xml:space="preserve"> </v>
      </c>
      <c r="P55" s="214" t="str">
        <f>VLOOKUP($A55,'Budget &amp; Revenue'!$A:$AH,28,FALSE)</f>
        <v xml:space="preserve"> </v>
      </c>
      <c r="Q55" s="214" t="str">
        <f>VLOOKUP($A55,'Budget &amp; Revenue'!$A:$AH,30,FALSE)</f>
        <v xml:space="preserve"> </v>
      </c>
      <c r="R55" s="214" t="str">
        <f>VLOOKUP($A55,'Budget &amp; Revenue'!$A:$AH,32,FALSE)</f>
        <v xml:space="preserve"> </v>
      </c>
      <c r="S55" s="214" t="str">
        <f>VLOOKUP($A55,'Budget &amp; Revenue'!$A:$AH,34,FALSE)</f>
        <v xml:space="preserve"> </v>
      </c>
    </row>
    <row r="56" spans="1:19" ht="45" x14ac:dyDescent="0.25">
      <c r="A56" s="217">
        <v>56</v>
      </c>
      <c r="B56" s="222" t="str">
        <f>VLOOKUP(A56,Estimate!A:C,3,FALSE)</f>
        <v>WATER PRESSURE MAINS - Supply and placing of approved sand filling 150 - 300mm above top of pipe (Type 1 construction) (Provisional, if ordered)</v>
      </c>
      <c r="C56" s="219">
        <f>VLOOKUP(A56,Estimate!A:L,12,FALSE)</f>
        <v>0</v>
      </c>
      <c r="D56" s="223">
        <f>VLOOKUP(A56,Estimate!A:Q,17,FALSE)</f>
        <v>1375</v>
      </c>
      <c r="E56" s="221" t="s">
        <v>693</v>
      </c>
      <c r="F56" s="221">
        <v>62</v>
      </c>
      <c r="G56" s="197"/>
      <c r="H56" s="214" t="str">
        <f>VLOOKUP($A56,'Budget &amp; Revenue'!$A:$AH,12,FALSE)</f>
        <v xml:space="preserve"> </v>
      </c>
      <c r="I56" s="214" t="str">
        <f>VLOOKUP($A56,'Budget &amp; Revenue'!$A:$AH,14,FALSE)</f>
        <v xml:space="preserve"> </v>
      </c>
      <c r="J56" s="214" t="str">
        <f>VLOOKUP($A56,'Budget &amp; Revenue'!$A:$AH,16,FALSE)</f>
        <v xml:space="preserve"> </v>
      </c>
      <c r="K56" s="214" t="str">
        <f>VLOOKUP($A56,'Budget &amp; Revenue'!$A:$AH,18,FALSE)</f>
        <v xml:space="preserve"> </v>
      </c>
      <c r="L56" s="214" t="str">
        <f>VLOOKUP($A56,'Budget &amp; Revenue'!$A:$AH,20,FALSE)</f>
        <v xml:space="preserve"> </v>
      </c>
      <c r="M56" s="214" t="str">
        <f>VLOOKUP($A56,'Budget &amp; Revenue'!$A:$AH,22,FALSE)</f>
        <v xml:space="preserve"> </v>
      </c>
      <c r="N56" s="214">
        <f>VLOOKUP($A56,'Budget &amp; Revenue'!$A:$AH,24,FALSE)</f>
        <v>1</v>
      </c>
      <c r="O56" s="214">
        <f>VLOOKUP($A56,'Budget &amp; Revenue'!$A:$AH,26,FALSE)</f>
        <v>1</v>
      </c>
      <c r="P56" s="214">
        <f>VLOOKUP($A56,'Budget &amp; Revenue'!$A:$AH,28,FALSE)</f>
        <v>1</v>
      </c>
      <c r="Q56" s="214">
        <f>VLOOKUP($A56,'Budget &amp; Revenue'!$A:$AH,30,FALSE)</f>
        <v>1</v>
      </c>
      <c r="R56" s="214">
        <f>VLOOKUP($A56,'Budget &amp; Revenue'!$A:$AH,32,FALSE)</f>
        <v>1</v>
      </c>
      <c r="S56" s="214">
        <f>VLOOKUP($A56,'Budget &amp; Revenue'!$A:$AH,34,FALSE)</f>
        <v>1</v>
      </c>
    </row>
    <row r="57" spans="1:19" ht="30" x14ac:dyDescent="0.25">
      <c r="A57" s="217">
        <v>57</v>
      </c>
      <c r="B57" s="222" t="str">
        <f>VLOOKUP(A57,Estimate!A:C,3,FALSE)</f>
        <v>WATER PRESSURE MAINS - Supply and Install Fire Booster (Provisional, if ordered) MARINA ITEM</v>
      </c>
      <c r="C57" s="219">
        <f>VLOOKUP(A57,Estimate!A:L,12,FALSE)</f>
        <v>1</v>
      </c>
      <c r="D57" s="223">
        <f>VLOOKUP(A57,Estimate!A:Q,17,FALSE)</f>
        <v>17266.88</v>
      </c>
      <c r="E57" s="221">
        <v>53</v>
      </c>
      <c r="F57" s="221">
        <v>59</v>
      </c>
      <c r="G57" s="197"/>
      <c r="H57" s="214" t="str">
        <f>VLOOKUP($A57,'Budget &amp; Revenue'!$A:$AH,12,FALSE)</f>
        <v xml:space="preserve"> </v>
      </c>
      <c r="I57" s="214" t="str">
        <f>VLOOKUP($A57,'Budget &amp; Revenue'!$A:$AH,14,FALSE)</f>
        <v xml:space="preserve"> </v>
      </c>
      <c r="J57" s="214" t="str">
        <f>VLOOKUP($A57,'Budget &amp; Revenue'!$A:$AH,16,FALSE)</f>
        <v xml:space="preserve"> </v>
      </c>
      <c r="K57" s="214" t="str">
        <f>VLOOKUP($A57,'Budget &amp; Revenue'!$A:$AH,18,FALSE)</f>
        <v xml:space="preserve"> </v>
      </c>
      <c r="L57" s="214">
        <f>VLOOKUP($A57,'Budget &amp; Revenue'!$A:$AH,20,FALSE)</f>
        <v>1</v>
      </c>
      <c r="M57" s="214">
        <f>VLOOKUP($A57,'Budget &amp; Revenue'!$A:$AH,22,FALSE)</f>
        <v>1</v>
      </c>
      <c r="N57" s="214">
        <f>VLOOKUP($A57,'Budget &amp; Revenue'!$A:$AH,24,FALSE)</f>
        <v>1</v>
      </c>
      <c r="O57" s="214">
        <f>VLOOKUP($A57,'Budget &amp; Revenue'!$A:$AH,26,FALSE)</f>
        <v>1</v>
      </c>
      <c r="P57" s="214">
        <f>VLOOKUP($A57,'Budget &amp; Revenue'!$A:$AH,28,FALSE)</f>
        <v>1</v>
      </c>
      <c r="Q57" s="214">
        <f>VLOOKUP($A57,'Budget &amp; Revenue'!$A:$AH,30,FALSE)</f>
        <v>1</v>
      </c>
      <c r="R57" s="214">
        <f>VLOOKUP($A57,'Budget &amp; Revenue'!$A:$AH,32,FALSE)</f>
        <v>1</v>
      </c>
      <c r="S57" s="214">
        <f>VLOOKUP($A57,'Budget &amp; Revenue'!$A:$AH,34,FALSE)</f>
        <v>1</v>
      </c>
    </row>
    <row r="58" spans="1:19" ht="30" x14ac:dyDescent="0.25">
      <c r="A58" s="217">
        <v>58</v>
      </c>
      <c r="B58" s="222" t="str">
        <f>VLOOKUP(A58,Estimate!A:C,3,FALSE)</f>
        <v>WATER PRESSURE MAINS - Concrete Grade N20 in place for thrust blocks</v>
      </c>
      <c r="C58" s="219">
        <f>VLOOKUP(A58,Estimate!A:L,12,FALSE)</f>
        <v>0</v>
      </c>
      <c r="D58" s="223">
        <f>VLOOKUP(A58,Estimate!A:Q,17,FALSE)</f>
        <v>1750</v>
      </c>
      <c r="E58" s="221" t="s">
        <v>693</v>
      </c>
      <c r="F58" s="221">
        <v>62</v>
      </c>
      <c r="G58" s="197"/>
      <c r="H58" s="214" t="str">
        <f>VLOOKUP($A58,'Budget &amp; Revenue'!$A:$AH,12,FALSE)</f>
        <v xml:space="preserve"> </v>
      </c>
      <c r="I58" s="214" t="str">
        <f>VLOOKUP($A58,'Budget &amp; Revenue'!$A:$AH,14,FALSE)</f>
        <v xml:space="preserve"> </v>
      </c>
      <c r="J58" s="214" t="str">
        <f>VLOOKUP($A58,'Budget &amp; Revenue'!$A:$AH,16,FALSE)</f>
        <v xml:space="preserve"> </v>
      </c>
      <c r="K58" s="214" t="str">
        <f>VLOOKUP($A58,'Budget &amp; Revenue'!$A:$AH,18,FALSE)</f>
        <v xml:space="preserve"> </v>
      </c>
      <c r="L58" s="214">
        <f>VLOOKUP($A58,'Budget &amp; Revenue'!$A:$AH,20,FALSE)</f>
        <v>1</v>
      </c>
      <c r="M58" s="214">
        <f>VLOOKUP($A58,'Budget &amp; Revenue'!$A:$AH,22,FALSE)</f>
        <v>1</v>
      </c>
      <c r="N58" s="214">
        <f>VLOOKUP($A58,'Budget &amp; Revenue'!$A:$AH,24,FALSE)</f>
        <v>1</v>
      </c>
      <c r="O58" s="214">
        <f>VLOOKUP($A58,'Budget &amp; Revenue'!$A:$AH,26,FALSE)</f>
        <v>1</v>
      </c>
      <c r="P58" s="214">
        <f>VLOOKUP($A58,'Budget &amp; Revenue'!$A:$AH,28,FALSE)</f>
        <v>1</v>
      </c>
      <c r="Q58" s="214">
        <f>VLOOKUP($A58,'Budget &amp; Revenue'!$A:$AH,30,FALSE)</f>
        <v>1</v>
      </c>
      <c r="R58" s="214">
        <f>VLOOKUP($A58,'Budget &amp; Revenue'!$A:$AH,32,FALSE)</f>
        <v>1</v>
      </c>
      <c r="S58" s="214">
        <f>VLOOKUP($A58,'Budget &amp; Revenue'!$A:$AH,34,FALSE)</f>
        <v>1</v>
      </c>
    </row>
    <row r="59" spans="1:19" ht="30" x14ac:dyDescent="0.25">
      <c r="A59" s="217">
        <v>59</v>
      </c>
      <c r="B59" s="222" t="str">
        <f>VLOOKUP(A59,Estimate!A:C,3,FALSE)</f>
        <v>WATER PRESSURE MAINS - Flushing and chlorination of mains including supply of chlorine</v>
      </c>
      <c r="C59" s="219">
        <f>VLOOKUP(A59,Estimate!A:L,12,FALSE)</f>
        <v>3</v>
      </c>
      <c r="D59" s="223">
        <f>VLOOKUP(A59,Estimate!A:Q,17,FALSE)</f>
        <v>1000</v>
      </c>
      <c r="E59" s="221">
        <v>57</v>
      </c>
      <c r="F59" s="221">
        <v>60</v>
      </c>
      <c r="G59" s="197"/>
      <c r="H59" s="214" t="str">
        <f>VLOOKUP($A59,'Budget &amp; Revenue'!$A:$AH,12,FALSE)</f>
        <v xml:space="preserve"> </v>
      </c>
      <c r="I59" s="214" t="str">
        <f>VLOOKUP($A59,'Budget &amp; Revenue'!$A:$AH,14,FALSE)</f>
        <v xml:space="preserve"> </v>
      </c>
      <c r="J59" s="214" t="str">
        <f>VLOOKUP($A59,'Budget &amp; Revenue'!$A:$AH,16,FALSE)</f>
        <v xml:space="preserve"> </v>
      </c>
      <c r="K59" s="214" t="str">
        <f>VLOOKUP($A59,'Budget &amp; Revenue'!$A:$AH,18,FALSE)</f>
        <v xml:space="preserve"> </v>
      </c>
      <c r="L59" s="214" t="str">
        <f>VLOOKUP($A59,'Budget &amp; Revenue'!$A:$AH,20,FALSE)</f>
        <v xml:space="preserve"> </v>
      </c>
      <c r="M59" s="214" t="str">
        <f>VLOOKUP($A59,'Budget &amp; Revenue'!$A:$AH,22,FALSE)</f>
        <v xml:space="preserve"> </v>
      </c>
      <c r="N59" s="214">
        <f>VLOOKUP($A59,'Budget &amp; Revenue'!$A:$AH,24,FALSE)</f>
        <v>1</v>
      </c>
      <c r="O59" s="214">
        <f>VLOOKUP($A59,'Budget &amp; Revenue'!$A:$AH,26,FALSE)</f>
        <v>1</v>
      </c>
      <c r="P59" s="214">
        <f>VLOOKUP($A59,'Budget &amp; Revenue'!$A:$AH,28,FALSE)</f>
        <v>1</v>
      </c>
      <c r="Q59" s="214">
        <f>VLOOKUP($A59,'Budget &amp; Revenue'!$A:$AH,30,FALSE)</f>
        <v>1</v>
      </c>
      <c r="R59" s="214">
        <f>VLOOKUP($A59,'Budget &amp; Revenue'!$A:$AH,32,FALSE)</f>
        <v>1</v>
      </c>
      <c r="S59" s="214">
        <f>VLOOKUP($A59,'Budget &amp; Revenue'!$A:$AH,34,FALSE)</f>
        <v>1</v>
      </c>
    </row>
    <row r="60" spans="1:19" ht="45" x14ac:dyDescent="0.25">
      <c r="A60" s="217">
        <v>60</v>
      </c>
      <c r="B60" s="222" t="str">
        <f>VLOOKUP(A60,Estimate!A:C,3,FALSE)</f>
        <v>WATER PRESSURE MAINS - Testing of water mains including supply of pressurising equipment, gauges and fittings</v>
      </c>
      <c r="C60" s="219">
        <f>VLOOKUP(A60,Estimate!A:L,12,FALSE)</f>
        <v>1</v>
      </c>
      <c r="D60" s="223">
        <f>VLOOKUP(A60,Estimate!A:Q,17,FALSE)</f>
        <v>1500</v>
      </c>
      <c r="E60" s="221">
        <v>59</v>
      </c>
      <c r="F60" s="221">
        <v>61</v>
      </c>
      <c r="G60" s="197"/>
      <c r="H60" s="214" t="str">
        <f>VLOOKUP($A60,'Budget &amp; Revenue'!$A:$AH,12,FALSE)</f>
        <v xml:space="preserve"> </v>
      </c>
      <c r="I60" s="214" t="str">
        <f>VLOOKUP($A60,'Budget &amp; Revenue'!$A:$AH,14,FALSE)</f>
        <v xml:space="preserve"> </v>
      </c>
      <c r="J60" s="214" t="str">
        <f>VLOOKUP($A60,'Budget &amp; Revenue'!$A:$AH,16,FALSE)</f>
        <v xml:space="preserve"> </v>
      </c>
      <c r="K60" s="214" t="str">
        <f>VLOOKUP($A60,'Budget &amp; Revenue'!$A:$AH,18,FALSE)</f>
        <v xml:space="preserve"> </v>
      </c>
      <c r="L60" s="214" t="str">
        <f>VLOOKUP($A60,'Budget &amp; Revenue'!$A:$AH,20,FALSE)</f>
        <v xml:space="preserve"> </v>
      </c>
      <c r="M60" s="214" t="str">
        <f>VLOOKUP($A60,'Budget &amp; Revenue'!$A:$AH,22,FALSE)</f>
        <v xml:space="preserve"> </v>
      </c>
      <c r="N60" s="214">
        <f>VLOOKUP($A60,'Budget &amp; Revenue'!$A:$AH,24,FALSE)</f>
        <v>1</v>
      </c>
      <c r="O60" s="214">
        <f>VLOOKUP($A60,'Budget &amp; Revenue'!$A:$AH,26,FALSE)</f>
        <v>1</v>
      </c>
      <c r="P60" s="214">
        <f>VLOOKUP($A60,'Budget &amp; Revenue'!$A:$AH,28,FALSE)</f>
        <v>1</v>
      </c>
      <c r="Q60" s="214">
        <f>VLOOKUP($A60,'Budget &amp; Revenue'!$A:$AH,30,FALSE)</f>
        <v>1</v>
      </c>
      <c r="R60" s="214">
        <f>VLOOKUP($A60,'Budget &amp; Revenue'!$A:$AH,32,FALSE)</f>
        <v>1</v>
      </c>
      <c r="S60" s="214">
        <f>VLOOKUP($A60,'Budget &amp; Revenue'!$A:$AH,34,FALSE)</f>
        <v>1</v>
      </c>
    </row>
    <row r="61" spans="1:19" ht="30" x14ac:dyDescent="0.25">
      <c r="A61" s="217">
        <v>61</v>
      </c>
      <c r="B61" s="222" t="str">
        <f>VLOOKUP(A61,Estimate!A:C,3,FALSE)</f>
        <v>WATER PRESSURE MAINS - Connection to existing Council main, 100mm dia (incl. Council fees)</v>
      </c>
      <c r="C61" s="219">
        <f>VLOOKUP(A61,Estimate!A:L,12,FALSE)</f>
        <v>1</v>
      </c>
      <c r="D61" s="223">
        <f>VLOOKUP(A61,Estimate!A:Q,17,FALSE)</f>
        <v>2000</v>
      </c>
      <c r="E61" s="221">
        <v>60</v>
      </c>
      <c r="F61" s="221">
        <v>62</v>
      </c>
      <c r="G61" s="197"/>
      <c r="H61" s="214" t="str">
        <f>VLOOKUP($A61,'Budget &amp; Revenue'!$A:$AH,12,FALSE)</f>
        <v xml:space="preserve"> </v>
      </c>
      <c r="I61" s="214" t="str">
        <f>VLOOKUP($A61,'Budget &amp; Revenue'!$A:$AH,14,FALSE)</f>
        <v xml:space="preserve"> </v>
      </c>
      <c r="J61" s="214" t="str">
        <f>VLOOKUP($A61,'Budget &amp; Revenue'!$A:$AH,16,FALSE)</f>
        <v xml:space="preserve"> </v>
      </c>
      <c r="K61" s="214" t="str">
        <f>VLOOKUP($A61,'Budget &amp; Revenue'!$A:$AH,18,FALSE)</f>
        <v xml:space="preserve"> </v>
      </c>
      <c r="L61" s="214" t="str">
        <f>VLOOKUP($A61,'Budget &amp; Revenue'!$A:$AH,20,FALSE)</f>
        <v xml:space="preserve"> </v>
      </c>
      <c r="M61" s="214" t="str">
        <f>VLOOKUP($A61,'Budget &amp; Revenue'!$A:$AH,22,FALSE)</f>
        <v xml:space="preserve"> </v>
      </c>
      <c r="N61" s="214">
        <f>VLOOKUP($A61,'Budget &amp; Revenue'!$A:$AH,24,FALSE)</f>
        <v>1</v>
      </c>
      <c r="O61" s="214">
        <f>VLOOKUP($A61,'Budget &amp; Revenue'!$A:$AH,26,FALSE)</f>
        <v>1</v>
      </c>
      <c r="P61" s="214">
        <f>VLOOKUP($A61,'Budget &amp; Revenue'!$A:$AH,28,FALSE)</f>
        <v>1</v>
      </c>
      <c r="Q61" s="214">
        <f>VLOOKUP($A61,'Budget &amp; Revenue'!$A:$AH,30,FALSE)</f>
        <v>1</v>
      </c>
      <c r="R61" s="214">
        <f>VLOOKUP($A61,'Budget &amp; Revenue'!$A:$AH,32,FALSE)</f>
        <v>1</v>
      </c>
      <c r="S61" s="214">
        <f>VLOOKUP($A61,'Budget &amp; Revenue'!$A:$AH,34,FALSE)</f>
        <v>1</v>
      </c>
    </row>
    <row r="62" spans="1:19" ht="45" x14ac:dyDescent="0.25">
      <c r="A62" s="217">
        <v>62</v>
      </c>
      <c r="B62" s="222" t="str">
        <f>VLOOKUP(A62,Estimate!A:C,3,FALSE)</f>
        <v>PRESSURE SEWER SYSTEM - Supply and Delivery of  uPVC sewer pipe, Class 16, complying with AS 1260, suitable for socket joints - 225mm dia.</v>
      </c>
      <c r="C62" s="219">
        <f>VLOOKUP(A62,Estimate!A:L,12,FALSE)</f>
        <v>1</v>
      </c>
      <c r="D62" s="223">
        <f>VLOOKUP(A62,Estimate!A:Q,17,FALSE)</f>
        <v>201.4</v>
      </c>
      <c r="E62" s="221" t="s">
        <v>694</v>
      </c>
      <c r="F62" s="221">
        <v>63</v>
      </c>
      <c r="G62" s="197"/>
      <c r="H62" s="214" t="str">
        <f>VLOOKUP($A62,'Budget &amp; Revenue'!$A:$AH,12,FALSE)</f>
        <v xml:space="preserve"> </v>
      </c>
      <c r="I62" s="214">
        <f>VLOOKUP($A62,'Budget &amp; Revenue'!$A:$AH,14,FALSE)</f>
        <v>1</v>
      </c>
      <c r="J62" s="214">
        <f>VLOOKUP($A62,'Budget &amp; Revenue'!$A:$AH,16,FALSE)</f>
        <v>1</v>
      </c>
      <c r="K62" s="214">
        <f>VLOOKUP($A62,'Budget &amp; Revenue'!$A:$AH,18,FALSE)</f>
        <v>1</v>
      </c>
      <c r="L62" s="214">
        <f>VLOOKUP($A62,'Budget &amp; Revenue'!$A:$AH,20,FALSE)</f>
        <v>1</v>
      </c>
      <c r="M62" s="214">
        <f>VLOOKUP($A62,'Budget &amp; Revenue'!$A:$AH,22,FALSE)</f>
        <v>1</v>
      </c>
      <c r="N62" s="214">
        <f>VLOOKUP($A62,'Budget &amp; Revenue'!$A:$AH,24,FALSE)</f>
        <v>1</v>
      </c>
      <c r="O62" s="214">
        <f>VLOOKUP($A62,'Budget &amp; Revenue'!$A:$AH,26,FALSE)</f>
        <v>1</v>
      </c>
      <c r="P62" s="214">
        <f>VLOOKUP($A62,'Budget &amp; Revenue'!$A:$AH,28,FALSE)</f>
        <v>1</v>
      </c>
      <c r="Q62" s="214">
        <f>VLOOKUP($A62,'Budget &amp; Revenue'!$A:$AH,30,FALSE)</f>
        <v>1</v>
      </c>
      <c r="R62" s="214">
        <f>VLOOKUP($A62,'Budget &amp; Revenue'!$A:$AH,32,FALSE)</f>
        <v>1</v>
      </c>
      <c r="S62" s="214">
        <f>VLOOKUP($A62,'Budget &amp; Revenue'!$A:$AH,34,FALSE)</f>
        <v>1</v>
      </c>
    </row>
    <row r="63" spans="1:19" ht="75" x14ac:dyDescent="0.25">
      <c r="A63" s="217">
        <v>63</v>
      </c>
      <c r="B63" s="222" t="str">
        <f>VLOOKUP(A63,Estimate!A:C,3,FALSE)</f>
        <v>PRESSURE SEWER SYSTEM - Trench excavation in soil for 225mm dia.  sewers, including  excavation for manholes, jump ups, slope drops, vertical drops, backfilling, disposal of spoil and   restoration. Depth Range 0.5-1.5m inclusive</v>
      </c>
      <c r="C63" s="219">
        <f>VLOOKUP(A63,Estimate!A:L,12,FALSE)</f>
        <v>1</v>
      </c>
      <c r="D63" s="223">
        <f>VLOOKUP(A63,Estimate!A:Q,17,FALSE)</f>
        <v>265</v>
      </c>
      <c r="E63" s="221">
        <v>62</v>
      </c>
      <c r="F63" s="221">
        <v>64</v>
      </c>
      <c r="G63" s="197"/>
      <c r="H63" s="214" t="str">
        <f>VLOOKUP($A63,'Budget &amp; Revenue'!$A:$AH,12,FALSE)</f>
        <v xml:space="preserve"> </v>
      </c>
      <c r="I63" s="214">
        <f>VLOOKUP($A63,'Budget &amp; Revenue'!$A:$AH,14,FALSE)</f>
        <v>1</v>
      </c>
      <c r="J63" s="214">
        <f>VLOOKUP($A63,'Budget &amp; Revenue'!$A:$AH,16,FALSE)</f>
        <v>1</v>
      </c>
      <c r="K63" s="214">
        <f>VLOOKUP($A63,'Budget &amp; Revenue'!$A:$AH,18,FALSE)</f>
        <v>1</v>
      </c>
      <c r="L63" s="214">
        <f>VLOOKUP($A63,'Budget &amp; Revenue'!$A:$AH,20,FALSE)</f>
        <v>1</v>
      </c>
      <c r="M63" s="214">
        <f>VLOOKUP($A63,'Budget &amp; Revenue'!$A:$AH,22,FALSE)</f>
        <v>1</v>
      </c>
      <c r="N63" s="214">
        <f>VLOOKUP($A63,'Budget &amp; Revenue'!$A:$AH,24,FALSE)</f>
        <v>1</v>
      </c>
      <c r="O63" s="214">
        <f>VLOOKUP($A63,'Budget &amp; Revenue'!$A:$AH,26,FALSE)</f>
        <v>1</v>
      </c>
      <c r="P63" s="214">
        <f>VLOOKUP($A63,'Budget &amp; Revenue'!$A:$AH,28,FALSE)</f>
        <v>1</v>
      </c>
      <c r="Q63" s="214">
        <f>VLOOKUP($A63,'Budget &amp; Revenue'!$A:$AH,30,FALSE)</f>
        <v>1</v>
      </c>
      <c r="R63" s="214">
        <f>VLOOKUP($A63,'Budget &amp; Revenue'!$A:$AH,32,FALSE)</f>
        <v>1</v>
      </c>
      <c r="S63" s="214">
        <f>VLOOKUP($A63,'Budget &amp; Revenue'!$A:$AH,34,FALSE)</f>
        <v>1</v>
      </c>
    </row>
    <row r="64" spans="1:19" ht="90" x14ac:dyDescent="0.25">
      <c r="A64" s="217">
        <v>64</v>
      </c>
      <c r="B64" s="222" t="str">
        <f>VLOOKUP(A64,Estimate!A:C,3,FALSE)</f>
        <v>PRESSURE SEWER SYSTEM - Lay, bed and joint sewer pipe including main and specials, supply and place sand bedding to 150mm above top of pipe (Type 1 construction, WRC Std drawing D-0030) and testing of finished pipeline, including CCTV Survey and Report. - 225mm dia.</v>
      </c>
      <c r="C64" s="219">
        <f>VLOOKUP(A64,Estimate!A:L,12,FALSE)</f>
        <v>1</v>
      </c>
      <c r="D64" s="223">
        <f>VLOOKUP(A64,Estimate!A:Q,17,FALSE)</f>
        <v>1325</v>
      </c>
      <c r="E64" s="221">
        <v>63</v>
      </c>
      <c r="F64" s="221" t="s">
        <v>695</v>
      </c>
      <c r="G64" s="197"/>
      <c r="H64" s="214" t="str">
        <f>VLOOKUP($A64,'Budget &amp; Revenue'!$A:$AH,12,FALSE)</f>
        <v xml:space="preserve"> </v>
      </c>
      <c r="I64" s="214">
        <f>VLOOKUP($A64,'Budget &amp; Revenue'!$A:$AH,14,FALSE)</f>
        <v>1</v>
      </c>
      <c r="J64" s="214">
        <f>VLOOKUP($A64,'Budget &amp; Revenue'!$A:$AH,16,FALSE)</f>
        <v>1</v>
      </c>
      <c r="K64" s="214">
        <f>VLOOKUP($A64,'Budget &amp; Revenue'!$A:$AH,18,FALSE)</f>
        <v>1</v>
      </c>
      <c r="L64" s="214">
        <f>VLOOKUP($A64,'Budget &amp; Revenue'!$A:$AH,20,FALSE)</f>
        <v>1</v>
      </c>
      <c r="M64" s="214">
        <f>VLOOKUP($A64,'Budget &amp; Revenue'!$A:$AH,22,FALSE)</f>
        <v>1</v>
      </c>
      <c r="N64" s="214">
        <f>VLOOKUP($A64,'Budget &amp; Revenue'!$A:$AH,24,FALSE)</f>
        <v>1</v>
      </c>
      <c r="O64" s="214">
        <f>VLOOKUP($A64,'Budget &amp; Revenue'!$A:$AH,26,FALSE)</f>
        <v>1</v>
      </c>
      <c r="P64" s="214">
        <f>VLOOKUP($A64,'Budget &amp; Revenue'!$A:$AH,28,FALSE)</f>
        <v>1</v>
      </c>
      <c r="Q64" s="214">
        <f>VLOOKUP($A64,'Budget &amp; Revenue'!$A:$AH,30,FALSE)</f>
        <v>1</v>
      </c>
      <c r="R64" s="214">
        <f>VLOOKUP($A64,'Budget &amp; Revenue'!$A:$AH,32,FALSE)</f>
        <v>1</v>
      </c>
      <c r="S64" s="214">
        <f>VLOOKUP($A64,'Budget &amp; Revenue'!$A:$AH,34,FALSE)</f>
        <v>1</v>
      </c>
    </row>
    <row r="65" spans="1:19" ht="60" x14ac:dyDescent="0.25">
      <c r="A65" s="217">
        <v>65</v>
      </c>
      <c r="B65" s="222" t="str">
        <f>VLOOKUP(A65,Estimate!A:C,3,FALSE)</f>
        <v>PRESSURE SEWER SYSTEM - Concrete N20 in place for pipe bedding, surrounds, stops, blocks, cover slab incl.  steel reinforcement where specified incl.  supply of all materials (Provisional, if ordered)</v>
      </c>
      <c r="C65" s="219">
        <f>VLOOKUP(A65,Estimate!A:L,12,FALSE)</f>
        <v>0</v>
      </c>
      <c r="D65" s="223">
        <f>VLOOKUP(A65,Estimate!A:Q,17,FALSE)</f>
        <v>1000</v>
      </c>
      <c r="E65" s="221" t="s">
        <v>696</v>
      </c>
      <c r="F65" s="221">
        <v>80</v>
      </c>
      <c r="G65" s="197"/>
      <c r="H65" s="214" t="str">
        <f>VLOOKUP($A65,'Budget &amp; Revenue'!$A:$AH,12,FALSE)</f>
        <v xml:space="preserve"> </v>
      </c>
      <c r="I65" s="214" t="str">
        <f>VLOOKUP($A65,'Budget &amp; Revenue'!$A:$AH,14,FALSE)</f>
        <v xml:space="preserve"> </v>
      </c>
      <c r="J65" s="214" t="str">
        <f>VLOOKUP($A65,'Budget &amp; Revenue'!$A:$AH,16,FALSE)</f>
        <v xml:space="preserve"> </v>
      </c>
      <c r="K65" s="214" t="str">
        <f>VLOOKUP($A65,'Budget &amp; Revenue'!$A:$AH,18,FALSE)</f>
        <v xml:space="preserve"> </v>
      </c>
      <c r="L65" s="214" t="str">
        <f>VLOOKUP($A65,'Budget &amp; Revenue'!$A:$AH,20,FALSE)</f>
        <v xml:space="preserve"> </v>
      </c>
      <c r="M65" s="214" t="str">
        <f>VLOOKUP($A65,'Budget &amp; Revenue'!$A:$AH,22,FALSE)</f>
        <v xml:space="preserve"> </v>
      </c>
      <c r="N65" s="214">
        <f>VLOOKUP($A65,'Budget &amp; Revenue'!$A:$AH,24,FALSE)</f>
        <v>1</v>
      </c>
      <c r="O65" s="214">
        <f>VLOOKUP($A65,'Budget &amp; Revenue'!$A:$AH,26,FALSE)</f>
        <v>1</v>
      </c>
      <c r="P65" s="214">
        <f>VLOOKUP($A65,'Budget &amp; Revenue'!$A:$AH,28,FALSE)</f>
        <v>1</v>
      </c>
      <c r="Q65" s="214">
        <f>VLOOKUP($A65,'Budget &amp; Revenue'!$A:$AH,30,FALSE)</f>
        <v>1</v>
      </c>
      <c r="R65" s="214">
        <f>VLOOKUP($A65,'Budget &amp; Revenue'!$A:$AH,32,FALSE)</f>
        <v>1</v>
      </c>
      <c r="S65" s="214">
        <f>VLOOKUP($A65,'Budget &amp; Revenue'!$A:$AH,34,FALSE)</f>
        <v>1</v>
      </c>
    </row>
    <row r="66" spans="1:19" ht="45" x14ac:dyDescent="0.25">
      <c r="A66" s="217">
        <v>66</v>
      </c>
      <c r="B66" s="222" t="str">
        <f>VLOOKUP(A66,Estimate!A:C,3,FALSE)</f>
        <v>PRESSURE SEWER SYSTEM - Supply and placing of approved sand filling (150 - 300mm above pipes) (Provisional, if ordered)</v>
      </c>
      <c r="C66" s="219">
        <f>VLOOKUP(A66,Estimate!A:L,12,FALSE)</f>
        <v>0</v>
      </c>
      <c r="D66" s="223">
        <f>VLOOKUP(A66,Estimate!A:Q,17,FALSE)</f>
        <v>1100</v>
      </c>
      <c r="E66" s="221" t="s">
        <v>696</v>
      </c>
      <c r="F66" s="221">
        <v>80</v>
      </c>
      <c r="G66" s="197"/>
      <c r="H66" s="214" t="str">
        <f>VLOOKUP($A66,'Budget &amp; Revenue'!$A:$AH,12,FALSE)</f>
        <v xml:space="preserve"> </v>
      </c>
      <c r="I66" s="214" t="str">
        <f>VLOOKUP($A66,'Budget &amp; Revenue'!$A:$AH,14,FALSE)</f>
        <v xml:space="preserve"> </v>
      </c>
      <c r="J66" s="214" t="str">
        <f>VLOOKUP($A66,'Budget &amp; Revenue'!$A:$AH,16,FALSE)</f>
        <v xml:space="preserve"> </v>
      </c>
      <c r="K66" s="214" t="str">
        <f>VLOOKUP($A66,'Budget &amp; Revenue'!$A:$AH,18,FALSE)</f>
        <v xml:space="preserve"> </v>
      </c>
      <c r="L66" s="214" t="str">
        <f>VLOOKUP($A66,'Budget &amp; Revenue'!$A:$AH,20,FALSE)</f>
        <v xml:space="preserve"> </v>
      </c>
      <c r="M66" s="214" t="str">
        <f>VLOOKUP($A66,'Budget &amp; Revenue'!$A:$AH,22,FALSE)</f>
        <v xml:space="preserve"> </v>
      </c>
      <c r="N66" s="214">
        <f>VLOOKUP($A66,'Budget &amp; Revenue'!$A:$AH,24,FALSE)</f>
        <v>1</v>
      </c>
      <c r="O66" s="214">
        <f>VLOOKUP($A66,'Budget &amp; Revenue'!$A:$AH,26,FALSE)</f>
        <v>1</v>
      </c>
      <c r="P66" s="214">
        <f>VLOOKUP($A66,'Budget &amp; Revenue'!$A:$AH,28,FALSE)</f>
        <v>1</v>
      </c>
      <c r="Q66" s="214">
        <f>VLOOKUP($A66,'Budget &amp; Revenue'!$A:$AH,30,FALSE)</f>
        <v>1</v>
      </c>
      <c r="R66" s="214">
        <f>VLOOKUP($A66,'Budget &amp; Revenue'!$A:$AH,32,FALSE)</f>
        <v>1</v>
      </c>
      <c r="S66" s="214">
        <f>VLOOKUP($A66,'Budget &amp; Revenue'!$A:$AH,34,FALSE)</f>
        <v>1</v>
      </c>
    </row>
    <row r="67" spans="1:19" ht="60" x14ac:dyDescent="0.25">
      <c r="A67" s="217">
        <v>67</v>
      </c>
      <c r="B67" s="222" t="str">
        <f>VLOOKUP(A67,Estimate!A:C,3,FALSE)</f>
        <v>PRESSURE SEWER SYSTEM - Manhole House Connection Branches - 100mm dia. house connection extension to lot 23 (from existing manhole)</v>
      </c>
      <c r="C67" s="219">
        <f>VLOOKUP(A67,Estimate!A:L,12,FALSE)</f>
        <v>12</v>
      </c>
      <c r="D67" s="223">
        <f>VLOOKUP(A67,Estimate!A:Q,17,FALSE)</f>
        <v>1500</v>
      </c>
      <c r="E67" s="221">
        <v>64</v>
      </c>
      <c r="F67" s="221" t="s">
        <v>697</v>
      </c>
      <c r="G67" s="197"/>
      <c r="H67" s="214" t="str">
        <f>VLOOKUP($A67,'Budget &amp; Revenue'!$A:$AH,12,FALSE)</f>
        <v xml:space="preserve"> </v>
      </c>
      <c r="I67" s="214" t="str">
        <f>VLOOKUP($A67,'Budget &amp; Revenue'!$A:$AH,14,FALSE)</f>
        <v xml:space="preserve"> </v>
      </c>
      <c r="J67" s="214" t="str">
        <f>VLOOKUP($A67,'Budget &amp; Revenue'!$A:$AH,16,FALSE)</f>
        <v xml:space="preserve"> </v>
      </c>
      <c r="K67" s="214" t="str">
        <f>VLOOKUP($A67,'Budget &amp; Revenue'!$A:$AH,18,FALSE)</f>
        <v xml:space="preserve"> </v>
      </c>
      <c r="L67" s="214" t="str">
        <f>VLOOKUP($A67,'Budget &amp; Revenue'!$A:$AH,20,FALSE)</f>
        <v xml:space="preserve"> </v>
      </c>
      <c r="M67" s="214" t="str">
        <f>VLOOKUP($A67,'Budget &amp; Revenue'!$A:$AH,22,FALSE)</f>
        <v xml:space="preserve"> </v>
      </c>
      <c r="N67" s="214">
        <f>VLOOKUP($A67,'Budget &amp; Revenue'!$A:$AH,24,FALSE)</f>
        <v>1</v>
      </c>
      <c r="O67" s="214">
        <f>VLOOKUP($A67,'Budget &amp; Revenue'!$A:$AH,26,FALSE)</f>
        <v>1</v>
      </c>
      <c r="P67" s="214">
        <f>VLOOKUP($A67,'Budget &amp; Revenue'!$A:$AH,28,FALSE)</f>
        <v>1</v>
      </c>
      <c r="Q67" s="214">
        <f>VLOOKUP($A67,'Budget &amp; Revenue'!$A:$AH,30,FALSE)</f>
        <v>1</v>
      </c>
      <c r="R67" s="214">
        <f>VLOOKUP($A67,'Budget &amp; Revenue'!$A:$AH,32,FALSE)</f>
        <v>1</v>
      </c>
      <c r="S67" s="214">
        <f>VLOOKUP($A67,'Budget &amp; Revenue'!$A:$AH,34,FALSE)</f>
        <v>1</v>
      </c>
    </row>
    <row r="68" spans="1:19" ht="75" x14ac:dyDescent="0.25">
      <c r="A68" s="217">
        <v>68</v>
      </c>
      <c r="B68" s="222" t="str">
        <f>VLOOKUP(A68,Estimate!A:C,3,FALSE)</f>
        <v>PRESSURE SEWER SYSTEM -Manholes complete in place -  Depth Range 0.5-1.5m inclusive (1050 internal diameter) - Including connection for poly pressure main and internal epoxy coating of manhole</v>
      </c>
      <c r="C68" s="219">
        <f>VLOOKUP(A68,Estimate!A:L,12,FALSE)</f>
        <v>3</v>
      </c>
      <c r="D68" s="223">
        <f>VLOOKUP(A68,Estimate!A:Q,17,FALSE)</f>
        <v>4400</v>
      </c>
      <c r="E68" s="221">
        <v>72</v>
      </c>
      <c r="F68" s="221" t="s">
        <v>698</v>
      </c>
      <c r="G68" s="197"/>
      <c r="H68" s="214" t="str">
        <f>VLOOKUP($A68,'Budget &amp; Revenue'!$A:$AH,12,FALSE)</f>
        <v xml:space="preserve"> </v>
      </c>
      <c r="I68" s="214" t="str">
        <f>VLOOKUP($A68,'Budget &amp; Revenue'!$A:$AH,14,FALSE)</f>
        <v xml:space="preserve"> </v>
      </c>
      <c r="J68" s="214" t="str">
        <f>VLOOKUP($A68,'Budget &amp; Revenue'!$A:$AH,16,FALSE)</f>
        <v xml:space="preserve"> </v>
      </c>
      <c r="K68" s="214" t="str">
        <f>VLOOKUP($A68,'Budget &amp; Revenue'!$A:$AH,18,FALSE)</f>
        <v xml:space="preserve"> </v>
      </c>
      <c r="L68" s="214" t="str">
        <f>VLOOKUP($A68,'Budget &amp; Revenue'!$A:$AH,20,FALSE)</f>
        <v xml:space="preserve"> </v>
      </c>
      <c r="M68" s="214">
        <f>VLOOKUP($A68,'Budget &amp; Revenue'!$A:$AH,22,FALSE)</f>
        <v>1</v>
      </c>
      <c r="N68" s="214">
        <f>VLOOKUP($A68,'Budget &amp; Revenue'!$A:$AH,24,FALSE)</f>
        <v>1</v>
      </c>
      <c r="O68" s="214">
        <f>VLOOKUP($A68,'Budget &amp; Revenue'!$A:$AH,26,FALSE)</f>
        <v>1</v>
      </c>
      <c r="P68" s="214">
        <f>VLOOKUP($A68,'Budget &amp; Revenue'!$A:$AH,28,FALSE)</f>
        <v>1</v>
      </c>
      <c r="Q68" s="214">
        <f>VLOOKUP($A68,'Budget &amp; Revenue'!$A:$AH,30,FALSE)</f>
        <v>1</v>
      </c>
      <c r="R68" s="214">
        <f>VLOOKUP($A68,'Budget &amp; Revenue'!$A:$AH,32,FALSE)</f>
        <v>1</v>
      </c>
      <c r="S68" s="214">
        <f>VLOOKUP($A68,'Budget &amp; Revenue'!$A:$AH,34,FALSE)</f>
        <v>1</v>
      </c>
    </row>
    <row r="69" spans="1:19" ht="45" x14ac:dyDescent="0.25">
      <c r="A69" s="217">
        <v>69</v>
      </c>
      <c r="B69" s="222" t="str">
        <f>VLOOKUP(A69,Estimate!A:C,3,FALSE)</f>
        <v>PRESSURE SEWER SYSTEM - Supply MDPE Pipe, Series 1, PN16, PE 80B complying with AS/NZS 4130 - 50mm ODPE</v>
      </c>
      <c r="C69" s="219">
        <f>VLOOKUP(A69,Estimate!A:L,12,FALSE)</f>
        <v>0</v>
      </c>
      <c r="D69" s="223">
        <f>VLOOKUP(A69,Estimate!A:Q,17,FALSE)</f>
        <v>1197</v>
      </c>
      <c r="E69" s="221" t="s">
        <v>699</v>
      </c>
      <c r="F69" s="221">
        <v>80</v>
      </c>
      <c r="G69" s="197"/>
      <c r="H69" s="214" t="str">
        <f>VLOOKUP($A69,'Budget &amp; Revenue'!$A:$AH,12,FALSE)</f>
        <v xml:space="preserve"> </v>
      </c>
      <c r="I69" s="214">
        <f>VLOOKUP($A69,'Budget &amp; Revenue'!$A:$AH,14,FALSE)</f>
        <v>0.37593984962406013</v>
      </c>
      <c r="J69" s="214">
        <f>VLOOKUP($A69,'Budget &amp; Revenue'!$A:$AH,16,FALSE)</f>
        <v>0.37593984962406013</v>
      </c>
      <c r="K69" s="214">
        <f>VLOOKUP($A69,'Budget &amp; Revenue'!$A:$AH,18,FALSE)</f>
        <v>0.37593984962406013</v>
      </c>
      <c r="L69" s="214">
        <f>VLOOKUP($A69,'Budget &amp; Revenue'!$A:$AH,20,FALSE)</f>
        <v>1</v>
      </c>
      <c r="M69" s="214">
        <f>VLOOKUP($A69,'Budget &amp; Revenue'!$A:$AH,22,FALSE)</f>
        <v>1</v>
      </c>
      <c r="N69" s="214">
        <f>VLOOKUP($A69,'Budget &amp; Revenue'!$A:$AH,24,FALSE)</f>
        <v>1</v>
      </c>
      <c r="O69" s="214">
        <f>VLOOKUP($A69,'Budget &amp; Revenue'!$A:$AH,26,FALSE)</f>
        <v>1</v>
      </c>
      <c r="P69" s="214">
        <f>VLOOKUP($A69,'Budget &amp; Revenue'!$A:$AH,28,FALSE)</f>
        <v>1</v>
      </c>
      <c r="Q69" s="214">
        <f>VLOOKUP($A69,'Budget &amp; Revenue'!$A:$AH,30,FALSE)</f>
        <v>1</v>
      </c>
      <c r="R69" s="214">
        <f>VLOOKUP($A69,'Budget &amp; Revenue'!$A:$AH,32,FALSE)</f>
        <v>1</v>
      </c>
      <c r="S69" s="214">
        <f>VLOOKUP($A69,'Budget &amp; Revenue'!$A:$AH,34,FALSE)</f>
        <v>1</v>
      </c>
    </row>
    <row r="70" spans="1:19" ht="45" x14ac:dyDescent="0.25">
      <c r="A70" s="217">
        <v>70</v>
      </c>
      <c r="B70" s="222" t="str">
        <f>VLOOKUP(A70,Estimate!A:C,3,FALSE)</f>
        <v>PRESSURE SEWER SYSTEM - Supply MDPE Pipe, Series 1, PN16, PE 80B complying with AS/NZS 4130 - 63mm ODPE</v>
      </c>
      <c r="C70" s="219">
        <f>VLOOKUP(A70,Estimate!A:L,12,FALSE)</f>
        <v>0</v>
      </c>
      <c r="D70" s="223">
        <f>VLOOKUP(A70,Estimate!A:Q,17,FALSE)</f>
        <v>2251.5</v>
      </c>
      <c r="E70" s="221" t="s">
        <v>699</v>
      </c>
      <c r="F70" s="221">
        <v>80</v>
      </c>
      <c r="G70" s="197"/>
      <c r="H70" s="214" t="str">
        <f>VLOOKUP($A70,'Budget &amp; Revenue'!$A:$AH,12,FALSE)</f>
        <v xml:space="preserve"> </v>
      </c>
      <c r="I70" s="214">
        <f>VLOOKUP($A70,'Budget &amp; Revenue'!$A:$AH,14,FALSE)</f>
        <v>0.4219409282700422</v>
      </c>
      <c r="J70" s="214">
        <f>VLOOKUP($A70,'Budget &amp; Revenue'!$A:$AH,16,FALSE)</f>
        <v>0.4219409282700422</v>
      </c>
      <c r="K70" s="214">
        <f>VLOOKUP($A70,'Budget &amp; Revenue'!$A:$AH,18,FALSE)</f>
        <v>0.4219409282700422</v>
      </c>
      <c r="L70" s="214">
        <f>VLOOKUP($A70,'Budget &amp; Revenue'!$A:$AH,20,FALSE)</f>
        <v>1</v>
      </c>
      <c r="M70" s="214">
        <f>VLOOKUP($A70,'Budget &amp; Revenue'!$A:$AH,22,FALSE)</f>
        <v>1</v>
      </c>
      <c r="N70" s="214">
        <f>VLOOKUP($A70,'Budget &amp; Revenue'!$A:$AH,24,FALSE)</f>
        <v>1</v>
      </c>
      <c r="O70" s="214">
        <f>VLOOKUP($A70,'Budget &amp; Revenue'!$A:$AH,26,FALSE)</f>
        <v>1</v>
      </c>
      <c r="P70" s="214">
        <f>VLOOKUP($A70,'Budget &amp; Revenue'!$A:$AH,28,FALSE)</f>
        <v>1</v>
      </c>
      <c r="Q70" s="214">
        <f>VLOOKUP($A70,'Budget &amp; Revenue'!$A:$AH,30,FALSE)</f>
        <v>1</v>
      </c>
      <c r="R70" s="214">
        <f>VLOOKUP($A70,'Budget &amp; Revenue'!$A:$AH,32,FALSE)</f>
        <v>1</v>
      </c>
      <c r="S70" s="214">
        <f>VLOOKUP($A70,'Budget &amp; Revenue'!$A:$AH,34,FALSE)</f>
        <v>1</v>
      </c>
    </row>
    <row r="71" spans="1:19" ht="120" x14ac:dyDescent="0.25">
      <c r="A71" s="217">
        <v>71</v>
      </c>
      <c r="B71" s="222" t="str">
        <f>VLOOKUP(A71,Estimate!A:C,3,FALSE)</f>
        <v>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- 50mm ODPE</v>
      </c>
      <c r="C71" s="219">
        <f>VLOOKUP(A71,Estimate!A:L,12,FALSE)</f>
        <v>4</v>
      </c>
      <c r="D71" s="223">
        <f>VLOOKUP(A71,Estimate!A:Q,17,FALSE)</f>
        <v>7315</v>
      </c>
      <c r="E71" s="221">
        <v>72</v>
      </c>
      <c r="F71" s="221" t="s">
        <v>700</v>
      </c>
      <c r="G71" s="197"/>
      <c r="H71" s="214" t="str">
        <f>VLOOKUP($A71,'Budget &amp; Revenue'!$A:$AH,12,FALSE)</f>
        <v xml:space="preserve"> </v>
      </c>
      <c r="I71" s="214">
        <f>VLOOKUP($A71,'Budget &amp; Revenue'!$A:$AH,14,FALSE)</f>
        <v>0.37593984962406013</v>
      </c>
      <c r="J71" s="214">
        <f>VLOOKUP($A71,'Budget &amp; Revenue'!$A:$AH,16,FALSE)</f>
        <v>1</v>
      </c>
      <c r="K71" s="214">
        <f>VLOOKUP($A71,'Budget &amp; Revenue'!$A:$AH,18,FALSE)</f>
        <v>1</v>
      </c>
      <c r="L71" s="214">
        <f>VLOOKUP($A71,'Budget &amp; Revenue'!$A:$AH,20,FALSE)</f>
        <v>1</v>
      </c>
      <c r="M71" s="214">
        <f>VLOOKUP($A71,'Budget &amp; Revenue'!$A:$AH,22,FALSE)</f>
        <v>1</v>
      </c>
      <c r="N71" s="214">
        <f>VLOOKUP($A71,'Budget &amp; Revenue'!$A:$AH,24,FALSE)</f>
        <v>1</v>
      </c>
      <c r="O71" s="214">
        <f>VLOOKUP($A71,'Budget &amp; Revenue'!$A:$AH,26,FALSE)</f>
        <v>1</v>
      </c>
      <c r="P71" s="214">
        <f>VLOOKUP($A71,'Budget &amp; Revenue'!$A:$AH,28,FALSE)</f>
        <v>1</v>
      </c>
      <c r="Q71" s="214">
        <f>VLOOKUP($A71,'Budget &amp; Revenue'!$A:$AH,30,FALSE)</f>
        <v>1</v>
      </c>
      <c r="R71" s="214">
        <f>VLOOKUP($A71,'Budget &amp; Revenue'!$A:$AH,32,FALSE)</f>
        <v>1</v>
      </c>
      <c r="S71" s="214">
        <f>VLOOKUP($A71,'Budget &amp; Revenue'!$A:$AH,34,FALSE)</f>
        <v>1</v>
      </c>
    </row>
    <row r="72" spans="1:19" ht="120" x14ac:dyDescent="0.25">
      <c r="A72" s="217">
        <v>72</v>
      </c>
      <c r="B72" s="222" t="str">
        <f>VLOOKUP(A72,Estimate!A:C,3,FALSE)</f>
        <v>PRESSURE SEWER SYSTEM - Excavate, lay, bed, joint and backfill MDPE Pipe, Series 1, PN16, PE 80B pressure pipe main and specials, including supply and installation of sand bedding to 150mm above top of pipe, installation of thrust blocks and disposal of spoil.  (Type 1 construction, MRC Std Dwg A3-00835). Including supply &amp; installation of enveloper conduit at road crossing locations. - 63mm ODPE</v>
      </c>
      <c r="C72" s="219">
        <f>VLOOKUP(A72,Estimate!A:L,12,FALSE)</f>
        <v>4</v>
      </c>
      <c r="D72" s="223">
        <f>VLOOKUP(A72,Estimate!A:Q,17,FALSE)</f>
        <v>13983</v>
      </c>
      <c r="E72" s="221">
        <v>64</v>
      </c>
      <c r="F72" s="221" t="s">
        <v>701</v>
      </c>
      <c r="G72" s="197"/>
      <c r="H72" s="214" t="str">
        <f>VLOOKUP($A72,'Budget &amp; Revenue'!$A:$AH,12,FALSE)</f>
        <v xml:space="preserve"> </v>
      </c>
      <c r="I72" s="214">
        <f>VLOOKUP($A72,'Budget &amp; Revenue'!$A:$AH,14,FALSE)</f>
        <v>0.4219409282700422</v>
      </c>
      <c r="J72" s="214">
        <f>VLOOKUP($A72,'Budget &amp; Revenue'!$A:$AH,16,FALSE)</f>
        <v>1</v>
      </c>
      <c r="K72" s="214">
        <f>VLOOKUP($A72,'Budget &amp; Revenue'!$A:$AH,18,FALSE)</f>
        <v>1</v>
      </c>
      <c r="L72" s="214">
        <f>VLOOKUP($A72,'Budget &amp; Revenue'!$A:$AH,20,FALSE)</f>
        <v>1</v>
      </c>
      <c r="M72" s="214">
        <f>VLOOKUP($A72,'Budget &amp; Revenue'!$A:$AH,22,FALSE)</f>
        <v>1</v>
      </c>
      <c r="N72" s="214">
        <f>VLOOKUP($A72,'Budget &amp; Revenue'!$A:$AH,24,FALSE)</f>
        <v>1</v>
      </c>
      <c r="O72" s="214">
        <f>VLOOKUP($A72,'Budget &amp; Revenue'!$A:$AH,26,FALSE)</f>
        <v>1</v>
      </c>
      <c r="P72" s="214">
        <f>VLOOKUP($A72,'Budget &amp; Revenue'!$A:$AH,28,FALSE)</f>
        <v>1</v>
      </c>
      <c r="Q72" s="214">
        <f>VLOOKUP($A72,'Budget &amp; Revenue'!$A:$AH,30,FALSE)</f>
        <v>1</v>
      </c>
      <c r="R72" s="214">
        <f>VLOOKUP($A72,'Budget &amp; Revenue'!$A:$AH,32,FALSE)</f>
        <v>1</v>
      </c>
      <c r="S72" s="214">
        <f>VLOOKUP($A72,'Budget &amp; Revenue'!$A:$AH,34,FALSE)</f>
        <v>1</v>
      </c>
    </row>
    <row r="73" spans="1:19" ht="30" x14ac:dyDescent="0.25">
      <c r="A73" s="217">
        <v>73</v>
      </c>
      <c r="B73" s="222" t="str">
        <f>VLOOKUP(A73,Estimate!A:C,3,FALSE)</f>
        <v>PRESSURE SEWER SYSTEM - Supply and installation of Aquatec Boundary Connection pits</v>
      </c>
      <c r="C73" s="219">
        <f>VLOOKUP(A73,Estimate!A:L,12,FALSE)</f>
        <v>5</v>
      </c>
      <c r="D73" s="223">
        <f>VLOOKUP(A73,Estimate!A:Q,17,FALSE)</f>
        <v>19800</v>
      </c>
      <c r="E73" s="221" t="s">
        <v>702</v>
      </c>
      <c r="F73" s="221" t="s">
        <v>703</v>
      </c>
      <c r="G73" s="197"/>
      <c r="H73" s="214" t="str">
        <f>VLOOKUP($A73,'Budget &amp; Revenue'!$A:$AH,12,FALSE)</f>
        <v xml:space="preserve"> </v>
      </c>
      <c r="I73" s="214" t="str">
        <f>VLOOKUP($A73,'Budget &amp; Revenue'!$A:$AH,14,FALSE)</f>
        <v xml:space="preserve"> </v>
      </c>
      <c r="J73" s="214">
        <f>VLOOKUP($A73,'Budget &amp; Revenue'!$A:$AH,16,FALSE)</f>
        <v>1</v>
      </c>
      <c r="K73" s="214">
        <f>VLOOKUP($A73,'Budget &amp; Revenue'!$A:$AH,18,FALSE)</f>
        <v>1</v>
      </c>
      <c r="L73" s="214">
        <f>VLOOKUP($A73,'Budget &amp; Revenue'!$A:$AH,20,FALSE)</f>
        <v>1</v>
      </c>
      <c r="M73" s="214">
        <f>VLOOKUP($A73,'Budget &amp; Revenue'!$A:$AH,22,FALSE)</f>
        <v>1</v>
      </c>
      <c r="N73" s="214">
        <f>VLOOKUP($A73,'Budget &amp; Revenue'!$A:$AH,24,FALSE)</f>
        <v>1</v>
      </c>
      <c r="O73" s="214">
        <f>VLOOKUP($A73,'Budget &amp; Revenue'!$A:$AH,26,FALSE)</f>
        <v>1</v>
      </c>
      <c r="P73" s="214">
        <f>VLOOKUP($A73,'Budget &amp; Revenue'!$A:$AH,28,FALSE)</f>
        <v>1</v>
      </c>
      <c r="Q73" s="214">
        <f>VLOOKUP($A73,'Budget &amp; Revenue'!$A:$AH,30,FALSE)</f>
        <v>1</v>
      </c>
      <c r="R73" s="214">
        <f>VLOOKUP($A73,'Budget &amp; Revenue'!$A:$AH,32,FALSE)</f>
        <v>1</v>
      </c>
      <c r="S73" s="214">
        <f>VLOOKUP($A73,'Budget &amp; Revenue'!$A:$AH,34,FALSE)</f>
        <v>1</v>
      </c>
    </row>
    <row r="74" spans="1:19" ht="30" x14ac:dyDescent="0.25">
      <c r="A74" s="217">
        <v>74</v>
      </c>
      <c r="B74" s="222" t="str">
        <f>VLOOKUP(A74,Estimate!A:C,3,FALSE)</f>
        <v>PRESSURE SEWER SYSTEM - Supply and installation of Aquatec flushing point</v>
      </c>
      <c r="C74" s="219">
        <f>VLOOKUP(A74,Estimate!A:L,12,FALSE)</f>
        <v>0</v>
      </c>
      <c r="D74" s="223">
        <f>VLOOKUP(A74,Estimate!A:Q,17,FALSE)</f>
        <v>1780</v>
      </c>
      <c r="E74" s="221" t="s">
        <v>704</v>
      </c>
      <c r="F74" s="221" t="s">
        <v>705</v>
      </c>
      <c r="G74" s="197"/>
      <c r="H74" s="214" t="str">
        <f>VLOOKUP($A74,'Budget &amp; Revenue'!$A:$AH,12,FALSE)</f>
        <v xml:space="preserve"> </v>
      </c>
      <c r="I74" s="214" t="str">
        <f>VLOOKUP($A74,'Budget &amp; Revenue'!$A:$AH,14,FALSE)</f>
        <v xml:space="preserve"> </v>
      </c>
      <c r="J74" s="214">
        <f>VLOOKUP($A74,'Budget &amp; Revenue'!$A:$AH,16,FALSE)</f>
        <v>1</v>
      </c>
      <c r="K74" s="214">
        <f>VLOOKUP($A74,'Budget &amp; Revenue'!$A:$AH,18,FALSE)</f>
        <v>1</v>
      </c>
      <c r="L74" s="214">
        <f>VLOOKUP($A74,'Budget &amp; Revenue'!$A:$AH,20,FALSE)</f>
        <v>1</v>
      </c>
      <c r="M74" s="214">
        <f>VLOOKUP($A74,'Budget &amp; Revenue'!$A:$AH,22,FALSE)</f>
        <v>1</v>
      </c>
      <c r="N74" s="214">
        <f>VLOOKUP($A74,'Budget &amp; Revenue'!$A:$AH,24,FALSE)</f>
        <v>1</v>
      </c>
      <c r="O74" s="214">
        <f>VLOOKUP($A74,'Budget &amp; Revenue'!$A:$AH,26,FALSE)</f>
        <v>1</v>
      </c>
      <c r="P74" s="214">
        <f>VLOOKUP($A74,'Budget &amp; Revenue'!$A:$AH,28,FALSE)</f>
        <v>1</v>
      </c>
      <c r="Q74" s="214">
        <f>VLOOKUP($A74,'Budget &amp; Revenue'!$A:$AH,30,FALSE)</f>
        <v>1</v>
      </c>
      <c r="R74" s="214">
        <f>VLOOKUP($A74,'Budget &amp; Revenue'!$A:$AH,32,FALSE)</f>
        <v>1</v>
      </c>
      <c r="S74" s="214">
        <f>VLOOKUP($A74,'Budget &amp; Revenue'!$A:$AH,34,FALSE)</f>
        <v>1</v>
      </c>
    </row>
    <row r="75" spans="1:19" ht="30" x14ac:dyDescent="0.25">
      <c r="A75" s="217">
        <v>75</v>
      </c>
      <c r="B75" s="222" t="str">
        <f>VLOOKUP(A75,Estimate!A:C,3,FALSE)</f>
        <v>PRESSURE SEWER SYSTEM - Supply and installation of Aquatec isolation valves</v>
      </c>
      <c r="C75" s="219">
        <f>VLOOKUP(A75,Estimate!A:L,12,FALSE)</f>
        <v>0</v>
      </c>
      <c r="D75" s="223">
        <f>VLOOKUP(A75,Estimate!A:Q,17,FALSE)</f>
        <v>3700</v>
      </c>
      <c r="E75" s="221" t="s">
        <v>703</v>
      </c>
      <c r="F75" s="221">
        <v>78</v>
      </c>
      <c r="G75" s="197"/>
      <c r="H75" s="214" t="str">
        <f>VLOOKUP($A75,'Budget &amp; Revenue'!$A:$AH,12,FALSE)</f>
        <v xml:space="preserve"> </v>
      </c>
      <c r="I75" s="214" t="str">
        <f>VLOOKUP($A75,'Budget &amp; Revenue'!$A:$AH,14,FALSE)</f>
        <v xml:space="preserve"> </v>
      </c>
      <c r="J75" s="214">
        <f>VLOOKUP($A75,'Budget &amp; Revenue'!$A:$AH,16,FALSE)</f>
        <v>1</v>
      </c>
      <c r="K75" s="214">
        <f>VLOOKUP($A75,'Budget &amp; Revenue'!$A:$AH,18,FALSE)</f>
        <v>1</v>
      </c>
      <c r="L75" s="214">
        <f>VLOOKUP($A75,'Budget &amp; Revenue'!$A:$AH,20,FALSE)</f>
        <v>1</v>
      </c>
      <c r="M75" s="214">
        <f>VLOOKUP($A75,'Budget &amp; Revenue'!$A:$AH,22,FALSE)</f>
        <v>1</v>
      </c>
      <c r="N75" s="214">
        <f>VLOOKUP($A75,'Budget &amp; Revenue'!$A:$AH,24,FALSE)</f>
        <v>1</v>
      </c>
      <c r="O75" s="214">
        <f>VLOOKUP($A75,'Budget &amp; Revenue'!$A:$AH,26,FALSE)</f>
        <v>1</v>
      </c>
      <c r="P75" s="214">
        <f>VLOOKUP($A75,'Budget &amp; Revenue'!$A:$AH,28,FALSE)</f>
        <v>1</v>
      </c>
      <c r="Q75" s="214">
        <f>VLOOKUP($A75,'Budget &amp; Revenue'!$A:$AH,30,FALSE)</f>
        <v>1</v>
      </c>
      <c r="R75" s="214">
        <f>VLOOKUP($A75,'Budget &amp; Revenue'!$A:$AH,32,FALSE)</f>
        <v>1</v>
      </c>
      <c r="S75" s="214">
        <f>VLOOKUP($A75,'Budget &amp; Revenue'!$A:$AH,34,FALSE)</f>
        <v>1</v>
      </c>
    </row>
    <row r="76" spans="1:19" ht="30" x14ac:dyDescent="0.25">
      <c r="A76" s="217">
        <v>76</v>
      </c>
      <c r="B76" s="222" t="str">
        <f>VLOOKUP(A76,Estimate!A:C,3,FALSE)</f>
        <v>PRESSURE SEWER SYSTEM - Dewatering of trench extra to 9610 - 9615 (Provisional, if ordered)</v>
      </c>
      <c r="C76" s="219">
        <f>VLOOKUP(A76,Estimate!A:L,12,FALSE)</f>
        <v>0</v>
      </c>
      <c r="D76" s="223">
        <f>VLOOKUP(A76,Estimate!A:Q,17,FALSE)</f>
        <v>5550</v>
      </c>
      <c r="E76" s="221" t="s">
        <v>706</v>
      </c>
      <c r="F76" s="221">
        <v>80</v>
      </c>
      <c r="G76" s="197"/>
      <c r="H76" s="214" t="str">
        <f>VLOOKUP($A76,'Budget &amp; Revenue'!$A:$AH,12,FALSE)</f>
        <v xml:space="preserve"> </v>
      </c>
      <c r="I76" s="214" t="str">
        <f>VLOOKUP($A76,'Budget &amp; Revenue'!$A:$AH,14,FALSE)</f>
        <v xml:space="preserve"> </v>
      </c>
      <c r="J76" s="214" t="str">
        <f>VLOOKUP($A76,'Budget &amp; Revenue'!$A:$AH,16,FALSE)</f>
        <v xml:space="preserve"> </v>
      </c>
      <c r="K76" s="214" t="str">
        <f>VLOOKUP($A76,'Budget &amp; Revenue'!$A:$AH,18,FALSE)</f>
        <v xml:space="preserve"> </v>
      </c>
      <c r="L76" s="214" t="str">
        <f>VLOOKUP($A76,'Budget &amp; Revenue'!$A:$AH,20,FALSE)</f>
        <v xml:space="preserve"> </v>
      </c>
      <c r="M76" s="214" t="str">
        <f>VLOOKUP($A76,'Budget &amp; Revenue'!$A:$AH,22,FALSE)</f>
        <v xml:space="preserve"> </v>
      </c>
      <c r="N76" s="214" t="str">
        <f>VLOOKUP($A76,'Budget &amp; Revenue'!$A:$AH,24,FALSE)</f>
        <v xml:space="preserve"> </v>
      </c>
      <c r="O76" s="214" t="str">
        <f>VLOOKUP($A76,'Budget &amp; Revenue'!$A:$AH,26,FALSE)</f>
        <v xml:space="preserve"> </v>
      </c>
      <c r="P76" s="214" t="str">
        <f>VLOOKUP($A76,'Budget &amp; Revenue'!$A:$AH,28,FALSE)</f>
        <v xml:space="preserve"> </v>
      </c>
      <c r="Q76" s="214" t="str">
        <f>VLOOKUP($A76,'Budget &amp; Revenue'!$A:$AH,30,FALSE)</f>
        <v xml:space="preserve"> </v>
      </c>
      <c r="R76" s="214" t="str">
        <f>VLOOKUP($A76,'Budget &amp; Revenue'!$A:$AH,32,FALSE)</f>
        <v xml:space="preserve"> </v>
      </c>
      <c r="S76" s="214" t="str">
        <f>VLOOKUP($A76,'Budget &amp; Revenue'!$A:$AH,34,FALSE)</f>
        <v xml:space="preserve"> </v>
      </c>
    </row>
    <row r="77" spans="1:19" ht="75" x14ac:dyDescent="0.25">
      <c r="A77" s="217">
        <v>77</v>
      </c>
      <c r="B77" s="222" t="str">
        <f>VLOOKUP(A77,Estimate!A:C,3,FALSE)</f>
        <v>PRESSURE SEWER SYSTEM - Supply and placing of metal ballast bedding below bottom of pipe, supply and placing of geotextile, including additional excavation below pipe barrel to maximum 400mm below pipe barrel (Provisional, if ordered)</v>
      </c>
      <c r="C77" s="219">
        <f>VLOOKUP(A77,Estimate!A:L,12,FALSE)</f>
        <v>0</v>
      </c>
      <c r="D77" s="223">
        <f>VLOOKUP(A77,Estimate!A:Q,17,FALSE)</f>
        <v>500</v>
      </c>
      <c r="E77" s="221" t="s">
        <v>706</v>
      </c>
      <c r="F77" s="221">
        <v>80</v>
      </c>
      <c r="G77" s="197"/>
      <c r="H77" s="214" t="str">
        <f>VLOOKUP($A77,'Budget &amp; Revenue'!$A:$AH,12,FALSE)</f>
        <v xml:space="preserve"> </v>
      </c>
      <c r="I77" s="214" t="str">
        <f>VLOOKUP($A77,'Budget &amp; Revenue'!$A:$AH,14,FALSE)</f>
        <v xml:space="preserve"> </v>
      </c>
      <c r="J77" s="214" t="str">
        <f>VLOOKUP($A77,'Budget &amp; Revenue'!$A:$AH,16,FALSE)</f>
        <v xml:space="preserve"> </v>
      </c>
      <c r="K77" s="214" t="str">
        <f>VLOOKUP($A77,'Budget &amp; Revenue'!$A:$AH,18,FALSE)</f>
        <v xml:space="preserve"> </v>
      </c>
      <c r="L77" s="214" t="str">
        <f>VLOOKUP($A77,'Budget &amp; Revenue'!$A:$AH,20,FALSE)</f>
        <v xml:space="preserve"> </v>
      </c>
      <c r="M77" s="214" t="str">
        <f>VLOOKUP($A77,'Budget &amp; Revenue'!$A:$AH,22,FALSE)</f>
        <v xml:space="preserve"> </v>
      </c>
      <c r="N77" s="214" t="str">
        <f>VLOOKUP($A77,'Budget &amp; Revenue'!$A:$AH,24,FALSE)</f>
        <v xml:space="preserve"> </v>
      </c>
      <c r="O77" s="214" t="str">
        <f>VLOOKUP($A77,'Budget &amp; Revenue'!$A:$AH,26,FALSE)</f>
        <v xml:space="preserve"> </v>
      </c>
      <c r="P77" s="214" t="str">
        <f>VLOOKUP($A77,'Budget &amp; Revenue'!$A:$AH,28,FALSE)</f>
        <v xml:space="preserve"> </v>
      </c>
      <c r="Q77" s="214" t="str">
        <f>VLOOKUP($A77,'Budget &amp; Revenue'!$A:$AH,30,FALSE)</f>
        <v xml:space="preserve"> </v>
      </c>
      <c r="R77" s="214" t="str">
        <f>VLOOKUP($A77,'Budget &amp; Revenue'!$A:$AH,32,FALSE)</f>
        <v xml:space="preserve"> </v>
      </c>
      <c r="S77" s="214" t="str">
        <f>VLOOKUP($A77,'Budget &amp; Revenue'!$A:$AH,34,FALSE)</f>
        <v xml:space="preserve"> </v>
      </c>
    </row>
    <row r="78" spans="1:19" ht="60" x14ac:dyDescent="0.25">
      <c r="A78" s="217">
        <v>78</v>
      </c>
      <c r="B78" s="222" t="str">
        <f>VLOOKUP(A78,Estimate!A:C,3,FALSE)</f>
        <v>PRESSURE SEWER SYSTEM - Demolish existing sewer manhole and connect to existing 225 diameter sewer main, incl. liaison with Council and plugging of downstream manhole</v>
      </c>
      <c r="C78" s="219">
        <f>VLOOKUP(A78,Estimate!A:L,12,FALSE)</f>
        <v>1</v>
      </c>
      <c r="D78" s="223">
        <f>VLOOKUP(A78,Estimate!A:Q,17,FALSE)</f>
        <v>1500</v>
      </c>
      <c r="E78" s="221">
        <v>75</v>
      </c>
      <c r="F78" s="221">
        <v>80</v>
      </c>
      <c r="G78" s="197"/>
      <c r="H78" s="214" t="str">
        <f>VLOOKUP($A78,'Budget &amp; Revenue'!$A:$AH,12,FALSE)</f>
        <v xml:space="preserve"> </v>
      </c>
      <c r="I78" s="214">
        <f>VLOOKUP($A78,'Budget &amp; Revenue'!$A:$AH,14,FALSE)</f>
        <v>1</v>
      </c>
      <c r="J78" s="214">
        <f>VLOOKUP($A78,'Budget &amp; Revenue'!$A:$AH,16,FALSE)</f>
        <v>1</v>
      </c>
      <c r="K78" s="214">
        <f>VLOOKUP($A78,'Budget &amp; Revenue'!$A:$AH,18,FALSE)</f>
        <v>1</v>
      </c>
      <c r="L78" s="214">
        <f>VLOOKUP($A78,'Budget &amp; Revenue'!$A:$AH,20,FALSE)</f>
        <v>1</v>
      </c>
      <c r="M78" s="214">
        <f>VLOOKUP($A78,'Budget &amp; Revenue'!$A:$AH,22,FALSE)</f>
        <v>1</v>
      </c>
      <c r="N78" s="214">
        <f>VLOOKUP($A78,'Budget &amp; Revenue'!$A:$AH,24,FALSE)</f>
        <v>1</v>
      </c>
      <c r="O78" s="214">
        <f>VLOOKUP($A78,'Budget &amp; Revenue'!$A:$AH,26,FALSE)</f>
        <v>1</v>
      </c>
      <c r="P78" s="214">
        <f>VLOOKUP($A78,'Budget &amp; Revenue'!$A:$AH,28,FALSE)</f>
        <v>1</v>
      </c>
      <c r="Q78" s="214">
        <f>VLOOKUP($A78,'Budget &amp; Revenue'!$A:$AH,30,FALSE)</f>
        <v>1</v>
      </c>
      <c r="R78" s="214">
        <f>VLOOKUP($A78,'Budget &amp; Revenue'!$A:$AH,32,FALSE)</f>
        <v>1</v>
      </c>
      <c r="S78" s="214">
        <f>VLOOKUP($A78,'Budget &amp; Revenue'!$A:$AH,34,FALSE)</f>
        <v>1</v>
      </c>
    </row>
    <row r="79" spans="1:19" ht="45" x14ac:dyDescent="0.25">
      <c r="A79" s="217">
        <v>79</v>
      </c>
      <c r="B79" s="222" t="str">
        <f>VLOOKUP(A79,Estimate!A:C,3,FALSE)</f>
        <v>PRESSURE SEWER SYSTEM - Construct vent pole and foundation as per WRC Std Dwg S0020 - incl. all materials and connection to receiving manhole</v>
      </c>
      <c r="C79" s="219">
        <f>VLOOKUP(A79,Estimate!A:L,12,FALSE)</f>
        <v>1</v>
      </c>
      <c r="D79" s="223">
        <f>VLOOKUP(A79,Estimate!A:Q,17,FALSE)</f>
        <v>2500</v>
      </c>
      <c r="E79" s="221">
        <v>68</v>
      </c>
      <c r="F79" s="221">
        <v>80</v>
      </c>
      <c r="G79" s="197"/>
      <c r="H79" s="214" t="str">
        <f>VLOOKUP($A79,'Budget &amp; Revenue'!$A:$AH,12,FALSE)</f>
        <v xml:space="preserve"> </v>
      </c>
      <c r="I79" s="214">
        <f>VLOOKUP($A79,'Budget &amp; Revenue'!$A:$AH,14,FALSE)</f>
        <v>0.8</v>
      </c>
      <c r="J79" s="214">
        <f>VLOOKUP($A79,'Budget &amp; Revenue'!$A:$AH,16,FALSE)</f>
        <v>0.8</v>
      </c>
      <c r="K79" s="214">
        <f>VLOOKUP($A79,'Budget &amp; Revenue'!$A:$AH,18,FALSE)</f>
        <v>0.8</v>
      </c>
      <c r="L79" s="214">
        <f>VLOOKUP($A79,'Budget &amp; Revenue'!$A:$AH,20,FALSE)</f>
        <v>0.8</v>
      </c>
      <c r="M79" s="214">
        <f>VLOOKUP($A79,'Budget &amp; Revenue'!$A:$AH,22,FALSE)</f>
        <v>0.8</v>
      </c>
      <c r="N79" s="214">
        <f>VLOOKUP($A79,'Budget &amp; Revenue'!$A:$AH,24,FALSE)</f>
        <v>0.8</v>
      </c>
      <c r="O79" s="214">
        <f>VLOOKUP($A79,'Budget &amp; Revenue'!$A:$AH,26,FALSE)</f>
        <v>1</v>
      </c>
      <c r="P79" s="214">
        <f>VLOOKUP($A79,'Budget &amp; Revenue'!$A:$AH,28,FALSE)</f>
        <v>1</v>
      </c>
      <c r="Q79" s="214">
        <f>VLOOKUP($A79,'Budget &amp; Revenue'!$A:$AH,30,FALSE)</f>
        <v>1</v>
      </c>
      <c r="R79" s="214">
        <f>VLOOKUP($A79,'Budget &amp; Revenue'!$A:$AH,32,FALSE)</f>
        <v>1</v>
      </c>
      <c r="S79" s="214">
        <f>VLOOKUP($A79,'Budget &amp; Revenue'!$A:$AH,34,FALSE)</f>
        <v>1</v>
      </c>
    </row>
    <row r="80" spans="1:19" ht="45" x14ac:dyDescent="0.25">
      <c r="A80" s="217">
        <v>80</v>
      </c>
      <c r="B80" s="222" t="str">
        <f>VLOOKUP(A80,Estimate!A:C,3,FALSE)</f>
        <v>ANCILLARY WORKS - Ergon longitudinal trenching and backfilling, including supply of all bedding and backfill sand, as directed (Provisional, if ordered)</v>
      </c>
      <c r="C80" s="219">
        <f>VLOOKUP(A80,Estimate!A:L,12,FALSE)</f>
        <v>8</v>
      </c>
      <c r="D80" s="223">
        <f>VLOOKUP(A80,Estimate!A:Q,17,FALSE)</f>
        <v>22474.870038000587</v>
      </c>
      <c r="E80" s="221" t="s">
        <v>707</v>
      </c>
      <c r="F80" s="221" t="s">
        <v>708</v>
      </c>
      <c r="G80" s="197"/>
      <c r="H80" s="214" t="str">
        <f>VLOOKUP($A80,'Budget &amp; Revenue'!$A:$AH,12,FALSE)</f>
        <v xml:space="preserve"> </v>
      </c>
      <c r="I80" s="214" t="str">
        <f>VLOOKUP($A80,'Budget &amp; Revenue'!$A:$AH,14,FALSE)</f>
        <v xml:space="preserve"> </v>
      </c>
      <c r="J80" s="214" t="str">
        <f>VLOOKUP($A80,'Budget &amp; Revenue'!$A:$AH,16,FALSE)</f>
        <v xml:space="preserve"> </v>
      </c>
      <c r="K80" s="214" t="str">
        <f>VLOOKUP($A80,'Budget &amp; Revenue'!$A:$AH,18,FALSE)</f>
        <v xml:space="preserve"> </v>
      </c>
      <c r="L80" s="214" t="str">
        <f>VLOOKUP($A80,'Budget &amp; Revenue'!$A:$AH,20,FALSE)</f>
        <v xml:space="preserve"> </v>
      </c>
      <c r="M80" s="214">
        <f>VLOOKUP($A80,'Budget &amp; Revenue'!$A:$AH,22,FALSE)</f>
        <v>1</v>
      </c>
      <c r="N80" s="214">
        <f>VLOOKUP($A80,'Budget &amp; Revenue'!$A:$AH,24,FALSE)</f>
        <v>1</v>
      </c>
      <c r="O80" s="214">
        <f>VLOOKUP($A80,'Budget &amp; Revenue'!$A:$AH,26,FALSE)</f>
        <v>1</v>
      </c>
      <c r="P80" s="214">
        <f>VLOOKUP($A80,'Budget &amp; Revenue'!$A:$AH,28,FALSE)</f>
        <v>1</v>
      </c>
      <c r="Q80" s="214">
        <f>VLOOKUP($A80,'Budget &amp; Revenue'!$A:$AH,30,FALSE)</f>
        <v>1</v>
      </c>
      <c r="R80" s="214">
        <f>VLOOKUP($A80,'Budget &amp; Revenue'!$A:$AH,32,FALSE)</f>
        <v>1</v>
      </c>
      <c r="S80" s="214">
        <f>VLOOKUP($A80,'Budget &amp; Revenue'!$A:$AH,34,FALSE)</f>
        <v>1</v>
      </c>
    </row>
    <row r="81" spans="1:19" ht="90" x14ac:dyDescent="0.25">
      <c r="A81" s="217">
        <v>81</v>
      </c>
      <c r="B81" s="222" t="str">
        <f>VLOOKUP(A81,Estimate!A:C,3,FALSE)</f>
        <v>ANCILLARY WORKS -  Supply and installation of Ergon conduits including draw cord, end caps, polymeric cable protection cover (where required) and caution orange tape as directed (Provisional, if ordered) - 3/100mm &amp; 1/40mm Electrical plus 2/100mm Testra</v>
      </c>
      <c r="C81" s="219">
        <f>VLOOKUP(A81,Estimate!A:L,12,FALSE)</f>
        <v>0</v>
      </c>
      <c r="D81" s="223">
        <f>VLOOKUP(A81,Estimate!A:Q,17,FALSE)</f>
        <v>2664.518</v>
      </c>
      <c r="E81" s="221" t="s">
        <v>709</v>
      </c>
      <c r="F81" s="221" t="s">
        <v>710</v>
      </c>
      <c r="G81" s="197"/>
      <c r="H81" s="214" t="str">
        <f>VLOOKUP($A81,'Budget &amp; Revenue'!$A:$AH,12,FALSE)</f>
        <v xml:space="preserve"> </v>
      </c>
      <c r="I81" s="214" t="str">
        <f>VLOOKUP($A81,'Budget &amp; Revenue'!$A:$AH,14,FALSE)</f>
        <v xml:space="preserve"> </v>
      </c>
      <c r="J81" s="214" t="str">
        <f>VLOOKUP($A81,'Budget &amp; Revenue'!$A:$AH,16,FALSE)</f>
        <v xml:space="preserve"> </v>
      </c>
      <c r="K81" s="214" t="str">
        <f>VLOOKUP($A81,'Budget &amp; Revenue'!$A:$AH,18,FALSE)</f>
        <v xml:space="preserve"> </v>
      </c>
      <c r="L81" s="214" t="str">
        <f>VLOOKUP($A81,'Budget &amp; Revenue'!$A:$AH,20,FALSE)</f>
        <v xml:space="preserve"> </v>
      </c>
      <c r="M81" s="214">
        <f>VLOOKUP($A81,'Budget &amp; Revenue'!$A:$AH,22,FALSE)</f>
        <v>1</v>
      </c>
      <c r="N81" s="214">
        <f>VLOOKUP($A81,'Budget &amp; Revenue'!$A:$AH,24,FALSE)</f>
        <v>1</v>
      </c>
      <c r="O81" s="214">
        <f>VLOOKUP($A81,'Budget &amp; Revenue'!$A:$AH,26,FALSE)</f>
        <v>1</v>
      </c>
      <c r="P81" s="214">
        <f>VLOOKUP($A81,'Budget &amp; Revenue'!$A:$AH,28,FALSE)</f>
        <v>1</v>
      </c>
      <c r="Q81" s="214">
        <f>VLOOKUP($A81,'Budget &amp; Revenue'!$A:$AH,30,FALSE)</f>
        <v>1</v>
      </c>
      <c r="R81" s="214">
        <f>VLOOKUP($A81,'Budget &amp; Revenue'!$A:$AH,32,FALSE)</f>
        <v>1</v>
      </c>
      <c r="S81" s="214">
        <f>VLOOKUP($A81,'Budget &amp; Revenue'!$A:$AH,34,FALSE)</f>
        <v>1</v>
      </c>
    </row>
    <row r="82" spans="1:19" ht="75" x14ac:dyDescent="0.25">
      <c r="A82" s="217">
        <v>82</v>
      </c>
      <c r="B82" s="222" t="str">
        <f>VLOOKUP(A82,Estimate!A:C,3,FALSE)</f>
        <v>Supply and installation of Ergon conduits including draw cord, end caps, polymeric cable protection cover (where required) and caution orange tape as directed (Provisional, if ordered) - 2/100mm plus 1/100mm Testra</v>
      </c>
      <c r="C82" s="219">
        <f>VLOOKUP(A82,Estimate!A:L,12,FALSE)</f>
        <v>0</v>
      </c>
      <c r="D82" s="223">
        <f>VLOOKUP(A82,Estimate!A:Q,17,FALSE)</f>
        <v>466.30400000000003</v>
      </c>
      <c r="E82" s="221" t="s">
        <v>711</v>
      </c>
      <c r="F82" s="221" t="s">
        <v>712</v>
      </c>
      <c r="G82" s="197"/>
      <c r="H82" s="214" t="str">
        <f>VLOOKUP($A82,'Budget &amp; Revenue'!$A:$AH,12,FALSE)</f>
        <v xml:space="preserve"> </v>
      </c>
      <c r="I82" s="214" t="str">
        <f>VLOOKUP($A82,'Budget &amp; Revenue'!$A:$AH,14,FALSE)</f>
        <v xml:space="preserve"> </v>
      </c>
      <c r="J82" s="214" t="str">
        <f>VLOOKUP($A82,'Budget &amp; Revenue'!$A:$AH,16,FALSE)</f>
        <v xml:space="preserve"> </v>
      </c>
      <c r="K82" s="214" t="str">
        <f>VLOOKUP($A82,'Budget &amp; Revenue'!$A:$AH,18,FALSE)</f>
        <v xml:space="preserve"> </v>
      </c>
      <c r="L82" s="214" t="str">
        <f>VLOOKUP($A82,'Budget &amp; Revenue'!$A:$AH,20,FALSE)</f>
        <v xml:space="preserve"> </v>
      </c>
      <c r="M82" s="214">
        <f>VLOOKUP($A82,'Budget &amp; Revenue'!$A:$AH,22,FALSE)</f>
        <v>1</v>
      </c>
      <c r="N82" s="214">
        <f>VLOOKUP($A82,'Budget &amp; Revenue'!$A:$AH,24,FALSE)</f>
        <v>1</v>
      </c>
      <c r="O82" s="214">
        <f>VLOOKUP($A82,'Budget &amp; Revenue'!$A:$AH,26,FALSE)</f>
        <v>1</v>
      </c>
      <c r="P82" s="214">
        <f>VLOOKUP($A82,'Budget &amp; Revenue'!$A:$AH,28,FALSE)</f>
        <v>1</v>
      </c>
      <c r="Q82" s="214">
        <f>VLOOKUP($A82,'Budget &amp; Revenue'!$A:$AH,30,FALSE)</f>
        <v>1</v>
      </c>
      <c r="R82" s="214">
        <f>VLOOKUP($A82,'Budget &amp; Revenue'!$A:$AH,32,FALSE)</f>
        <v>1</v>
      </c>
      <c r="S82" s="214">
        <f>VLOOKUP($A82,'Budget &amp; Revenue'!$A:$AH,34,FALSE)</f>
        <v>1</v>
      </c>
    </row>
    <row r="83" spans="1:19" ht="75" x14ac:dyDescent="0.25">
      <c r="A83" s="217">
        <v>83</v>
      </c>
      <c r="B83" s="222" t="str">
        <f>VLOOKUP(A83,Estimate!A:C,3,FALSE)</f>
        <v>Supply and installation of Ergon conduits including draw cord, end caps, polymeric cable protection cover (where required) and caution orange tape as directed (Provisional, if ordered) - 1/100mm Electrical plus 1/100mm Telstra</v>
      </c>
      <c r="C83" s="219">
        <f>VLOOKUP(A83,Estimate!A:L,12,FALSE)</f>
        <v>0</v>
      </c>
      <c r="D83" s="223">
        <f>VLOOKUP(A83,Estimate!A:Q,17,FALSE)</f>
        <v>5078.8</v>
      </c>
      <c r="E83" s="221" t="s">
        <v>710</v>
      </c>
      <c r="F83" s="221" t="s">
        <v>713</v>
      </c>
      <c r="G83" s="197"/>
      <c r="H83" s="214" t="str">
        <f>VLOOKUP($A83,'Budget &amp; Revenue'!$A:$AH,12,FALSE)</f>
        <v xml:space="preserve"> </v>
      </c>
      <c r="I83" s="214" t="str">
        <f>VLOOKUP($A83,'Budget &amp; Revenue'!$A:$AH,14,FALSE)</f>
        <v xml:space="preserve"> </v>
      </c>
      <c r="J83" s="214" t="str">
        <f>VLOOKUP($A83,'Budget &amp; Revenue'!$A:$AH,16,FALSE)</f>
        <v xml:space="preserve"> </v>
      </c>
      <c r="K83" s="214" t="str">
        <f>VLOOKUP($A83,'Budget &amp; Revenue'!$A:$AH,18,FALSE)</f>
        <v xml:space="preserve"> </v>
      </c>
      <c r="L83" s="214" t="str">
        <f>VLOOKUP($A83,'Budget &amp; Revenue'!$A:$AH,20,FALSE)</f>
        <v xml:space="preserve"> </v>
      </c>
      <c r="M83" s="214">
        <f>VLOOKUP($A83,'Budget &amp; Revenue'!$A:$AH,22,FALSE)</f>
        <v>1</v>
      </c>
      <c r="N83" s="214">
        <f>VLOOKUP($A83,'Budget &amp; Revenue'!$A:$AH,24,FALSE)</f>
        <v>1</v>
      </c>
      <c r="O83" s="214">
        <f>VLOOKUP($A83,'Budget &amp; Revenue'!$A:$AH,26,FALSE)</f>
        <v>1</v>
      </c>
      <c r="P83" s="214">
        <f>VLOOKUP($A83,'Budget &amp; Revenue'!$A:$AH,28,FALSE)</f>
        <v>1</v>
      </c>
      <c r="Q83" s="214">
        <f>VLOOKUP($A83,'Budget &amp; Revenue'!$A:$AH,30,FALSE)</f>
        <v>1</v>
      </c>
      <c r="R83" s="214">
        <f>VLOOKUP($A83,'Budget &amp; Revenue'!$A:$AH,32,FALSE)</f>
        <v>1</v>
      </c>
      <c r="S83" s="214">
        <f>VLOOKUP($A83,'Budget &amp; Revenue'!$A:$AH,34,FALSE)</f>
        <v>1</v>
      </c>
    </row>
    <row r="84" spans="1:19" ht="60" x14ac:dyDescent="0.25">
      <c r="A84" s="217">
        <v>84</v>
      </c>
      <c r="B84" s="222" t="str">
        <f>VLOOKUP(A84,Estimate!A:C,3,FALSE)</f>
        <v>Supply and installation of Ergon conduits including draw cord, end caps, polymeric cable protection cover (where required) and caution orange tape as directed (Provisional, if ordered) - 1x40 Telstra</v>
      </c>
      <c r="C84" s="219">
        <f>VLOOKUP(A84,Estimate!A:L,12,FALSE)</f>
        <v>0</v>
      </c>
      <c r="D84" s="223">
        <f>VLOOKUP(A84,Estimate!A:Q,17,FALSE)</f>
        <v>371.80500000000001</v>
      </c>
      <c r="E84" s="221" t="s">
        <v>712</v>
      </c>
      <c r="F84" s="221" t="s">
        <v>714</v>
      </c>
      <c r="G84" s="197"/>
      <c r="H84" s="214" t="str">
        <f>VLOOKUP($A84,'Budget &amp; Revenue'!$A:$AH,12,FALSE)</f>
        <v xml:space="preserve"> </v>
      </c>
      <c r="I84" s="214" t="str">
        <f>VLOOKUP($A84,'Budget &amp; Revenue'!$A:$AH,14,FALSE)</f>
        <v xml:space="preserve"> </v>
      </c>
      <c r="J84" s="214" t="str">
        <f>VLOOKUP($A84,'Budget &amp; Revenue'!$A:$AH,16,FALSE)</f>
        <v xml:space="preserve"> </v>
      </c>
      <c r="K84" s="214" t="str">
        <f>VLOOKUP($A84,'Budget &amp; Revenue'!$A:$AH,18,FALSE)</f>
        <v xml:space="preserve"> </v>
      </c>
      <c r="L84" s="214" t="str">
        <f>VLOOKUP($A84,'Budget &amp; Revenue'!$A:$AH,20,FALSE)</f>
        <v xml:space="preserve"> </v>
      </c>
      <c r="M84" s="214">
        <f>VLOOKUP($A84,'Budget &amp; Revenue'!$A:$AH,22,FALSE)</f>
        <v>1</v>
      </c>
      <c r="N84" s="214">
        <f>VLOOKUP($A84,'Budget &amp; Revenue'!$A:$AH,24,FALSE)</f>
        <v>1</v>
      </c>
      <c r="O84" s="214">
        <f>VLOOKUP($A84,'Budget &amp; Revenue'!$A:$AH,26,FALSE)</f>
        <v>1</v>
      </c>
      <c r="P84" s="214">
        <f>VLOOKUP($A84,'Budget &amp; Revenue'!$A:$AH,28,FALSE)</f>
        <v>1</v>
      </c>
      <c r="Q84" s="214">
        <f>VLOOKUP($A84,'Budget &amp; Revenue'!$A:$AH,30,FALSE)</f>
        <v>1</v>
      </c>
      <c r="R84" s="214">
        <f>VLOOKUP($A84,'Budget &amp; Revenue'!$A:$AH,32,FALSE)</f>
        <v>1</v>
      </c>
      <c r="S84" s="214">
        <f>VLOOKUP($A84,'Budget &amp; Revenue'!$A:$AH,34,FALSE)</f>
        <v>1</v>
      </c>
    </row>
    <row r="85" spans="1:19" ht="30" x14ac:dyDescent="0.25">
      <c r="A85" s="217">
        <v>85</v>
      </c>
      <c r="B85" s="222" t="str">
        <f>VLOOKUP(A85,Estimate!A:C,3,FALSE)</f>
        <v>Installation of Electrical Pits (Direction Changes) Type 5</v>
      </c>
      <c r="C85" s="219">
        <f>VLOOKUP(A85,Estimate!A:L,12,FALSE)</f>
        <v>0</v>
      </c>
      <c r="D85" s="223">
        <f>VLOOKUP(A85,Estimate!A:Q,17,FALSE)</f>
        <v>10450</v>
      </c>
      <c r="E85" s="221" t="s">
        <v>713</v>
      </c>
      <c r="F85" s="221">
        <v>87</v>
      </c>
      <c r="G85" s="197"/>
      <c r="H85" s="214" t="str">
        <f>VLOOKUP($A85,'Budget &amp; Revenue'!$A:$AH,12,FALSE)</f>
        <v xml:space="preserve"> </v>
      </c>
      <c r="I85" s="214" t="str">
        <f>VLOOKUP($A85,'Budget &amp; Revenue'!$A:$AH,14,FALSE)</f>
        <v xml:space="preserve"> </v>
      </c>
      <c r="J85" s="214" t="str">
        <f>VLOOKUP($A85,'Budget &amp; Revenue'!$A:$AH,16,FALSE)</f>
        <v xml:space="preserve"> </v>
      </c>
      <c r="K85" s="214" t="str">
        <f>VLOOKUP($A85,'Budget &amp; Revenue'!$A:$AH,18,FALSE)</f>
        <v xml:space="preserve"> </v>
      </c>
      <c r="L85" s="214" t="str">
        <f>VLOOKUP($A85,'Budget &amp; Revenue'!$A:$AH,20,FALSE)</f>
        <v xml:space="preserve"> </v>
      </c>
      <c r="M85" s="214">
        <f>VLOOKUP($A85,'Budget &amp; Revenue'!$A:$AH,22,FALSE)</f>
        <v>1</v>
      </c>
      <c r="N85" s="214">
        <f>VLOOKUP($A85,'Budget &amp; Revenue'!$A:$AH,24,FALSE)</f>
        <v>1</v>
      </c>
      <c r="O85" s="214">
        <f>VLOOKUP($A85,'Budget &amp; Revenue'!$A:$AH,26,FALSE)</f>
        <v>1</v>
      </c>
      <c r="P85" s="214">
        <f>VLOOKUP($A85,'Budget &amp; Revenue'!$A:$AH,28,FALSE)</f>
        <v>1</v>
      </c>
      <c r="Q85" s="214">
        <f>VLOOKUP($A85,'Budget &amp; Revenue'!$A:$AH,30,FALSE)</f>
        <v>1</v>
      </c>
      <c r="R85" s="214">
        <f>VLOOKUP($A85,'Budget &amp; Revenue'!$A:$AH,32,FALSE)</f>
        <v>1</v>
      </c>
      <c r="S85" s="214">
        <f>VLOOKUP($A85,'Budget &amp; Revenue'!$A:$AH,34,FALSE)</f>
        <v>1</v>
      </c>
    </row>
    <row r="86" spans="1:19" ht="75" x14ac:dyDescent="0.25">
      <c r="A86" s="217">
        <v>86</v>
      </c>
      <c r="B86" s="222" t="str">
        <f>VLOOKUP(A86,Estimate!A:C,3,FALSE)</f>
        <v>Supply &amp; Install Internal Electrical cabling including cabling to a common point external to the sub-division to a central metering location, 'green boys' and lot connections. (ELECTRICAL METERS PROVIDED BY FUTURE LOT OWNERS)</v>
      </c>
      <c r="C86" s="219">
        <f>VLOOKUP(A86,Estimate!A:L,12,FALSE)</f>
        <v>6</v>
      </c>
      <c r="D86" s="223">
        <f>VLOOKUP(A86,Estimate!A:Q,17,FALSE)</f>
        <v>42965</v>
      </c>
      <c r="E86" s="221">
        <v>80</v>
      </c>
      <c r="F86" s="221">
        <v>87</v>
      </c>
      <c r="G86" s="197"/>
      <c r="H86" s="214" t="str">
        <f>VLOOKUP($A86,'Budget &amp; Revenue'!$A:$AH,12,FALSE)</f>
        <v xml:space="preserve"> </v>
      </c>
      <c r="I86" s="214" t="str">
        <f>VLOOKUP($A86,'Budget &amp; Revenue'!$A:$AH,14,FALSE)</f>
        <v xml:space="preserve"> </v>
      </c>
      <c r="J86" s="214" t="str">
        <f>VLOOKUP($A86,'Budget &amp; Revenue'!$A:$AH,16,FALSE)</f>
        <v xml:space="preserve"> </v>
      </c>
      <c r="K86" s="214" t="str">
        <f>VLOOKUP($A86,'Budget &amp; Revenue'!$A:$AH,18,FALSE)</f>
        <v xml:space="preserve"> </v>
      </c>
      <c r="L86" s="214" t="str">
        <f>VLOOKUP($A86,'Budget &amp; Revenue'!$A:$AH,20,FALSE)</f>
        <v xml:space="preserve"> </v>
      </c>
      <c r="M86" s="214" t="str">
        <f>VLOOKUP($A86,'Budget &amp; Revenue'!$A:$AH,22,FALSE)</f>
        <v xml:space="preserve"> </v>
      </c>
      <c r="N86" s="214">
        <f>VLOOKUP($A86,'Budget &amp; Revenue'!$A:$AH,24,FALSE)</f>
        <v>1</v>
      </c>
      <c r="O86" s="214">
        <f>VLOOKUP($A86,'Budget &amp; Revenue'!$A:$AH,26,FALSE)</f>
        <v>1</v>
      </c>
      <c r="P86" s="214">
        <f>VLOOKUP($A86,'Budget &amp; Revenue'!$A:$AH,28,FALSE)</f>
        <v>1</v>
      </c>
      <c r="Q86" s="214">
        <f>VLOOKUP($A86,'Budget &amp; Revenue'!$A:$AH,30,FALSE)</f>
        <v>1</v>
      </c>
      <c r="R86" s="214">
        <f>VLOOKUP($A86,'Budget &amp; Revenue'!$A:$AH,32,FALSE)</f>
        <v>1</v>
      </c>
      <c r="S86" s="214">
        <f>VLOOKUP($A86,'Budget &amp; Revenue'!$A:$AH,34,FALSE)</f>
        <v>1</v>
      </c>
    </row>
    <row r="87" spans="1:19" ht="45" x14ac:dyDescent="0.25">
      <c r="A87" s="217">
        <v>87</v>
      </c>
      <c r="B87" s="222" t="str">
        <f>VLOOKUP(A87,Estimate!A:C,3,FALSE)</f>
        <v>Supply &amp; Install 'The Cove' sub-board including connection to Ergon POS outside development as per DWG E25</v>
      </c>
      <c r="C87" s="219">
        <f>VLOOKUP(A87,Estimate!A:L,12,FALSE)</f>
        <v>2</v>
      </c>
      <c r="D87" s="223">
        <f>VLOOKUP(A87,Estimate!A:Q,17,FALSE)</f>
        <v>21740</v>
      </c>
      <c r="E87" s="221" t="s">
        <v>715</v>
      </c>
      <c r="F87" s="221">
        <v>88</v>
      </c>
      <c r="G87" s="197"/>
      <c r="H87" s="214" t="str">
        <f>VLOOKUP($A87,'Budget &amp; Revenue'!$A:$AH,12,FALSE)</f>
        <v xml:space="preserve"> </v>
      </c>
      <c r="I87" s="214" t="str">
        <f>VLOOKUP($A87,'Budget &amp; Revenue'!$A:$AH,14,FALSE)</f>
        <v xml:space="preserve"> </v>
      </c>
      <c r="J87" s="214" t="str">
        <f>VLOOKUP($A87,'Budget &amp; Revenue'!$A:$AH,16,FALSE)</f>
        <v xml:space="preserve"> </v>
      </c>
      <c r="K87" s="214" t="str">
        <f>VLOOKUP($A87,'Budget &amp; Revenue'!$A:$AH,18,FALSE)</f>
        <v xml:space="preserve"> </v>
      </c>
      <c r="L87" s="214" t="str">
        <f>VLOOKUP($A87,'Budget &amp; Revenue'!$A:$AH,20,FALSE)</f>
        <v xml:space="preserve"> </v>
      </c>
      <c r="M87" s="214" t="str">
        <f>VLOOKUP($A87,'Budget &amp; Revenue'!$A:$AH,22,FALSE)</f>
        <v xml:space="preserve"> </v>
      </c>
      <c r="N87" s="214">
        <f>VLOOKUP($A87,'Budget &amp; Revenue'!$A:$AH,24,FALSE)</f>
        <v>1</v>
      </c>
      <c r="O87" s="214">
        <f>VLOOKUP($A87,'Budget &amp; Revenue'!$A:$AH,26,FALSE)</f>
        <v>1</v>
      </c>
      <c r="P87" s="214">
        <f>VLOOKUP($A87,'Budget &amp; Revenue'!$A:$AH,28,FALSE)</f>
        <v>1</v>
      </c>
      <c r="Q87" s="214">
        <f>VLOOKUP($A87,'Budget &amp; Revenue'!$A:$AH,30,FALSE)</f>
        <v>1</v>
      </c>
      <c r="R87" s="214">
        <f>VLOOKUP($A87,'Budget &amp; Revenue'!$A:$AH,32,FALSE)</f>
        <v>1</v>
      </c>
      <c r="S87" s="214">
        <f>VLOOKUP($A87,'Budget &amp; Revenue'!$A:$AH,34,FALSE)</f>
        <v>1</v>
      </c>
    </row>
    <row r="88" spans="1:19" x14ac:dyDescent="0.25">
      <c r="A88" s="217">
        <v>88</v>
      </c>
      <c r="B88" s="222" t="str">
        <f>VLOOKUP(A88,Estimate!A:C,3,FALSE)</f>
        <v>Supply &amp; Install MARINA MSB as per DWG E25</v>
      </c>
      <c r="C88" s="219">
        <f>VLOOKUP(A88,Estimate!A:L,12,FALSE)</f>
        <v>2</v>
      </c>
      <c r="D88" s="223">
        <f>VLOOKUP(A88,Estimate!A:Q,17,FALSE)</f>
        <v>18085</v>
      </c>
      <c r="E88" s="221">
        <v>87</v>
      </c>
      <c r="F88" s="221">
        <v>89</v>
      </c>
      <c r="G88" s="197"/>
      <c r="H88" s="214" t="str">
        <f>VLOOKUP($A88,'Budget &amp; Revenue'!$A:$AH,12,FALSE)</f>
        <v xml:space="preserve"> </v>
      </c>
      <c r="I88" s="214" t="str">
        <f>VLOOKUP($A88,'Budget &amp; Revenue'!$A:$AH,14,FALSE)</f>
        <v xml:space="preserve"> </v>
      </c>
      <c r="J88" s="214" t="str">
        <f>VLOOKUP($A88,'Budget &amp; Revenue'!$A:$AH,16,FALSE)</f>
        <v xml:space="preserve"> </v>
      </c>
      <c r="K88" s="214" t="str">
        <f>VLOOKUP($A88,'Budget &amp; Revenue'!$A:$AH,18,FALSE)</f>
        <v xml:space="preserve"> </v>
      </c>
      <c r="L88" s="214" t="str">
        <f>VLOOKUP($A88,'Budget &amp; Revenue'!$A:$AH,20,FALSE)</f>
        <v xml:space="preserve"> </v>
      </c>
      <c r="M88" s="214" t="str">
        <f>VLOOKUP($A88,'Budget &amp; Revenue'!$A:$AH,22,FALSE)</f>
        <v xml:space="preserve"> </v>
      </c>
      <c r="N88" s="214">
        <f>VLOOKUP($A88,'Budget &amp; Revenue'!$A:$AH,24,FALSE)</f>
        <v>1</v>
      </c>
      <c r="O88" s="214">
        <f>VLOOKUP($A88,'Budget &amp; Revenue'!$A:$AH,26,FALSE)</f>
        <v>1</v>
      </c>
      <c r="P88" s="214">
        <f>VLOOKUP($A88,'Budget &amp; Revenue'!$A:$AH,28,FALSE)</f>
        <v>1</v>
      </c>
      <c r="Q88" s="214">
        <f>VLOOKUP($A88,'Budget &amp; Revenue'!$A:$AH,30,FALSE)</f>
        <v>1</v>
      </c>
      <c r="R88" s="214">
        <f>VLOOKUP($A88,'Budget &amp; Revenue'!$A:$AH,32,FALSE)</f>
        <v>1</v>
      </c>
      <c r="S88" s="214">
        <f>VLOOKUP($A88,'Budget &amp; Revenue'!$A:$AH,34,FALSE)</f>
        <v>1</v>
      </c>
    </row>
    <row r="89" spans="1:19" ht="30" x14ac:dyDescent="0.25">
      <c r="A89" s="217">
        <v>89</v>
      </c>
      <c r="B89" s="222" t="str">
        <f>VLOOKUP(A89,Estimate!A:C,3,FALSE)</f>
        <v>Supply &amp; Install MARINA Sub-Main from 'The Cove' MSB to MARINA DB</v>
      </c>
      <c r="C89" s="219">
        <f>VLOOKUP(A89,Estimate!A:L,12,FALSE)</f>
        <v>2</v>
      </c>
      <c r="D89" s="223">
        <f>VLOOKUP(A89,Estimate!A:Q,17,FALSE)</f>
        <v>7650</v>
      </c>
      <c r="E89" s="221">
        <v>88</v>
      </c>
      <c r="F89" s="221" t="s">
        <v>716</v>
      </c>
      <c r="G89" s="197"/>
      <c r="H89" s="214" t="str">
        <f>VLOOKUP($A89,'Budget &amp; Revenue'!$A:$AH,12,FALSE)</f>
        <v xml:space="preserve"> </v>
      </c>
      <c r="I89" s="214" t="str">
        <f>VLOOKUP($A89,'Budget &amp; Revenue'!$A:$AH,14,FALSE)</f>
        <v xml:space="preserve"> </v>
      </c>
      <c r="J89" s="214" t="str">
        <f>VLOOKUP($A89,'Budget &amp; Revenue'!$A:$AH,16,FALSE)</f>
        <v xml:space="preserve"> </v>
      </c>
      <c r="K89" s="214" t="str">
        <f>VLOOKUP($A89,'Budget &amp; Revenue'!$A:$AH,18,FALSE)</f>
        <v xml:space="preserve"> </v>
      </c>
      <c r="L89" s="214" t="str">
        <f>VLOOKUP($A89,'Budget &amp; Revenue'!$A:$AH,20,FALSE)</f>
        <v xml:space="preserve"> </v>
      </c>
      <c r="M89" s="214" t="str">
        <f>VLOOKUP($A89,'Budget &amp; Revenue'!$A:$AH,22,FALSE)</f>
        <v xml:space="preserve"> </v>
      </c>
      <c r="N89" s="214">
        <f>VLOOKUP($A89,'Budget &amp; Revenue'!$A:$AH,24,FALSE)</f>
        <v>1</v>
      </c>
      <c r="O89" s="214">
        <f>VLOOKUP($A89,'Budget &amp; Revenue'!$A:$AH,26,FALSE)</f>
        <v>1</v>
      </c>
      <c r="P89" s="214">
        <f>VLOOKUP($A89,'Budget &amp; Revenue'!$A:$AH,28,FALSE)</f>
        <v>1</v>
      </c>
      <c r="Q89" s="214">
        <f>VLOOKUP($A89,'Budget &amp; Revenue'!$A:$AH,30,FALSE)</f>
        <v>1</v>
      </c>
      <c r="R89" s="214">
        <f>VLOOKUP($A89,'Budget &amp; Revenue'!$A:$AH,32,FALSE)</f>
        <v>1</v>
      </c>
      <c r="S89" s="214">
        <f>VLOOKUP($A89,'Budget &amp; Revenue'!$A:$AH,34,FALSE)</f>
        <v>1</v>
      </c>
    </row>
    <row r="90" spans="1:19" ht="30" x14ac:dyDescent="0.25">
      <c r="A90" s="217">
        <v>90</v>
      </c>
      <c r="B90" s="222" t="str">
        <f>VLOOKUP(A90,Estimate!A:C,3,FALSE)</f>
        <v>Electrical trenching &amp; Installation - 2/100mm &amp; 1/40 Electricity plus 1/100mm</v>
      </c>
      <c r="C90" s="219">
        <f>VLOOKUP(A90,Estimate!A:L,12,FALSE)</f>
        <v>0</v>
      </c>
      <c r="D90" s="223">
        <f>VLOOKUP(A90,Estimate!A:Q,17,FALSE)</f>
        <v>562.63000000000011</v>
      </c>
      <c r="E90" s="221" t="s">
        <v>717</v>
      </c>
      <c r="F90" s="221" t="s">
        <v>718</v>
      </c>
      <c r="G90" s="197"/>
      <c r="H90" s="214" t="str">
        <f>VLOOKUP($A90,'Budget &amp; Revenue'!$A:$AH,12,FALSE)</f>
        <v xml:space="preserve"> </v>
      </c>
      <c r="I90" s="214" t="str">
        <f>VLOOKUP($A90,'Budget &amp; Revenue'!$A:$AH,14,FALSE)</f>
        <v xml:space="preserve"> </v>
      </c>
      <c r="J90" s="214" t="str">
        <f>VLOOKUP($A90,'Budget &amp; Revenue'!$A:$AH,16,FALSE)</f>
        <v xml:space="preserve"> </v>
      </c>
      <c r="K90" s="214" t="str">
        <f>VLOOKUP($A90,'Budget &amp; Revenue'!$A:$AH,18,FALSE)</f>
        <v xml:space="preserve"> </v>
      </c>
      <c r="L90" s="214" t="str">
        <f>VLOOKUP($A90,'Budget &amp; Revenue'!$A:$AH,20,FALSE)</f>
        <v xml:space="preserve"> </v>
      </c>
      <c r="M90" s="214">
        <f>VLOOKUP($A90,'Budget &amp; Revenue'!$A:$AH,22,FALSE)</f>
        <v>1</v>
      </c>
      <c r="N90" s="214">
        <f>VLOOKUP($A90,'Budget &amp; Revenue'!$A:$AH,24,FALSE)</f>
        <v>1</v>
      </c>
      <c r="O90" s="214">
        <f>VLOOKUP($A90,'Budget &amp; Revenue'!$A:$AH,26,FALSE)</f>
        <v>1</v>
      </c>
      <c r="P90" s="214">
        <f>VLOOKUP($A90,'Budget &amp; Revenue'!$A:$AH,28,FALSE)</f>
        <v>1</v>
      </c>
      <c r="Q90" s="214">
        <f>VLOOKUP($A90,'Budget &amp; Revenue'!$A:$AH,30,FALSE)</f>
        <v>1</v>
      </c>
      <c r="R90" s="214">
        <f>VLOOKUP($A90,'Budget &amp; Revenue'!$A:$AH,32,FALSE)</f>
        <v>1</v>
      </c>
      <c r="S90" s="214">
        <f>VLOOKUP($A90,'Budget &amp; Revenue'!$A:$AH,34,FALSE)</f>
        <v>1</v>
      </c>
    </row>
    <row r="91" spans="1:19" ht="30" x14ac:dyDescent="0.25">
      <c r="A91" s="217">
        <v>91</v>
      </c>
      <c r="B91" s="222" t="str">
        <f>VLOOKUP(A91,Estimate!A:C,3,FALSE)</f>
        <v>Electrical trenching &amp; Installation - Telecommunications pits</v>
      </c>
      <c r="C91" s="219">
        <f>VLOOKUP(A91,Estimate!A:L,12,FALSE)</f>
        <v>0</v>
      </c>
      <c r="D91" s="223">
        <f>VLOOKUP(A91,Estimate!A:Q,17,FALSE)</f>
        <v>13500</v>
      </c>
      <c r="E91" s="221" t="s">
        <v>719</v>
      </c>
      <c r="F91" s="221" t="s">
        <v>720</v>
      </c>
      <c r="G91" s="197"/>
      <c r="H91" s="214" t="str">
        <f>VLOOKUP($A91,'Budget &amp; Revenue'!$A:$AH,12,FALSE)</f>
        <v xml:space="preserve"> </v>
      </c>
      <c r="I91" s="214" t="str">
        <f>VLOOKUP($A91,'Budget &amp; Revenue'!$A:$AH,14,FALSE)</f>
        <v xml:space="preserve"> </v>
      </c>
      <c r="J91" s="214" t="str">
        <f>VLOOKUP($A91,'Budget &amp; Revenue'!$A:$AH,16,FALSE)</f>
        <v xml:space="preserve"> </v>
      </c>
      <c r="K91" s="214" t="str">
        <f>VLOOKUP($A91,'Budget &amp; Revenue'!$A:$AH,18,FALSE)</f>
        <v xml:space="preserve"> </v>
      </c>
      <c r="L91" s="214" t="str">
        <f>VLOOKUP($A91,'Budget &amp; Revenue'!$A:$AH,20,FALSE)</f>
        <v xml:space="preserve"> </v>
      </c>
      <c r="M91" s="214">
        <f>VLOOKUP($A91,'Budget &amp; Revenue'!$A:$AH,22,FALSE)</f>
        <v>1</v>
      </c>
      <c r="N91" s="214">
        <f>VLOOKUP($A91,'Budget &amp; Revenue'!$A:$AH,24,FALSE)</f>
        <v>1</v>
      </c>
      <c r="O91" s="214">
        <f>VLOOKUP($A91,'Budget &amp; Revenue'!$A:$AH,26,FALSE)</f>
        <v>1</v>
      </c>
      <c r="P91" s="214">
        <f>VLOOKUP($A91,'Budget &amp; Revenue'!$A:$AH,28,FALSE)</f>
        <v>1</v>
      </c>
      <c r="Q91" s="214">
        <f>VLOOKUP($A91,'Budget &amp; Revenue'!$A:$AH,30,FALSE)</f>
        <v>1</v>
      </c>
      <c r="R91" s="214">
        <f>VLOOKUP($A91,'Budget &amp; Revenue'!$A:$AH,32,FALSE)</f>
        <v>1</v>
      </c>
      <c r="S91" s="214">
        <f>VLOOKUP($A91,'Budget &amp; Revenue'!$A:$AH,34,FALSE)</f>
        <v>1</v>
      </c>
    </row>
    <row r="92" spans="1:19" ht="90" x14ac:dyDescent="0.25">
      <c r="A92" s="217">
        <v>92</v>
      </c>
      <c r="B92" s="222" t="str">
        <f>VLOOKUP(A92,Estimate!A:C,3,FALSE)</f>
        <v>Supply, installation and backfill of conduit bends at pillar location, including all 80mm dia, 1200mm rad bends, end caps, 40mm dia service conduits including bends to property boundary, end caps, timber stake, polymeric cable protection cover and caution orange tape (Dwg 5164 Sh  3, 4, 5 &amp; 6)</v>
      </c>
      <c r="C92" s="219">
        <f>VLOOKUP(A92,Estimate!A:L,12,FALSE)</f>
        <v>0</v>
      </c>
      <c r="D92" s="223">
        <f>VLOOKUP(A92,Estimate!A:Q,17,FALSE)</f>
        <v>4500</v>
      </c>
      <c r="E92" s="221" t="s">
        <v>718</v>
      </c>
      <c r="F92" s="221">
        <v>26</v>
      </c>
      <c r="G92" s="197"/>
      <c r="H92" s="214" t="str">
        <f>VLOOKUP($A92,'Budget &amp; Revenue'!$A:$AH,12,FALSE)</f>
        <v xml:space="preserve"> </v>
      </c>
      <c r="I92" s="214" t="str">
        <f>VLOOKUP($A92,'Budget &amp; Revenue'!$A:$AH,14,FALSE)</f>
        <v xml:space="preserve"> </v>
      </c>
      <c r="J92" s="214" t="str">
        <f>VLOOKUP($A92,'Budget &amp; Revenue'!$A:$AH,16,FALSE)</f>
        <v xml:space="preserve"> </v>
      </c>
      <c r="K92" s="214" t="str">
        <f>VLOOKUP($A92,'Budget &amp; Revenue'!$A:$AH,18,FALSE)</f>
        <v xml:space="preserve"> </v>
      </c>
      <c r="L92" s="214" t="str">
        <f>VLOOKUP($A92,'Budget &amp; Revenue'!$A:$AH,20,FALSE)</f>
        <v xml:space="preserve"> </v>
      </c>
      <c r="M92" s="214">
        <f>VLOOKUP($A92,'Budget &amp; Revenue'!$A:$AH,22,FALSE)</f>
        <v>1</v>
      </c>
      <c r="N92" s="214">
        <f>VLOOKUP($A92,'Budget &amp; Revenue'!$A:$AH,24,FALSE)</f>
        <v>1</v>
      </c>
      <c r="O92" s="214">
        <f>VLOOKUP($A92,'Budget &amp; Revenue'!$A:$AH,26,FALSE)</f>
        <v>1</v>
      </c>
      <c r="P92" s="214">
        <f>VLOOKUP($A92,'Budget &amp; Revenue'!$A:$AH,28,FALSE)</f>
        <v>1</v>
      </c>
      <c r="Q92" s="214">
        <f>VLOOKUP($A92,'Budget &amp; Revenue'!$A:$AH,30,FALSE)</f>
        <v>1</v>
      </c>
      <c r="R92" s="214">
        <f>VLOOKUP($A92,'Budget &amp; Revenue'!$A:$AH,32,FALSE)</f>
        <v>1</v>
      </c>
      <c r="S92" s="214">
        <f>VLOOKUP($A92,'Budget &amp; Revenue'!$A:$AH,34,FALSE)</f>
        <v>1</v>
      </c>
    </row>
    <row r="93" spans="1:19" ht="45" x14ac:dyDescent="0.25">
      <c r="A93" s="217">
        <v>93</v>
      </c>
      <c r="B93" s="222" t="str">
        <f>VLOOKUP(A93,Estimate!A:C,3,FALSE)</f>
        <v>Footings to streetlight poles including anchor cage, to DMR std drawing nos 1380, 1381, 1382, 1429.   Footing 600mm diameter 2300mm deep.</v>
      </c>
      <c r="C93" s="219">
        <f>VLOOKUP(A93,Estimate!A:L,12,FALSE)</f>
        <v>6</v>
      </c>
      <c r="D93" s="223">
        <f>VLOOKUP(A93,Estimate!A:Q,17,FALSE)</f>
        <v>30766.265432098764</v>
      </c>
      <c r="E93" s="221">
        <v>31</v>
      </c>
      <c r="F93" s="221">
        <v>26</v>
      </c>
      <c r="G93" s="197"/>
      <c r="H93" s="214" t="str">
        <f>VLOOKUP($A93,'Budget &amp; Revenue'!$A:$AH,12,FALSE)</f>
        <v xml:space="preserve"> </v>
      </c>
      <c r="I93" s="214" t="str">
        <f>VLOOKUP($A93,'Budget &amp; Revenue'!$A:$AH,14,FALSE)</f>
        <v xml:space="preserve"> </v>
      </c>
      <c r="J93" s="214" t="str">
        <f>VLOOKUP($A93,'Budget &amp; Revenue'!$A:$AH,16,FALSE)</f>
        <v xml:space="preserve"> </v>
      </c>
      <c r="K93" s="214" t="str">
        <f>VLOOKUP($A93,'Budget &amp; Revenue'!$A:$AH,18,FALSE)</f>
        <v xml:space="preserve"> </v>
      </c>
      <c r="L93" s="214" t="str">
        <f>VLOOKUP($A93,'Budget &amp; Revenue'!$A:$AH,20,FALSE)</f>
        <v xml:space="preserve"> </v>
      </c>
      <c r="M93" s="214">
        <f>VLOOKUP($A93,'Budget &amp; Revenue'!$A:$AH,22,FALSE)</f>
        <v>0.5</v>
      </c>
      <c r="N93" s="214">
        <f>VLOOKUP($A93,'Budget &amp; Revenue'!$A:$AH,24,FALSE)</f>
        <v>1</v>
      </c>
      <c r="O93" s="214">
        <f>VLOOKUP($A93,'Budget &amp; Revenue'!$A:$AH,26,FALSE)</f>
        <v>1</v>
      </c>
      <c r="P93" s="214">
        <f>VLOOKUP($A93,'Budget &amp; Revenue'!$A:$AH,28,FALSE)</f>
        <v>1</v>
      </c>
      <c r="Q93" s="214">
        <f>VLOOKUP($A93,'Budget &amp; Revenue'!$A:$AH,30,FALSE)</f>
        <v>1</v>
      </c>
      <c r="R93" s="214">
        <f>VLOOKUP($A93,'Budget &amp; Revenue'!$A:$AH,32,FALSE)</f>
        <v>1</v>
      </c>
      <c r="S93" s="214">
        <f>VLOOKUP($A93,'Budget &amp; Revenue'!$A:$AH,34,FALSE)</f>
        <v>1</v>
      </c>
    </row>
    <row r="94" spans="1:19" ht="45" x14ac:dyDescent="0.25">
      <c r="A94" s="217">
        <v>94</v>
      </c>
      <c r="B94" s="222" t="str">
        <f>VLOOKUP(A94,Estimate!A:C,3,FALSE)</f>
        <v>Excavate for padmount substation to allow Electrical Services Provider to install electrical cables and equipment, and reinstate surfaces after installation</v>
      </c>
      <c r="C94" s="219">
        <f>VLOOKUP(A94,Estimate!A:L,12,FALSE)</f>
        <v>0</v>
      </c>
      <c r="D94" s="223">
        <f>VLOOKUP(A94,Estimate!A:Q,17,FALSE)</f>
        <v>8250</v>
      </c>
      <c r="E94" s="221">
        <v>89</v>
      </c>
      <c r="F94" s="221">
        <v>26</v>
      </c>
      <c r="G94" s="197"/>
      <c r="H94" s="214" t="str">
        <f>VLOOKUP($A94,'Budget &amp; Revenue'!$A:$AH,12,FALSE)</f>
        <v xml:space="preserve"> </v>
      </c>
      <c r="I94" s="214" t="str">
        <f>VLOOKUP($A94,'Budget &amp; Revenue'!$A:$AH,14,FALSE)</f>
        <v xml:space="preserve"> </v>
      </c>
      <c r="J94" s="214" t="str">
        <f>VLOOKUP($A94,'Budget &amp; Revenue'!$A:$AH,16,FALSE)</f>
        <v xml:space="preserve"> </v>
      </c>
      <c r="K94" s="214" t="str">
        <f>VLOOKUP($A94,'Budget &amp; Revenue'!$A:$AH,18,FALSE)</f>
        <v xml:space="preserve"> </v>
      </c>
      <c r="L94" s="214" t="str">
        <f>VLOOKUP($A94,'Budget &amp; Revenue'!$A:$AH,20,FALSE)</f>
        <v xml:space="preserve"> </v>
      </c>
      <c r="M94" s="214" t="str">
        <f>VLOOKUP($A94,'Budget &amp; Revenue'!$A:$AH,22,FALSE)</f>
        <v xml:space="preserve"> </v>
      </c>
      <c r="N94" s="214">
        <f>VLOOKUP($A94,'Budget &amp; Revenue'!$A:$AH,24,FALSE)</f>
        <v>1</v>
      </c>
      <c r="O94" s="214">
        <f>VLOOKUP($A94,'Budget &amp; Revenue'!$A:$AH,26,FALSE)</f>
        <v>1</v>
      </c>
      <c r="P94" s="214">
        <f>VLOOKUP($A94,'Budget &amp; Revenue'!$A:$AH,28,FALSE)</f>
        <v>1</v>
      </c>
      <c r="Q94" s="214">
        <f>VLOOKUP($A94,'Budget &amp; Revenue'!$A:$AH,30,FALSE)</f>
        <v>1</v>
      </c>
      <c r="R94" s="214">
        <f>VLOOKUP($A94,'Budget &amp; Revenue'!$A:$AH,32,FALSE)</f>
        <v>1</v>
      </c>
      <c r="S94" s="214">
        <f>VLOOKUP($A94,'Budget &amp; Revenue'!$A:$AH,34,FALSE)</f>
        <v>1</v>
      </c>
    </row>
    <row r="95" spans="1:19" ht="45" x14ac:dyDescent="0.25">
      <c r="A95" s="217">
        <v>95</v>
      </c>
      <c r="B95" s="222" t="str">
        <f>VLOOKUP(A95,Estimate!A:C,3,FALSE)</f>
        <v>SOFTSCAPING - PLANTS WHITSUNDAY - SOFTSCAPING COMPLETE AS PER QUOTE MLS13-222 (Rev 2)</v>
      </c>
      <c r="C95" s="219">
        <f>VLOOKUP(A95,Estimate!A:L,12,FALSE)</f>
        <v>15</v>
      </c>
      <c r="D95" s="223">
        <f>VLOOKUP(A95,Estimate!A:Q,17,FALSE)</f>
        <v>189402.18</v>
      </c>
      <c r="E95" s="224">
        <v>26101104</v>
      </c>
      <c r="F95" s="221">
        <v>96</v>
      </c>
      <c r="G95" s="197"/>
      <c r="H95" s="214" t="str">
        <f>VLOOKUP($A95,'Budget &amp; Revenue'!$A:$AH,12,FALSE)</f>
        <v xml:space="preserve"> </v>
      </c>
      <c r="I95" s="214" t="str">
        <f>VLOOKUP($A95,'Budget &amp; Revenue'!$A:$AH,14,FALSE)</f>
        <v xml:space="preserve"> </v>
      </c>
      <c r="J95" s="214">
        <f>VLOOKUP($A95,'Budget &amp; Revenue'!$A:$AH,16,FALSE)</f>
        <v>0.04</v>
      </c>
      <c r="K95" s="214">
        <f>VLOOKUP($A95,'Budget &amp; Revenue'!$A:$AH,18,FALSE)</f>
        <v>0.04</v>
      </c>
      <c r="L95" s="214">
        <f>VLOOKUP($A95,'Budget &amp; Revenue'!$A:$AH,20,FALSE)</f>
        <v>0.04</v>
      </c>
      <c r="M95" s="214">
        <f>VLOOKUP($A95,'Budget &amp; Revenue'!$A:$AH,22,FALSE)</f>
        <v>0.04</v>
      </c>
      <c r="N95" s="214">
        <f>VLOOKUP($A95,'Budget &amp; Revenue'!$A:$AH,24,FALSE)</f>
        <v>0.04</v>
      </c>
      <c r="O95" s="214">
        <f>VLOOKUP($A95,'Budget &amp; Revenue'!$A:$AH,26,FALSE)</f>
        <v>0.8</v>
      </c>
      <c r="P95" s="214">
        <f>VLOOKUP($A95,'Budget &amp; Revenue'!$A:$AH,28,FALSE)</f>
        <v>0.95</v>
      </c>
      <c r="Q95" s="214">
        <f>VLOOKUP($A95,'Budget &amp; Revenue'!$A:$AH,30,FALSE)</f>
        <v>1</v>
      </c>
      <c r="R95" s="214">
        <f>VLOOKUP($A95,'Budget &amp; Revenue'!$A:$AH,32,FALSE)</f>
        <v>1</v>
      </c>
      <c r="S95" s="214">
        <f>VLOOKUP($A95,'Budget &amp; Revenue'!$A:$AH,34,FALSE)</f>
        <v>1</v>
      </c>
    </row>
    <row r="96" spans="1:19" ht="45" x14ac:dyDescent="0.25">
      <c r="A96" s="217">
        <v>96</v>
      </c>
      <c r="B96" s="222" t="str">
        <f>VLOOKUP(A96,Estimate!A:C,3,FALSE)</f>
        <v>SOFTSCAPING - Works Not Included in PWS Quote MLS13-222 (RPZ, Road Crossings, Conduits &amp; GPO for Irrigation Controller)</v>
      </c>
      <c r="C96" s="219">
        <f>VLOOKUP(A96,Estimate!A:L,12,FALSE)</f>
        <v>4</v>
      </c>
      <c r="D96" s="223">
        <f>VLOOKUP(A96,Estimate!A:Q,17,FALSE)</f>
        <v>7105</v>
      </c>
      <c r="E96" s="221">
        <v>95</v>
      </c>
      <c r="F96" s="221">
        <v>4</v>
      </c>
      <c r="G96" s="197"/>
      <c r="H96" s="214" t="str">
        <f>VLOOKUP($A96,'Budget &amp; Revenue'!$A:$AH,12,FALSE)</f>
        <v xml:space="preserve"> </v>
      </c>
      <c r="I96" s="214" t="str">
        <f>VLOOKUP($A96,'Budget &amp; Revenue'!$A:$AH,14,FALSE)</f>
        <v xml:space="preserve"> </v>
      </c>
      <c r="J96" s="214" t="str">
        <f>VLOOKUP($A96,'Budget &amp; Revenue'!$A:$AH,16,FALSE)</f>
        <v xml:space="preserve"> </v>
      </c>
      <c r="K96" s="214" t="str">
        <f>VLOOKUP($A96,'Budget &amp; Revenue'!$A:$AH,18,FALSE)</f>
        <v xml:space="preserve"> </v>
      </c>
      <c r="L96" s="214" t="str">
        <f>VLOOKUP($A96,'Budget &amp; Revenue'!$A:$AH,20,FALSE)</f>
        <v xml:space="preserve"> </v>
      </c>
      <c r="M96" s="214">
        <f>VLOOKUP($A96,'Budget &amp; Revenue'!$A:$AH,22,FALSE)</f>
        <v>0.25</v>
      </c>
      <c r="N96" s="214">
        <f>VLOOKUP($A96,'Budget &amp; Revenue'!$A:$AH,24,FALSE)</f>
        <v>1</v>
      </c>
      <c r="O96" s="214">
        <f>VLOOKUP($A96,'Budget &amp; Revenue'!$A:$AH,26,FALSE)</f>
        <v>1</v>
      </c>
      <c r="P96" s="214">
        <f>VLOOKUP($A96,'Budget &amp; Revenue'!$A:$AH,28,FALSE)</f>
        <v>1</v>
      </c>
      <c r="Q96" s="214">
        <f>VLOOKUP($A96,'Budget &amp; Revenue'!$A:$AH,30,FALSE)</f>
        <v>1</v>
      </c>
      <c r="R96" s="214">
        <f>VLOOKUP($A96,'Budget &amp; Revenue'!$A:$AH,32,FALSE)</f>
        <v>1</v>
      </c>
      <c r="S96" s="214">
        <f>VLOOKUP($A96,'Budget &amp; Revenue'!$A:$AH,34,FALSE)</f>
        <v>1</v>
      </c>
    </row>
    <row r="97" spans="1:19" ht="45" x14ac:dyDescent="0.25">
      <c r="A97" s="217">
        <v>97</v>
      </c>
      <c r="B97" s="222" t="str">
        <f>VLOOKUP(A97,Estimate!A:C,3,FALSE)</f>
        <v>HARDSCAPING WORKS - PLANTS WHITSUNDAY COMPLETE - Paver edging in lieu of Concrete Edge Strip as per Quotation MLS13-240 (2)</v>
      </c>
      <c r="C97" s="219">
        <f>VLOOKUP(A97,Estimate!A:L,12,FALSE)</f>
        <v>5</v>
      </c>
      <c r="D97" s="223">
        <f>VLOOKUP(A97,Estimate!A:Q,17,FALSE)</f>
        <v>10227.27</v>
      </c>
      <c r="E97" s="221">
        <v>31</v>
      </c>
      <c r="F97" s="221">
        <v>98</v>
      </c>
      <c r="G97" s="197"/>
      <c r="H97" s="214" t="str">
        <f>VLOOKUP($A97,'Budget &amp; Revenue'!$A:$AH,12,FALSE)</f>
        <v xml:space="preserve"> </v>
      </c>
      <c r="I97" s="214" t="str">
        <f>VLOOKUP($A97,'Budget &amp; Revenue'!$A:$AH,14,FALSE)</f>
        <v xml:space="preserve"> </v>
      </c>
      <c r="J97" s="214">
        <f>VLOOKUP($A97,'Budget &amp; Revenue'!$A:$AH,16,FALSE)</f>
        <v>0.04</v>
      </c>
      <c r="K97" s="214">
        <f>VLOOKUP($A97,'Budget &amp; Revenue'!$A:$AH,18,FALSE)</f>
        <v>0.04</v>
      </c>
      <c r="L97" s="214">
        <f>VLOOKUP($A97,'Budget &amp; Revenue'!$A:$AH,20,FALSE)</f>
        <v>0.04</v>
      </c>
      <c r="M97" s="214">
        <f>VLOOKUP($A97,'Budget &amp; Revenue'!$A:$AH,22,FALSE)</f>
        <v>0.04</v>
      </c>
      <c r="N97" s="214">
        <f>VLOOKUP($A97,'Budget &amp; Revenue'!$A:$AH,24,FALSE)</f>
        <v>0.04</v>
      </c>
      <c r="O97" s="214">
        <f>VLOOKUP($A97,'Budget &amp; Revenue'!$A:$AH,26,FALSE)</f>
        <v>0.6</v>
      </c>
      <c r="P97" s="214">
        <f>VLOOKUP($A97,'Budget &amp; Revenue'!$A:$AH,28,FALSE)</f>
        <v>0.8</v>
      </c>
      <c r="Q97" s="214">
        <f>VLOOKUP($A97,'Budget &amp; Revenue'!$A:$AH,30,FALSE)</f>
        <v>1</v>
      </c>
      <c r="R97" s="214">
        <f>VLOOKUP($A97,'Budget &amp; Revenue'!$A:$AH,32,FALSE)</f>
        <v>1</v>
      </c>
      <c r="S97" s="214">
        <f>VLOOKUP($A97,'Budget &amp; Revenue'!$A:$AH,34,FALSE)</f>
        <v>1</v>
      </c>
    </row>
    <row r="98" spans="1:19" ht="30" x14ac:dyDescent="0.25">
      <c r="A98" s="217">
        <v>98</v>
      </c>
      <c r="B98" s="222" t="str">
        <f>VLOOKUP(A98,Estimate!A:C,3,FALSE)</f>
        <v>HARDSCAPING WORKS - PLANTS WHITSUNDAY - GRAVEL TO OUTDOOR AREAS ( COMPLETE)</v>
      </c>
      <c r="C98" s="219">
        <f>VLOOKUP(A98,Estimate!A:L,12,FALSE)</f>
        <v>5</v>
      </c>
      <c r="D98" s="223">
        <f>VLOOKUP(A98,Estimate!A:Q,17,FALSE)</f>
        <v>22088.41</v>
      </c>
      <c r="E98" s="221">
        <v>97</v>
      </c>
      <c r="F98" s="221">
        <v>99</v>
      </c>
      <c r="G98" s="197"/>
      <c r="H98" s="214" t="str">
        <f>VLOOKUP($A98,'Budget &amp; Revenue'!$A:$AH,12,FALSE)</f>
        <v xml:space="preserve"> </v>
      </c>
      <c r="I98" s="214" t="str">
        <f>VLOOKUP($A98,'Budget &amp; Revenue'!$A:$AH,14,FALSE)</f>
        <v xml:space="preserve"> </v>
      </c>
      <c r="J98" s="214">
        <f>VLOOKUP($A98,'Budget &amp; Revenue'!$A:$AH,16,FALSE)</f>
        <v>0.04</v>
      </c>
      <c r="K98" s="214">
        <f>VLOOKUP($A98,'Budget &amp; Revenue'!$A:$AH,18,FALSE)</f>
        <v>0.04</v>
      </c>
      <c r="L98" s="214">
        <f>VLOOKUP($A98,'Budget &amp; Revenue'!$A:$AH,20,FALSE)</f>
        <v>0.04</v>
      </c>
      <c r="M98" s="214">
        <f>VLOOKUP($A98,'Budget &amp; Revenue'!$A:$AH,22,FALSE)</f>
        <v>0.04</v>
      </c>
      <c r="N98" s="214">
        <f>VLOOKUP($A98,'Budget &amp; Revenue'!$A:$AH,24,FALSE)</f>
        <v>0.04</v>
      </c>
      <c r="O98" s="214">
        <f>VLOOKUP($A98,'Budget &amp; Revenue'!$A:$AH,26,FALSE)</f>
        <v>0.6</v>
      </c>
      <c r="P98" s="214">
        <f>VLOOKUP($A98,'Budget &amp; Revenue'!$A:$AH,28,FALSE)</f>
        <v>0.75</v>
      </c>
      <c r="Q98" s="214">
        <f>VLOOKUP($A98,'Budget &amp; Revenue'!$A:$AH,30,FALSE)</f>
        <v>1</v>
      </c>
      <c r="R98" s="214">
        <f>VLOOKUP($A98,'Budget &amp; Revenue'!$A:$AH,32,FALSE)</f>
        <v>1</v>
      </c>
      <c r="S98" s="214">
        <f>VLOOKUP($A98,'Budget &amp; Revenue'!$A:$AH,34,FALSE)</f>
        <v>1</v>
      </c>
    </row>
    <row r="99" spans="1:19" ht="30" x14ac:dyDescent="0.25">
      <c r="A99" s="217">
        <v>99</v>
      </c>
      <c r="B99" s="222" t="str">
        <f>VLOOKUP(A99,Estimate!A:C,3,FALSE)</f>
        <v>HARDSCAPING WORKS - Outdoor Viewing Areas (Complete)</v>
      </c>
      <c r="C99" s="219">
        <f>VLOOKUP(A99,Estimate!A:L,12,FALSE)</f>
        <v>5</v>
      </c>
      <c r="D99" s="223">
        <f>VLOOKUP(A99,Estimate!A:Q,17,FALSE)</f>
        <v>24000</v>
      </c>
      <c r="E99" s="221" t="s">
        <v>721</v>
      </c>
      <c r="F99" s="221">
        <v>100</v>
      </c>
      <c r="G99" s="197"/>
      <c r="H99" s="214" t="str">
        <f>VLOOKUP($A99,'Budget &amp; Revenue'!$A:$AH,12,FALSE)</f>
        <v xml:space="preserve"> </v>
      </c>
      <c r="I99" s="214" t="str">
        <f>VLOOKUP($A99,'Budget &amp; Revenue'!$A:$AH,14,FALSE)</f>
        <v xml:space="preserve"> </v>
      </c>
      <c r="J99" s="214" t="str">
        <f>VLOOKUP($A99,'Budget &amp; Revenue'!$A:$AH,16,FALSE)</f>
        <v xml:space="preserve"> </v>
      </c>
      <c r="K99" s="214" t="str">
        <f>VLOOKUP($A99,'Budget &amp; Revenue'!$A:$AH,18,FALSE)</f>
        <v xml:space="preserve"> </v>
      </c>
      <c r="L99" s="214" t="str">
        <f>VLOOKUP($A99,'Budget &amp; Revenue'!$A:$AH,20,FALSE)</f>
        <v xml:space="preserve"> </v>
      </c>
      <c r="M99" s="214" t="str">
        <f>VLOOKUP($A99,'Budget &amp; Revenue'!$A:$AH,22,FALSE)</f>
        <v xml:space="preserve"> </v>
      </c>
      <c r="N99" s="214" t="str">
        <f>VLOOKUP($A99,'Budget &amp; Revenue'!$A:$AH,24,FALSE)</f>
        <v xml:space="preserve"> </v>
      </c>
      <c r="O99" s="214">
        <f>VLOOKUP($A99,'Budget &amp; Revenue'!$A:$AH,26,FALSE)</f>
        <v>0.5</v>
      </c>
      <c r="P99" s="214">
        <f>VLOOKUP($A99,'Budget &amp; Revenue'!$A:$AH,28,FALSE)</f>
        <v>1</v>
      </c>
      <c r="Q99" s="214">
        <f>VLOOKUP($A99,'Budget &amp; Revenue'!$A:$AH,30,FALSE)</f>
        <v>1</v>
      </c>
      <c r="R99" s="214">
        <f>VLOOKUP($A99,'Budget &amp; Revenue'!$A:$AH,32,FALSE)</f>
        <v>1</v>
      </c>
      <c r="S99" s="214">
        <f>VLOOKUP($A99,'Budget &amp; Revenue'!$A:$AH,34,FALSE)</f>
        <v>1</v>
      </c>
    </row>
    <row r="100" spans="1:19" ht="60" x14ac:dyDescent="0.25">
      <c r="A100" s="217">
        <v>100</v>
      </c>
      <c r="B100" s="222" t="str">
        <f>VLOOKUP(A100,Estimate!A:C,3,FALSE)</f>
        <v>HARDSCAPING WORKS - PLANTS WHITSUNDAY TO COMPLETE IN FULL - Allotment Separation Fences (Removable Centre Post) REDUCED IN HEIGHT TO 1400MM</v>
      </c>
      <c r="C100" s="219">
        <f>VLOOKUP(A100,Estimate!A:L,12,FALSE)</f>
        <v>10</v>
      </c>
      <c r="D100" s="223">
        <f>VLOOKUP(A100,Estimate!A:Q,17,FALSE)</f>
        <v>80346.600000000006</v>
      </c>
      <c r="E100" s="221">
        <v>99</v>
      </c>
      <c r="F100" s="221">
        <v>101</v>
      </c>
      <c r="G100" s="197"/>
      <c r="H100" s="214" t="str">
        <f>VLOOKUP($A100,'Budget &amp; Revenue'!$A:$AH,12,FALSE)</f>
        <v xml:space="preserve"> </v>
      </c>
      <c r="I100" s="214" t="str">
        <f>VLOOKUP($A100,'Budget &amp; Revenue'!$A:$AH,14,FALSE)</f>
        <v xml:space="preserve"> </v>
      </c>
      <c r="J100" s="214">
        <f>VLOOKUP($A100,'Budget &amp; Revenue'!$A:$AH,16,FALSE)</f>
        <v>0.04</v>
      </c>
      <c r="K100" s="214">
        <f>VLOOKUP($A100,'Budget &amp; Revenue'!$A:$AH,18,FALSE)</f>
        <v>0.04</v>
      </c>
      <c r="L100" s="214">
        <f>VLOOKUP($A100,'Budget &amp; Revenue'!$A:$AH,20,FALSE)</f>
        <v>0.04</v>
      </c>
      <c r="M100" s="214">
        <f>VLOOKUP($A100,'Budget &amp; Revenue'!$A:$AH,22,FALSE)</f>
        <v>0.04</v>
      </c>
      <c r="N100" s="214">
        <f>VLOOKUP($A100,'Budget &amp; Revenue'!$A:$AH,24,FALSE)</f>
        <v>0.04</v>
      </c>
      <c r="O100" s="214">
        <f>VLOOKUP($A100,'Budget &amp; Revenue'!$A:$AH,26,FALSE)</f>
        <v>0.8</v>
      </c>
      <c r="P100" s="214">
        <f>VLOOKUP($A100,'Budget &amp; Revenue'!$A:$AH,28,FALSE)</f>
        <v>0.85</v>
      </c>
      <c r="Q100" s="214">
        <f>VLOOKUP($A100,'Budget &amp; Revenue'!$A:$AH,30,FALSE)</f>
        <v>1</v>
      </c>
      <c r="R100" s="214">
        <f>VLOOKUP($A100,'Budget &amp; Revenue'!$A:$AH,32,FALSE)</f>
        <v>1</v>
      </c>
      <c r="S100" s="214">
        <f>VLOOKUP($A100,'Budget &amp; Revenue'!$A:$AH,34,FALSE)</f>
        <v>1</v>
      </c>
    </row>
    <row r="101" spans="1:19" ht="45" x14ac:dyDescent="0.25">
      <c r="A101" s="217">
        <v>101</v>
      </c>
      <c r="B101" s="222" t="str">
        <f>VLOOKUP(A101,Estimate!A:C,3,FALSE)</f>
        <v>HARDSCAPING WORKS - PLANTS WHITSUNDAY COMPLETE - Supply &amp; Install Totems as Detailed (6 No.)</v>
      </c>
      <c r="C101" s="219">
        <f>VLOOKUP(A101,Estimate!A:L,12,FALSE)</f>
        <v>1</v>
      </c>
      <c r="D101" s="223">
        <f>VLOOKUP(A101,Estimate!A:Q,17,FALSE)</f>
        <v>9436.36</v>
      </c>
      <c r="E101" s="221">
        <v>100</v>
      </c>
      <c r="F101" s="221" t="s">
        <v>722</v>
      </c>
      <c r="G101" s="197"/>
      <c r="H101" s="214" t="str">
        <f>VLOOKUP($A101,'Budget &amp; Revenue'!$A:$AH,12,FALSE)</f>
        <v xml:space="preserve"> </v>
      </c>
      <c r="I101" s="214" t="str">
        <f>VLOOKUP($A101,'Budget &amp; Revenue'!$A:$AH,14,FALSE)</f>
        <v xml:space="preserve"> </v>
      </c>
      <c r="J101" s="214" t="str">
        <f>VLOOKUP($A101,'Budget &amp; Revenue'!$A:$AH,16,FALSE)</f>
        <v xml:space="preserve"> </v>
      </c>
      <c r="K101" s="214" t="str">
        <f>VLOOKUP($A101,'Budget &amp; Revenue'!$A:$AH,18,FALSE)</f>
        <v xml:space="preserve"> </v>
      </c>
      <c r="L101" s="214" t="str">
        <f>VLOOKUP($A101,'Budget &amp; Revenue'!$A:$AH,20,FALSE)</f>
        <v xml:space="preserve"> </v>
      </c>
      <c r="M101" s="214" t="str">
        <f>VLOOKUP($A101,'Budget &amp; Revenue'!$A:$AH,22,FALSE)</f>
        <v xml:space="preserve"> </v>
      </c>
      <c r="N101" s="214" t="str">
        <f>VLOOKUP($A101,'Budget &amp; Revenue'!$A:$AH,24,FALSE)</f>
        <v xml:space="preserve"> </v>
      </c>
      <c r="O101" s="214" t="str">
        <f>VLOOKUP($A101,'Budget &amp; Revenue'!$A:$AH,26,FALSE)</f>
        <v xml:space="preserve"> </v>
      </c>
      <c r="P101" s="214">
        <f>VLOOKUP($A101,'Budget &amp; Revenue'!$A:$AH,28,FALSE)</f>
        <v>0.5</v>
      </c>
      <c r="Q101" s="214">
        <f>VLOOKUP($A101,'Budget &amp; Revenue'!$A:$AH,30,FALSE)</f>
        <v>1</v>
      </c>
      <c r="R101" s="214">
        <f>VLOOKUP($A101,'Budget &amp; Revenue'!$A:$AH,32,FALSE)</f>
        <v>1</v>
      </c>
      <c r="S101" s="214">
        <f>VLOOKUP($A101,'Budget &amp; Revenue'!$A:$AH,34,FALSE)</f>
        <v>1</v>
      </c>
    </row>
    <row r="102" spans="1:19" ht="30" x14ac:dyDescent="0.25">
      <c r="A102" s="217">
        <v>102</v>
      </c>
      <c r="B102" s="222" t="str">
        <f>VLOOKUP(A102,Estimate!A:C,3,FALSE)</f>
        <v>HARDSCAPING WORKS - Supply and Install Timber Viewing Deck as Detailed</v>
      </c>
      <c r="C102" s="219">
        <f>VLOOKUP(A102,Estimate!A:L,12,FALSE)</f>
        <v>5</v>
      </c>
      <c r="D102" s="223">
        <f>VLOOKUP(A102,Estimate!A:Q,17,FALSE)</f>
        <v>23000</v>
      </c>
      <c r="E102" s="221">
        <v>101</v>
      </c>
      <c r="F102" s="221">
        <v>103</v>
      </c>
      <c r="G102" s="197"/>
      <c r="H102" s="214" t="str">
        <f>VLOOKUP($A102,'Budget &amp; Revenue'!$A:$AH,12,FALSE)</f>
        <v xml:space="preserve"> </v>
      </c>
      <c r="I102" s="214" t="str">
        <f>VLOOKUP($A102,'Budget &amp; Revenue'!$A:$AH,14,FALSE)</f>
        <v xml:space="preserve"> </v>
      </c>
      <c r="J102" s="214" t="str">
        <f>VLOOKUP($A102,'Budget &amp; Revenue'!$A:$AH,16,FALSE)</f>
        <v xml:space="preserve"> </v>
      </c>
      <c r="K102" s="214" t="str">
        <f>VLOOKUP($A102,'Budget &amp; Revenue'!$A:$AH,18,FALSE)</f>
        <v xml:space="preserve"> </v>
      </c>
      <c r="L102" s="214">
        <f>VLOOKUP($A102,'Budget &amp; Revenue'!$A:$AH,20,FALSE)</f>
        <v>0.25</v>
      </c>
      <c r="M102" s="214">
        <f>VLOOKUP($A102,'Budget &amp; Revenue'!$A:$AH,22,FALSE)</f>
        <v>0.75</v>
      </c>
      <c r="N102" s="214">
        <f>VLOOKUP($A102,'Budget &amp; Revenue'!$A:$AH,24,FALSE)</f>
        <v>0.75</v>
      </c>
      <c r="O102" s="214">
        <f>VLOOKUP($A102,'Budget &amp; Revenue'!$A:$AH,26,FALSE)</f>
        <v>0.8</v>
      </c>
      <c r="P102" s="214">
        <f>VLOOKUP($A102,'Budget &amp; Revenue'!$A:$AH,28,FALSE)</f>
        <v>0.8</v>
      </c>
      <c r="Q102" s="214">
        <f>VLOOKUP($A102,'Budget &amp; Revenue'!$A:$AH,30,FALSE)</f>
        <v>1</v>
      </c>
      <c r="R102" s="214">
        <f>VLOOKUP($A102,'Budget &amp; Revenue'!$A:$AH,32,FALSE)</f>
        <v>1</v>
      </c>
      <c r="S102" s="214">
        <f>VLOOKUP($A102,'Budget &amp; Revenue'!$A:$AH,34,FALSE)</f>
        <v>1</v>
      </c>
    </row>
    <row r="103" spans="1:19" ht="45" x14ac:dyDescent="0.25">
      <c r="A103" s="217">
        <v>103</v>
      </c>
      <c r="B103" s="222" t="str">
        <f>VLOOKUP(A103,Estimate!A:C,3,FALSE)</f>
        <v>HARDSCAPING WORKS - PLANTS WHITSUNDAY COMPLETE - Supply &amp; Install Timber Seat (To match existing)</v>
      </c>
      <c r="C103" s="219">
        <f>VLOOKUP(A103,Estimate!A:L,12,FALSE)</f>
        <v>2</v>
      </c>
      <c r="D103" s="223">
        <f>VLOOKUP(A103,Estimate!A:Q,17,FALSE)</f>
        <v>2545.4499999999998</v>
      </c>
      <c r="E103" s="221">
        <v>102</v>
      </c>
      <c r="F103" s="221">
        <v>34</v>
      </c>
      <c r="G103" s="197"/>
      <c r="H103" s="214" t="str">
        <f>VLOOKUP($A103,'Budget &amp; Revenue'!$A:$AH,12,FALSE)</f>
        <v xml:space="preserve"> </v>
      </c>
      <c r="I103" s="214" t="str">
        <f>VLOOKUP($A103,'Budget &amp; Revenue'!$A:$AH,14,FALSE)</f>
        <v xml:space="preserve"> </v>
      </c>
      <c r="J103" s="214" t="str">
        <f>VLOOKUP($A103,'Budget &amp; Revenue'!$A:$AH,16,FALSE)</f>
        <v xml:space="preserve"> </v>
      </c>
      <c r="K103" s="214" t="str">
        <f>VLOOKUP($A103,'Budget &amp; Revenue'!$A:$AH,18,FALSE)</f>
        <v xml:space="preserve"> </v>
      </c>
      <c r="L103" s="214" t="str">
        <f>VLOOKUP($A103,'Budget &amp; Revenue'!$A:$AH,20,FALSE)</f>
        <v xml:space="preserve"> </v>
      </c>
      <c r="M103" s="214" t="str">
        <f>VLOOKUP($A103,'Budget &amp; Revenue'!$A:$AH,22,FALSE)</f>
        <v xml:space="preserve"> </v>
      </c>
      <c r="N103" s="214" t="str">
        <f>VLOOKUP($A103,'Budget &amp; Revenue'!$A:$AH,24,FALSE)</f>
        <v xml:space="preserve"> </v>
      </c>
      <c r="O103" s="214" t="str">
        <f>VLOOKUP($A103,'Budget &amp; Revenue'!$A:$AH,26,FALSE)</f>
        <v xml:space="preserve"> </v>
      </c>
      <c r="P103" s="214" t="str">
        <f>VLOOKUP($A103,'Budget &amp; Revenue'!$A:$AH,28,FALSE)</f>
        <v xml:space="preserve"> </v>
      </c>
      <c r="Q103" s="214" t="str">
        <f>VLOOKUP($A103,'Budget &amp; Revenue'!$A:$AH,30,FALSE)</f>
        <v xml:space="preserve"> </v>
      </c>
      <c r="R103" s="214">
        <f>VLOOKUP($A103,'Budget &amp; Revenue'!$A:$AH,32,FALSE)</f>
        <v>1</v>
      </c>
      <c r="S103" s="214">
        <f>VLOOKUP($A103,'Budget &amp; Revenue'!$A:$AH,34,FALSE)</f>
        <v>1</v>
      </c>
    </row>
    <row r="104" spans="1:19" ht="45" x14ac:dyDescent="0.25">
      <c r="A104" s="217">
        <v>104</v>
      </c>
      <c r="B104" s="222" t="str">
        <f>VLOOKUP(A104,Estimate!A:C,3,FALSE)</f>
        <v>HARDSCAPING WORKS - Supply &amp; Instal Stainless Steel 'The Cove' &amp; Port of Airlie logo's as shown on entry walls</v>
      </c>
      <c r="C104" s="219">
        <f>VLOOKUP(A104,Estimate!A:L,12,FALSE)</f>
        <v>20</v>
      </c>
      <c r="D104" s="223">
        <f>VLOOKUP(A104,Estimate!A:Q,17,FALSE)</f>
        <v>6000</v>
      </c>
      <c r="E104" s="221" t="s">
        <v>723</v>
      </c>
      <c r="F104" s="221" t="s">
        <v>724</v>
      </c>
      <c r="G104" s="197"/>
      <c r="H104" s="214" t="str">
        <f>VLOOKUP($A104,'Budget &amp; Revenue'!$A:$AH,12,FALSE)</f>
        <v xml:space="preserve"> </v>
      </c>
      <c r="I104" s="214" t="str">
        <f>VLOOKUP($A104,'Budget &amp; Revenue'!$A:$AH,14,FALSE)</f>
        <v xml:space="preserve"> </v>
      </c>
      <c r="J104" s="214" t="str">
        <f>VLOOKUP($A104,'Budget &amp; Revenue'!$A:$AH,16,FALSE)</f>
        <v xml:space="preserve"> </v>
      </c>
      <c r="K104" s="214" t="str">
        <f>VLOOKUP($A104,'Budget &amp; Revenue'!$A:$AH,18,FALSE)</f>
        <v xml:space="preserve"> </v>
      </c>
      <c r="L104" s="214" t="str">
        <f>VLOOKUP($A104,'Budget &amp; Revenue'!$A:$AH,20,FALSE)</f>
        <v xml:space="preserve"> </v>
      </c>
      <c r="M104" s="214" t="str">
        <f>VLOOKUP($A104,'Budget &amp; Revenue'!$A:$AH,22,FALSE)</f>
        <v xml:space="preserve"> </v>
      </c>
      <c r="N104" s="214" t="str">
        <f>VLOOKUP($A104,'Budget &amp; Revenue'!$A:$AH,24,FALSE)</f>
        <v xml:space="preserve"> </v>
      </c>
      <c r="O104" s="214" t="str">
        <f>VLOOKUP($A104,'Budget &amp; Revenue'!$A:$AH,26,FALSE)</f>
        <v xml:space="preserve"> </v>
      </c>
      <c r="P104" s="214">
        <f>VLOOKUP($A104,'Budget &amp; Revenue'!$A:$AH,28,FALSE)</f>
        <v>1</v>
      </c>
      <c r="Q104" s="214">
        <f>VLOOKUP($A104,'Budget &amp; Revenue'!$A:$AH,30,FALSE)</f>
        <v>1</v>
      </c>
      <c r="R104" s="214">
        <f>VLOOKUP($A104,'Budget &amp; Revenue'!$A:$AH,32,FALSE)</f>
        <v>1</v>
      </c>
      <c r="S104" s="214">
        <f>VLOOKUP($A104,'Budget &amp; Revenue'!$A:$AH,34,FALSE)</f>
        <v>1</v>
      </c>
    </row>
    <row r="105" spans="1:19" ht="30" x14ac:dyDescent="0.25">
      <c r="A105" s="217">
        <v>105</v>
      </c>
      <c r="B105" s="222" t="str">
        <f>VLOOKUP(A105,Estimate!A:C,3,FALSE)</f>
        <v>HARDSCAPING WORKS - Core Filled Block Wall - W1 (1500mm High)</v>
      </c>
      <c r="C105" s="219">
        <f>VLOOKUP(A105,Estimate!A:L,12,FALSE)</f>
        <v>2</v>
      </c>
      <c r="D105" s="223">
        <f>VLOOKUP(A105,Estimate!A:Q,17,FALSE)</f>
        <v>17890</v>
      </c>
      <c r="E105" s="221">
        <v>23</v>
      </c>
      <c r="F105" s="221">
        <v>106</v>
      </c>
      <c r="G105" s="197"/>
      <c r="H105" s="214" t="str">
        <f>VLOOKUP($A105,'Budget &amp; Revenue'!$A:$AH,12,FALSE)</f>
        <v xml:space="preserve"> </v>
      </c>
      <c r="I105" s="214" t="str">
        <f>VLOOKUP($A105,'Budget &amp; Revenue'!$A:$AH,14,FALSE)</f>
        <v xml:space="preserve"> </v>
      </c>
      <c r="J105" s="214" t="str">
        <f>VLOOKUP($A105,'Budget &amp; Revenue'!$A:$AH,16,FALSE)</f>
        <v xml:space="preserve"> </v>
      </c>
      <c r="K105" s="214" t="str">
        <f>VLOOKUP($A105,'Budget &amp; Revenue'!$A:$AH,18,FALSE)</f>
        <v xml:space="preserve"> </v>
      </c>
      <c r="L105" s="214" t="str">
        <f>VLOOKUP($A105,'Budget &amp; Revenue'!$A:$AH,20,FALSE)</f>
        <v xml:space="preserve"> </v>
      </c>
      <c r="M105" s="214" t="str">
        <f>VLOOKUP($A105,'Budget &amp; Revenue'!$A:$AH,22,FALSE)</f>
        <v xml:space="preserve"> </v>
      </c>
      <c r="N105" s="214">
        <f>VLOOKUP($A105,'Budget &amp; Revenue'!$A:$AH,24,FALSE)</f>
        <v>0.1111111111111111</v>
      </c>
      <c r="O105" s="214">
        <f>VLOOKUP($A105,'Budget &amp; Revenue'!$A:$AH,26,FALSE)</f>
        <v>1</v>
      </c>
      <c r="P105" s="214">
        <f>VLOOKUP($A105,'Budget &amp; Revenue'!$A:$AH,28,FALSE)</f>
        <v>1</v>
      </c>
      <c r="Q105" s="214">
        <f>VLOOKUP($A105,'Budget &amp; Revenue'!$A:$AH,30,FALSE)</f>
        <v>1</v>
      </c>
      <c r="R105" s="214">
        <f>VLOOKUP($A105,'Budget &amp; Revenue'!$A:$AH,32,FALSE)</f>
        <v>1</v>
      </c>
      <c r="S105" s="214">
        <f>VLOOKUP($A105,'Budget &amp; Revenue'!$A:$AH,34,FALSE)</f>
        <v>1</v>
      </c>
    </row>
    <row r="106" spans="1:19" ht="30" x14ac:dyDescent="0.25">
      <c r="A106" s="217">
        <v>106</v>
      </c>
      <c r="B106" s="222" t="str">
        <f>VLOOKUP(A106,Estimate!A:C,3,FALSE)</f>
        <v>HARDSCAPING WORKS - Core Filled Block Wall - W2 (Entry Wall with Rake)</v>
      </c>
      <c r="C106" s="219">
        <f>VLOOKUP(A106,Estimate!A:L,12,FALSE)</f>
        <v>2</v>
      </c>
      <c r="D106" s="223">
        <f>VLOOKUP(A106,Estimate!A:Q,17,FALSE)</f>
        <v>7028.0844822528597</v>
      </c>
      <c r="E106" s="221">
        <v>105</v>
      </c>
      <c r="F106" s="221">
        <v>117</v>
      </c>
      <c r="G106" s="197"/>
      <c r="H106" s="214" t="str">
        <f>VLOOKUP($A106,'Budget &amp; Revenue'!$A:$AH,12,FALSE)</f>
        <v xml:space="preserve"> </v>
      </c>
      <c r="I106" s="214" t="str">
        <f>VLOOKUP($A106,'Budget &amp; Revenue'!$A:$AH,14,FALSE)</f>
        <v xml:space="preserve"> </v>
      </c>
      <c r="J106" s="214" t="str">
        <f>VLOOKUP($A106,'Budget &amp; Revenue'!$A:$AH,16,FALSE)</f>
        <v xml:space="preserve"> </v>
      </c>
      <c r="K106" s="214" t="str">
        <f>VLOOKUP($A106,'Budget &amp; Revenue'!$A:$AH,18,FALSE)</f>
        <v xml:space="preserve"> </v>
      </c>
      <c r="L106" s="214" t="str">
        <f>VLOOKUP($A106,'Budget &amp; Revenue'!$A:$AH,20,FALSE)</f>
        <v xml:space="preserve"> </v>
      </c>
      <c r="M106" s="214" t="str">
        <f>VLOOKUP($A106,'Budget &amp; Revenue'!$A:$AH,22,FALSE)</f>
        <v xml:space="preserve"> </v>
      </c>
      <c r="N106" s="214">
        <f>VLOOKUP($A106,'Budget &amp; Revenue'!$A:$AH,24,FALSE)</f>
        <v>0.16666666666666666</v>
      </c>
      <c r="O106" s="214">
        <f>VLOOKUP($A106,'Budget &amp; Revenue'!$A:$AH,26,FALSE)</f>
        <v>1</v>
      </c>
      <c r="P106" s="214">
        <f>VLOOKUP($A106,'Budget &amp; Revenue'!$A:$AH,28,FALSE)</f>
        <v>1</v>
      </c>
      <c r="Q106" s="214">
        <f>VLOOKUP($A106,'Budget &amp; Revenue'!$A:$AH,30,FALSE)</f>
        <v>1</v>
      </c>
      <c r="R106" s="214">
        <f>VLOOKUP($A106,'Budget &amp; Revenue'!$A:$AH,32,FALSE)</f>
        <v>1</v>
      </c>
      <c r="S106" s="214">
        <f>VLOOKUP($A106,'Budget &amp; Revenue'!$A:$AH,34,FALSE)</f>
        <v>1</v>
      </c>
    </row>
    <row r="107" spans="1:19" ht="30" x14ac:dyDescent="0.25">
      <c r="A107" s="217">
        <v>107</v>
      </c>
      <c r="B107" s="222" t="str">
        <f>VLOOKUP(A107,Estimate!A:C,3,FALSE)</f>
        <v>HARDSCAPING WORKS - PLANTS WHITSUNDAY SUPERVISION / VEHICLES &amp; ADMIN FEE</v>
      </c>
      <c r="C107" s="219">
        <f>VLOOKUP(A107,Estimate!A:L,12,FALSE)</f>
        <v>0</v>
      </c>
      <c r="D107" s="223">
        <f>VLOOKUP(A107,Estimate!A:Q,17,FALSE)</f>
        <v>4142.8500000000004</v>
      </c>
      <c r="E107" s="220"/>
      <c r="F107" s="220"/>
      <c r="G107" s="197"/>
      <c r="H107" s="214" t="str">
        <f>VLOOKUP($A107,'Budget &amp; Revenue'!$A:$AH,12,FALSE)</f>
        <v xml:space="preserve"> </v>
      </c>
      <c r="I107" s="214" t="str">
        <f>VLOOKUP($A107,'Budget &amp; Revenue'!$A:$AH,14,FALSE)</f>
        <v xml:space="preserve"> </v>
      </c>
      <c r="J107" s="214" t="str">
        <f>VLOOKUP($A107,'Budget &amp; Revenue'!$A:$AH,16,FALSE)</f>
        <v xml:space="preserve"> </v>
      </c>
      <c r="K107" s="214" t="str">
        <f>VLOOKUP($A107,'Budget &amp; Revenue'!$A:$AH,18,FALSE)</f>
        <v xml:space="preserve"> </v>
      </c>
      <c r="L107" s="214">
        <f>VLOOKUP($A107,'Budget &amp; Revenue'!$A:$AH,20,FALSE)</f>
        <v>0.04</v>
      </c>
      <c r="M107" s="214">
        <f>VLOOKUP($A107,'Budget &amp; Revenue'!$A:$AH,22,FALSE)</f>
        <v>0.04</v>
      </c>
      <c r="N107" s="214">
        <f>VLOOKUP($A107,'Budget &amp; Revenue'!$A:$AH,24,FALSE)</f>
        <v>0.04</v>
      </c>
      <c r="O107" s="214">
        <f>VLOOKUP($A107,'Budget &amp; Revenue'!$A:$AH,26,FALSE)</f>
        <v>0.6</v>
      </c>
      <c r="P107" s="214">
        <f>VLOOKUP($A107,'Budget &amp; Revenue'!$A:$AH,28,FALSE)</f>
        <v>1</v>
      </c>
      <c r="Q107" s="214">
        <f>VLOOKUP($A107,'Budget &amp; Revenue'!$A:$AH,30,FALSE)</f>
        <v>1</v>
      </c>
      <c r="R107" s="214">
        <f>VLOOKUP($A107,'Budget &amp; Revenue'!$A:$AH,32,FALSE)</f>
        <v>1</v>
      </c>
      <c r="S107" s="214">
        <f>VLOOKUP($A107,'Budget &amp; Revenue'!$A:$AH,34,FALSE)</f>
        <v>1</v>
      </c>
    </row>
    <row r="108" spans="1:19" ht="45" x14ac:dyDescent="0.25">
      <c r="A108" s="217">
        <v>108</v>
      </c>
      <c r="B108" s="222" t="str">
        <f>VLOOKUP(A108,Estimate!A:C,3,FALSE)</f>
        <v>FENCING / GATES / EQUIPMENT - Supply and Install Pedestrian and Vehicular Gate and associated Security Key Pad</v>
      </c>
      <c r="C108" s="219">
        <f>VLOOKUP(A108,Estimate!A:L,12,FALSE)</f>
        <v>30</v>
      </c>
      <c r="D108" s="223">
        <f>VLOOKUP(A108,Estimate!A:Q,17,FALSE)</f>
        <v>21670</v>
      </c>
      <c r="E108" s="221">
        <v>117</v>
      </c>
      <c r="F108" s="221" t="s">
        <v>725</v>
      </c>
      <c r="G108" s="197"/>
      <c r="H108" s="214" t="str">
        <f>VLOOKUP($A108,'Budget &amp; Revenue'!$A:$AH,12,FALSE)</f>
        <v xml:space="preserve"> </v>
      </c>
      <c r="I108" s="214" t="str">
        <f>VLOOKUP($A108,'Budget &amp; Revenue'!$A:$AH,14,FALSE)</f>
        <v xml:space="preserve"> </v>
      </c>
      <c r="J108" s="214" t="str">
        <f>VLOOKUP($A108,'Budget &amp; Revenue'!$A:$AH,16,FALSE)</f>
        <v xml:space="preserve"> </v>
      </c>
      <c r="K108" s="214" t="str">
        <f>VLOOKUP($A108,'Budget &amp; Revenue'!$A:$AH,18,FALSE)</f>
        <v xml:space="preserve"> </v>
      </c>
      <c r="L108" s="214" t="str">
        <f>VLOOKUP($A108,'Budget &amp; Revenue'!$A:$AH,20,FALSE)</f>
        <v xml:space="preserve"> </v>
      </c>
      <c r="M108" s="214" t="str">
        <f>VLOOKUP($A108,'Budget &amp; Revenue'!$A:$AH,22,FALSE)</f>
        <v xml:space="preserve"> </v>
      </c>
      <c r="N108" s="214" t="str">
        <f>VLOOKUP($A108,'Budget &amp; Revenue'!$A:$AH,24,FALSE)</f>
        <v xml:space="preserve"> </v>
      </c>
      <c r="O108" s="214" t="str">
        <f>VLOOKUP($A108,'Budget &amp; Revenue'!$A:$AH,26,FALSE)</f>
        <v xml:space="preserve"> </v>
      </c>
      <c r="P108" s="214" t="str">
        <f>VLOOKUP($A108,'Budget &amp; Revenue'!$A:$AH,28,FALSE)</f>
        <v xml:space="preserve"> </v>
      </c>
      <c r="Q108" s="214">
        <f>VLOOKUP($A108,'Budget &amp; Revenue'!$A:$AH,30,FALSE)</f>
        <v>0.8</v>
      </c>
      <c r="R108" s="214">
        <f>VLOOKUP($A108,'Budget &amp; Revenue'!$A:$AH,32,FALSE)</f>
        <v>1</v>
      </c>
      <c r="S108" s="214">
        <f>VLOOKUP($A108,'Budget &amp; Revenue'!$A:$AH,34,FALSE)</f>
        <v>1</v>
      </c>
    </row>
    <row r="109" spans="1:19" ht="45" x14ac:dyDescent="0.25">
      <c r="A109" s="217">
        <v>109</v>
      </c>
      <c r="B109" s="222" t="str">
        <f>VLOOKUP(A109,Estimate!A:C,3,FALSE)</f>
        <v>FENCING / GATES / EQUIPMENT - PLANTS WHITSUNDAY COMPLETE - Supply &amp; install boundary fence to Lot 23.</v>
      </c>
      <c r="C109" s="219">
        <f>VLOOKUP(A109,Estimate!A:L,12,FALSE)</f>
        <v>1</v>
      </c>
      <c r="D109" s="223">
        <f>VLOOKUP(A109,Estimate!A:Q,17,FALSE)</f>
        <v>2704.55</v>
      </c>
      <c r="E109" s="221">
        <v>108</v>
      </c>
      <c r="F109" s="221">
        <v>34</v>
      </c>
      <c r="G109" s="197"/>
      <c r="H109" s="214" t="str">
        <f>VLOOKUP($A109,'Budget &amp; Revenue'!$A:$AH,12,FALSE)</f>
        <v xml:space="preserve"> </v>
      </c>
      <c r="I109" s="214" t="str">
        <f>VLOOKUP($A109,'Budget &amp; Revenue'!$A:$AH,14,FALSE)</f>
        <v xml:space="preserve"> </v>
      </c>
      <c r="J109" s="214" t="str">
        <f>VLOOKUP($A109,'Budget &amp; Revenue'!$A:$AH,16,FALSE)</f>
        <v xml:space="preserve"> </v>
      </c>
      <c r="K109" s="214" t="str">
        <f>VLOOKUP($A109,'Budget &amp; Revenue'!$A:$AH,18,FALSE)</f>
        <v xml:space="preserve"> </v>
      </c>
      <c r="L109" s="214" t="str">
        <f>VLOOKUP($A109,'Budget &amp; Revenue'!$A:$AH,20,FALSE)</f>
        <v xml:space="preserve"> </v>
      </c>
      <c r="M109" s="214" t="str">
        <f>VLOOKUP($A109,'Budget &amp; Revenue'!$A:$AH,22,FALSE)</f>
        <v xml:space="preserve"> </v>
      </c>
      <c r="N109" s="214" t="str">
        <f>VLOOKUP($A109,'Budget &amp; Revenue'!$A:$AH,24,FALSE)</f>
        <v xml:space="preserve"> </v>
      </c>
      <c r="O109" s="214" t="str">
        <f>VLOOKUP($A109,'Budget &amp; Revenue'!$A:$AH,26,FALSE)</f>
        <v xml:space="preserve"> </v>
      </c>
      <c r="P109" s="214" t="str">
        <f>VLOOKUP($A109,'Budget &amp; Revenue'!$A:$AH,28,FALSE)</f>
        <v xml:space="preserve"> </v>
      </c>
      <c r="Q109" s="214">
        <f>VLOOKUP($A109,'Budget &amp; Revenue'!$A:$AH,30,FALSE)</f>
        <v>1</v>
      </c>
      <c r="R109" s="214">
        <f>VLOOKUP($A109,'Budget &amp; Revenue'!$A:$AH,32,FALSE)</f>
        <v>1</v>
      </c>
      <c r="S109" s="214">
        <f>VLOOKUP($A109,'Budget &amp; Revenue'!$A:$AH,34,FALSE)</f>
        <v>1</v>
      </c>
    </row>
    <row r="110" spans="1:19" ht="60" x14ac:dyDescent="0.25">
      <c r="A110" s="217">
        <v>110</v>
      </c>
      <c r="B110" s="222" t="str">
        <f>VLOOKUP(A110,Estimate!A:C,3,FALSE)</f>
        <v>FENCING / GATES / EQUIPMENT - Supply and Install communal letterbox structure within W2 wall - aluminium fronted with range hood and rear opening</v>
      </c>
      <c r="C110" s="219">
        <f>VLOOKUP(A110,Estimate!A:L,12,FALSE)</f>
        <v>40</v>
      </c>
      <c r="D110" s="223">
        <f>VLOOKUP(A110,Estimate!A:Q,17,FALSE)</f>
        <v>6515</v>
      </c>
      <c r="E110" s="221">
        <v>117</v>
      </c>
      <c r="F110" s="221" t="s">
        <v>726</v>
      </c>
      <c r="G110" s="197"/>
      <c r="H110" s="214" t="str">
        <f>VLOOKUP($A110,'Budget &amp; Revenue'!$A:$AH,12,FALSE)</f>
        <v xml:space="preserve"> </v>
      </c>
      <c r="I110" s="214" t="str">
        <f>VLOOKUP($A110,'Budget &amp; Revenue'!$A:$AH,14,FALSE)</f>
        <v xml:space="preserve"> </v>
      </c>
      <c r="J110" s="214" t="str">
        <f>VLOOKUP($A110,'Budget &amp; Revenue'!$A:$AH,16,FALSE)</f>
        <v xml:space="preserve"> </v>
      </c>
      <c r="K110" s="214" t="str">
        <f>VLOOKUP($A110,'Budget &amp; Revenue'!$A:$AH,18,FALSE)</f>
        <v xml:space="preserve"> </v>
      </c>
      <c r="L110" s="214" t="str">
        <f>VLOOKUP($A110,'Budget &amp; Revenue'!$A:$AH,20,FALSE)</f>
        <v xml:space="preserve"> </v>
      </c>
      <c r="M110" s="214" t="str">
        <f>VLOOKUP($A110,'Budget &amp; Revenue'!$A:$AH,22,FALSE)</f>
        <v xml:space="preserve"> </v>
      </c>
      <c r="N110" s="214" t="str">
        <f>VLOOKUP($A110,'Budget &amp; Revenue'!$A:$AH,24,FALSE)</f>
        <v xml:space="preserve"> </v>
      </c>
      <c r="O110" s="214" t="str">
        <f>VLOOKUP($A110,'Budget &amp; Revenue'!$A:$AH,26,FALSE)</f>
        <v xml:space="preserve"> </v>
      </c>
      <c r="P110" s="214">
        <f>VLOOKUP($A110,'Budget &amp; Revenue'!$A:$AH,28,FALSE)</f>
        <v>1</v>
      </c>
      <c r="Q110" s="214">
        <f>VLOOKUP($A110,'Budget &amp; Revenue'!$A:$AH,30,FALSE)</f>
        <v>1</v>
      </c>
      <c r="R110" s="214">
        <f>VLOOKUP($A110,'Budget &amp; Revenue'!$A:$AH,32,FALSE)</f>
        <v>1</v>
      </c>
      <c r="S110" s="214">
        <f>VLOOKUP($A110,'Budget &amp; Revenue'!$A:$AH,34,FALSE)</f>
        <v>1</v>
      </c>
    </row>
    <row r="111" spans="1:19" ht="45" x14ac:dyDescent="0.25">
      <c r="A111" s="217">
        <v>111</v>
      </c>
      <c r="B111" s="222" t="str">
        <f>VLOOKUP(A111,Estimate!A:C,3,FALSE)</f>
        <v>Variation - Additional watermain, 50mm water meter &amp; RPZ - installed at the Cove subdivision as directed by the Superintendent</v>
      </c>
      <c r="C111" s="219">
        <f>VLOOKUP(A111,Estimate!A:L,12,FALSE)</f>
        <v>1</v>
      </c>
      <c r="D111" s="223">
        <f>VLOOKUP(A111,Estimate!A:Q,17,FALSE)</f>
        <v>11420</v>
      </c>
      <c r="E111" s="221" t="s">
        <v>693</v>
      </c>
      <c r="F111" s="221">
        <v>62</v>
      </c>
      <c r="G111" s="197"/>
      <c r="H111" s="214" t="str">
        <f>VLOOKUP($A111,'Budget &amp; Revenue'!$A:$AH,12,FALSE)</f>
        <v xml:space="preserve"> </v>
      </c>
      <c r="I111" s="214" t="str">
        <f>VLOOKUP($A111,'Budget &amp; Revenue'!$A:$AH,14,FALSE)</f>
        <v xml:space="preserve"> </v>
      </c>
      <c r="J111" s="214" t="str">
        <f>VLOOKUP($A111,'Budget &amp; Revenue'!$A:$AH,16,FALSE)</f>
        <v xml:space="preserve"> </v>
      </c>
      <c r="K111" s="214" t="str">
        <f>VLOOKUP($A111,'Budget &amp; Revenue'!$A:$AH,18,FALSE)</f>
        <v xml:space="preserve"> </v>
      </c>
      <c r="L111" s="214" t="str">
        <f>VLOOKUP($A111,'Budget &amp; Revenue'!$A:$AH,20,FALSE)</f>
        <v xml:space="preserve"> </v>
      </c>
      <c r="M111" s="214">
        <f>VLOOKUP($A111,'Budget &amp; Revenue'!$A:$AH,22,FALSE)</f>
        <v>1</v>
      </c>
      <c r="N111" s="214">
        <f>VLOOKUP($A111,'Budget &amp; Revenue'!$A:$AH,24,FALSE)</f>
        <v>1</v>
      </c>
      <c r="O111" s="214">
        <f>VLOOKUP($A111,'Budget &amp; Revenue'!$A:$AH,26,FALSE)</f>
        <v>1</v>
      </c>
      <c r="P111" s="214">
        <f>VLOOKUP($A111,'Budget &amp; Revenue'!$A:$AH,28,FALSE)</f>
        <v>1</v>
      </c>
      <c r="Q111" s="214">
        <f>VLOOKUP($A111,'Budget &amp; Revenue'!$A:$AH,30,FALSE)</f>
        <v>1</v>
      </c>
      <c r="R111" s="214">
        <f>VLOOKUP($A111,'Budget &amp; Revenue'!$A:$AH,32,FALSE)</f>
        <v>1</v>
      </c>
      <c r="S111" s="214">
        <f>VLOOKUP($A111,'Budget &amp; Revenue'!$A:$AH,34,FALSE)</f>
        <v>1</v>
      </c>
    </row>
    <row r="112" spans="1:19" ht="60" x14ac:dyDescent="0.25">
      <c r="A112" s="217">
        <v>112</v>
      </c>
      <c r="B112" s="222" t="str">
        <f>VLOOKUP(A112,Estimate!A:C,3,FALSE)</f>
        <v>Variation - Installation of geotextile Mirafi in Stormwater trench where depths exceed 1.2m into marine sedimentation as directed by the Superintendent</v>
      </c>
      <c r="C112" s="219">
        <f>VLOOKUP(A112,Estimate!A:L,12,FALSE)</f>
        <v>4</v>
      </c>
      <c r="D112" s="223">
        <f>VLOOKUP(A112,Estimate!A:Q,17,FALSE)</f>
        <v>3284.9896289467615</v>
      </c>
      <c r="E112" s="221">
        <v>24</v>
      </c>
      <c r="F112" s="224">
        <v>29113</v>
      </c>
      <c r="G112" s="197"/>
      <c r="H112" s="214" t="str">
        <f>VLOOKUP($A112,'Budget &amp; Revenue'!$A:$AH,12,FALSE)</f>
        <v xml:space="preserve"> </v>
      </c>
      <c r="I112" s="214" t="str">
        <f>VLOOKUP($A112,'Budget &amp; Revenue'!$A:$AH,14,FALSE)</f>
        <v xml:space="preserve"> </v>
      </c>
      <c r="J112" s="214" t="str">
        <f>VLOOKUP($A112,'Budget &amp; Revenue'!$A:$AH,16,FALSE)</f>
        <v xml:space="preserve"> </v>
      </c>
      <c r="K112" s="214" t="str">
        <f>VLOOKUP($A112,'Budget &amp; Revenue'!$A:$AH,18,FALSE)</f>
        <v xml:space="preserve"> </v>
      </c>
      <c r="L112" s="214">
        <f>VLOOKUP($A112,'Budget &amp; Revenue'!$A:$AH,20,FALSE)</f>
        <v>1</v>
      </c>
      <c r="M112" s="214">
        <f>VLOOKUP($A112,'Budget &amp; Revenue'!$A:$AH,22,FALSE)</f>
        <v>1</v>
      </c>
      <c r="N112" s="214">
        <f>VLOOKUP($A112,'Budget &amp; Revenue'!$A:$AH,24,FALSE)</f>
        <v>1</v>
      </c>
      <c r="O112" s="214">
        <f>VLOOKUP($A112,'Budget &amp; Revenue'!$A:$AH,26,FALSE)</f>
        <v>1</v>
      </c>
      <c r="P112" s="214">
        <f>VLOOKUP($A112,'Budget &amp; Revenue'!$A:$AH,28,FALSE)</f>
        <v>1</v>
      </c>
      <c r="Q112" s="214">
        <f>VLOOKUP($A112,'Budget &amp; Revenue'!$A:$AH,30,FALSE)</f>
        <v>1</v>
      </c>
      <c r="R112" s="214">
        <f>VLOOKUP($A112,'Budget &amp; Revenue'!$A:$AH,32,FALSE)</f>
        <v>1</v>
      </c>
      <c r="S112" s="214">
        <f>VLOOKUP($A112,'Budget &amp; Revenue'!$A:$AH,34,FALSE)</f>
        <v>1</v>
      </c>
    </row>
    <row r="113" spans="1:19" ht="45" x14ac:dyDescent="0.25">
      <c r="A113" s="217">
        <v>113</v>
      </c>
      <c r="B113" s="222" t="str">
        <f>VLOOKUP(A113,Estimate!A:C,3,FALSE)</f>
        <v>Variation - Unsuitable Subgrade replacement - Remove existing material 300 deep &amp; replace with CBR 15 as directed by Superintendent</v>
      </c>
      <c r="C113" s="219">
        <f>VLOOKUP(A113,Estimate!A:L,12,FALSE)</f>
        <v>1</v>
      </c>
      <c r="D113" s="223">
        <f>VLOOKUP(A113,Estimate!A:Q,17,FALSE)</f>
        <v>30170.048588203779</v>
      </c>
      <c r="E113" s="221">
        <v>112</v>
      </c>
      <c r="F113" s="221">
        <v>29</v>
      </c>
      <c r="G113" s="197"/>
      <c r="H113" s="214" t="str">
        <f>VLOOKUP($A113,'Budget &amp; Revenue'!$A:$AH,12,FALSE)</f>
        <v xml:space="preserve"> </v>
      </c>
      <c r="I113" s="214" t="str">
        <f>VLOOKUP($A113,'Budget &amp; Revenue'!$A:$AH,14,FALSE)</f>
        <v xml:space="preserve"> </v>
      </c>
      <c r="J113" s="214" t="str">
        <f>VLOOKUP($A113,'Budget &amp; Revenue'!$A:$AH,16,FALSE)</f>
        <v xml:space="preserve"> </v>
      </c>
      <c r="K113" s="214" t="str">
        <f>VLOOKUP($A113,'Budget &amp; Revenue'!$A:$AH,18,FALSE)</f>
        <v xml:space="preserve"> </v>
      </c>
      <c r="L113" s="214" t="str">
        <f>VLOOKUP($A113,'Budget &amp; Revenue'!$A:$AH,20,FALSE)</f>
        <v xml:space="preserve"> </v>
      </c>
      <c r="M113" s="214">
        <f>VLOOKUP($A113,'Budget &amp; Revenue'!$A:$AH,22,FALSE)</f>
        <v>1</v>
      </c>
      <c r="N113" s="214">
        <f>VLOOKUP($A113,'Budget &amp; Revenue'!$A:$AH,24,FALSE)</f>
        <v>1</v>
      </c>
      <c r="O113" s="214">
        <f>VLOOKUP($A113,'Budget &amp; Revenue'!$A:$AH,26,FALSE)</f>
        <v>1</v>
      </c>
      <c r="P113" s="214">
        <f>VLOOKUP($A113,'Budget &amp; Revenue'!$A:$AH,28,FALSE)</f>
        <v>1</v>
      </c>
      <c r="Q113" s="214">
        <f>VLOOKUP($A113,'Budget &amp; Revenue'!$A:$AH,30,FALSE)</f>
        <v>1</v>
      </c>
      <c r="R113" s="214">
        <f>VLOOKUP($A113,'Budget &amp; Revenue'!$A:$AH,32,FALSE)</f>
        <v>1</v>
      </c>
      <c r="S113" s="214">
        <f>VLOOKUP($A113,'Budget &amp; Revenue'!$A:$AH,34,FALSE)</f>
        <v>1</v>
      </c>
    </row>
    <row r="114" spans="1:19" ht="60" x14ac:dyDescent="0.25">
      <c r="A114" s="217">
        <v>114</v>
      </c>
      <c r="B114" s="222" t="str">
        <f>VLOOKUP(A114,Estimate!A:C,3,FALSE)</f>
        <v>Variation - Easement at Revetment wall - Relocate &amp; replace existing revetment wall rocks, install geotextile &amp; backfill with general fill to areas as indicated on drawing 13003 21 &amp; 22A</v>
      </c>
      <c r="C114" s="219">
        <f>VLOOKUP(A114,Estimate!A:L,12,FALSE)</f>
        <v>4</v>
      </c>
      <c r="D114" s="223">
        <f>VLOOKUP(A114,Estimate!A:Q,17,FALSE)</f>
        <v>9499</v>
      </c>
      <c r="E114" s="221">
        <v>23</v>
      </c>
      <c r="F114" s="221">
        <v>4</v>
      </c>
      <c r="G114" s="197"/>
      <c r="H114" s="214" t="str">
        <f>VLOOKUP($A114,'Budget &amp; Revenue'!$A:$AH,12,FALSE)</f>
        <v xml:space="preserve"> </v>
      </c>
      <c r="I114" s="214" t="str">
        <f>VLOOKUP($A114,'Budget &amp; Revenue'!$A:$AH,14,FALSE)</f>
        <v xml:space="preserve"> </v>
      </c>
      <c r="J114" s="214" t="str">
        <f>VLOOKUP($A114,'Budget &amp; Revenue'!$A:$AH,16,FALSE)</f>
        <v xml:space="preserve"> </v>
      </c>
      <c r="K114" s="214" t="str">
        <f>VLOOKUP($A114,'Budget &amp; Revenue'!$A:$AH,18,FALSE)</f>
        <v xml:space="preserve"> </v>
      </c>
      <c r="L114" s="214" t="str">
        <f>VLOOKUP($A114,'Budget &amp; Revenue'!$A:$AH,20,FALSE)</f>
        <v xml:space="preserve"> </v>
      </c>
      <c r="M114" s="214" t="str">
        <f>VLOOKUP($A114,'Budget &amp; Revenue'!$A:$AH,22,FALSE)</f>
        <v xml:space="preserve"> </v>
      </c>
      <c r="N114" s="214">
        <f>VLOOKUP($A114,'Budget &amp; Revenue'!$A:$AH,24,FALSE)</f>
        <v>1</v>
      </c>
      <c r="O114" s="214">
        <f>VLOOKUP($A114,'Budget &amp; Revenue'!$A:$AH,26,FALSE)</f>
        <v>1</v>
      </c>
      <c r="P114" s="214">
        <f>VLOOKUP($A114,'Budget &amp; Revenue'!$A:$AH,28,FALSE)</f>
        <v>1</v>
      </c>
      <c r="Q114" s="214">
        <f>VLOOKUP($A114,'Budget &amp; Revenue'!$A:$AH,30,FALSE)</f>
        <v>1</v>
      </c>
      <c r="R114" s="214">
        <f>VLOOKUP($A114,'Budget &amp; Revenue'!$A:$AH,32,FALSE)</f>
        <v>1</v>
      </c>
      <c r="S114" s="214">
        <f>VLOOKUP($A114,'Budget &amp; Revenue'!$A:$AH,34,FALSE)</f>
        <v>1</v>
      </c>
    </row>
    <row r="115" spans="1:19" ht="75" x14ac:dyDescent="0.25">
      <c r="A115" s="217">
        <v>115</v>
      </c>
      <c r="B115" s="222" t="str">
        <f>VLOOKUP(A115,Estimate!A:C,3,FALSE)</f>
        <v>Variation - Privacy Screen to boundary of Lot 1 &amp; Lot 23 - Provide 11 natural stone columns and 11 steel panels to 1400mm high fence. Stonework nib wall to easement at Lot 23. Salmon coloured footpath to boundary at Entrance &amp; along Lot 23.</v>
      </c>
      <c r="C115" s="219">
        <f>VLOOKUP(A115,Estimate!A:L,12,FALSE)</f>
        <v>21</v>
      </c>
      <c r="D115" s="223">
        <f>VLOOKUP(A115,Estimate!A:Q,17,FALSE)</f>
        <v>93885.950000000012</v>
      </c>
      <c r="E115" s="221">
        <v>117</v>
      </c>
      <c r="F115" s="221">
        <v>34</v>
      </c>
      <c r="G115" s="197"/>
      <c r="H115" s="214" t="str">
        <f>VLOOKUP($A115,'Budget &amp; Revenue'!$A:$AH,12,FALSE)</f>
        <v xml:space="preserve"> </v>
      </c>
      <c r="I115" s="214" t="str">
        <f>VLOOKUP($A115,'Budget &amp; Revenue'!$A:$AH,14,FALSE)</f>
        <v xml:space="preserve"> </v>
      </c>
      <c r="J115" s="214" t="str">
        <f>VLOOKUP($A115,'Budget &amp; Revenue'!$A:$AH,16,FALSE)</f>
        <v xml:space="preserve"> </v>
      </c>
      <c r="K115" s="214" t="str">
        <f>VLOOKUP($A115,'Budget &amp; Revenue'!$A:$AH,18,FALSE)</f>
        <v xml:space="preserve"> </v>
      </c>
      <c r="L115" s="214" t="str">
        <f>VLOOKUP($A115,'Budget &amp; Revenue'!$A:$AH,20,FALSE)</f>
        <v xml:space="preserve"> </v>
      </c>
      <c r="M115" s="214" t="str">
        <f>VLOOKUP($A115,'Budget &amp; Revenue'!$A:$AH,22,FALSE)</f>
        <v xml:space="preserve"> </v>
      </c>
      <c r="N115" s="214" t="str">
        <f>VLOOKUP($A115,'Budget &amp; Revenue'!$A:$AH,24,FALSE)</f>
        <v xml:space="preserve"> </v>
      </c>
      <c r="O115" s="214" t="str">
        <f>VLOOKUP($A115,'Budget &amp; Revenue'!$A:$AH,26,FALSE)</f>
        <v xml:space="preserve"> </v>
      </c>
      <c r="P115" s="214" t="str">
        <f>VLOOKUP($A115,'Budget &amp; Revenue'!$A:$AH,28,FALSE)</f>
        <v xml:space="preserve"> </v>
      </c>
      <c r="Q115" s="214">
        <f>VLOOKUP($A115,'Budget &amp; Revenue'!$A:$AH,30,FALSE)</f>
        <v>0.08</v>
      </c>
      <c r="R115" s="214">
        <f>VLOOKUP($A115,'Budget &amp; Revenue'!$A:$AH,32,FALSE)</f>
        <v>0.2</v>
      </c>
      <c r="S115" s="214">
        <f>VLOOKUP($A115,'Budget &amp; Revenue'!$A:$AH,34,FALSE)</f>
        <v>1</v>
      </c>
    </row>
    <row r="116" spans="1:19" ht="45" x14ac:dyDescent="0.25">
      <c r="A116" s="217">
        <v>116</v>
      </c>
      <c r="B116" s="222" t="str">
        <f>VLOOKUP(A116,Estimate!A:C,3,FALSE)</f>
        <v>Line Item 171 - Supply &amp; Install Gas - Variation to adjust claimed contract value of $48,571.75 to agreed value of $15,000</v>
      </c>
      <c r="C116" s="219">
        <f>VLOOKUP(A116,Estimate!A:L,12,FALSE)</f>
        <v>0</v>
      </c>
      <c r="D116" s="223">
        <f>VLOOKUP(A116,Estimate!A:Q,17,FALSE)</f>
        <v>-33571.75</v>
      </c>
      <c r="E116" s="220"/>
      <c r="F116" s="220"/>
      <c r="G116" s="197"/>
      <c r="H116" s="214" t="str">
        <f>VLOOKUP($A116,'Budget &amp; Revenue'!$A:$AH,12,FALSE)</f>
        <v xml:space="preserve"> </v>
      </c>
      <c r="I116" s="214" t="str">
        <f>VLOOKUP($A116,'Budget &amp; Revenue'!$A:$AH,14,FALSE)</f>
        <v xml:space="preserve"> </v>
      </c>
      <c r="J116" s="214" t="str">
        <f>VLOOKUP($A116,'Budget &amp; Revenue'!$A:$AH,16,FALSE)</f>
        <v xml:space="preserve"> </v>
      </c>
      <c r="K116" s="214" t="str">
        <f>VLOOKUP($A116,'Budget &amp; Revenue'!$A:$AH,18,FALSE)</f>
        <v xml:space="preserve"> </v>
      </c>
      <c r="L116" s="214" t="str">
        <f>VLOOKUP($A116,'Budget &amp; Revenue'!$A:$AH,20,FALSE)</f>
        <v xml:space="preserve"> </v>
      </c>
      <c r="M116" s="214">
        <f>VLOOKUP($A116,'Budget &amp; Revenue'!$A:$AH,22,FALSE)</f>
        <v>1</v>
      </c>
      <c r="N116" s="214">
        <f>VLOOKUP($A116,'Budget &amp; Revenue'!$A:$AH,24,FALSE)</f>
        <v>1</v>
      </c>
      <c r="O116" s="214">
        <f>VLOOKUP($A116,'Budget &amp; Revenue'!$A:$AH,26,FALSE)</f>
        <v>1</v>
      </c>
      <c r="P116" s="214">
        <f>VLOOKUP($A116,'Budget &amp; Revenue'!$A:$AH,28,FALSE)</f>
        <v>1</v>
      </c>
      <c r="Q116" s="214">
        <f>VLOOKUP($A116,'Budget &amp; Revenue'!$A:$AH,30,FALSE)</f>
        <v>1</v>
      </c>
      <c r="R116" s="214">
        <f>VLOOKUP($A116,'Budget &amp; Revenue'!$A:$AH,32,FALSE)</f>
        <v>1</v>
      </c>
      <c r="S116" s="214">
        <f>VLOOKUP($A116,'Budget &amp; Revenue'!$A:$AH,34,FALSE)</f>
        <v>1</v>
      </c>
    </row>
    <row r="117" spans="1:19" ht="30" x14ac:dyDescent="0.25">
      <c r="A117" s="217">
        <v>117</v>
      </c>
      <c r="B117" s="222" t="str">
        <f>VLOOKUP(A117,Estimate!A:C,3,FALSE)</f>
        <v>PROVISIONAL SUM ITEM - Supply &amp; Install capping, facing &amp; stone treatments to Entry Statements</v>
      </c>
      <c r="C117" s="219">
        <f>VLOOKUP(A117,Estimate!A:L,12,FALSE)</f>
        <v>10</v>
      </c>
      <c r="D117" s="223">
        <f>VLOOKUP(A117,Estimate!A:Q,17,FALSE)</f>
        <v>25000.500000000004</v>
      </c>
      <c r="E117" s="224">
        <v>23106</v>
      </c>
      <c r="F117" s="221" t="s">
        <v>727</v>
      </c>
      <c r="G117" s="197"/>
      <c r="H117" s="214" t="str">
        <f>VLOOKUP($A117,'Budget &amp; Revenue'!$A:$AH,12,FALSE)</f>
        <v xml:space="preserve"> </v>
      </c>
      <c r="I117" s="214" t="str">
        <f>VLOOKUP($A117,'Budget &amp; Revenue'!$A:$AH,14,FALSE)</f>
        <v xml:space="preserve"> </v>
      </c>
      <c r="J117" s="214" t="str">
        <f>VLOOKUP($A117,'Budget &amp; Revenue'!$A:$AH,16,FALSE)</f>
        <v xml:space="preserve"> </v>
      </c>
      <c r="K117" s="214" t="str">
        <f>VLOOKUP($A117,'Budget &amp; Revenue'!$A:$AH,18,FALSE)</f>
        <v xml:space="preserve"> </v>
      </c>
      <c r="L117" s="214" t="str">
        <f>VLOOKUP($A117,'Budget &amp; Revenue'!$A:$AH,20,FALSE)</f>
        <v xml:space="preserve"> </v>
      </c>
      <c r="M117" s="214" t="str">
        <f>VLOOKUP($A117,'Budget &amp; Revenue'!$A:$AH,22,FALSE)</f>
        <v xml:space="preserve"> </v>
      </c>
      <c r="N117" s="214" t="str">
        <f>VLOOKUP($A117,'Budget &amp; Revenue'!$A:$AH,24,FALSE)</f>
        <v xml:space="preserve"> </v>
      </c>
      <c r="O117" s="214">
        <f>VLOOKUP($A117,'Budget &amp; Revenue'!$A:$AH,26,FALSE)</f>
        <v>1</v>
      </c>
      <c r="P117" s="214">
        <f>VLOOKUP($A117,'Budget &amp; Revenue'!$A:$AH,28,FALSE)</f>
        <v>1</v>
      </c>
      <c r="Q117" s="214">
        <f>VLOOKUP($A117,'Budget &amp; Revenue'!$A:$AH,30,FALSE)</f>
        <v>1</v>
      </c>
      <c r="R117" s="214">
        <f>VLOOKUP($A117,'Budget &amp; Revenue'!$A:$AH,32,FALSE)</f>
        <v>1</v>
      </c>
      <c r="S117" s="214">
        <f>VLOOKUP($A117,'Budget &amp; Revenue'!$A:$AH,34,FALSE)</f>
        <v>1</v>
      </c>
    </row>
    <row r="118" spans="1:19" ht="30" x14ac:dyDescent="0.25">
      <c r="A118" s="217">
        <v>118</v>
      </c>
      <c r="B118" s="222" t="str">
        <f>VLOOKUP(A118,Estimate!A:C,3,FALSE)</f>
        <v>Variation - Telstra Pit, supply &amp; install Type 8 pit as directed by Superintendent</v>
      </c>
      <c r="C118" s="219">
        <f>VLOOKUP(A118,Estimate!A:L,12,FALSE)</f>
        <v>0</v>
      </c>
      <c r="D118" s="223">
        <f>VLOOKUP(A118,Estimate!A:Q,17,FALSE)</f>
        <v>950</v>
      </c>
      <c r="E118" s="221" t="s">
        <v>718</v>
      </c>
      <c r="F118" s="220"/>
      <c r="G118" s="197"/>
      <c r="H118" s="214" t="str">
        <f>VLOOKUP($A118,'Budget &amp; Revenue'!$A:$AH,12,FALSE)</f>
        <v xml:space="preserve"> </v>
      </c>
      <c r="I118" s="214" t="str">
        <f>VLOOKUP($A118,'Budget &amp; Revenue'!$A:$AH,14,FALSE)</f>
        <v xml:space="preserve"> </v>
      </c>
      <c r="J118" s="214" t="str">
        <f>VLOOKUP($A118,'Budget &amp; Revenue'!$A:$AH,16,FALSE)</f>
        <v xml:space="preserve"> </v>
      </c>
      <c r="K118" s="214" t="str">
        <f>VLOOKUP($A118,'Budget &amp; Revenue'!$A:$AH,18,FALSE)</f>
        <v xml:space="preserve"> </v>
      </c>
      <c r="L118" s="214" t="str">
        <f>VLOOKUP($A118,'Budget &amp; Revenue'!$A:$AH,20,FALSE)</f>
        <v xml:space="preserve"> </v>
      </c>
      <c r="M118" s="214" t="str">
        <f>VLOOKUP($A118,'Budget &amp; Revenue'!$A:$AH,22,FALSE)</f>
        <v xml:space="preserve"> </v>
      </c>
      <c r="N118" s="214" t="str">
        <f>VLOOKUP($A118,'Budget &amp; Revenue'!$A:$AH,24,FALSE)</f>
        <v xml:space="preserve"> </v>
      </c>
      <c r="O118" s="214" t="str">
        <f>VLOOKUP($A118,'Budget &amp; Revenue'!$A:$AH,26,FALSE)</f>
        <v xml:space="preserve"> </v>
      </c>
      <c r="P118" s="214" t="str">
        <f>VLOOKUP($A118,'Budget &amp; Revenue'!$A:$AH,28,FALSE)</f>
        <v xml:space="preserve"> </v>
      </c>
      <c r="Q118" s="214" t="str">
        <f>VLOOKUP($A118,'Budget &amp; Revenue'!$A:$AH,30,FALSE)</f>
        <v xml:space="preserve"> </v>
      </c>
      <c r="R118" s="214" t="str">
        <f>VLOOKUP($A118,'Budget &amp; Revenue'!$A:$AH,32,FALSE)</f>
        <v xml:space="preserve"> </v>
      </c>
      <c r="S118" s="214">
        <f>VLOOKUP($A118,'Budget &amp; Revenue'!$A:$AH,34,FALSE)</f>
        <v>1</v>
      </c>
    </row>
    <row r="120" spans="1:19" x14ac:dyDescent="0.25">
      <c r="D120" s="215"/>
    </row>
  </sheetData>
  <sortState xmlns:xlrd2="http://schemas.microsoft.com/office/spreadsheetml/2017/richdata2" ref="A3:A704">
    <sortCondition ref="A136"/>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27ED6-7B38-4110-A78E-58E2B4AA0947}">
  <dimension ref="A1:AU224"/>
  <sheetViews>
    <sheetView zoomScale="85" zoomScaleNormal="85" workbookViewId="0">
      <pane xSplit="9" ySplit="2" topLeftCell="J198" activePane="bottomRight" state="frozen"/>
      <selection pane="topRight" activeCell="J1" sqref="J1"/>
      <selection pane="bottomLeft" activeCell="A3" sqref="A3"/>
      <selection pane="bottomRight" activeCell="G154" sqref="G154"/>
    </sheetView>
  </sheetViews>
  <sheetFormatPr defaultColWidth="9.140625" defaultRowHeight="15" x14ac:dyDescent="0.25"/>
  <cols>
    <col min="1" max="1" width="13.28515625" style="174" customWidth="1"/>
    <col min="2" max="2" width="11.7109375" style="20" bestFit="1" customWidth="1"/>
    <col min="3" max="3" width="60.140625" style="161" customWidth="1"/>
    <col min="4" max="4" width="7.140625" style="20" bestFit="1" customWidth="1"/>
    <col min="5" max="5" width="11.85546875" style="163" customWidth="1"/>
    <col min="6" max="6" width="11.42578125" bestFit="1" customWidth="1"/>
    <col min="7" max="7" width="12.5703125" bestFit="1" customWidth="1"/>
    <col min="8" max="8" width="12" bestFit="1" customWidth="1"/>
    <col min="9" max="9" width="13.85546875" customWidth="1"/>
    <col min="10" max="10" width="4.7109375" customWidth="1"/>
    <col min="11" max="11" width="9.28515625" bestFit="1" customWidth="1"/>
    <col min="12" max="12" width="12.140625" style="175" bestFit="1" customWidth="1"/>
    <col min="13" max="13" width="10" bestFit="1" customWidth="1"/>
    <col min="14" max="14" width="12.140625" style="175" bestFit="1" customWidth="1"/>
    <col min="15" max="15" width="10.7109375" bestFit="1" customWidth="1"/>
    <col min="16" max="16" width="12.140625" style="175" bestFit="1" customWidth="1"/>
    <col min="17" max="17" width="11.140625" bestFit="1" customWidth="1"/>
    <col min="18" max="18" width="12.140625" style="175" bestFit="1" customWidth="1"/>
    <col min="19" max="19" width="11.140625" bestFit="1" customWidth="1"/>
    <col min="20" max="20" width="12.140625" style="175" bestFit="1" customWidth="1"/>
    <col min="21" max="21" width="11.140625" bestFit="1" customWidth="1"/>
    <col min="22" max="22" width="12.140625" style="175" bestFit="1" customWidth="1"/>
    <col min="23" max="23" width="11.140625" bestFit="1" customWidth="1"/>
    <col min="24" max="24" width="12.140625" style="175" bestFit="1" customWidth="1"/>
    <col min="25" max="25" width="11.140625" bestFit="1" customWidth="1"/>
    <col min="26" max="26" width="12.140625" style="175" bestFit="1" customWidth="1"/>
    <col min="27" max="27" width="11.140625" bestFit="1" customWidth="1"/>
    <col min="28" max="28" width="12.140625" style="175" bestFit="1" customWidth="1"/>
    <col min="29" max="29" width="11.140625" bestFit="1" customWidth="1"/>
    <col min="30" max="30" width="12.140625" style="175" bestFit="1" customWidth="1"/>
    <col min="31" max="31" width="11.140625" bestFit="1" customWidth="1"/>
    <col min="32" max="32" width="12.140625" style="175" bestFit="1" customWidth="1"/>
    <col min="33" max="33" width="11.140625" bestFit="1" customWidth="1"/>
    <col min="34" max="34" width="12.140625" style="175" bestFit="1" customWidth="1"/>
    <col min="35" max="35" width="4.28515625" customWidth="1"/>
    <col min="36" max="47" width="17.140625" customWidth="1"/>
  </cols>
  <sheetData>
    <row r="1" spans="1:47" s="172" customFormat="1" ht="30" x14ac:dyDescent="0.25">
      <c r="A1" s="178" t="s">
        <v>451</v>
      </c>
      <c r="B1" s="179" t="s">
        <v>740</v>
      </c>
      <c r="C1" s="179" t="s">
        <v>471</v>
      </c>
      <c r="D1" s="179" t="s">
        <v>3</v>
      </c>
      <c r="E1" s="180" t="s">
        <v>778</v>
      </c>
      <c r="F1" s="179" t="s">
        <v>741</v>
      </c>
      <c r="G1" s="179" t="s">
        <v>779</v>
      </c>
      <c r="H1" s="179" t="s">
        <v>776</v>
      </c>
      <c r="I1" s="179" t="s">
        <v>777</v>
      </c>
      <c r="J1" s="179"/>
      <c r="K1" s="181">
        <v>41730</v>
      </c>
      <c r="L1" s="182" t="s">
        <v>789</v>
      </c>
      <c r="M1" s="181">
        <v>41760</v>
      </c>
      <c r="N1" s="182" t="s">
        <v>790</v>
      </c>
      <c r="O1" s="181">
        <v>41791</v>
      </c>
      <c r="P1" s="182" t="s">
        <v>791</v>
      </c>
      <c r="Q1" s="181">
        <v>41821</v>
      </c>
      <c r="R1" s="182" t="s">
        <v>792</v>
      </c>
      <c r="S1" s="181">
        <v>41852</v>
      </c>
      <c r="T1" s="182" t="s">
        <v>793</v>
      </c>
      <c r="U1" s="181">
        <v>41883</v>
      </c>
      <c r="V1" s="182" t="s">
        <v>794</v>
      </c>
      <c r="W1" s="181">
        <v>41913</v>
      </c>
      <c r="X1" s="182" t="s">
        <v>795</v>
      </c>
      <c r="Y1" s="181">
        <v>41944</v>
      </c>
      <c r="Z1" s="182" t="s">
        <v>796</v>
      </c>
      <c r="AA1" s="181">
        <v>41974</v>
      </c>
      <c r="AB1" s="182" t="s">
        <v>797</v>
      </c>
      <c r="AC1" s="181">
        <v>42005</v>
      </c>
      <c r="AD1" s="182" t="s">
        <v>798</v>
      </c>
      <c r="AE1" s="181">
        <v>42036</v>
      </c>
      <c r="AF1" s="182" t="s">
        <v>799</v>
      </c>
      <c r="AG1" s="181">
        <v>42064</v>
      </c>
      <c r="AH1" s="182" t="s">
        <v>800</v>
      </c>
      <c r="AI1" s="183"/>
      <c r="AJ1" s="181" t="s">
        <v>801</v>
      </c>
      <c r="AK1" s="179" t="s">
        <v>802</v>
      </c>
      <c r="AL1" s="179" t="s">
        <v>803</v>
      </c>
      <c r="AM1" s="179" t="s">
        <v>804</v>
      </c>
      <c r="AN1" s="179" t="s">
        <v>805</v>
      </c>
      <c r="AO1" s="179" t="s">
        <v>806</v>
      </c>
      <c r="AP1" s="179" t="s">
        <v>807</v>
      </c>
      <c r="AQ1" s="179" t="s">
        <v>808</v>
      </c>
      <c r="AR1" s="179" t="s">
        <v>809</v>
      </c>
      <c r="AS1" s="179" t="s">
        <v>810</v>
      </c>
      <c r="AT1" s="179" t="s">
        <v>811</v>
      </c>
      <c r="AU1" s="179" t="s">
        <v>812</v>
      </c>
    </row>
    <row r="2" spans="1:47" x14ac:dyDescent="0.25">
      <c r="A2" s="184" t="s">
        <v>642</v>
      </c>
      <c r="B2" s="185" t="s">
        <v>642</v>
      </c>
      <c r="C2" s="186" t="s">
        <v>744</v>
      </c>
      <c r="D2" s="185" t="s">
        <v>642</v>
      </c>
      <c r="E2" s="185" t="s">
        <v>642</v>
      </c>
      <c r="F2" s="187" t="s">
        <v>642</v>
      </c>
      <c r="G2" s="187"/>
      <c r="H2" s="188" t="s">
        <v>642</v>
      </c>
      <c r="I2" s="188" t="s">
        <v>642</v>
      </c>
      <c r="J2" s="188" t="s">
        <v>642</v>
      </c>
      <c r="K2" s="187" t="s">
        <v>642</v>
      </c>
      <c r="L2" s="189"/>
      <c r="M2" s="187" t="s">
        <v>642</v>
      </c>
      <c r="N2" s="189"/>
      <c r="O2" s="187" t="s">
        <v>642</v>
      </c>
      <c r="P2" s="189"/>
      <c r="Q2" s="187" t="s">
        <v>642</v>
      </c>
      <c r="R2" s="189"/>
      <c r="S2" s="187" t="s">
        <v>642</v>
      </c>
      <c r="T2" s="189"/>
      <c r="U2" s="187" t="s">
        <v>642</v>
      </c>
      <c r="V2" s="189"/>
      <c r="W2" s="187" t="s">
        <v>642</v>
      </c>
      <c r="X2" s="189"/>
      <c r="Y2" s="187" t="s">
        <v>642</v>
      </c>
      <c r="Z2" s="189"/>
      <c r="AA2" s="187" t="s">
        <v>642</v>
      </c>
      <c r="AB2" s="189"/>
      <c r="AC2" s="187" t="s">
        <v>642</v>
      </c>
      <c r="AD2" s="189"/>
      <c r="AE2" s="187" t="s">
        <v>642</v>
      </c>
      <c r="AF2" s="189"/>
      <c r="AG2" s="187" t="s">
        <v>642</v>
      </c>
      <c r="AH2" s="189"/>
      <c r="AI2" s="189"/>
      <c r="AJ2" s="189"/>
      <c r="AK2" s="189"/>
      <c r="AL2" s="189"/>
      <c r="AM2" s="189"/>
      <c r="AN2" s="189"/>
      <c r="AO2" s="189"/>
      <c r="AP2" s="189"/>
      <c r="AQ2" s="189"/>
      <c r="AR2" s="189"/>
      <c r="AS2" s="189"/>
      <c r="AT2" s="189"/>
      <c r="AU2" s="189"/>
    </row>
    <row r="3" spans="1:47" x14ac:dyDescent="0.25">
      <c r="A3" s="190" t="s">
        <v>642</v>
      </c>
      <c r="B3" s="65" t="s">
        <v>642</v>
      </c>
      <c r="C3" s="191" t="s">
        <v>642</v>
      </c>
      <c r="D3" s="65" t="s">
        <v>642</v>
      </c>
      <c r="E3" s="192"/>
      <c r="F3" s="193" t="s">
        <v>642</v>
      </c>
      <c r="G3" s="194"/>
      <c r="H3" s="195" t="s">
        <v>642</v>
      </c>
      <c r="I3" s="195" t="s">
        <v>642</v>
      </c>
      <c r="J3" s="195"/>
      <c r="K3" s="193" t="s">
        <v>642</v>
      </c>
      <c r="L3" s="196"/>
      <c r="M3" s="193" t="s">
        <v>642</v>
      </c>
      <c r="N3" s="196"/>
      <c r="O3" s="193" t="s">
        <v>642</v>
      </c>
      <c r="P3" s="196"/>
      <c r="Q3" s="193" t="s">
        <v>642</v>
      </c>
      <c r="R3" s="196"/>
      <c r="S3" s="193" t="s">
        <v>642</v>
      </c>
      <c r="T3" s="196"/>
      <c r="U3" s="193" t="s">
        <v>642</v>
      </c>
      <c r="V3" s="196"/>
      <c r="W3" s="193" t="s">
        <v>642</v>
      </c>
      <c r="X3" s="196"/>
      <c r="Y3" s="193" t="s">
        <v>642</v>
      </c>
      <c r="Z3" s="196"/>
      <c r="AA3" s="193" t="s">
        <v>642</v>
      </c>
      <c r="AB3" s="196"/>
      <c r="AC3" s="193" t="s">
        <v>642</v>
      </c>
      <c r="AD3" s="196"/>
      <c r="AE3" s="193" t="s">
        <v>642</v>
      </c>
      <c r="AF3" s="196"/>
      <c r="AG3" s="193" t="s">
        <v>642</v>
      </c>
      <c r="AH3" s="196"/>
      <c r="AI3" s="197"/>
      <c r="AJ3" s="197"/>
      <c r="AK3" s="197"/>
      <c r="AL3" s="197"/>
      <c r="AM3" s="197"/>
      <c r="AN3" s="197"/>
      <c r="AO3" s="197"/>
      <c r="AP3" s="197"/>
      <c r="AQ3" s="197"/>
      <c r="AR3" s="197"/>
      <c r="AS3" s="197"/>
      <c r="AT3" s="197"/>
      <c r="AU3" s="197"/>
    </row>
    <row r="4" spans="1:47" x14ac:dyDescent="0.25">
      <c r="A4" s="190" t="s">
        <v>642</v>
      </c>
      <c r="B4" s="65" t="s">
        <v>745</v>
      </c>
      <c r="C4" s="191" t="s">
        <v>746</v>
      </c>
      <c r="D4" s="65" t="s">
        <v>747</v>
      </c>
      <c r="E4" s="192"/>
      <c r="F4" s="193" t="s">
        <v>642</v>
      </c>
      <c r="G4" s="193"/>
      <c r="H4" s="195" t="s">
        <v>642</v>
      </c>
      <c r="I4" s="195" t="s">
        <v>642</v>
      </c>
      <c r="J4" s="195"/>
      <c r="K4" s="193" t="s">
        <v>642</v>
      </c>
      <c r="L4" s="196"/>
      <c r="M4" s="193" t="s">
        <v>642</v>
      </c>
      <c r="N4" s="196"/>
      <c r="O4" s="193" t="s">
        <v>642</v>
      </c>
      <c r="P4" s="196"/>
      <c r="Q4" s="193" t="s">
        <v>642</v>
      </c>
      <c r="R4" s="196"/>
      <c r="S4" s="193" t="s">
        <v>642</v>
      </c>
      <c r="T4" s="196"/>
      <c r="U4" s="193" t="s">
        <v>642</v>
      </c>
      <c r="V4" s="196"/>
      <c r="W4" s="193" t="s">
        <v>642</v>
      </c>
      <c r="X4" s="196"/>
      <c r="Y4" s="193" t="s">
        <v>642</v>
      </c>
      <c r="Z4" s="196"/>
      <c r="AA4" s="193" t="s">
        <v>642</v>
      </c>
      <c r="AB4" s="196"/>
      <c r="AC4" s="193" t="s">
        <v>642</v>
      </c>
      <c r="AD4" s="196"/>
      <c r="AE4" s="193" t="s">
        <v>642</v>
      </c>
      <c r="AF4" s="196"/>
      <c r="AG4" s="193" t="s">
        <v>642</v>
      </c>
      <c r="AH4" s="196"/>
      <c r="AI4" s="197"/>
      <c r="AJ4" s="197"/>
      <c r="AK4" s="197"/>
      <c r="AL4" s="197"/>
      <c r="AM4" s="197"/>
      <c r="AN4" s="197"/>
      <c r="AO4" s="197"/>
      <c r="AP4" s="197"/>
      <c r="AQ4" s="197"/>
      <c r="AR4" s="197"/>
      <c r="AS4" s="197"/>
      <c r="AT4" s="197"/>
      <c r="AU4" s="197"/>
    </row>
    <row r="5" spans="1:47" x14ac:dyDescent="0.25">
      <c r="A5" s="190" t="s">
        <v>642</v>
      </c>
      <c r="B5" s="65" t="s">
        <v>745</v>
      </c>
      <c r="C5" s="191" t="s">
        <v>642</v>
      </c>
      <c r="D5" s="65" t="s">
        <v>747</v>
      </c>
      <c r="E5" s="192"/>
      <c r="F5" s="193" t="s">
        <v>642</v>
      </c>
      <c r="G5" s="193"/>
      <c r="H5" s="195" t="s">
        <v>642</v>
      </c>
      <c r="I5" s="195" t="s">
        <v>642</v>
      </c>
      <c r="J5" s="195"/>
      <c r="K5" s="193" t="s">
        <v>642</v>
      </c>
      <c r="L5" s="196"/>
      <c r="M5" s="193" t="s">
        <v>642</v>
      </c>
      <c r="N5" s="196"/>
      <c r="O5" s="193" t="s">
        <v>642</v>
      </c>
      <c r="P5" s="196"/>
      <c r="Q5" s="193" t="s">
        <v>642</v>
      </c>
      <c r="R5" s="196"/>
      <c r="S5" s="193" t="s">
        <v>642</v>
      </c>
      <c r="T5" s="196"/>
      <c r="U5" s="193" t="s">
        <v>642</v>
      </c>
      <c r="V5" s="196"/>
      <c r="W5" s="193" t="s">
        <v>642</v>
      </c>
      <c r="X5" s="196"/>
      <c r="Y5" s="193" t="s">
        <v>642</v>
      </c>
      <c r="Z5" s="196"/>
      <c r="AA5" s="193" t="s">
        <v>642</v>
      </c>
      <c r="AB5" s="196"/>
      <c r="AC5" s="193" t="s">
        <v>642</v>
      </c>
      <c r="AD5" s="196"/>
      <c r="AE5" s="193" t="s">
        <v>642</v>
      </c>
      <c r="AF5" s="196"/>
      <c r="AG5" s="193" t="s">
        <v>642</v>
      </c>
      <c r="AH5" s="196"/>
      <c r="AI5" s="197"/>
      <c r="AJ5" s="197"/>
      <c r="AK5" s="197"/>
      <c r="AL5" s="197"/>
      <c r="AM5" s="197"/>
      <c r="AN5" s="197"/>
      <c r="AO5" s="197"/>
      <c r="AP5" s="197"/>
      <c r="AQ5" s="197"/>
      <c r="AR5" s="197"/>
      <c r="AS5" s="197"/>
      <c r="AT5" s="197"/>
      <c r="AU5" s="197"/>
    </row>
    <row r="6" spans="1:47" x14ac:dyDescent="0.25">
      <c r="A6" s="190" t="s">
        <v>642</v>
      </c>
      <c r="B6" s="198" t="s">
        <v>745</v>
      </c>
      <c r="C6" s="199" t="s">
        <v>748</v>
      </c>
      <c r="D6" s="198" t="s">
        <v>747</v>
      </c>
      <c r="E6" s="200"/>
      <c r="F6" s="201" t="s">
        <v>642</v>
      </c>
      <c r="G6" s="201"/>
      <c r="H6" s="202" t="s">
        <v>642</v>
      </c>
      <c r="I6" s="202">
        <v>1372784.35</v>
      </c>
      <c r="J6" s="202"/>
      <c r="K6" s="201" t="s">
        <v>642</v>
      </c>
      <c r="L6" s="203"/>
      <c r="M6" s="201" t="s">
        <v>642</v>
      </c>
      <c r="N6" s="203"/>
      <c r="O6" s="201" t="s">
        <v>642</v>
      </c>
      <c r="P6" s="203"/>
      <c r="Q6" s="201" t="s">
        <v>642</v>
      </c>
      <c r="R6" s="203"/>
      <c r="S6" s="201" t="s">
        <v>642</v>
      </c>
      <c r="T6" s="203"/>
      <c r="U6" s="201" t="s">
        <v>642</v>
      </c>
      <c r="V6" s="203"/>
      <c r="W6" s="201" t="s">
        <v>642</v>
      </c>
      <c r="X6" s="203"/>
      <c r="Y6" s="201" t="s">
        <v>642</v>
      </c>
      <c r="Z6" s="203"/>
      <c r="AA6" s="201" t="s">
        <v>642</v>
      </c>
      <c r="AB6" s="203"/>
      <c r="AC6" s="201" t="s">
        <v>642</v>
      </c>
      <c r="AD6" s="203"/>
      <c r="AE6" s="201" t="s">
        <v>642</v>
      </c>
      <c r="AF6" s="203"/>
      <c r="AG6" s="201" t="s">
        <v>642</v>
      </c>
      <c r="AH6" s="203"/>
      <c r="AI6" s="197"/>
      <c r="AJ6" s="197"/>
      <c r="AK6" s="197"/>
      <c r="AL6" s="197"/>
      <c r="AM6" s="197"/>
      <c r="AN6" s="197"/>
      <c r="AO6" s="197"/>
      <c r="AP6" s="197"/>
      <c r="AQ6" s="197"/>
      <c r="AR6" s="197"/>
      <c r="AS6" s="197"/>
      <c r="AT6" s="197"/>
      <c r="AU6" s="197"/>
    </row>
    <row r="7" spans="1:47" x14ac:dyDescent="0.25">
      <c r="A7" s="190" t="s">
        <v>642</v>
      </c>
      <c r="B7" s="198" t="s">
        <v>745</v>
      </c>
      <c r="C7" s="199" t="s">
        <v>194</v>
      </c>
      <c r="D7" s="198" t="s">
        <v>747</v>
      </c>
      <c r="E7" s="200"/>
      <c r="F7" s="201" t="s">
        <v>642</v>
      </c>
      <c r="G7" s="201"/>
      <c r="H7" s="202" t="s">
        <v>642</v>
      </c>
      <c r="I7" s="202">
        <v>122215.13</v>
      </c>
      <c r="J7" s="202"/>
      <c r="K7" s="201" t="s">
        <v>642</v>
      </c>
      <c r="L7" s="203"/>
      <c r="M7" s="201" t="s">
        <v>642</v>
      </c>
      <c r="N7" s="203"/>
      <c r="O7" s="201" t="s">
        <v>642</v>
      </c>
      <c r="P7" s="203"/>
      <c r="Q7" s="201" t="s">
        <v>642</v>
      </c>
      <c r="R7" s="203"/>
      <c r="S7" s="201" t="s">
        <v>642</v>
      </c>
      <c r="T7" s="203"/>
      <c r="U7" s="201" t="s">
        <v>642</v>
      </c>
      <c r="V7" s="203"/>
      <c r="W7" s="201" t="s">
        <v>642</v>
      </c>
      <c r="X7" s="203"/>
      <c r="Y7" s="201" t="s">
        <v>642</v>
      </c>
      <c r="Z7" s="203"/>
      <c r="AA7" s="201" t="s">
        <v>642</v>
      </c>
      <c r="AB7" s="203"/>
      <c r="AC7" s="201" t="s">
        <v>642</v>
      </c>
      <c r="AD7" s="203"/>
      <c r="AE7" s="201" t="s">
        <v>642</v>
      </c>
      <c r="AF7" s="203"/>
      <c r="AG7" s="201" t="s">
        <v>642</v>
      </c>
      <c r="AH7" s="203"/>
      <c r="AI7" s="197"/>
      <c r="AJ7" s="197"/>
      <c r="AK7" s="197"/>
      <c r="AL7" s="197"/>
      <c r="AM7" s="197"/>
      <c r="AN7" s="197"/>
      <c r="AO7" s="197"/>
      <c r="AP7" s="197"/>
      <c r="AQ7" s="197"/>
      <c r="AR7" s="197"/>
      <c r="AS7" s="197"/>
      <c r="AT7" s="197"/>
      <c r="AU7" s="197"/>
    </row>
    <row r="8" spans="1:47" x14ac:dyDescent="0.25">
      <c r="A8" s="190" t="s">
        <v>642</v>
      </c>
      <c r="B8" s="198" t="s">
        <v>745</v>
      </c>
      <c r="C8" s="199" t="s">
        <v>268</v>
      </c>
      <c r="D8" s="198" t="s">
        <v>747</v>
      </c>
      <c r="E8" s="200"/>
      <c r="F8" s="201" t="s">
        <v>642</v>
      </c>
      <c r="G8" s="201"/>
      <c r="H8" s="202" t="s">
        <v>642</v>
      </c>
      <c r="I8" s="202">
        <v>95815.83</v>
      </c>
      <c r="J8" s="202"/>
      <c r="K8" s="201" t="s">
        <v>642</v>
      </c>
      <c r="L8" s="203"/>
      <c r="M8" s="201" t="s">
        <v>642</v>
      </c>
      <c r="N8" s="203"/>
      <c r="O8" s="201" t="s">
        <v>642</v>
      </c>
      <c r="P8" s="203"/>
      <c r="Q8" s="201" t="s">
        <v>642</v>
      </c>
      <c r="R8" s="203"/>
      <c r="S8" s="201" t="s">
        <v>642</v>
      </c>
      <c r="T8" s="203"/>
      <c r="U8" s="201" t="s">
        <v>642</v>
      </c>
      <c r="V8" s="203"/>
      <c r="W8" s="201" t="s">
        <v>642</v>
      </c>
      <c r="X8" s="203"/>
      <c r="Y8" s="201" t="s">
        <v>642</v>
      </c>
      <c r="Z8" s="203"/>
      <c r="AA8" s="201" t="s">
        <v>642</v>
      </c>
      <c r="AB8" s="203"/>
      <c r="AC8" s="201" t="s">
        <v>642</v>
      </c>
      <c r="AD8" s="203"/>
      <c r="AE8" s="201" t="s">
        <v>642</v>
      </c>
      <c r="AF8" s="203"/>
      <c r="AG8" s="201" t="s">
        <v>642</v>
      </c>
      <c r="AH8" s="203"/>
      <c r="AI8" s="197"/>
      <c r="AJ8" s="197"/>
      <c r="AK8" s="197"/>
      <c r="AL8" s="197"/>
      <c r="AM8" s="197"/>
      <c r="AN8" s="197"/>
      <c r="AO8" s="197"/>
      <c r="AP8" s="197"/>
      <c r="AQ8" s="197"/>
      <c r="AR8" s="197"/>
      <c r="AS8" s="197"/>
      <c r="AT8" s="197"/>
      <c r="AU8" s="197"/>
    </row>
    <row r="9" spans="1:47" x14ac:dyDescent="0.25">
      <c r="A9" s="190" t="s">
        <v>642</v>
      </c>
      <c r="B9" s="198" t="s">
        <v>745</v>
      </c>
      <c r="C9" s="199" t="s">
        <v>318</v>
      </c>
      <c r="D9" s="198" t="s">
        <v>747</v>
      </c>
      <c r="E9" s="200"/>
      <c r="F9" s="201" t="s">
        <v>642</v>
      </c>
      <c r="G9" s="201"/>
      <c r="H9" s="202" t="s">
        <v>642</v>
      </c>
      <c r="I9" s="202">
        <v>309326.07</v>
      </c>
      <c r="J9" s="202"/>
      <c r="K9" s="201" t="s">
        <v>642</v>
      </c>
      <c r="L9" s="203"/>
      <c r="M9" s="201" t="s">
        <v>642</v>
      </c>
      <c r="N9" s="203"/>
      <c r="O9" s="201" t="s">
        <v>642</v>
      </c>
      <c r="P9" s="203"/>
      <c r="Q9" s="201" t="s">
        <v>642</v>
      </c>
      <c r="R9" s="203"/>
      <c r="S9" s="201" t="s">
        <v>642</v>
      </c>
      <c r="T9" s="203"/>
      <c r="U9" s="201" t="s">
        <v>642</v>
      </c>
      <c r="V9" s="203"/>
      <c r="W9" s="201" t="s">
        <v>642</v>
      </c>
      <c r="X9" s="203"/>
      <c r="Y9" s="201" t="s">
        <v>642</v>
      </c>
      <c r="Z9" s="203"/>
      <c r="AA9" s="201" t="s">
        <v>642</v>
      </c>
      <c r="AB9" s="203"/>
      <c r="AC9" s="201" t="s">
        <v>642</v>
      </c>
      <c r="AD9" s="203"/>
      <c r="AE9" s="201" t="s">
        <v>642</v>
      </c>
      <c r="AF9" s="203"/>
      <c r="AG9" s="201" t="s">
        <v>642</v>
      </c>
      <c r="AH9" s="203"/>
      <c r="AI9" s="197"/>
      <c r="AJ9" s="197"/>
      <c r="AK9" s="197"/>
      <c r="AL9" s="197"/>
      <c r="AM9" s="197"/>
      <c r="AN9" s="197"/>
      <c r="AO9" s="197"/>
      <c r="AP9" s="197"/>
      <c r="AQ9" s="197"/>
      <c r="AR9" s="197"/>
      <c r="AS9" s="197"/>
      <c r="AT9" s="197"/>
      <c r="AU9" s="197"/>
    </row>
    <row r="10" spans="1:47" x14ac:dyDescent="0.25">
      <c r="A10" s="190" t="s">
        <v>642</v>
      </c>
      <c r="B10" s="198" t="s">
        <v>745</v>
      </c>
      <c r="C10" s="199" t="s">
        <v>749</v>
      </c>
      <c r="D10" s="198" t="s">
        <v>747</v>
      </c>
      <c r="E10" s="200"/>
      <c r="F10" s="201" t="s">
        <v>642</v>
      </c>
      <c r="G10" s="201"/>
      <c r="H10" s="202" t="s">
        <v>642</v>
      </c>
      <c r="I10" s="202">
        <v>502600.18</v>
      </c>
      <c r="J10" s="202"/>
      <c r="K10" s="201" t="s">
        <v>642</v>
      </c>
      <c r="L10" s="203"/>
      <c r="M10" s="201" t="s">
        <v>642</v>
      </c>
      <c r="N10" s="203"/>
      <c r="O10" s="201" t="s">
        <v>642</v>
      </c>
      <c r="P10" s="203"/>
      <c r="Q10" s="201" t="s">
        <v>642</v>
      </c>
      <c r="R10" s="203"/>
      <c r="S10" s="201" t="s">
        <v>642</v>
      </c>
      <c r="T10" s="203"/>
      <c r="U10" s="201" t="s">
        <v>642</v>
      </c>
      <c r="V10" s="203"/>
      <c r="W10" s="201" t="s">
        <v>642</v>
      </c>
      <c r="X10" s="203"/>
      <c r="Y10" s="201" t="s">
        <v>642</v>
      </c>
      <c r="Z10" s="203"/>
      <c r="AA10" s="201" t="s">
        <v>642</v>
      </c>
      <c r="AB10" s="203"/>
      <c r="AC10" s="201" t="s">
        <v>642</v>
      </c>
      <c r="AD10" s="203"/>
      <c r="AE10" s="201" t="s">
        <v>642</v>
      </c>
      <c r="AF10" s="203"/>
      <c r="AG10" s="201" t="s">
        <v>642</v>
      </c>
      <c r="AH10" s="203"/>
      <c r="AI10" s="197"/>
      <c r="AJ10" s="197"/>
      <c r="AK10" s="197"/>
      <c r="AL10" s="197"/>
      <c r="AM10" s="197"/>
      <c r="AN10" s="197"/>
      <c r="AO10" s="197"/>
      <c r="AP10" s="197"/>
      <c r="AQ10" s="197"/>
      <c r="AR10" s="197"/>
      <c r="AS10" s="197"/>
      <c r="AT10" s="197"/>
      <c r="AU10" s="197"/>
    </row>
    <row r="11" spans="1:47" x14ac:dyDescent="0.25">
      <c r="A11" s="190" t="s">
        <v>642</v>
      </c>
      <c r="B11" s="198" t="s">
        <v>745</v>
      </c>
      <c r="C11" s="199" t="s">
        <v>750</v>
      </c>
      <c r="D11" s="198" t="s">
        <v>747</v>
      </c>
      <c r="E11" s="200"/>
      <c r="F11" s="201" t="s">
        <v>642</v>
      </c>
      <c r="G11" s="201"/>
      <c r="H11" s="202" t="s">
        <v>642</v>
      </c>
      <c r="I11" s="202">
        <v>2402741.56</v>
      </c>
      <c r="J11" s="202"/>
      <c r="K11" s="201" t="s">
        <v>642</v>
      </c>
      <c r="L11" s="203"/>
      <c r="M11" s="201" t="s">
        <v>642</v>
      </c>
      <c r="N11" s="203"/>
      <c r="O11" s="201" t="s">
        <v>642</v>
      </c>
      <c r="P11" s="203"/>
      <c r="Q11" s="201" t="s">
        <v>642</v>
      </c>
      <c r="R11" s="203"/>
      <c r="S11" s="201" t="s">
        <v>642</v>
      </c>
      <c r="T11" s="203"/>
      <c r="U11" s="201" t="s">
        <v>642</v>
      </c>
      <c r="V11" s="203"/>
      <c r="W11" s="201" t="s">
        <v>642</v>
      </c>
      <c r="X11" s="203"/>
      <c r="Y11" s="201" t="s">
        <v>642</v>
      </c>
      <c r="Z11" s="203"/>
      <c r="AA11" s="201" t="s">
        <v>642</v>
      </c>
      <c r="AB11" s="203"/>
      <c r="AC11" s="201" t="s">
        <v>642</v>
      </c>
      <c r="AD11" s="203"/>
      <c r="AE11" s="201" t="s">
        <v>642</v>
      </c>
      <c r="AF11" s="203"/>
      <c r="AG11" s="201" t="s">
        <v>642</v>
      </c>
      <c r="AH11" s="203"/>
      <c r="AI11" s="197"/>
      <c r="AJ11" s="197"/>
      <c r="AK11" s="197"/>
      <c r="AL11" s="197"/>
      <c r="AM11" s="197"/>
      <c r="AN11" s="197"/>
      <c r="AO11" s="197"/>
      <c r="AP11" s="197"/>
      <c r="AQ11" s="197"/>
      <c r="AR11" s="197"/>
      <c r="AS11" s="197"/>
      <c r="AT11" s="197"/>
      <c r="AU11" s="197"/>
    </row>
    <row r="12" spans="1:47" x14ac:dyDescent="0.25">
      <c r="A12" s="190" t="s">
        <v>642</v>
      </c>
      <c r="B12" s="65" t="s">
        <v>745</v>
      </c>
      <c r="C12" s="191" t="s">
        <v>642</v>
      </c>
      <c r="D12" s="65" t="s">
        <v>747</v>
      </c>
      <c r="E12" s="192"/>
      <c r="F12" s="193" t="s">
        <v>642</v>
      </c>
      <c r="G12" s="193"/>
      <c r="H12" s="195" t="s">
        <v>642</v>
      </c>
      <c r="I12" s="195" t="s">
        <v>642</v>
      </c>
      <c r="J12" s="195"/>
      <c r="K12" s="193" t="s">
        <v>642</v>
      </c>
      <c r="L12" s="196"/>
      <c r="M12" s="193" t="s">
        <v>642</v>
      </c>
      <c r="N12" s="196"/>
      <c r="O12" s="193" t="s">
        <v>642</v>
      </c>
      <c r="P12" s="196"/>
      <c r="Q12" s="193" t="s">
        <v>642</v>
      </c>
      <c r="R12" s="196"/>
      <c r="S12" s="193" t="s">
        <v>642</v>
      </c>
      <c r="T12" s="196"/>
      <c r="U12" s="193" t="s">
        <v>642</v>
      </c>
      <c r="V12" s="196"/>
      <c r="W12" s="193" t="s">
        <v>642</v>
      </c>
      <c r="X12" s="196"/>
      <c r="Y12" s="193" t="s">
        <v>642</v>
      </c>
      <c r="Z12" s="196"/>
      <c r="AA12" s="193" t="s">
        <v>642</v>
      </c>
      <c r="AB12" s="196"/>
      <c r="AC12" s="193" t="s">
        <v>642</v>
      </c>
      <c r="AD12" s="196"/>
      <c r="AE12" s="193" t="s">
        <v>642</v>
      </c>
      <c r="AF12" s="196"/>
      <c r="AG12" s="193" t="s">
        <v>642</v>
      </c>
      <c r="AH12" s="196"/>
      <c r="AI12" s="197"/>
      <c r="AJ12" s="197"/>
      <c r="AK12" s="197"/>
      <c r="AL12" s="197"/>
      <c r="AM12" s="197"/>
      <c r="AN12" s="197"/>
      <c r="AO12" s="197"/>
      <c r="AP12" s="197"/>
      <c r="AQ12" s="197"/>
      <c r="AR12" s="197"/>
      <c r="AS12" s="197"/>
      <c r="AT12" s="197"/>
      <c r="AU12" s="197"/>
    </row>
    <row r="13" spans="1:47" x14ac:dyDescent="0.25">
      <c r="A13" s="190" t="s">
        <v>642</v>
      </c>
      <c r="B13" s="65" t="s">
        <v>764</v>
      </c>
      <c r="C13" s="191" t="s">
        <v>14</v>
      </c>
      <c r="D13" s="65" t="s">
        <v>747</v>
      </c>
      <c r="E13" s="192"/>
      <c r="F13" s="193" t="s">
        <v>642</v>
      </c>
      <c r="G13" s="193"/>
      <c r="H13" s="195" t="s">
        <v>642</v>
      </c>
      <c r="I13" s="195" t="s">
        <v>642</v>
      </c>
      <c r="J13" s="195"/>
      <c r="K13" s="193" t="s">
        <v>642</v>
      </c>
      <c r="L13" s="196"/>
      <c r="M13" s="193" t="s">
        <v>642</v>
      </c>
      <c r="N13" s="196"/>
      <c r="O13" s="193" t="s">
        <v>642</v>
      </c>
      <c r="P13" s="196"/>
      <c r="Q13" s="193" t="s">
        <v>642</v>
      </c>
      <c r="R13" s="196"/>
      <c r="S13" s="193" t="s">
        <v>642</v>
      </c>
      <c r="T13" s="196"/>
      <c r="U13" s="193" t="s">
        <v>642</v>
      </c>
      <c r="V13" s="196"/>
      <c r="W13" s="193" t="s">
        <v>642</v>
      </c>
      <c r="X13" s="196"/>
      <c r="Y13" s="193" t="s">
        <v>642</v>
      </c>
      <c r="Z13" s="196"/>
      <c r="AA13" s="193" t="s">
        <v>642</v>
      </c>
      <c r="AB13" s="196"/>
      <c r="AC13" s="193" t="s">
        <v>642</v>
      </c>
      <c r="AD13" s="196"/>
      <c r="AE13" s="193" t="s">
        <v>642</v>
      </c>
      <c r="AF13" s="196"/>
      <c r="AG13" s="193" t="s">
        <v>642</v>
      </c>
      <c r="AH13" s="196"/>
      <c r="AI13" s="197"/>
      <c r="AJ13" s="197"/>
      <c r="AK13" s="197"/>
      <c r="AL13" s="197"/>
      <c r="AM13" s="197"/>
      <c r="AN13" s="197"/>
      <c r="AO13" s="197"/>
      <c r="AP13" s="197"/>
      <c r="AQ13" s="197"/>
      <c r="AR13" s="197"/>
      <c r="AS13" s="197"/>
      <c r="AT13" s="197"/>
      <c r="AU13" s="197"/>
    </row>
    <row r="14" spans="1:47" x14ac:dyDescent="0.25">
      <c r="A14" s="190"/>
      <c r="B14" s="65">
        <v>1000</v>
      </c>
      <c r="C14" s="191" t="s">
        <v>751</v>
      </c>
      <c r="D14" s="65" t="s">
        <v>747</v>
      </c>
      <c r="E14" s="192"/>
      <c r="F14" s="193" t="s">
        <v>642</v>
      </c>
      <c r="G14" s="194"/>
      <c r="H14" s="195" t="s">
        <v>642</v>
      </c>
      <c r="I14" s="195" t="s">
        <v>642</v>
      </c>
      <c r="J14" s="195"/>
      <c r="K14" s="193" t="s">
        <v>642</v>
      </c>
      <c r="L14" s="196"/>
      <c r="M14" s="193" t="s">
        <v>642</v>
      </c>
      <c r="N14" s="196"/>
      <c r="O14" s="193" t="s">
        <v>642</v>
      </c>
      <c r="P14" s="196"/>
      <c r="Q14" s="193" t="s">
        <v>642</v>
      </c>
      <c r="R14" s="196"/>
      <c r="S14" s="193" t="s">
        <v>642</v>
      </c>
      <c r="T14" s="196"/>
      <c r="U14" s="193" t="s">
        <v>642</v>
      </c>
      <c r="V14" s="196"/>
      <c r="W14" s="193" t="s">
        <v>642</v>
      </c>
      <c r="X14" s="196"/>
      <c r="Y14" s="193" t="s">
        <v>642</v>
      </c>
      <c r="Z14" s="196"/>
      <c r="AA14" s="193" t="s">
        <v>642</v>
      </c>
      <c r="AB14" s="196"/>
      <c r="AC14" s="193" t="s">
        <v>642</v>
      </c>
      <c r="AD14" s="196"/>
      <c r="AE14" s="193" t="s">
        <v>642</v>
      </c>
      <c r="AF14" s="196"/>
      <c r="AG14" s="193" t="s">
        <v>642</v>
      </c>
      <c r="AH14" s="196"/>
      <c r="AI14" s="197"/>
      <c r="AJ14" s="197"/>
      <c r="AK14" s="197"/>
      <c r="AL14" s="197"/>
      <c r="AM14" s="197"/>
      <c r="AN14" s="197"/>
      <c r="AO14" s="197"/>
      <c r="AP14" s="197"/>
      <c r="AQ14" s="197"/>
      <c r="AR14" s="197"/>
      <c r="AS14" s="197"/>
      <c r="AT14" s="197"/>
      <c r="AU14" s="197"/>
    </row>
    <row r="15" spans="1:47" x14ac:dyDescent="0.25">
      <c r="A15" s="190" t="s">
        <v>642</v>
      </c>
      <c r="B15" s="65">
        <v>1100</v>
      </c>
      <c r="C15" s="191" t="s">
        <v>752</v>
      </c>
      <c r="D15" s="65" t="s">
        <v>747</v>
      </c>
      <c r="E15" s="204"/>
      <c r="F15" s="193" t="s">
        <v>642</v>
      </c>
      <c r="G15" s="205"/>
      <c r="H15" s="195" t="s">
        <v>642</v>
      </c>
      <c r="I15" s="195" t="s">
        <v>642</v>
      </c>
      <c r="J15" s="195"/>
      <c r="K15" s="193" t="s">
        <v>642</v>
      </c>
      <c r="L15" s="196"/>
      <c r="M15" s="193" t="s">
        <v>642</v>
      </c>
      <c r="N15" s="196"/>
      <c r="O15" s="193" t="s">
        <v>642</v>
      </c>
      <c r="P15" s="196"/>
      <c r="Q15" s="193" t="s">
        <v>642</v>
      </c>
      <c r="R15" s="196"/>
      <c r="S15" s="193" t="s">
        <v>642</v>
      </c>
      <c r="T15" s="196"/>
      <c r="U15" s="193" t="s">
        <v>642</v>
      </c>
      <c r="V15" s="196"/>
      <c r="W15" s="193" t="s">
        <v>642</v>
      </c>
      <c r="X15" s="196"/>
      <c r="Y15" s="193" t="s">
        <v>642</v>
      </c>
      <c r="Z15" s="196"/>
      <c r="AA15" s="193" t="s">
        <v>642</v>
      </c>
      <c r="AB15" s="196"/>
      <c r="AC15" s="193" t="s">
        <v>642</v>
      </c>
      <c r="AD15" s="196"/>
      <c r="AE15" s="193" t="s">
        <v>642</v>
      </c>
      <c r="AF15" s="196"/>
      <c r="AG15" s="193" t="s">
        <v>642</v>
      </c>
      <c r="AH15" s="196"/>
      <c r="AI15" s="197"/>
      <c r="AJ15" s="197"/>
      <c r="AK15" s="197"/>
      <c r="AL15" s="197"/>
      <c r="AM15" s="197"/>
      <c r="AN15" s="197"/>
      <c r="AO15" s="197"/>
      <c r="AP15" s="197"/>
      <c r="AQ15" s="197"/>
      <c r="AR15" s="197"/>
      <c r="AS15" s="197"/>
      <c r="AT15" s="197"/>
      <c r="AU15" s="197"/>
    </row>
    <row r="16" spans="1:47" x14ac:dyDescent="0.25">
      <c r="A16" s="190">
        <v>5</v>
      </c>
      <c r="B16" s="65">
        <v>1101.0999999999999</v>
      </c>
      <c r="C16" s="191" t="s">
        <v>16</v>
      </c>
      <c r="D16" s="65" t="s">
        <v>17</v>
      </c>
      <c r="E16" s="192">
        <f>IF(A16=" "," ",VLOOKUP(A16,Estimate!A:Q,17,FALSE))</f>
        <v>12000</v>
      </c>
      <c r="F16" s="193">
        <v>1</v>
      </c>
      <c r="G16" s="206">
        <v>15976.35</v>
      </c>
      <c r="H16" s="195">
        <v>18017.099999999999</v>
      </c>
      <c r="I16" s="195">
        <v>18017.099999999999</v>
      </c>
      <c r="J16" s="195"/>
      <c r="K16" s="193">
        <v>0.75</v>
      </c>
      <c r="L16" s="196">
        <f>IFERROR(IF(K16=0," ",K16/$F16)," ")</f>
        <v>0.75</v>
      </c>
      <c r="M16" s="193">
        <v>0.75</v>
      </c>
      <c r="N16" s="196">
        <f>IFERROR(IF(M16=0," ",M16/$F16)," ")</f>
        <v>0.75</v>
      </c>
      <c r="O16" s="193">
        <v>0.75</v>
      </c>
      <c r="P16" s="196">
        <f>IFERROR(IF(O16=0," ",O16/$F16)," ")</f>
        <v>0.75</v>
      </c>
      <c r="Q16" s="193">
        <v>0.8</v>
      </c>
      <c r="R16" s="196">
        <f>IFERROR(IF(Q16=0," ",Q16/$F16)," ")</f>
        <v>0.8</v>
      </c>
      <c r="S16" s="193">
        <v>0.8</v>
      </c>
      <c r="T16" s="196">
        <f>IFERROR(IF(S16=0," ",S16/$F16)," ")</f>
        <v>0.8</v>
      </c>
      <c r="U16" s="193">
        <v>0.8</v>
      </c>
      <c r="V16" s="196">
        <f>IFERROR(IF(U16=0," ",U16/$F16)," ")</f>
        <v>0.8</v>
      </c>
      <c r="W16" s="193">
        <v>0.8</v>
      </c>
      <c r="X16" s="196">
        <f>IFERROR(IF(W16=0," ",W16/$F16)," ")</f>
        <v>0.8</v>
      </c>
      <c r="Y16" s="193">
        <v>0.8</v>
      </c>
      <c r="Z16" s="196">
        <f>IFERROR(IF(Y16=0," ",Y16/$F16)," ")</f>
        <v>0.8</v>
      </c>
      <c r="AA16" s="193">
        <v>0.8</v>
      </c>
      <c r="AB16" s="196">
        <f>IFERROR(IF(AA16=0," ",AA16/$F16)," ")</f>
        <v>0.8</v>
      </c>
      <c r="AC16" s="193">
        <v>0.8</v>
      </c>
      <c r="AD16" s="196">
        <f>IFERROR(IF(AC16=0," ",AC16/$F16)," ")</f>
        <v>0.8</v>
      </c>
      <c r="AE16" s="193">
        <v>1</v>
      </c>
      <c r="AF16" s="196">
        <f>IFERROR(IF(AE16=0," ",AE16/$F16)," ")</f>
        <v>1</v>
      </c>
      <c r="AG16" s="193">
        <v>1</v>
      </c>
      <c r="AH16" s="196">
        <f>IFERROR(IF(AG16=0," ",AG16/$F16)," ")</f>
        <v>1</v>
      </c>
      <c r="AI16" s="197"/>
      <c r="AJ16" s="177">
        <v>13512.824999999999</v>
      </c>
      <c r="AK16" s="177">
        <v>13512.824999999999</v>
      </c>
      <c r="AL16" s="177">
        <v>13512.824999999999</v>
      </c>
      <c r="AM16" s="177">
        <v>14413.68</v>
      </c>
      <c r="AN16" s="177">
        <v>14413.68</v>
      </c>
      <c r="AO16" s="177">
        <v>14413.68</v>
      </c>
      <c r="AP16" s="177">
        <v>14413.68</v>
      </c>
      <c r="AQ16" s="177">
        <v>14413.68</v>
      </c>
      <c r="AR16" s="177">
        <v>14413.68</v>
      </c>
      <c r="AS16" s="177">
        <v>14413.68</v>
      </c>
      <c r="AT16" s="177">
        <v>18017.099999999999</v>
      </c>
      <c r="AU16" s="177">
        <v>18017.099999999999</v>
      </c>
    </row>
    <row r="17" spans="1:47" x14ac:dyDescent="0.25">
      <c r="A17" s="190" t="s">
        <v>642</v>
      </c>
      <c r="B17" s="65">
        <v>1200</v>
      </c>
      <c r="C17" s="191" t="s">
        <v>753</v>
      </c>
      <c r="D17" s="65" t="s">
        <v>747</v>
      </c>
      <c r="E17" s="192" t="str">
        <f>IF(A17=" "," ",VLOOKUP(A17,Estimate!A:Q,17,FALSE))</f>
        <v xml:space="preserve"> </v>
      </c>
      <c r="F17" s="193" t="s">
        <v>642</v>
      </c>
      <c r="G17" s="206" t="s">
        <v>642</v>
      </c>
      <c r="H17" s="195" t="s">
        <v>642</v>
      </c>
      <c r="I17" s="195" t="s">
        <v>642</v>
      </c>
      <c r="J17" s="195"/>
      <c r="K17" s="193" t="s">
        <v>642</v>
      </c>
      <c r="L17" s="196" t="str">
        <f t="shared" ref="L17:N80" si="0">IFERROR(IF(K17=0," ",K17/$F17)," ")</f>
        <v xml:space="preserve"> </v>
      </c>
      <c r="M17" s="193" t="s">
        <v>642</v>
      </c>
      <c r="N17" s="196" t="str">
        <f t="shared" si="0"/>
        <v xml:space="preserve"> </v>
      </c>
      <c r="O17" s="193" t="s">
        <v>642</v>
      </c>
      <c r="P17" s="196" t="str">
        <f t="shared" ref="P17" si="1">IFERROR(IF(O17=0," ",O17/$F17)," ")</f>
        <v xml:space="preserve"> </v>
      </c>
      <c r="Q17" s="193" t="s">
        <v>642</v>
      </c>
      <c r="R17" s="196" t="str">
        <f t="shared" ref="R17" si="2">IFERROR(IF(Q17=0," ",Q17/$F17)," ")</f>
        <v xml:space="preserve"> </v>
      </c>
      <c r="S17" s="193" t="s">
        <v>642</v>
      </c>
      <c r="T17" s="196" t="str">
        <f t="shared" ref="T17" si="3">IFERROR(IF(S17=0," ",S17/$F17)," ")</f>
        <v xml:space="preserve"> </v>
      </c>
      <c r="U17" s="193" t="s">
        <v>642</v>
      </c>
      <c r="V17" s="196" t="str">
        <f t="shared" ref="V17" si="4">IFERROR(IF(U17=0," ",U17/$F17)," ")</f>
        <v xml:space="preserve"> </v>
      </c>
      <c r="W17" s="193" t="s">
        <v>642</v>
      </c>
      <c r="X17" s="196" t="str">
        <f t="shared" ref="X17" si="5">IFERROR(IF(W17=0," ",W17/$F17)," ")</f>
        <v xml:space="preserve"> </v>
      </c>
      <c r="Y17" s="193" t="s">
        <v>642</v>
      </c>
      <c r="Z17" s="196" t="str">
        <f t="shared" ref="Z17" si="6">IFERROR(IF(Y17=0," ",Y17/$F17)," ")</f>
        <v xml:space="preserve"> </v>
      </c>
      <c r="AA17" s="193" t="s">
        <v>642</v>
      </c>
      <c r="AB17" s="196" t="str">
        <f t="shared" ref="AB17" si="7">IFERROR(IF(AA17=0," ",AA17/$F17)," ")</f>
        <v xml:space="preserve"> </v>
      </c>
      <c r="AC17" s="193" t="s">
        <v>642</v>
      </c>
      <c r="AD17" s="196" t="str">
        <f t="shared" ref="AD17" si="8">IFERROR(IF(AC17=0," ",AC17/$F17)," ")</f>
        <v xml:space="preserve"> </v>
      </c>
      <c r="AE17" s="193" t="s">
        <v>642</v>
      </c>
      <c r="AF17" s="196" t="str">
        <f t="shared" ref="AF17" si="9">IFERROR(IF(AE17=0," ",AE17/$F17)," ")</f>
        <v xml:space="preserve"> </v>
      </c>
      <c r="AG17" s="193" t="s">
        <v>642</v>
      </c>
      <c r="AH17" s="196" t="str">
        <f t="shared" ref="AH17" si="10">IFERROR(IF(AG17=0," ",AG17/$F17)," ")</f>
        <v xml:space="preserve"> </v>
      </c>
      <c r="AI17" s="197"/>
      <c r="AJ17" s="177" t="s">
        <v>642</v>
      </c>
      <c r="AK17" s="177" t="s">
        <v>642</v>
      </c>
      <c r="AL17" s="177" t="s">
        <v>642</v>
      </c>
      <c r="AM17" s="177" t="s">
        <v>642</v>
      </c>
      <c r="AN17" s="177" t="s">
        <v>642</v>
      </c>
      <c r="AO17" s="177" t="s">
        <v>642</v>
      </c>
      <c r="AP17" s="177" t="s">
        <v>642</v>
      </c>
      <c r="AQ17" s="177" t="s">
        <v>642</v>
      </c>
      <c r="AR17" s="177" t="s">
        <v>642</v>
      </c>
      <c r="AS17" s="177" t="s">
        <v>642</v>
      </c>
      <c r="AT17" s="177" t="s">
        <v>642</v>
      </c>
      <c r="AU17" s="177" t="s">
        <v>642</v>
      </c>
    </row>
    <row r="18" spans="1:47" x14ac:dyDescent="0.25">
      <c r="A18" s="190" t="s">
        <v>642</v>
      </c>
      <c r="B18" s="65">
        <v>1211.0999999999999</v>
      </c>
      <c r="C18" s="191" t="s">
        <v>754</v>
      </c>
      <c r="D18" s="65" t="s">
        <v>17</v>
      </c>
      <c r="E18" s="192" t="str">
        <f>IF(A18=" "," ",VLOOKUP(A18,Estimate!A:Q,17,FALSE))</f>
        <v xml:space="preserve"> </v>
      </c>
      <c r="F18" s="193">
        <v>1</v>
      </c>
      <c r="G18" s="206" t="s">
        <v>642</v>
      </c>
      <c r="H18" s="195"/>
      <c r="I18" s="195"/>
      <c r="J18" s="195"/>
      <c r="K18" s="193"/>
      <c r="L18" s="196" t="str">
        <f t="shared" si="0"/>
        <v xml:space="preserve"> </v>
      </c>
      <c r="M18" s="193"/>
      <c r="N18" s="196" t="str">
        <f t="shared" si="0"/>
        <v xml:space="preserve"> </v>
      </c>
      <c r="O18" s="193"/>
      <c r="P18" s="196" t="str">
        <f t="shared" ref="P18" si="11">IFERROR(IF(O18=0," ",O18/$F18)," ")</f>
        <v xml:space="preserve"> </v>
      </c>
      <c r="Q18" s="193"/>
      <c r="R18" s="196" t="str">
        <f t="shared" ref="R18" si="12">IFERROR(IF(Q18=0," ",Q18/$F18)," ")</f>
        <v xml:space="preserve"> </v>
      </c>
      <c r="S18" s="193"/>
      <c r="T18" s="196" t="str">
        <f t="shared" ref="T18" si="13">IFERROR(IF(S18=0," ",S18/$F18)," ")</f>
        <v xml:space="preserve"> </v>
      </c>
      <c r="U18" s="193"/>
      <c r="V18" s="196" t="str">
        <f t="shared" ref="V18" si="14">IFERROR(IF(U18=0," ",U18/$F18)," ")</f>
        <v xml:space="preserve"> </v>
      </c>
      <c r="W18" s="193"/>
      <c r="X18" s="196" t="str">
        <f t="shared" ref="X18" si="15">IFERROR(IF(W18=0," ",W18/$F18)," ")</f>
        <v xml:space="preserve"> </v>
      </c>
      <c r="Y18" s="193"/>
      <c r="Z18" s="196" t="str">
        <f t="shared" ref="Z18" si="16">IFERROR(IF(Y18=0," ",Y18/$F18)," ")</f>
        <v xml:space="preserve"> </v>
      </c>
      <c r="AA18" s="193"/>
      <c r="AB18" s="196" t="str">
        <f t="shared" ref="AB18" si="17">IFERROR(IF(AA18=0," ",AA18/$F18)," ")</f>
        <v xml:space="preserve"> </v>
      </c>
      <c r="AC18" s="193"/>
      <c r="AD18" s="196" t="str">
        <f t="shared" ref="AD18" si="18">IFERROR(IF(AC18=0," ",AC18/$F18)," ")</f>
        <v xml:space="preserve"> </v>
      </c>
      <c r="AE18" s="193"/>
      <c r="AF18" s="196" t="str">
        <f t="shared" ref="AF18" si="19">IFERROR(IF(AE18=0," ",AE18/$F18)," ")</f>
        <v xml:space="preserve"> </v>
      </c>
      <c r="AG18" s="193"/>
      <c r="AH18" s="196" t="str">
        <f t="shared" ref="AH18" si="20">IFERROR(IF(AG18=0," ",AG18/$F18)," ")</f>
        <v xml:space="preserve"> </v>
      </c>
      <c r="AI18" s="197"/>
      <c r="AJ18" s="177" t="s">
        <v>642</v>
      </c>
      <c r="AK18" s="177" t="s">
        <v>642</v>
      </c>
      <c r="AL18" s="177" t="s">
        <v>642</v>
      </c>
      <c r="AM18" s="177" t="s">
        <v>642</v>
      </c>
      <c r="AN18" s="177" t="s">
        <v>642</v>
      </c>
      <c r="AO18" s="177" t="s">
        <v>642</v>
      </c>
      <c r="AP18" s="177" t="s">
        <v>642</v>
      </c>
      <c r="AQ18" s="177" t="s">
        <v>642</v>
      </c>
      <c r="AR18" s="177" t="s">
        <v>642</v>
      </c>
      <c r="AS18" s="177" t="s">
        <v>642</v>
      </c>
      <c r="AT18" s="177" t="s">
        <v>642</v>
      </c>
      <c r="AU18" s="177" t="s">
        <v>642</v>
      </c>
    </row>
    <row r="19" spans="1:47" x14ac:dyDescent="0.25">
      <c r="A19" s="190" t="s">
        <v>642</v>
      </c>
      <c r="B19" s="65">
        <v>1310</v>
      </c>
      <c r="C19" s="191" t="s">
        <v>755</v>
      </c>
      <c r="D19" s="65" t="s">
        <v>747</v>
      </c>
      <c r="E19" s="192" t="str">
        <f>IF(A19=" "," ",VLOOKUP(A19,Estimate!A:Q,17,FALSE))</f>
        <v xml:space="preserve"> </v>
      </c>
      <c r="F19" s="193" t="s">
        <v>642</v>
      </c>
      <c r="G19" s="206" t="s">
        <v>642</v>
      </c>
      <c r="H19" s="195" t="s">
        <v>642</v>
      </c>
      <c r="I19" s="195" t="s">
        <v>642</v>
      </c>
      <c r="J19" s="195"/>
      <c r="K19" s="193" t="s">
        <v>642</v>
      </c>
      <c r="L19" s="196" t="str">
        <f t="shared" si="0"/>
        <v xml:space="preserve"> </v>
      </c>
      <c r="M19" s="193" t="s">
        <v>642</v>
      </c>
      <c r="N19" s="196" t="str">
        <f t="shared" si="0"/>
        <v xml:space="preserve"> </v>
      </c>
      <c r="O19" s="193" t="s">
        <v>642</v>
      </c>
      <c r="P19" s="196" t="str">
        <f t="shared" ref="P19" si="21">IFERROR(IF(O19=0," ",O19/$F19)," ")</f>
        <v xml:space="preserve"> </v>
      </c>
      <c r="Q19" s="193" t="s">
        <v>642</v>
      </c>
      <c r="R19" s="196" t="str">
        <f t="shared" ref="R19" si="22">IFERROR(IF(Q19=0," ",Q19/$F19)," ")</f>
        <v xml:space="preserve"> </v>
      </c>
      <c r="S19" s="193" t="s">
        <v>642</v>
      </c>
      <c r="T19" s="196" t="str">
        <f t="shared" ref="T19" si="23">IFERROR(IF(S19=0," ",S19/$F19)," ")</f>
        <v xml:space="preserve"> </v>
      </c>
      <c r="U19" s="193" t="s">
        <v>642</v>
      </c>
      <c r="V19" s="196" t="str">
        <f t="shared" ref="V19" si="24">IFERROR(IF(U19=0," ",U19/$F19)," ")</f>
        <v xml:space="preserve"> </v>
      </c>
      <c r="W19" s="193" t="s">
        <v>642</v>
      </c>
      <c r="X19" s="196" t="str">
        <f t="shared" ref="X19" si="25">IFERROR(IF(W19=0," ",W19/$F19)," ")</f>
        <v xml:space="preserve"> </v>
      </c>
      <c r="Y19" s="193" t="s">
        <v>642</v>
      </c>
      <c r="Z19" s="196" t="str">
        <f t="shared" ref="Z19" si="26">IFERROR(IF(Y19=0," ",Y19/$F19)," ")</f>
        <v xml:space="preserve"> </v>
      </c>
      <c r="AA19" s="193" t="s">
        <v>642</v>
      </c>
      <c r="AB19" s="196" t="str">
        <f t="shared" ref="AB19" si="27">IFERROR(IF(AA19=0," ",AA19/$F19)," ")</f>
        <v xml:space="preserve"> </v>
      </c>
      <c r="AC19" s="193" t="s">
        <v>642</v>
      </c>
      <c r="AD19" s="196" t="str">
        <f t="shared" ref="AD19" si="28">IFERROR(IF(AC19=0," ",AC19/$F19)," ")</f>
        <v xml:space="preserve"> </v>
      </c>
      <c r="AE19" s="193" t="s">
        <v>642</v>
      </c>
      <c r="AF19" s="196" t="str">
        <f t="shared" ref="AF19" si="29">IFERROR(IF(AE19=0," ",AE19/$F19)," ")</f>
        <v xml:space="preserve"> </v>
      </c>
      <c r="AG19" s="193" t="s">
        <v>642</v>
      </c>
      <c r="AH19" s="196" t="str">
        <f t="shared" ref="AH19" si="30">IFERROR(IF(AG19=0," ",AG19/$F19)," ")</f>
        <v xml:space="preserve"> </v>
      </c>
      <c r="AI19" s="197"/>
      <c r="AJ19" s="177" t="s">
        <v>642</v>
      </c>
      <c r="AK19" s="177" t="s">
        <v>642</v>
      </c>
      <c r="AL19" s="177" t="s">
        <v>642</v>
      </c>
      <c r="AM19" s="177" t="s">
        <v>642</v>
      </c>
      <c r="AN19" s="177" t="s">
        <v>642</v>
      </c>
      <c r="AO19" s="177" t="s">
        <v>642</v>
      </c>
      <c r="AP19" s="177" t="s">
        <v>642</v>
      </c>
      <c r="AQ19" s="177" t="s">
        <v>642</v>
      </c>
      <c r="AR19" s="177" t="s">
        <v>642</v>
      </c>
      <c r="AS19" s="177" t="s">
        <v>642</v>
      </c>
      <c r="AT19" s="177" t="s">
        <v>642</v>
      </c>
      <c r="AU19" s="177" t="s">
        <v>642</v>
      </c>
    </row>
    <row r="20" spans="1:47" ht="30" x14ac:dyDescent="0.25">
      <c r="A20" s="190" t="s">
        <v>642</v>
      </c>
      <c r="B20" s="65">
        <v>1311.1</v>
      </c>
      <c r="C20" s="191" t="s">
        <v>756</v>
      </c>
      <c r="D20" s="65" t="s">
        <v>17</v>
      </c>
      <c r="E20" s="192" t="str">
        <f>IF(A20=" "," ",VLOOKUP(A20,Estimate!A:Q,17,FALSE))</f>
        <v xml:space="preserve"> </v>
      </c>
      <c r="F20" s="193">
        <v>1</v>
      </c>
      <c r="G20" s="206" t="s">
        <v>642</v>
      </c>
      <c r="H20" s="195"/>
      <c r="I20" s="195"/>
      <c r="J20" s="195"/>
      <c r="K20" s="193"/>
      <c r="L20" s="196" t="str">
        <f t="shared" si="0"/>
        <v xml:space="preserve"> </v>
      </c>
      <c r="M20" s="193"/>
      <c r="N20" s="196" t="str">
        <f t="shared" si="0"/>
        <v xml:space="preserve"> </v>
      </c>
      <c r="O20" s="193"/>
      <c r="P20" s="196" t="str">
        <f t="shared" ref="P20" si="31">IFERROR(IF(O20=0," ",O20/$F20)," ")</f>
        <v xml:space="preserve"> </v>
      </c>
      <c r="Q20" s="193"/>
      <c r="R20" s="196" t="str">
        <f t="shared" ref="R20" si="32">IFERROR(IF(Q20=0," ",Q20/$F20)," ")</f>
        <v xml:space="preserve"> </v>
      </c>
      <c r="S20" s="193"/>
      <c r="T20" s="196" t="str">
        <f t="shared" ref="T20" si="33">IFERROR(IF(S20=0," ",S20/$F20)," ")</f>
        <v xml:space="preserve"> </v>
      </c>
      <c r="U20" s="193"/>
      <c r="V20" s="196" t="str">
        <f t="shared" ref="V20" si="34">IFERROR(IF(U20=0," ",U20/$F20)," ")</f>
        <v xml:space="preserve"> </v>
      </c>
      <c r="W20" s="193"/>
      <c r="X20" s="196" t="str">
        <f t="shared" ref="X20" si="35">IFERROR(IF(W20=0," ",W20/$F20)," ")</f>
        <v xml:space="preserve"> </v>
      </c>
      <c r="Y20" s="193"/>
      <c r="Z20" s="196" t="str">
        <f t="shared" ref="Z20" si="36">IFERROR(IF(Y20=0," ",Y20/$F20)," ")</f>
        <v xml:space="preserve"> </v>
      </c>
      <c r="AA20" s="193"/>
      <c r="AB20" s="196" t="str">
        <f t="shared" ref="AB20" si="37">IFERROR(IF(AA20=0," ",AA20/$F20)," ")</f>
        <v xml:space="preserve"> </v>
      </c>
      <c r="AC20" s="193"/>
      <c r="AD20" s="196" t="str">
        <f t="shared" ref="AD20" si="38">IFERROR(IF(AC20=0," ",AC20/$F20)," ")</f>
        <v xml:space="preserve"> </v>
      </c>
      <c r="AE20" s="193"/>
      <c r="AF20" s="196" t="str">
        <f t="shared" ref="AF20" si="39">IFERROR(IF(AE20=0," ",AE20/$F20)," ")</f>
        <v xml:space="preserve"> </v>
      </c>
      <c r="AG20" s="193"/>
      <c r="AH20" s="196" t="str">
        <f t="shared" ref="AH20" si="40">IFERROR(IF(AG20=0," ",AG20/$F20)," ")</f>
        <v xml:space="preserve"> </v>
      </c>
      <c r="AI20" s="197"/>
      <c r="AJ20" s="177" t="s">
        <v>642</v>
      </c>
      <c r="AK20" s="177" t="s">
        <v>642</v>
      </c>
      <c r="AL20" s="177" t="s">
        <v>642</v>
      </c>
      <c r="AM20" s="177" t="s">
        <v>642</v>
      </c>
      <c r="AN20" s="177" t="s">
        <v>642</v>
      </c>
      <c r="AO20" s="177" t="s">
        <v>642</v>
      </c>
      <c r="AP20" s="177" t="s">
        <v>642</v>
      </c>
      <c r="AQ20" s="177" t="s">
        <v>642</v>
      </c>
      <c r="AR20" s="177" t="s">
        <v>642</v>
      </c>
      <c r="AS20" s="177" t="s">
        <v>642</v>
      </c>
      <c r="AT20" s="177" t="s">
        <v>642</v>
      </c>
      <c r="AU20" s="177" t="s">
        <v>642</v>
      </c>
    </row>
    <row r="21" spans="1:47" ht="30" x14ac:dyDescent="0.25">
      <c r="A21" s="190" t="s">
        <v>642</v>
      </c>
      <c r="B21" s="65">
        <v>1312.1</v>
      </c>
      <c r="C21" s="191" t="s">
        <v>757</v>
      </c>
      <c r="D21" s="65" t="s">
        <v>17</v>
      </c>
      <c r="E21" s="192" t="str">
        <f>IF(A21=" "," ",VLOOKUP(A21,Estimate!A:Q,17,FALSE))</f>
        <v xml:space="preserve"> </v>
      </c>
      <c r="F21" s="193">
        <v>1</v>
      </c>
      <c r="G21" s="206" t="s">
        <v>642</v>
      </c>
      <c r="H21" s="195"/>
      <c r="I21" s="195"/>
      <c r="J21" s="195"/>
      <c r="K21" s="193"/>
      <c r="L21" s="196" t="str">
        <f t="shared" si="0"/>
        <v xml:space="preserve"> </v>
      </c>
      <c r="M21" s="193"/>
      <c r="N21" s="196" t="str">
        <f t="shared" si="0"/>
        <v xml:space="preserve"> </v>
      </c>
      <c r="O21" s="193"/>
      <c r="P21" s="196" t="str">
        <f t="shared" ref="P21" si="41">IFERROR(IF(O21=0," ",O21/$F21)," ")</f>
        <v xml:space="preserve"> </v>
      </c>
      <c r="Q21" s="193"/>
      <c r="R21" s="196" t="str">
        <f t="shared" ref="R21" si="42">IFERROR(IF(Q21=0," ",Q21/$F21)," ")</f>
        <v xml:space="preserve"> </v>
      </c>
      <c r="S21" s="193"/>
      <c r="T21" s="196" t="str">
        <f t="shared" ref="T21" si="43">IFERROR(IF(S21=0," ",S21/$F21)," ")</f>
        <v xml:space="preserve"> </v>
      </c>
      <c r="U21" s="193"/>
      <c r="V21" s="196" t="str">
        <f t="shared" ref="V21" si="44">IFERROR(IF(U21=0," ",U21/$F21)," ")</f>
        <v xml:space="preserve"> </v>
      </c>
      <c r="W21" s="193"/>
      <c r="X21" s="196" t="str">
        <f t="shared" ref="X21" si="45">IFERROR(IF(W21=0," ",W21/$F21)," ")</f>
        <v xml:space="preserve"> </v>
      </c>
      <c r="Y21" s="193"/>
      <c r="Z21" s="196" t="str">
        <f t="shared" ref="Z21" si="46">IFERROR(IF(Y21=0," ",Y21/$F21)," ")</f>
        <v xml:space="preserve"> </v>
      </c>
      <c r="AA21" s="193"/>
      <c r="AB21" s="196" t="str">
        <f t="shared" ref="AB21" si="47">IFERROR(IF(AA21=0," ",AA21/$F21)," ")</f>
        <v xml:space="preserve"> </v>
      </c>
      <c r="AC21" s="193"/>
      <c r="AD21" s="196" t="str">
        <f t="shared" ref="AD21" si="48">IFERROR(IF(AC21=0," ",AC21/$F21)," ")</f>
        <v xml:space="preserve"> </v>
      </c>
      <c r="AE21" s="193"/>
      <c r="AF21" s="196" t="str">
        <f t="shared" ref="AF21" si="49">IFERROR(IF(AE21=0," ",AE21/$F21)," ")</f>
        <v xml:space="preserve"> </v>
      </c>
      <c r="AG21" s="193"/>
      <c r="AH21" s="196" t="str">
        <f t="shared" ref="AH21" si="50">IFERROR(IF(AG21=0," ",AG21/$F21)," ")</f>
        <v xml:space="preserve"> </v>
      </c>
      <c r="AI21" s="197"/>
      <c r="AJ21" s="177" t="s">
        <v>642</v>
      </c>
      <c r="AK21" s="177" t="s">
        <v>642</v>
      </c>
      <c r="AL21" s="177" t="s">
        <v>642</v>
      </c>
      <c r="AM21" s="177" t="s">
        <v>642</v>
      </c>
      <c r="AN21" s="177" t="s">
        <v>642</v>
      </c>
      <c r="AO21" s="177" t="s">
        <v>642</v>
      </c>
      <c r="AP21" s="177" t="s">
        <v>642</v>
      </c>
      <c r="AQ21" s="177" t="s">
        <v>642</v>
      </c>
      <c r="AR21" s="177" t="s">
        <v>642</v>
      </c>
      <c r="AS21" s="177" t="s">
        <v>642</v>
      </c>
      <c r="AT21" s="177" t="s">
        <v>642</v>
      </c>
      <c r="AU21" s="177" t="s">
        <v>642</v>
      </c>
    </row>
    <row r="22" spans="1:47" x14ac:dyDescent="0.25">
      <c r="A22" s="190" t="s">
        <v>642</v>
      </c>
      <c r="B22" s="65">
        <v>1313.1</v>
      </c>
      <c r="C22" s="191" t="s">
        <v>758</v>
      </c>
      <c r="D22" s="65" t="s">
        <v>17</v>
      </c>
      <c r="E22" s="192" t="str">
        <f>IF(A22=" "," ",VLOOKUP(A22,Estimate!A:Q,17,FALSE))</f>
        <v xml:space="preserve"> </v>
      </c>
      <c r="F22" s="193">
        <v>1</v>
      </c>
      <c r="G22" s="206" t="s">
        <v>642</v>
      </c>
      <c r="H22" s="195"/>
      <c r="I22" s="195"/>
      <c r="J22" s="195"/>
      <c r="K22" s="193"/>
      <c r="L22" s="196" t="str">
        <f t="shared" si="0"/>
        <v xml:space="preserve"> </v>
      </c>
      <c r="M22" s="193"/>
      <c r="N22" s="196" t="str">
        <f t="shared" si="0"/>
        <v xml:space="preserve"> </v>
      </c>
      <c r="O22" s="193"/>
      <c r="P22" s="196" t="str">
        <f t="shared" ref="P22" si="51">IFERROR(IF(O22=0," ",O22/$F22)," ")</f>
        <v xml:space="preserve"> </v>
      </c>
      <c r="Q22" s="193"/>
      <c r="R22" s="196" t="str">
        <f t="shared" ref="R22" si="52">IFERROR(IF(Q22=0," ",Q22/$F22)," ")</f>
        <v xml:space="preserve"> </v>
      </c>
      <c r="S22" s="193"/>
      <c r="T22" s="196" t="str">
        <f t="shared" ref="T22" si="53">IFERROR(IF(S22=0," ",S22/$F22)," ")</f>
        <v xml:space="preserve"> </v>
      </c>
      <c r="U22" s="193"/>
      <c r="V22" s="196" t="str">
        <f t="shared" ref="V22" si="54">IFERROR(IF(U22=0," ",U22/$F22)," ")</f>
        <v xml:space="preserve"> </v>
      </c>
      <c r="W22" s="193"/>
      <c r="X22" s="196" t="str">
        <f t="shared" ref="X22" si="55">IFERROR(IF(W22=0," ",W22/$F22)," ")</f>
        <v xml:space="preserve"> </v>
      </c>
      <c r="Y22" s="193"/>
      <c r="Z22" s="196" t="str">
        <f t="shared" ref="Z22" si="56">IFERROR(IF(Y22=0," ",Y22/$F22)," ")</f>
        <v xml:space="preserve"> </v>
      </c>
      <c r="AA22" s="193"/>
      <c r="AB22" s="196" t="str">
        <f t="shared" ref="AB22" si="57">IFERROR(IF(AA22=0," ",AA22/$F22)," ")</f>
        <v xml:space="preserve"> </v>
      </c>
      <c r="AC22" s="193"/>
      <c r="AD22" s="196" t="str">
        <f t="shared" ref="AD22" si="58">IFERROR(IF(AC22=0," ",AC22/$F22)," ")</f>
        <v xml:space="preserve"> </v>
      </c>
      <c r="AE22" s="193"/>
      <c r="AF22" s="196" t="str">
        <f t="shared" ref="AF22" si="59">IFERROR(IF(AE22=0," ",AE22/$F22)," ")</f>
        <v xml:space="preserve"> </v>
      </c>
      <c r="AG22" s="193"/>
      <c r="AH22" s="196" t="str">
        <f t="shared" ref="AH22" si="60">IFERROR(IF(AG22=0," ",AG22/$F22)," ")</f>
        <v xml:space="preserve"> </v>
      </c>
      <c r="AI22" s="197"/>
      <c r="AJ22" s="177" t="s">
        <v>642</v>
      </c>
      <c r="AK22" s="177" t="s">
        <v>642</v>
      </c>
      <c r="AL22" s="177" t="s">
        <v>642</v>
      </c>
      <c r="AM22" s="177" t="s">
        <v>642</v>
      </c>
      <c r="AN22" s="177" t="s">
        <v>642</v>
      </c>
      <c r="AO22" s="177" t="s">
        <v>642</v>
      </c>
      <c r="AP22" s="177" t="s">
        <v>642</v>
      </c>
      <c r="AQ22" s="177" t="s">
        <v>642</v>
      </c>
      <c r="AR22" s="177" t="s">
        <v>642</v>
      </c>
      <c r="AS22" s="177" t="s">
        <v>642</v>
      </c>
      <c r="AT22" s="177" t="s">
        <v>642</v>
      </c>
      <c r="AU22" s="177" t="s">
        <v>642</v>
      </c>
    </row>
    <row r="23" spans="1:47" x14ac:dyDescent="0.25">
      <c r="A23" s="190" t="s">
        <v>642</v>
      </c>
      <c r="B23" s="65">
        <v>1315.1</v>
      </c>
      <c r="C23" s="191" t="s">
        <v>759</v>
      </c>
      <c r="D23" s="65" t="s">
        <v>17</v>
      </c>
      <c r="E23" s="192" t="str">
        <f>IF(A23=" "," ",VLOOKUP(A23,Estimate!A:Q,17,FALSE))</f>
        <v xml:space="preserve"> </v>
      </c>
      <c r="F23" s="193">
        <v>1</v>
      </c>
      <c r="G23" s="206" t="s">
        <v>642</v>
      </c>
      <c r="H23" s="195"/>
      <c r="I23" s="195"/>
      <c r="J23" s="195"/>
      <c r="K23" s="193"/>
      <c r="L23" s="196" t="str">
        <f t="shared" si="0"/>
        <v xml:space="preserve"> </v>
      </c>
      <c r="M23" s="193"/>
      <c r="N23" s="196" t="str">
        <f t="shared" si="0"/>
        <v xml:space="preserve"> </v>
      </c>
      <c r="O23" s="193"/>
      <c r="P23" s="196" t="str">
        <f t="shared" ref="P23" si="61">IFERROR(IF(O23=0," ",O23/$F23)," ")</f>
        <v xml:space="preserve"> </v>
      </c>
      <c r="Q23" s="193"/>
      <c r="R23" s="196" t="str">
        <f t="shared" ref="R23" si="62">IFERROR(IF(Q23=0," ",Q23/$F23)," ")</f>
        <v xml:space="preserve"> </v>
      </c>
      <c r="S23" s="193"/>
      <c r="T23" s="196" t="str">
        <f t="shared" ref="T23" si="63">IFERROR(IF(S23=0," ",S23/$F23)," ")</f>
        <v xml:space="preserve"> </v>
      </c>
      <c r="U23" s="193"/>
      <c r="V23" s="196" t="str">
        <f t="shared" ref="V23" si="64">IFERROR(IF(U23=0," ",U23/$F23)," ")</f>
        <v xml:space="preserve"> </v>
      </c>
      <c r="W23" s="193"/>
      <c r="X23" s="196" t="str">
        <f t="shared" ref="X23" si="65">IFERROR(IF(W23=0," ",W23/$F23)," ")</f>
        <v xml:space="preserve"> </v>
      </c>
      <c r="Y23" s="193"/>
      <c r="Z23" s="196" t="str">
        <f t="shared" ref="Z23" si="66">IFERROR(IF(Y23=0," ",Y23/$F23)," ")</f>
        <v xml:space="preserve"> </v>
      </c>
      <c r="AA23" s="193"/>
      <c r="AB23" s="196" t="str">
        <f t="shared" ref="AB23" si="67">IFERROR(IF(AA23=0," ",AA23/$F23)," ")</f>
        <v xml:space="preserve"> </v>
      </c>
      <c r="AC23" s="193"/>
      <c r="AD23" s="196" t="str">
        <f t="shared" ref="AD23" si="68">IFERROR(IF(AC23=0," ",AC23/$F23)," ")</f>
        <v xml:space="preserve"> </v>
      </c>
      <c r="AE23" s="193"/>
      <c r="AF23" s="196" t="str">
        <f t="shared" ref="AF23" si="69">IFERROR(IF(AE23=0," ",AE23/$F23)," ")</f>
        <v xml:space="preserve"> </v>
      </c>
      <c r="AG23" s="193"/>
      <c r="AH23" s="196" t="str">
        <f t="shared" ref="AH23" si="70">IFERROR(IF(AG23=0," ",AG23/$F23)," ")</f>
        <v xml:space="preserve"> </v>
      </c>
      <c r="AI23" s="197"/>
      <c r="AJ23" s="177" t="s">
        <v>642</v>
      </c>
      <c r="AK23" s="177" t="s">
        <v>642</v>
      </c>
      <c r="AL23" s="177" t="s">
        <v>642</v>
      </c>
      <c r="AM23" s="177" t="s">
        <v>642</v>
      </c>
      <c r="AN23" s="177" t="s">
        <v>642</v>
      </c>
      <c r="AO23" s="177" t="s">
        <v>642</v>
      </c>
      <c r="AP23" s="177" t="s">
        <v>642</v>
      </c>
      <c r="AQ23" s="177" t="s">
        <v>642</v>
      </c>
      <c r="AR23" s="177" t="s">
        <v>642</v>
      </c>
      <c r="AS23" s="177" t="s">
        <v>642</v>
      </c>
      <c r="AT23" s="177" t="s">
        <v>642</v>
      </c>
      <c r="AU23" s="177" t="s">
        <v>642</v>
      </c>
    </row>
    <row r="24" spans="1:47" x14ac:dyDescent="0.25">
      <c r="A24" s="190" t="s">
        <v>642</v>
      </c>
      <c r="B24" s="65">
        <v>1316.1</v>
      </c>
      <c r="C24" s="191" t="s">
        <v>760</v>
      </c>
      <c r="D24" s="65" t="s">
        <v>17</v>
      </c>
      <c r="E24" s="192" t="str">
        <f>IF(A24=" "," ",VLOOKUP(A24,Estimate!A:Q,17,FALSE))</f>
        <v xml:space="preserve"> </v>
      </c>
      <c r="F24" s="193">
        <v>1</v>
      </c>
      <c r="G24" s="206" t="s">
        <v>642</v>
      </c>
      <c r="H24" s="195"/>
      <c r="I24" s="195"/>
      <c r="J24" s="195"/>
      <c r="K24" s="193"/>
      <c r="L24" s="196" t="str">
        <f t="shared" si="0"/>
        <v xml:space="preserve"> </v>
      </c>
      <c r="M24" s="193"/>
      <c r="N24" s="196" t="str">
        <f t="shared" si="0"/>
        <v xml:space="preserve"> </v>
      </c>
      <c r="O24" s="193"/>
      <c r="P24" s="196" t="str">
        <f t="shared" ref="P24" si="71">IFERROR(IF(O24=0," ",O24/$F24)," ")</f>
        <v xml:space="preserve"> </v>
      </c>
      <c r="Q24" s="193"/>
      <c r="R24" s="196" t="str">
        <f t="shared" ref="R24" si="72">IFERROR(IF(Q24=0," ",Q24/$F24)," ")</f>
        <v xml:space="preserve"> </v>
      </c>
      <c r="S24" s="193"/>
      <c r="T24" s="196" t="str">
        <f t="shared" ref="T24" si="73">IFERROR(IF(S24=0," ",S24/$F24)," ")</f>
        <v xml:space="preserve"> </v>
      </c>
      <c r="U24" s="193"/>
      <c r="V24" s="196" t="str">
        <f t="shared" ref="V24" si="74">IFERROR(IF(U24=0," ",U24/$F24)," ")</f>
        <v xml:space="preserve"> </v>
      </c>
      <c r="W24" s="193"/>
      <c r="X24" s="196" t="str">
        <f t="shared" ref="X24" si="75">IFERROR(IF(W24=0," ",W24/$F24)," ")</f>
        <v xml:space="preserve"> </v>
      </c>
      <c r="Y24" s="193"/>
      <c r="Z24" s="196" t="str">
        <f t="shared" ref="Z24" si="76">IFERROR(IF(Y24=0," ",Y24/$F24)," ")</f>
        <v xml:space="preserve"> </v>
      </c>
      <c r="AA24" s="193"/>
      <c r="AB24" s="196" t="str">
        <f t="shared" ref="AB24" si="77">IFERROR(IF(AA24=0," ",AA24/$F24)," ")</f>
        <v xml:space="preserve"> </v>
      </c>
      <c r="AC24" s="193"/>
      <c r="AD24" s="196" t="str">
        <f t="shared" ref="AD24" si="78">IFERROR(IF(AC24=0," ",AC24/$F24)," ")</f>
        <v xml:space="preserve"> </v>
      </c>
      <c r="AE24" s="193"/>
      <c r="AF24" s="196" t="str">
        <f t="shared" ref="AF24" si="79">IFERROR(IF(AE24=0," ",AE24/$F24)," ")</f>
        <v xml:space="preserve"> </v>
      </c>
      <c r="AG24" s="193"/>
      <c r="AH24" s="196" t="str">
        <f t="shared" ref="AH24" si="80">IFERROR(IF(AG24=0," ",AG24/$F24)," ")</f>
        <v xml:space="preserve"> </v>
      </c>
      <c r="AI24" s="197"/>
      <c r="AJ24" s="177" t="s">
        <v>642</v>
      </c>
      <c r="AK24" s="177" t="s">
        <v>642</v>
      </c>
      <c r="AL24" s="177" t="s">
        <v>642</v>
      </c>
      <c r="AM24" s="177" t="s">
        <v>642</v>
      </c>
      <c r="AN24" s="177" t="s">
        <v>642</v>
      </c>
      <c r="AO24" s="177" t="s">
        <v>642</v>
      </c>
      <c r="AP24" s="177" t="s">
        <v>642</v>
      </c>
      <c r="AQ24" s="177" t="s">
        <v>642</v>
      </c>
      <c r="AR24" s="177" t="s">
        <v>642</v>
      </c>
      <c r="AS24" s="177" t="s">
        <v>642</v>
      </c>
      <c r="AT24" s="177" t="s">
        <v>642</v>
      </c>
      <c r="AU24" s="177" t="s">
        <v>642</v>
      </c>
    </row>
    <row r="25" spans="1:47" x14ac:dyDescent="0.25">
      <c r="A25" s="190" t="s">
        <v>642</v>
      </c>
      <c r="B25" s="65" t="s">
        <v>745</v>
      </c>
      <c r="C25" s="191" t="s">
        <v>642</v>
      </c>
      <c r="D25" s="65" t="s">
        <v>747</v>
      </c>
      <c r="E25" s="192" t="str">
        <f>IF(A25=" "," ",VLOOKUP(A25,Estimate!A:Q,17,FALSE))</f>
        <v xml:space="preserve"> </v>
      </c>
      <c r="F25" s="193" t="s">
        <v>642</v>
      </c>
      <c r="G25" s="206" t="s">
        <v>642</v>
      </c>
      <c r="H25" s="195" t="s">
        <v>642</v>
      </c>
      <c r="I25" s="195" t="s">
        <v>642</v>
      </c>
      <c r="J25" s="195"/>
      <c r="K25" s="193" t="s">
        <v>642</v>
      </c>
      <c r="L25" s="196" t="str">
        <f t="shared" si="0"/>
        <v xml:space="preserve"> </v>
      </c>
      <c r="M25" s="193" t="s">
        <v>642</v>
      </c>
      <c r="N25" s="196" t="str">
        <f t="shared" si="0"/>
        <v xml:space="preserve"> </v>
      </c>
      <c r="O25" s="193" t="s">
        <v>642</v>
      </c>
      <c r="P25" s="196" t="str">
        <f t="shared" ref="P25" si="81">IFERROR(IF(O25=0," ",O25/$F25)," ")</f>
        <v xml:space="preserve"> </v>
      </c>
      <c r="Q25" s="193" t="s">
        <v>642</v>
      </c>
      <c r="R25" s="196" t="str">
        <f t="shared" ref="R25" si="82">IFERROR(IF(Q25=0," ",Q25/$F25)," ")</f>
        <v xml:space="preserve"> </v>
      </c>
      <c r="S25" s="193" t="s">
        <v>642</v>
      </c>
      <c r="T25" s="196" t="str">
        <f t="shared" ref="T25" si="83">IFERROR(IF(S25=0," ",S25/$F25)," ")</f>
        <v xml:space="preserve"> </v>
      </c>
      <c r="U25" s="193" t="s">
        <v>642</v>
      </c>
      <c r="V25" s="196" t="str">
        <f t="shared" ref="V25" si="84">IFERROR(IF(U25=0," ",U25/$F25)," ")</f>
        <v xml:space="preserve"> </v>
      </c>
      <c r="W25" s="193" t="s">
        <v>642</v>
      </c>
      <c r="X25" s="196" t="str">
        <f t="shared" ref="X25" si="85">IFERROR(IF(W25=0," ",W25/$F25)," ")</f>
        <v xml:space="preserve"> </v>
      </c>
      <c r="Y25" s="193" t="s">
        <v>642</v>
      </c>
      <c r="Z25" s="196" t="str">
        <f t="shared" ref="Z25" si="86">IFERROR(IF(Y25=0," ",Y25/$F25)," ")</f>
        <v xml:space="preserve"> </v>
      </c>
      <c r="AA25" s="193" t="s">
        <v>642</v>
      </c>
      <c r="AB25" s="196" t="str">
        <f t="shared" ref="AB25" si="87">IFERROR(IF(AA25=0," ",AA25/$F25)," ")</f>
        <v xml:space="preserve"> </v>
      </c>
      <c r="AC25" s="193" t="s">
        <v>642</v>
      </c>
      <c r="AD25" s="196" t="str">
        <f t="shared" ref="AD25" si="88">IFERROR(IF(AC25=0," ",AC25/$F25)," ")</f>
        <v xml:space="preserve"> </v>
      </c>
      <c r="AE25" s="193" t="s">
        <v>642</v>
      </c>
      <c r="AF25" s="196" t="str">
        <f t="shared" ref="AF25" si="89">IFERROR(IF(AE25=0," ",AE25/$F25)," ")</f>
        <v xml:space="preserve"> </v>
      </c>
      <c r="AG25" s="193" t="s">
        <v>642</v>
      </c>
      <c r="AH25" s="196" t="str">
        <f t="shared" ref="AH25" si="90">IFERROR(IF(AG25=0," ",AG25/$F25)," ")</f>
        <v xml:space="preserve"> </v>
      </c>
      <c r="AI25" s="197"/>
      <c r="AJ25" s="177" t="s">
        <v>642</v>
      </c>
      <c r="AK25" s="177" t="s">
        <v>642</v>
      </c>
      <c r="AL25" s="177" t="s">
        <v>642</v>
      </c>
      <c r="AM25" s="177" t="s">
        <v>642</v>
      </c>
      <c r="AN25" s="177" t="s">
        <v>642</v>
      </c>
      <c r="AO25" s="177" t="s">
        <v>642</v>
      </c>
      <c r="AP25" s="177" t="s">
        <v>642</v>
      </c>
      <c r="AQ25" s="177" t="s">
        <v>642</v>
      </c>
      <c r="AR25" s="177" t="s">
        <v>642</v>
      </c>
      <c r="AS25" s="177" t="s">
        <v>642</v>
      </c>
      <c r="AT25" s="177" t="s">
        <v>642</v>
      </c>
      <c r="AU25" s="177" t="s">
        <v>642</v>
      </c>
    </row>
    <row r="26" spans="1:47" x14ac:dyDescent="0.25">
      <c r="A26" s="190" t="s">
        <v>642</v>
      </c>
      <c r="B26" s="65">
        <v>2000</v>
      </c>
      <c r="C26" s="191" t="s">
        <v>21</v>
      </c>
      <c r="D26" s="65" t="s">
        <v>747</v>
      </c>
      <c r="E26" s="192" t="str">
        <f>IF(A26=" "," ",VLOOKUP(A26,Estimate!A:Q,17,FALSE))</f>
        <v xml:space="preserve"> </v>
      </c>
      <c r="F26" s="193" t="s">
        <v>642</v>
      </c>
      <c r="G26" s="206" t="s">
        <v>642</v>
      </c>
      <c r="H26" s="195" t="s">
        <v>642</v>
      </c>
      <c r="I26" s="195" t="s">
        <v>642</v>
      </c>
      <c r="J26" s="195"/>
      <c r="K26" s="193" t="s">
        <v>642</v>
      </c>
      <c r="L26" s="196" t="str">
        <f t="shared" si="0"/>
        <v xml:space="preserve"> </v>
      </c>
      <c r="M26" s="193" t="s">
        <v>642</v>
      </c>
      <c r="N26" s="196" t="str">
        <f t="shared" si="0"/>
        <v xml:space="preserve"> </v>
      </c>
      <c r="O26" s="193" t="s">
        <v>642</v>
      </c>
      <c r="P26" s="196" t="str">
        <f t="shared" ref="P26" si="91">IFERROR(IF(O26=0," ",O26/$F26)," ")</f>
        <v xml:space="preserve"> </v>
      </c>
      <c r="Q26" s="193" t="s">
        <v>642</v>
      </c>
      <c r="R26" s="196" t="str">
        <f t="shared" ref="R26" si="92">IFERROR(IF(Q26=0," ",Q26/$F26)," ")</f>
        <v xml:space="preserve"> </v>
      </c>
      <c r="S26" s="193" t="s">
        <v>642</v>
      </c>
      <c r="T26" s="196" t="str">
        <f t="shared" ref="T26" si="93">IFERROR(IF(S26=0," ",S26/$F26)," ")</f>
        <v xml:space="preserve"> </v>
      </c>
      <c r="U26" s="193" t="s">
        <v>642</v>
      </c>
      <c r="V26" s="196" t="str">
        <f t="shared" ref="V26" si="94">IFERROR(IF(U26=0," ",U26/$F26)," ")</f>
        <v xml:space="preserve"> </v>
      </c>
      <c r="W26" s="193" t="s">
        <v>642</v>
      </c>
      <c r="X26" s="196" t="str">
        <f t="shared" ref="X26" si="95">IFERROR(IF(W26=0," ",W26/$F26)," ")</f>
        <v xml:space="preserve"> </v>
      </c>
      <c r="Y26" s="193" t="s">
        <v>642</v>
      </c>
      <c r="Z26" s="196" t="str">
        <f t="shared" ref="Z26" si="96">IFERROR(IF(Y26=0," ",Y26/$F26)," ")</f>
        <v xml:space="preserve"> </v>
      </c>
      <c r="AA26" s="193" t="s">
        <v>642</v>
      </c>
      <c r="AB26" s="196" t="str">
        <f t="shared" ref="AB26" si="97">IFERROR(IF(AA26=0," ",AA26/$F26)," ")</f>
        <v xml:space="preserve"> </v>
      </c>
      <c r="AC26" s="193" t="s">
        <v>642</v>
      </c>
      <c r="AD26" s="196" t="str">
        <f t="shared" ref="AD26" si="98">IFERROR(IF(AC26=0," ",AC26/$F26)," ")</f>
        <v xml:space="preserve"> </v>
      </c>
      <c r="AE26" s="193" t="s">
        <v>642</v>
      </c>
      <c r="AF26" s="196" t="str">
        <f t="shared" ref="AF26" si="99">IFERROR(IF(AE26=0," ",AE26/$F26)," ")</f>
        <v xml:space="preserve"> </v>
      </c>
      <c r="AG26" s="193" t="s">
        <v>642</v>
      </c>
      <c r="AH26" s="196" t="str">
        <f t="shared" ref="AH26" si="100">IFERROR(IF(AG26=0," ",AG26/$F26)," ")</f>
        <v xml:space="preserve"> </v>
      </c>
      <c r="AI26" s="197"/>
      <c r="AJ26" s="177" t="s">
        <v>642</v>
      </c>
      <c r="AK26" s="177" t="s">
        <v>642</v>
      </c>
      <c r="AL26" s="177" t="s">
        <v>642</v>
      </c>
      <c r="AM26" s="177" t="s">
        <v>642</v>
      </c>
      <c r="AN26" s="177" t="s">
        <v>642</v>
      </c>
      <c r="AO26" s="177" t="s">
        <v>642</v>
      </c>
      <c r="AP26" s="177" t="s">
        <v>642</v>
      </c>
      <c r="AQ26" s="177" t="s">
        <v>642</v>
      </c>
      <c r="AR26" s="177" t="s">
        <v>642</v>
      </c>
      <c r="AS26" s="177" t="s">
        <v>642</v>
      </c>
      <c r="AT26" s="177" t="s">
        <v>642</v>
      </c>
      <c r="AU26" s="177" t="s">
        <v>642</v>
      </c>
    </row>
    <row r="27" spans="1:47" ht="30" x14ac:dyDescent="0.25">
      <c r="A27" s="190" t="s">
        <v>642</v>
      </c>
      <c r="B27" s="65">
        <v>2120</v>
      </c>
      <c r="C27" s="191" t="s">
        <v>23</v>
      </c>
      <c r="D27" s="65" t="s">
        <v>747</v>
      </c>
      <c r="E27" s="192" t="str">
        <f>IF(A27=" "," ",VLOOKUP(A27,Estimate!A:Q,17,FALSE))</f>
        <v xml:space="preserve"> </v>
      </c>
      <c r="F27" s="193" t="s">
        <v>642</v>
      </c>
      <c r="G27" s="206" t="s">
        <v>642</v>
      </c>
      <c r="H27" s="195" t="s">
        <v>642</v>
      </c>
      <c r="I27" s="195" t="s">
        <v>642</v>
      </c>
      <c r="J27" s="195"/>
      <c r="K27" s="193" t="s">
        <v>642</v>
      </c>
      <c r="L27" s="196" t="str">
        <f t="shared" si="0"/>
        <v xml:space="preserve"> </v>
      </c>
      <c r="M27" s="193" t="s">
        <v>642</v>
      </c>
      <c r="N27" s="196" t="str">
        <f t="shared" si="0"/>
        <v xml:space="preserve"> </v>
      </c>
      <c r="O27" s="193" t="s">
        <v>642</v>
      </c>
      <c r="P27" s="196" t="str">
        <f t="shared" ref="P27" si="101">IFERROR(IF(O27=0," ",O27/$F27)," ")</f>
        <v xml:space="preserve"> </v>
      </c>
      <c r="Q27" s="193" t="s">
        <v>642</v>
      </c>
      <c r="R27" s="196" t="str">
        <f t="shared" ref="R27" si="102">IFERROR(IF(Q27=0," ",Q27/$F27)," ")</f>
        <v xml:space="preserve"> </v>
      </c>
      <c r="S27" s="193" t="s">
        <v>642</v>
      </c>
      <c r="T27" s="196" t="str">
        <f t="shared" ref="T27" si="103">IFERROR(IF(S27=0," ",S27/$F27)," ")</f>
        <v xml:space="preserve"> </v>
      </c>
      <c r="U27" s="193" t="s">
        <v>642</v>
      </c>
      <c r="V27" s="196" t="str">
        <f t="shared" ref="V27" si="104">IFERROR(IF(U27=0," ",U27/$F27)," ")</f>
        <v xml:space="preserve"> </v>
      </c>
      <c r="W27" s="193" t="s">
        <v>642</v>
      </c>
      <c r="X27" s="196" t="str">
        <f t="shared" ref="X27" si="105">IFERROR(IF(W27=0," ",W27/$F27)," ")</f>
        <v xml:space="preserve"> </v>
      </c>
      <c r="Y27" s="193" t="s">
        <v>642</v>
      </c>
      <c r="Z27" s="196" t="str">
        <f t="shared" ref="Z27" si="106">IFERROR(IF(Y27=0," ",Y27/$F27)," ")</f>
        <v xml:space="preserve"> </v>
      </c>
      <c r="AA27" s="193" t="s">
        <v>642</v>
      </c>
      <c r="AB27" s="196" t="str">
        <f t="shared" ref="AB27" si="107">IFERROR(IF(AA27=0," ",AA27/$F27)," ")</f>
        <v xml:space="preserve"> </v>
      </c>
      <c r="AC27" s="193" t="s">
        <v>642</v>
      </c>
      <c r="AD27" s="196" t="str">
        <f t="shared" ref="AD27" si="108">IFERROR(IF(AC27=0," ",AC27/$F27)," ")</f>
        <v xml:space="preserve"> </v>
      </c>
      <c r="AE27" s="193" t="s">
        <v>642</v>
      </c>
      <c r="AF27" s="196" t="str">
        <f t="shared" ref="AF27" si="109">IFERROR(IF(AE27=0," ",AE27/$F27)," ")</f>
        <v xml:space="preserve"> </v>
      </c>
      <c r="AG27" s="193" t="s">
        <v>642</v>
      </c>
      <c r="AH27" s="196" t="str">
        <f t="shared" ref="AH27" si="110">IFERROR(IF(AG27=0," ",AG27/$F27)," ")</f>
        <v xml:space="preserve"> </v>
      </c>
      <c r="AI27" s="197"/>
      <c r="AJ27" s="177" t="s">
        <v>642</v>
      </c>
      <c r="AK27" s="177" t="s">
        <v>642</v>
      </c>
      <c r="AL27" s="177" t="s">
        <v>642</v>
      </c>
      <c r="AM27" s="177" t="s">
        <v>642</v>
      </c>
      <c r="AN27" s="177" t="s">
        <v>642</v>
      </c>
      <c r="AO27" s="177" t="s">
        <v>642</v>
      </c>
      <c r="AP27" s="177" t="s">
        <v>642</v>
      </c>
      <c r="AQ27" s="177" t="s">
        <v>642</v>
      </c>
      <c r="AR27" s="177" t="s">
        <v>642</v>
      </c>
      <c r="AS27" s="177" t="s">
        <v>642</v>
      </c>
      <c r="AT27" s="177" t="s">
        <v>642</v>
      </c>
      <c r="AU27" s="177" t="s">
        <v>642</v>
      </c>
    </row>
    <row r="28" spans="1:47" ht="30" x14ac:dyDescent="0.25">
      <c r="A28" s="190">
        <v>6</v>
      </c>
      <c r="B28" s="65">
        <v>2121.1999999999998</v>
      </c>
      <c r="C28" s="191" t="s">
        <v>25</v>
      </c>
      <c r="D28" s="65" t="s">
        <v>26</v>
      </c>
      <c r="E28" s="192">
        <f>IF(A28=" "," ",VLOOKUP(A28,Estimate!A:Q,17,FALSE))</f>
        <v>9401.5859999999993</v>
      </c>
      <c r="F28" s="193">
        <v>63.4</v>
      </c>
      <c r="G28" s="206">
        <v>197.43018927444794</v>
      </c>
      <c r="H28" s="195">
        <v>222.65</v>
      </c>
      <c r="I28" s="195">
        <v>14116.01</v>
      </c>
      <c r="J28" s="195"/>
      <c r="K28" s="193"/>
      <c r="L28" s="196" t="str">
        <f t="shared" si="0"/>
        <v xml:space="preserve"> </v>
      </c>
      <c r="M28" s="193">
        <v>63.4</v>
      </c>
      <c r="N28" s="196">
        <f t="shared" si="0"/>
        <v>1</v>
      </c>
      <c r="O28" s="193">
        <v>63.4</v>
      </c>
      <c r="P28" s="196">
        <f t="shared" ref="P28" si="111">IFERROR(IF(O28=0," ",O28/$F28)," ")</f>
        <v>1</v>
      </c>
      <c r="Q28" s="193">
        <v>63.4</v>
      </c>
      <c r="R28" s="196">
        <f t="shared" ref="R28" si="112">IFERROR(IF(Q28=0," ",Q28/$F28)," ")</f>
        <v>1</v>
      </c>
      <c r="S28" s="193">
        <v>63.4</v>
      </c>
      <c r="T28" s="196">
        <f t="shared" ref="T28" si="113">IFERROR(IF(S28=0," ",S28/$F28)," ")</f>
        <v>1</v>
      </c>
      <c r="U28" s="193">
        <v>63.4</v>
      </c>
      <c r="V28" s="196">
        <f t="shared" ref="V28" si="114">IFERROR(IF(U28=0," ",U28/$F28)," ")</f>
        <v>1</v>
      </c>
      <c r="W28" s="193">
        <v>63.4</v>
      </c>
      <c r="X28" s="196">
        <f t="shared" ref="X28" si="115">IFERROR(IF(W28=0," ",W28/$F28)," ")</f>
        <v>1</v>
      </c>
      <c r="Y28" s="193">
        <v>63.4</v>
      </c>
      <c r="Z28" s="196">
        <f t="shared" ref="Z28" si="116">IFERROR(IF(Y28=0," ",Y28/$F28)," ")</f>
        <v>1</v>
      </c>
      <c r="AA28" s="193">
        <v>63.4</v>
      </c>
      <c r="AB28" s="196">
        <f t="shared" ref="AB28" si="117">IFERROR(IF(AA28=0," ",AA28/$F28)," ")</f>
        <v>1</v>
      </c>
      <c r="AC28" s="193">
        <v>63.4</v>
      </c>
      <c r="AD28" s="196">
        <f t="shared" ref="AD28" si="118">IFERROR(IF(AC28=0," ",AC28/$F28)," ")</f>
        <v>1</v>
      </c>
      <c r="AE28" s="193">
        <v>63.4</v>
      </c>
      <c r="AF28" s="196">
        <f t="shared" ref="AF28" si="119">IFERROR(IF(AE28=0," ",AE28/$F28)," ")</f>
        <v>1</v>
      </c>
      <c r="AG28" s="193">
        <v>63.4</v>
      </c>
      <c r="AH28" s="196">
        <f t="shared" ref="AH28" si="120">IFERROR(IF(AG28=0," ",AG28/$F28)," ")</f>
        <v>1</v>
      </c>
      <c r="AI28" s="197"/>
      <c r="AJ28" s="177">
        <v>0</v>
      </c>
      <c r="AK28" s="177">
        <v>14116.01</v>
      </c>
      <c r="AL28" s="177">
        <v>14116.01</v>
      </c>
      <c r="AM28" s="177">
        <v>14116.01</v>
      </c>
      <c r="AN28" s="177">
        <v>14116.01</v>
      </c>
      <c r="AO28" s="177">
        <v>14116.01</v>
      </c>
      <c r="AP28" s="177">
        <v>14116.01</v>
      </c>
      <c r="AQ28" s="177">
        <v>14116.01</v>
      </c>
      <c r="AR28" s="177">
        <v>14116.01</v>
      </c>
      <c r="AS28" s="177">
        <v>14116.01</v>
      </c>
      <c r="AT28" s="177">
        <v>14116.01</v>
      </c>
      <c r="AU28" s="177">
        <v>14116.01</v>
      </c>
    </row>
    <row r="29" spans="1:47" ht="30" x14ac:dyDescent="0.25">
      <c r="A29" s="190">
        <v>7</v>
      </c>
      <c r="B29" s="65">
        <v>2121.4</v>
      </c>
      <c r="C29" s="191" t="s">
        <v>36</v>
      </c>
      <c r="D29" s="65" t="s">
        <v>26</v>
      </c>
      <c r="E29" s="192">
        <f>IF(A29=" "," ",VLOOKUP(A29,Estimate!A:Q,17,FALSE))</f>
        <v>4610.4040000000005</v>
      </c>
      <c r="F29" s="193">
        <v>26.8</v>
      </c>
      <c r="G29" s="206">
        <v>229.03414179104479</v>
      </c>
      <c r="H29" s="195">
        <v>258.29000000000002</v>
      </c>
      <c r="I29" s="195">
        <v>6922.17</v>
      </c>
      <c r="J29" s="195"/>
      <c r="K29" s="193"/>
      <c r="L29" s="196" t="str">
        <f t="shared" si="0"/>
        <v xml:space="preserve"> </v>
      </c>
      <c r="M29" s="193">
        <v>26.8</v>
      </c>
      <c r="N29" s="196">
        <f t="shared" si="0"/>
        <v>1</v>
      </c>
      <c r="O29" s="193">
        <v>26.8</v>
      </c>
      <c r="P29" s="196">
        <f t="shared" ref="P29" si="121">IFERROR(IF(O29=0," ",O29/$F29)," ")</f>
        <v>1</v>
      </c>
      <c r="Q29" s="193">
        <v>26.8</v>
      </c>
      <c r="R29" s="196">
        <f t="shared" ref="R29" si="122">IFERROR(IF(Q29=0," ",Q29/$F29)," ")</f>
        <v>1</v>
      </c>
      <c r="S29" s="193">
        <v>26.8</v>
      </c>
      <c r="T29" s="196">
        <f t="shared" ref="T29" si="123">IFERROR(IF(S29=0," ",S29/$F29)," ")</f>
        <v>1</v>
      </c>
      <c r="U29" s="193">
        <v>26.8</v>
      </c>
      <c r="V29" s="196">
        <f t="shared" ref="V29" si="124">IFERROR(IF(U29=0," ",U29/$F29)," ")</f>
        <v>1</v>
      </c>
      <c r="W29" s="193">
        <v>26.8</v>
      </c>
      <c r="X29" s="196">
        <f t="shared" ref="X29" si="125">IFERROR(IF(W29=0," ",W29/$F29)," ")</f>
        <v>1</v>
      </c>
      <c r="Y29" s="193">
        <v>26.8</v>
      </c>
      <c r="Z29" s="196">
        <f t="shared" ref="Z29" si="126">IFERROR(IF(Y29=0," ",Y29/$F29)," ")</f>
        <v>1</v>
      </c>
      <c r="AA29" s="193">
        <v>26.8</v>
      </c>
      <c r="AB29" s="196">
        <f t="shared" ref="AB29" si="127">IFERROR(IF(AA29=0," ",AA29/$F29)," ")</f>
        <v>1</v>
      </c>
      <c r="AC29" s="193">
        <v>26.8</v>
      </c>
      <c r="AD29" s="196">
        <f t="shared" ref="AD29" si="128">IFERROR(IF(AC29=0," ",AC29/$F29)," ")</f>
        <v>1</v>
      </c>
      <c r="AE29" s="193">
        <v>26.8</v>
      </c>
      <c r="AF29" s="196">
        <f t="shared" ref="AF29" si="129">IFERROR(IF(AE29=0," ",AE29/$F29)," ")</f>
        <v>1</v>
      </c>
      <c r="AG29" s="193">
        <v>26.8</v>
      </c>
      <c r="AH29" s="196">
        <f t="shared" ref="AH29" si="130">IFERROR(IF(AG29=0," ",AG29/$F29)," ")</f>
        <v>1</v>
      </c>
      <c r="AI29" s="197"/>
      <c r="AJ29" s="177">
        <v>0</v>
      </c>
      <c r="AK29" s="177">
        <v>6922.17</v>
      </c>
      <c r="AL29" s="177">
        <v>6922.17</v>
      </c>
      <c r="AM29" s="177">
        <v>6922.17</v>
      </c>
      <c r="AN29" s="177">
        <v>6922.17</v>
      </c>
      <c r="AO29" s="177">
        <v>6922.17</v>
      </c>
      <c r="AP29" s="177">
        <v>6922.17</v>
      </c>
      <c r="AQ29" s="177">
        <v>6922.17</v>
      </c>
      <c r="AR29" s="177">
        <v>6922.17</v>
      </c>
      <c r="AS29" s="177">
        <v>6922.17</v>
      </c>
      <c r="AT29" s="177">
        <v>6922.17</v>
      </c>
      <c r="AU29" s="177">
        <v>6922.17</v>
      </c>
    </row>
    <row r="30" spans="1:47" ht="30" x14ac:dyDescent="0.25">
      <c r="A30" s="190">
        <v>8</v>
      </c>
      <c r="B30" s="65">
        <v>2121.6</v>
      </c>
      <c r="C30" s="191" t="s">
        <v>39</v>
      </c>
      <c r="D30" s="65" t="s">
        <v>26</v>
      </c>
      <c r="E30" s="192">
        <f>IF(A30=" "," ",VLOOKUP(A30,Estimate!A:Q,17,FALSE))</f>
        <v>13652.170000000002</v>
      </c>
      <c r="F30" s="193">
        <v>70.7</v>
      </c>
      <c r="G30" s="206">
        <v>257.08927864214991</v>
      </c>
      <c r="H30" s="195">
        <v>289.93</v>
      </c>
      <c r="I30" s="195">
        <v>20498.05</v>
      </c>
      <c r="J30" s="195"/>
      <c r="K30" s="193"/>
      <c r="L30" s="196" t="str">
        <f t="shared" si="0"/>
        <v xml:space="preserve"> </v>
      </c>
      <c r="M30" s="193">
        <v>70.7</v>
      </c>
      <c r="N30" s="196">
        <f t="shared" si="0"/>
        <v>1</v>
      </c>
      <c r="O30" s="193">
        <v>70.7</v>
      </c>
      <c r="P30" s="196">
        <f t="shared" ref="P30" si="131">IFERROR(IF(O30=0," ",O30/$F30)," ")</f>
        <v>1</v>
      </c>
      <c r="Q30" s="193">
        <v>70.7</v>
      </c>
      <c r="R30" s="196">
        <f t="shared" ref="R30" si="132">IFERROR(IF(Q30=0," ",Q30/$F30)," ")</f>
        <v>1</v>
      </c>
      <c r="S30" s="193">
        <v>70.7</v>
      </c>
      <c r="T30" s="196">
        <f t="shared" ref="T30" si="133">IFERROR(IF(S30=0," ",S30/$F30)," ")</f>
        <v>1</v>
      </c>
      <c r="U30" s="193">
        <v>70.7</v>
      </c>
      <c r="V30" s="196">
        <f t="shared" ref="V30" si="134">IFERROR(IF(U30=0," ",U30/$F30)," ")</f>
        <v>1</v>
      </c>
      <c r="W30" s="193">
        <v>70.7</v>
      </c>
      <c r="X30" s="196">
        <f t="shared" ref="X30" si="135">IFERROR(IF(W30=0," ",W30/$F30)," ")</f>
        <v>1</v>
      </c>
      <c r="Y30" s="193">
        <v>70.7</v>
      </c>
      <c r="Z30" s="196">
        <f t="shared" ref="Z30" si="136">IFERROR(IF(Y30=0," ",Y30/$F30)," ")</f>
        <v>1</v>
      </c>
      <c r="AA30" s="193">
        <v>70.7</v>
      </c>
      <c r="AB30" s="196">
        <f t="shared" ref="AB30" si="137">IFERROR(IF(AA30=0," ",AA30/$F30)," ")</f>
        <v>1</v>
      </c>
      <c r="AC30" s="193">
        <v>70.7</v>
      </c>
      <c r="AD30" s="196">
        <f t="shared" ref="AD30" si="138">IFERROR(IF(AC30=0," ",AC30/$F30)," ")</f>
        <v>1</v>
      </c>
      <c r="AE30" s="193">
        <v>70.7</v>
      </c>
      <c r="AF30" s="196">
        <f t="shared" ref="AF30" si="139">IFERROR(IF(AE30=0," ",AE30/$F30)," ")</f>
        <v>1</v>
      </c>
      <c r="AG30" s="193">
        <v>70.7</v>
      </c>
      <c r="AH30" s="196">
        <f t="shared" ref="AH30" si="140">IFERROR(IF(AG30=0," ",AG30/$F30)," ")</f>
        <v>1</v>
      </c>
      <c r="AI30" s="197"/>
      <c r="AJ30" s="177">
        <v>0</v>
      </c>
      <c r="AK30" s="177">
        <v>20498.05</v>
      </c>
      <c r="AL30" s="177">
        <v>20498.05</v>
      </c>
      <c r="AM30" s="177">
        <v>20498.05</v>
      </c>
      <c r="AN30" s="177">
        <v>20498.05</v>
      </c>
      <c r="AO30" s="177">
        <v>20498.05</v>
      </c>
      <c r="AP30" s="177">
        <v>20498.05</v>
      </c>
      <c r="AQ30" s="177">
        <v>20498.05</v>
      </c>
      <c r="AR30" s="177">
        <v>20498.05</v>
      </c>
      <c r="AS30" s="177">
        <v>20498.05</v>
      </c>
      <c r="AT30" s="177">
        <v>20498.05</v>
      </c>
      <c r="AU30" s="177">
        <v>20498.05</v>
      </c>
    </row>
    <row r="31" spans="1:47" ht="30" x14ac:dyDescent="0.25">
      <c r="A31" s="190">
        <v>9</v>
      </c>
      <c r="B31" s="65">
        <v>2121.8000000000002</v>
      </c>
      <c r="C31" s="191" t="s">
        <v>42</v>
      </c>
      <c r="D31" s="65" t="s">
        <v>26</v>
      </c>
      <c r="E31" s="192">
        <f>IF(A31=" "," ",VLOOKUP(A31,Estimate!A:Q,17,FALSE))</f>
        <v>7442.5259999999998</v>
      </c>
      <c r="F31" s="193">
        <v>31.7</v>
      </c>
      <c r="G31" s="206">
        <v>312.57429022082016</v>
      </c>
      <c r="H31" s="195">
        <v>352.5</v>
      </c>
      <c r="I31" s="195">
        <v>11174.25</v>
      </c>
      <c r="J31" s="195"/>
      <c r="K31" s="193"/>
      <c r="L31" s="196" t="str">
        <f t="shared" si="0"/>
        <v xml:space="preserve"> </v>
      </c>
      <c r="M31" s="193">
        <v>31.7</v>
      </c>
      <c r="N31" s="196">
        <f t="shared" si="0"/>
        <v>1</v>
      </c>
      <c r="O31" s="193">
        <v>31.7</v>
      </c>
      <c r="P31" s="196">
        <f t="shared" ref="P31" si="141">IFERROR(IF(O31=0," ",O31/$F31)," ")</f>
        <v>1</v>
      </c>
      <c r="Q31" s="193">
        <v>31.7</v>
      </c>
      <c r="R31" s="196">
        <f t="shared" ref="R31" si="142">IFERROR(IF(Q31=0," ",Q31/$F31)," ")</f>
        <v>1</v>
      </c>
      <c r="S31" s="193">
        <v>31.7</v>
      </c>
      <c r="T31" s="196">
        <f t="shared" ref="T31" si="143">IFERROR(IF(S31=0," ",S31/$F31)," ")</f>
        <v>1</v>
      </c>
      <c r="U31" s="193">
        <v>31.7</v>
      </c>
      <c r="V31" s="196">
        <f t="shared" ref="V31" si="144">IFERROR(IF(U31=0," ",U31/$F31)," ")</f>
        <v>1</v>
      </c>
      <c r="W31" s="193">
        <v>31.7</v>
      </c>
      <c r="X31" s="196">
        <f t="shared" ref="X31" si="145">IFERROR(IF(W31=0," ",W31/$F31)," ")</f>
        <v>1</v>
      </c>
      <c r="Y31" s="193">
        <v>31.7</v>
      </c>
      <c r="Z31" s="196">
        <f t="shared" ref="Z31" si="146">IFERROR(IF(Y31=0," ",Y31/$F31)," ")</f>
        <v>1</v>
      </c>
      <c r="AA31" s="193">
        <v>31.7</v>
      </c>
      <c r="AB31" s="196">
        <f t="shared" ref="AB31" si="147">IFERROR(IF(AA31=0," ",AA31/$F31)," ")</f>
        <v>1</v>
      </c>
      <c r="AC31" s="193">
        <v>31.7</v>
      </c>
      <c r="AD31" s="196">
        <f t="shared" ref="AD31" si="148">IFERROR(IF(AC31=0," ",AC31/$F31)," ")</f>
        <v>1</v>
      </c>
      <c r="AE31" s="193">
        <v>31.7</v>
      </c>
      <c r="AF31" s="196">
        <f t="shared" ref="AF31" si="149">IFERROR(IF(AE31=0," ",AE31/$F31)," ")</f>
        <v>1</v>
      </c>
      <c r="AG31" s="193">
        <v>31.7</v>
      </c>
      <c r="AH31" s="196">
        <f t="shared" ref="AH31" si="150">IFERROR(IF(AG31=0," ",AG31/$F31)," ")</f>
        <v>1</v>
      </c>
      <c r="AI31" s="197"/>
      <c r="AJ31" s="177">
        <v>0</v>
      </c>
      <c r="AK31" s="177">
        <v>11174.25</v>
      </c>
      <c r="AL31" s="177">
        <v>11174.25</v>
      </c>
      <c r="AM31" s="177">
        <v>11174.25</v>
      </c>
      <c r="AN31" s="177">
        <v>11174.25</v>
      </c>
      <c r="AO31" s="177">
        <v>11174.25</v>
      </c>
      <c r="AP31" s="177">
        <v>11174.25</v>
      </c>
      <c r="AQ31" s="177">
        <v>11174.25</v>
      </c>
      <c r="AR31" s="177">
        <v>11174.25</v>
      </c>
      <c r="AS31" s="177">
        <v>11174.25</v>
      </c>
      <c r="AT31" s="177">
        <v>11174.25</v>
      </c>
      <c r="AU31" s="177">
        <v>11174.25</v>
      </c>
    </row>
    <row r="32" spans="1:47" ht="30" x14ac:dyDescent="0.25">
      <c r="A32" s="190" t="s">
        <v>642</v>
      </c>
      <c r="B32" s="65">
        <v>2190</v>
      </c>
      <c r="C32" s="191" t="s">
        <v>45</v>
      </c>
      <c r="D32" s="65" t="s">
        <v>747</v>
      </c>
      <c r="E32" s="192" t="str">
        <f>IF(A32=" "," ",VLOOKUP(A32,Estimate!A:Q,17,FALSE))</f>
        <v xml:space="preserve"> </v>
      </c>
      <c r="F32" s="193" t="s">
        <v>642</v>
      </c>
      <c r="G32" s="206" t="s">
        <v>642</v>
      </c>
      <c r="H32" s="195" t="s">
        <v>642</v>
      </c>
      <c r="I32" s="195" t="s">
        <v>642</v>
      </c>
      <c r="J32" s="195"/>
      <c r="K32" s="193" t="s">
        <v>642</v>
      </c>
      <c r="L32" s="196" t="str">
        <f t="shared" si="0"/>
        <v xml:space="preserve"> </v>
      </c>
      <c r="M32" s="193" t="s">
        <v>642</v>
      </c>
      <c r="N32" s="196" t="str">
        <f t="shared" si="0"/>
        <v xml:space="preserve"> </v>
      </c>
      <c r="O32" s="193" t="s">
        <v>642</v>
      </c>
      <c r="P32" s="196" t="str">
        <f t="shared" ref="P32" si="151">IFERROR(IF(O32=0," ",O32/$F32)," ")</f>
        <v xml:space="preserve"> </v>
      </c>
      <c r="Q32" s="193" t="s">
        <v>642</v>
      </c>
      <c r="R32" s="196" t="str">
        <f t="shared" ref="R32" si="152">IFERROR(IF(Q32=0," ",Q32/$F32)," ")</f>
        <v xml:space="preserve"> </v>
      </c>
      <c r="S32" s="193" t="s">
        <v>642</v>
      </c>
      <c r="T32" s="196" t="str">
        <f t="shared" ref="T32" si="153">IFERROR(IF(S32=0," ",S32/$F32)," ")</f>
        <v xml:space="preserve"> </v>
      </c>
      <c r="U32" s="193" t="s">
        <v>642</v>
      </c>
      <c r="V32" s="196" t="str">
        <f t="shared" ref="V32" si="154">IFERROR(IF(U32=0," ",U32/$F32)," ")</f>
        <v xml:space="preserve"> </v>
      </c>
      <c r="W32" s="193" t="s">
        <v>642</v>
      </c>
      <c r="X32" s="196" t="str">
        <f t="shared" ref="X32" si="155">IFERROR(IF(W32=0," ",W32/$F32)," ")</f>
        <v xml:space="preserve"> </v>
      </c>
      <c r="Y32" s="193" t="s">
        <v>642</v>
      </c>
      <c r="Z32" s="196" t="str">
        <f t="shared" ref="Z32" si="156">IFERROR(IF(Y32=0," ",Y32/$F32)," ")</f>
        <v xml:space="preserve"> </v>
      </c>
      <c r="AA32" s="193" t="s">
        <v>642</v>
      </c>
      <c r="AB32" s="196" t="str">
        <f t="shared" ref="AB32" si="157">IFERROR(IF(AA32=0," ",AA32/$F32)," ")</f>
        <v xml:space="preserve"> </v>
      </c>
      <c r="AC32" s="193" t="s">
        <v>642</v>
      </c>
      <c r="AD32" s="196" t="str">
        <f t="shared" ref="AD32" si="158">IFERROR(IF(AC32=0," ",AC32/$F32)," ")</f>
        <v xml:space="preserve"> </v>
      </c>
      <c r="AE32" s="193" t="s">
        <v>642</v>
      </c>
      <c r="AF32" s="196" t="str">
        <f t="shared" ref="AF32" si="159">IFERROR(IF(AE32=0," ",AE32/$F32)," ")</f>
        <v xml:space="preserve"> </v>
      </c>
      <c r="AG32" s="193" t="s">
        <v>642</v>
      </c>
      <c r="AH32" s="196" t="str">
        <f t="shared" ref="AH32" si="160">IFERROR(IF(AG32=0," ",AG32/$F32)," ")</f>
        <v xml:space="preserve"> </v>
      </c>
      <c r="AI32" s="197"/>
      <c r="AJ32" s="177" t="s">
        <v>642</v>
      </c>
      <c r="AK32" s="177" t="s">
        <v>642</v>
      </c>
      <c r="AL32" s="177" t="s">
        <v>642</v>
      </c>
      <c r="AM32" s="177" t="s">
        <v>642</v>
      </c>
      <c r="AN32" s="177" t="s">
        <v>642</v>
      </c>
      <c r="AO32" s="177" t="s">
        <v>642</v>
      </c>
      <c r="AP32" s="177" t="s">
        <v>642</v>
      </c>
      <c r="AQ32" s="177" t="s">
        <v>642</v>
      </c>
      <c r="AR32" s="177" t="s">
        <v>642</v>
      </c>
      <c r="AS32" s="177" t="s">
        <v>642</v>
      </c>
      <c r="AT32" s="177" t="s">
        <v>642</v>
      </c>
      <c r="AU32" s="177" t="s">
        <v>642</v>
      </c>
    </row>
    <row r="33" spans="1:47" ht="30" x14ac:dyDescent="0.25">
      <c r="A33" s="190">
        <v>10</v>
      </c>
      <c r="B33" s="65">
        <v>2191.1</v>
      </c>
      <c r="C33" s="191" t="s">
        <v>47</v>
      </c>
      <c r="D33" s="65" t="s">
        <v>26</v>
      </c>
      <c r="E33" s="192">
        <f>IF(A33=" "," ",VLOOKUP(A33,Estimate!A:Q,17,FALSE))</f>
        <v>33768</v>
      </c>
      <c r="F33" s="193">
        <v>315</v>
      </c>
      <c r="G33" s="206">
        <v>142.7202380952381</v>
      </c>
      <c r="H33" s="195">
        <v>160.94999999999999</v>
      </c>
      <c r="I33" s="195">
        <v>50699.25</v>
      </c>
      <c r="J33" s="195"/>
      <c r="K33" s="193"/>
      <c r="L33" s="196" t="str">
        <f t="shared" si="0"/>
        <v xml:space="preserve"> </v>
      </c>
      <c r="M33" s="193"/>
      <c r="N33" s="196" t="str">
        <f t="shared" si="0"/>
        <v xml:space="preserve"> </v>
      </c>
      <c r="O33" s="193"/>
      <c r="P33" s="196" t="str">
        <f t="shared" ref="P33" si="161">IFERROR(IF(O33=0," ",O33/$F33)," ")</f>
        <v xml:space="preserve"> </v>
      </c>
      <c r="Q33" s="193"/>
      <c r="R33" s="196" t="str">
        <f t="shared" ref="R33" si="162">IFERROR(IF(Q33=0," ",Q33/$F33)," ")</f>
        <v xml:space="preserve"> </v>
      </c>
      <c r="S33" s="193"/>
      <c r="T33" s="196" t="str">
        <f t="shared" ref="T33" si="163">IFERROR(IF(S33=0," ",S33/$F33)," ")</f>
        <v xml:space="preserve"> </v>
      </c>
      <c r="U33" s="193">
        <v>315</v>
      </c>
      <c r="V33" s="196">
        <f t="shared" ref="V33" si="164">IFERROR(IF(U33=0," ",U33/$F33)," ")</f>
        <v>1</v>
      </c>
      <c r="W33" s="193">
        <v>315</v>
      </c>
      <c r="X33" s="196">
        <f t="shared" ref="X33" si="165">IFERROR(IF(W33=0," ",W33/$F33)," ")</f>
        <v>1</v>
      </c>
      <c r="Y33" s="193">
        <v>315</v>
      </c>
      <c r="Z33" s="196">
        <f t="shared" ref="Z33" si="166">IFERROR(IF(Y33=0," ",Y33/$F33)," ")</f>
        <v>1</v>
      </c>
      <c r="AA33" s="193">
        <v>315</v>
      </c>
      <c r="AB33" s="196">
        <f t="shared" ref="AB33" si="167">IFERROR(IF(AA33=0," ",AA33/$F33)," ")</f>
        <v>1</v>
      </c>
      <c r="AC33" s="193">
        <v>315</v>
      </c>
      <c r="AD33" s="196">
        <f t="shared" ref="AD33" si="168">IFERROR(IF(AC33=0," ",AC33/$F33)," ")</f>
        <v>1</v>
      </c>
      <c r="AE33" s="193">
        <v>315</v>
      </c>
      <c r="AF33" s="196">
        <f t="shared" ref="AF33" si="169">IFERROR(IF(AE33=0," ",AE33/$F33)," ")</f>
        <v>1</v>
      </c>
      <c r="AG33" s="193">
        <v>315</v>
      </c>
      <c r="AH33" s="196">
        <f t="shared" ref="AH33" si="170">IFERROR(IF(AG33=0," ",AG33/$F33)," ")</f>
        <v>1</v>
      </c>
      <c r="AI33" s="197"/>
      <c r="AJ33" s="177">
        <v>0</v>
      </c>
      <c r="AK33" s="177">
        <v>0</v>
      </c>
      <c r="AL33" s="177">
        <v>0</v>
      </c>
      <c r="AM33" s="177">
        <v>0</v>
      </c>
      <c r="AN33" s="177">
        <v>0</v>
      </c>
      <c r="AO33" s="177">
        <v>50699.25</v>
      </c>
      <c r="AP33" s="177">
        <v>50699.25</v>
      </c>
      <c r="AQ33" s="177">
        <v>50699.25</v>
      </c>
      <c r="AR33" s="177">
        <v>50699.25</v>
      </c>
      <c r="AS33" s="177">
        <v>50699.25</v>
      </c>
      <c r="AT33" s="177">
        <v>50699.25</v>
      </c>
      <c r="AU33" s="177">
        <v>50699.25</v>
      </c>
    </row>
    <row r="34" spans="1:47" x14ac:dyDescent="0.25">
      <c r="A34" s="190" t="s">
        <v>642</v>
      </c>
      <c r="B34" s="65">
        <v>2260</v>
      </c>
      <c r="C34" s="191" t="s">
        <v>49</v>
      </c>
      <c r="D34" s="65" t="s">
        <v>747</v>
      </c>
      <c r="E34" s="192" t="str">
        <f>IF(A34=" "," ",VLOOKUP(A34,Estimate!A:Q,17,FALSE))</f>
        <v xml:space="preserve"> </v>
      </c>
      <c r="F34" s="193" t="s">
        <v>642</v>
      </c>
      <c r="G34" s="206" t="s">
        <v>642</v>
      </c>
      <c r="H34" s="195" t="s">
        <v>642</v>
      </c>
      <c r="I34" s="195" t="s">
        <v>642</v>
      </c>
      <c r="J34" s="195"/>
      <c r="K34" s="193" t="s">
        <v>642</v>
      </c>
      <c r="L34" s="196" t="str">
        <f t="shared" si="0"/>
        <v xml:space="preserve"> </v>
      </c>
      <c r="M34" s="193" t="s">
        <v>642</v>
      </c>
      <c r="N34" s="196" t="str">
        <f t="shared" si="0"/>
        <v xml:space="preserve"> </v>
      </c>
      <c r="O34" s="193" t="s">
        <v>642</v>
      </c>
      <c r="P34" s="196" t="str">
        <f t="shared" ref="P34" si="171">IFERROR(IF(O34=0," ",O34/$F34)," ")</f>
        <v xml:space="preserve"> </v>
      </c>
      <c r="Q34" s="193" t="s">
        <v>642</v>
      </c>
      <c r="R34" s="196" t="str">
        <f t="shared" ref="R34" si="172">IFERROR(IF(Q34=0," ",Q34/$F34)," ")</f>
        <v xml:space="preserve"> </v>
      </c>
      <c r="S34" s="193" t="s">
        <v>642</v>
      </c>
      <c r="T34" s="196" t="str">
        <f t="shared" ref="T34" si="173">IFERROR(IF(S34=0," ",S34/$F34)," ")</f>
        <v xml:space="preserve"> </v>
      </c>
      <c r="U34" s="193" t="s">
        <v>642</v>
      </c>
      <c r="V34" s="196" t="str">
        <f t="shared" ref="V34" si="174">IFERROR(IF(U34=0," ",U34/$F34)," ")</f>
        <v xml:space="preserve"> </v>
      </c>
      <c r="W34" s="193" t="s">
        <v>642</v>
      </c>
      <c r="X34" s="196" t="str">
        <f t="shared" ref="X34" si="175">IFERROR(IF(W34=0," ",W34/$F34)," ")</f>
        <v xml:space="preserve"> </v>
      </c>
      <c r="Y34" s="193" t="s">
        <v>642</v>
      </c>
      <c r="Z34" s="196" t="str">
        <f t="shared" ref="Z34" si="176">IFERROR(IF(Y34=0," ",Y34/$F34)," ")</f>
        <v xml:space="preserve"> </v>
      </c>
      <c r="AA34" s="193" t="s">
        <v>642</v>
      </c>
      <c r="AB34" s="196" t="str">
        <f t="shared" ref="AB34" si="177">IFERROR(IF(AA34=0," ",AA34/$F34)," ")</f>
        <v xml:space="preserve"> </v>
      </c>
      <c r="AC34" s="193" t="s">
        <v>642</v>
      </c>
      <c r="AD34" s="196" t="str">
        <f t="shared" ref="AD34" si="178">IFERROR(IF(AC34=0," ",AC34/$F34)," ")</f>
        <v xml:space="preserve"> </v>
      </c>
      <c r="AE34" s="193" t="s">
        <v>642</v>
      </c>
      <c r="AF34" s="196" t="str">
        <f t="shared" ref="AF34" si="179">IFERROR(IF(AE34=0," ",AE34/$F34)," ")</f>
        <v xml:space="preserve"> </v>
      </c>
      <c r="AG34" s="193" t="s">
        <v>642</v>
      </c>
      <c r="AH34" s="196" t="str">
        <f t="shared" ref="AH34" si="180">IFERROR(IF(AG34=0," ",AG34/$F34)," ")</f>
        <v xml:space="preserve"> </v>
      </c>
      <c r="AI34" s="197"/>
      <c r="AJ34" s="177" t="s">
        <v>642</v>
      </c>
      <c r="AK34" s="177" t="s">
        <v>642</v>
      </c>
      <c r="AL34" s="177" t="s">
        <v>642</v>
      </c>
      <c r="AM34" s="177" t="s">
        <v>642</v>
      </c>
      <c r="AN34" s="177" t="s">
        <v>642</v>
      </c>
      <c r="AO34" s="177" t="s">
        <v>642</v>
      </c>
      <c r="AP34" s="177" t="s">
        <v>642</v>
      </c>
      <c r="AQ34" s="177" t="s">
        <v>642</v>
      </c>
      <c r="AR34" s="177" t="s">
        <v>642</v>
      </c>
      <c r="AS34" s="177" t="s">
        <v>642</v>
      </c>
      <c r="AT34" s="177" t="s">
        <v>642</v>
      </c>
      <c r="AU34" s="177" t="s">
        <v>642</v>
      </c>
    </row>
    <row r="35" spans="1:47" x14ac:dyDescent="0.25">
      <c r="A35" s="190">
        <v>11</v>
      </c>
      <c r="B35" s="65">
        <v>2261.1</v>
      </c>
      <c r="C35" s="191" t="s">
        <v>51</v>
      </c>
      <c r="D35" s="65" t="s">
        <v>52</v>
      </c>
      <c r="E35" s="192">
        <f>IF(A35=" "," ",VLOOKUP(A35,Estimate!A:Q,17,FALSE))</f>
        <v>2788</v>
      </c>
      <c r="F35" s="193">
        <v>1</v>
      </c>
      <c r="G35" s="206">
        <v>3711.8798000000002</v>
      </c>
      <c r="H35" s="195">
        <v>4186.0200000000004</v>
      </c>
      <c r="I35" s="195">
        <v>4186.0200000000004</v>
      </c>
      <c r="J35" s="195"/>
      <c r="K35" s="193"/>
      <c r="L35" s="196" t="str">
        <f t="shared" si="0"/>
        <v xml:space="preserve"> </v>
      </c>
      <c r="M35" s="193"/>
      <c r="N35" s="196" t="str">
        <f t="shared" si="0"/>
        <v xml:space="preserve"> </v>
      </c>
      <c r="O35" s="193"/>
      <c r="P35" s="196" t="str">
        <f t="shared" ref="P35" si="181">IFERROR(IF(O35=0," ",O35/$F35)," ")</f>
        <v xml:space="preserve"> </v>
      </c>
      <c r="Q35" s="193">
        <v>1</v>
      </c>
      <c r="R35" s="196">
        <f t="shared" ref="R35" si="182">IFERROR(IF(Q35=0," ",Q35/$F35)," ")</f>
        <v>1</v>
      </c>
      <c r="S35" s="193">
        <v>1</v>
      </c>
      <c r="T35" s="196">
        <f t="shared" ref="T35" si="183">IFERROR(IF(S35=0," ",S35/$F35)," ")</f>
        <v>1</v>
      </c>
      <c r="U35" s="193">
        <v>1</v>
      </c>
      <c r="V35" s="196">
        <f t="shared" ref="V35" si="184">IFERROR(IF(U35=0," ",U35/$F35)," ")</f>
        <v>1</v>
      </c>
      <c r="W35" s="193">
        <v>1</v>
      </c>
      <c r="X35" s="196">
        <f t="shared" ref="X35" si="185">IFERROR(IF(W35=0," ",W35/$F35)," ")</f>
        <v>1</v>
      </c>
      <c r="Y35" s="193">
        <v>1</v>
      </c>
      <c r="Z35" s="196">
        <f t="shared" ref="Z35" si="186">IFERROR(IF(Y35=0," ",Y35/$F35)," ")</f>
        <v>1</v>
      </c>
      <c r="AA35" s="193">
        <v>1</v>
      </c>
      <c r="AB35" s="196">
        <f t="shared" ref="AB35" si="187">IFERROR(IF(AA35=0," ",AA35/$F35)," ")</f>
        <v>1</v>
      </c>
      <c r="AC35" s="193">
        <v>1</v>
      </c>
      <c r="AD35" s="196">
        <f t="shared" ref="AD35" si="188">IFERROR(IF(AC35=0," ",AC35/$F35)," ")</f>
        <v>1</v>
      </c>
      <c r="AE35" s="193">
        <v>1</v>
      </c>
      <c r="AF35" s="196">
        <f t="shared" ref="AF35" si="189">IFERROR(IF(AE35=0," ",AE35/$F35)," ")</f>
        <v>1</v>
      </c>
      <c r="AG35" s="193">
        <v>1</v>
      </c>
      <c r="AH35" s="196">
        <f t="shared" ref="AH35" si="190">IFERROR(IF(AG35=0," ",AG35/$F35)," ")</f>
        <v>1</v>
      </c>
      <c r="AI35" s="197"/>
      <c r="AJ35" s="177">
        <v>0</v>
      </c>
      <c r="AK35" s="177">
        <v>0</v>
      </c>
      <c r="AL35" s="177">
        <v>0</v>
      </c>
      <c r="AM35" s="177">
        <v>4186.0200000000004</v>
      </c>
      <c r="AN35" s="177">
        <v>4186.0200000000004</v>
      </c>
      <c r="AO35" s="177">
        <v>4186.0200000000004</v>
      </c>
      <c r="AP35" s="177">
        <v>4186.0200000000004</v>
      </c>
      <c r="AQ35" s="177">
        <v>4186.0200000000004</v>
      </c>
      <c r="AR35" s="177">
        <v>4186.0200000000004</v>
      </c>
      <c r="AS35" s="177">
        <v>4186.0200000000004</v>
      </c>
      <c r="AT35" s="177">
        <v>4186.0200000000004</v>
      </c>
      <c r="AU35" s="177">
        <v>4186.0200000000004</v>
      </c>
    </row>
    <row r="36" spans="1:47" x14ac:dyDescent="0.25">
      <c r="A36" s="190" t="s">
        <v>642</v>
      </c>
      <c r="B36" s="65">
        <v>2300</v>
      </c>
      <c r="C36" s="191" t="s">
        <v>56</v>
      </c>
      <c r="D36" s="65" t="s">
        <v>747</v>
      </c>
      <c r="E36" s="192" t="str">
        <f>IF(A36=" "," ",VLOOKUP(A36,Estimate!A:Q,17,FALSE))</f>
        <v xml:space="preserve"> </v>
      </c>
      <c r="F36" s="193" t="s">
        <v>642</v>
      </c>
      <c r="G36" s="206" t="s">
        <v>642</v>
      </c>
      <c r="H36" s="195" t="s">
        <v>642</v>
      </c>
      <c r="I36" s="195" t="s">
        <v>642</v>
      </c>
      <c r="J36" s="195"/>
      <c r="K36" s="193" t="s">
        <v>642</v>
      </c>
      <c r="L36" s="196" t="str">
        <f t="shared" si="0"/>
        <v xml:space="preserve"> </v>
      </c>
      <c r="M36" s="193" t="s">
        <v>642</v>
      </c>
      <c r="N36" s="196" t="str">
        <f t="shared" si="0"/>
        <v xml:space="preserve"> </v>
      </c>
      <c r="O36" s="193" t="s">
        <v>642</v>
      </c>
      <c r="P36" s="196" t="str">
        <f t="shared" ref="P36" si="191">IFERROR(IF(O36=0," ",O36/$F36)," ")</f>
        <v xml:space="preserve"> </v>
      </c>
      <c r="Q36" s="193" t="s">
        <v>642</v>
      </c>
      <c r="R36" s="196" t="str">
        <f t="shared" ref="R36" si="192">IFERROR(IF(Q36=0," ",Q36/$F36)," ")</f>
        <v xml:space="preserve"> </v>
      </c>
      <c r="S36" s="193" t="s">
        <v>642</v>
      </c>
      <c r="T36" s="196" t="str">
        <f t="shared" ref="T36" si="193">IFERROR(IF(S36=0," ",S36/$F36)," ")</f>
        <v xml:space="preserve"> </v>
      </c>
      <c r="U36" s="193" t="s">
        <v>642</v>
      </c>
      <c r="V36" s="196" t="str">
        <f t="shared" ref="V36" si="194">IFERROR(IF(U36=0," ",U36/$F36)," ")</f>
        <v xml:space="preserve"> </v>
      </c>
      <c r="W36" s="193" t="s">
        <v>642</v>
      </c>
      <c r="X36" s="196" t="str">
        <f t="shared" ref="X36" si="195">IFERROR(IF(W36=0," ",W36/$F36)," ")</f>
        <v xml:space="preserve"> </v>
      </c>
      <c r="Y36" s="193" t="s">
        <v>642</v>
      </c>
      <c r="Z36" s="196" t="str">
        <f t="shared" ref="Z36" si="196">IFERROR(IF(Y36=0," ",Y36/$F36)," ")</f>
        <v xml:space="preserve"> </v>
      </c>
      <c r="AA36" s="193" t="s">
        <v>642</v>
      </c>
      <c r="AB36" s="196" t="str">
        <f t="shared" ref="AB36" si="197">IFERROR(IF(AA36=0," ",AA36/$F36)," ")</f>
        <v xml:space="preserve"> </v>
      </c>
      <c r="AC36" s="193" t="s">
        <v>642</v>
      </c>
      <c r="AD36" s="196" t="str">
        <f t="shared" ref="AD36" si="198">IFERROR(IF(AC36=0," ",AC36/$F36)," ")</f>
        <v xml:space="preserve"> </v>
      </c>
      <c r="AE36" s="193" t="s">
        <v>642</v>
      </c>
      <c r="AF36" s="196" t="str">
        <f t="shared" ref="AF36" si="199">IFERROR(IF(AE36=0," ",AE36/$F36)," ")</f>
        <v xml:space="preserve"> </v>
      </c>
      <c r="AG36" s="193" t="s">
        <v>642</v>
      </c>
      <c r="AH36" s="196" t="str">
        <f t="shared" ref="AH36" si="200">IFERROR(IF(AG36=0," ",AG36/$F36)," ")</f>
        <v xml:space="preserve"> </v>
      </c>
      <c r="AI36" s="197"/>
      <c r="AJ36" s="177" t="s">
        <v>642</v>
      </c>
      <c r="AK36" s="177" t="s">
        <v>642</v>
      </c>
      <c r="AL36" s="177" t="s">
        <v>642</v>
      </c>
      <c r="AM36" s="177" t="s">
        <v>642</v>
      </c>
      <c r="AN36" s="177" t="s">
        <v>642</v>
      </c>
      <c r="AO36" s="177" t="s">
        <v>642</v>
      </c>
      <c r="AP36" s="177" t="s">
        <v>642</v>
      </c>
      <c r="AQ36" s="177" t="s">
        <v>642</v>
      </c>
      <c r="AR36" s="177" t="s">
        <v>642</v>
      </c>
      <c r="AS36" s="177" t="s">
        <v>642</v>
      </c>
      <c r="AT36" s="177" t="s">
        <v>642</v>
      </c>
      <c r="AU36" s="177" t="s">
        <v>642</v>
      </c>
    </row>
    <row r="37" spans="1:47" x14ac:dyDescent="0.25">
      <c r="A37" s="190">
        <v>11.5</v>
      </c>
      <c r="B37" s="65">
        <v>2308</v>
      </c>
      <c r="C37" s="191" t="s">
        <v>58</v>
      </c>
      <c r="D37" s="65" t="s">
        <v>59</v>
      </c>
      <c r="E37" s="192">
        <f>IF(A37=" "," ",VLOOKUP(A37,Estimate!A:Q,17,FALSE))</f>
        <v>950</v>
      </c>
      <c r="F37" s="193">
        <v>1</v>
      </c>
      <c r="G37" s="206">
        <v>1264.7919999999999</v>
      </c>
      <c r="H37" s="195">
        <v>1426.35</v>
      </c>
      <c r="I37" s="195">
        <v>1426.35</v>
      </c>
      <c r="J37" s="195"/>
      <c r="K37" s="193"/>
      <c r="L37" s="196" t="str">
        <f t="shared" si="0"/>
        <v xml:space="preserve"> </v>
      </c>
      <c r="M37" s="193"/>
      <c r="N37" s="196" t="str">
        <f t="shared" si="0"/>
        <v xml:space="preserve"> </v>
      </c>
      <c r="O37" s="193"/>
      <c r="P37" s="196" t="str">
        <f t="shared" ref="P37" si="201">IFERROR(IF(O37=0," ",O37/$F37)," ")</f>
        <v xml:space="preserve"> </v>
      </c>
      <c r="Q37" s="193">
        <v>1</v>
      </c>
      <c r="R37" s="196">
        <f t="shared" ref="R37" si="202">IFERROR(IF(Q37=0," ",Q37/$F37)," ")</f>
        <v>1</v>
      </c>
      <c r="S37" s="193">
        <v>1</v>
      </c>
      <c r="T37" s="196">
        <f t="shared" ref="T37" si="203">IFERROR(IF(S37=0," ",S37/$F37)," ")</f>
        <v>1</v>
      </c>
      <c r="U37" s="193">
        <v>1</v>
      </c>
      <c r="V37" s="196">
        <f t="shared" ref="V37" si="204">IFERROR(IF(U37=0," ",U37/$F37)," ")</f>
        <v>1</v>
      </c>
      <c r="W37" s="193">
        <v>1</v>
      </c>
      <c r="X37" s="196">
        <f t="shared" ref="X37" si="205">IFERROR(IF(W37=0," ",W37/$F37)," ")</f>
        <v>1</v>
      </c>
      <c r="Y37" s="193">
        <v>1</v>
      </c>
      <c r="Z37" s="196">
        <f t="shared" ref="Z37" si="206">IFERROR(IF(Y37=0," ",Y37/$F37)," ")</f>
        <v>1</v>
      </c>
      <c r="AA37" s="193">
        <v>1</v>
      </c>
      <c r="AB37" s="196">
        <f t="shared" ref="AB37" si="207">IFERROR(IF(AA37=0," ",AA37/$F37)," ")</f>
        <v>1</v>
      </c>
      <c r="AC37" s="193">
        <v>1</v>
      </c>
      <c r="AD37" s="196">
        <f t="shared" ref="AD37" si="208">IFERROR(IF(AC37=0," ",AC37/$F37)," ")</f>
        <v>1</v>
      </c>
      <c r="AE37" s="193">
        <v>1</v>
      </c>
      <c r="AF37" s="196">
        <f t="shared" ref="AF37" si="209">IFERROR(IF(AE37=0," ",AE37/$F37)," ")</f>
        <v>1</v>
      </c>
      <c r="AG37" s="193">
        <v>1</v>
      </c>
      <c r="AH37" s="196">
        <f t="shared" ref="AH37" si="210">IFERROR(IF(AG37=0," ",AG37/$F37)," ")</f>
        <v>1</v>
      </c>
      <c r="AI37" s="197"/>
      <c r="AJ37" s="177">
        <v>0</v>
      </c>
      <c r="AK37" s="177">
        <v>0</v>
      </c>
      <c r="AL37" s="177">
        <v>0</v>
      </c>
      <c r="AM37" s="177">
        <v>1426.35</v>
      </c>
      <c r="AN37" s="177">
        <v>1426.35</v>
      </c>
      <c r="AO37" s="177">
        <v>1426.35</v>
      </c>
      <c r="AP37" s="177">
        <v>1426.35</v>
      </c>
      <c r="AQ37" s="177">
        <v>1426.35</v>
      </c>
      <c r="AR37" s="177">
        <v>1426.35</v>
      </c>
      <c r="AS37" s="177">
        <v>1426.35</v>
      </c>
      <c r="AT37" s="177">
        <v>1426.35</v>
      </c>
      <c r="AU37" s="177">
        <v>1426.35</v>
      </c>
    </row>
    <row r="38" spans="1:47" x14ac:dyDescent="0.25">
      <c r="A38" s="190">
        <v>12</v>
      </c>
      <c r="B38" s="65">
        <v>2313</v>
      </c>
      <c r="C38" s="191" t="s">
        <v>63</v>
      </c>
      <c r="D38" s="65" t="s">
        <v>59</v>
      </c>
      <c r="E38" s="192">
        <f>IF(A38=" "," ",VLOOKUP(A38,Estimate!A:Q,17,FALSE))</f>
        <v>950</v>
      </c>
      <c r="F38" s="193">
        <v>1</v>
      </c>
      <c r="G38" s="206">
        <v>1264.7919999999999</v>
      </c>
      <c r="H38" s="195">
        <v>1426.35</v>
      </c>
      <c r="I38" s="195">
        <v>1426.35</v>
      </c>
      <c r="J38" s="195"/>
      <c r="K38" s="193"/>
      <c r="L38" s="196" t="str">
        <f t="shared" si="0"/>
        <v xml:space="preserve"> </v>
      </c>
      <c r="M38" s="193"/>
      <c r="N38" s="196" t="str">
        <f t="shared" si="0"/>
        <v xml:space="preserve"> </v>
      </c>
      <c r="O38" s="193"/>
      <c r="P38" s="196" t="str">
        <f t="shared" ref="P38" si="211">IFERROR(IF(O38=0," ",O38/$F38)," ")</f>
        <v xml:space="preserve"> </v>
      </c>
      <c r="Q38" s="193">
        <v>1</v>
      </c>
      <c r="R38" s="196">
        <f t="shared" ref="R38" si="212">IFERROR(IF(Q38=0," ",Q38/$F38)," ")</f>
        <v>1</v>
      </c>
      <c r="S38" s="193">
        <v>1</v>
      </c>
      <c r="T38" s="196">
        <f t="shared" ref="T38" si="213">IFERROR(IF(S38=0," ",S38/$F38)," ")</f>
        <v>1</v>
      </c>
      <c r="U38" s="193">
        <v>1</v>
      </c>
      <c r="V38" s="196">
        <f t="shared" ref="V38" si="214">IFERROR(IF(U38=0," ",U38/$F38)," ")</f>
        <v>1</v>
      </c>
      <c r="W38" s="193">
        <v>1</v>
      </c>
      <c r="X38" s="196">
        <f t="shared" ref="X38" si="215">IFERROR(IF(W38=0," ",W38/$F38)," ")</f>
        <v>1</v>
      </c>
      <c r="Y38" s="193">
        <v>1</v>
      </c>
      <c r="Z38" s="196">
        <f t="shared" ref="Z38" si="216">IFERROR(IF(Y38=0," ",Y38/$F38)," ")</f>
        <v>1</v>
      </c>
      <c r="AA38" s="193">
        <v>1</v>
      </c>
      <c r="AB38" s="196">
        <f t="shared" ref="AB38" si="217">IFERROR(IF(AA38=0," ",AA38/$F38)," ")</f>
        <v>1</v>
      </c>
      <c r="AC38" s="193">
        <v>1</v>
      </c>
      <c r="AD38" s="196">
        <f t="shared" ref="AD38" si="218">IFERROR(IF(AC38=0," ",AC38/$F38)," ")</f>
        <v>1</v>
      </c>
      <c r="AE38" s="193">
        <v>1</v>
      </c>
      <c r="AF38" s="196">
        <f t="shared" ref="AF38" si="219">IFERROR(IF(AE38=0," ",AE38/$F38)," ")</f>
        <v>1</v>
      </c>
      <c r="AG38" s="193">
        <v>1</v>
      </c>
      <c r="AH38" s="196">
        <f t="shared" ref="AH38" si="220">IFERROR(IF(AG38=0," ",AG38/$F38)," ")</f>
        <v>1</v>
      </c>
      <c r="AI38" s="197"/>
      <c r="AJ38" s="177">
        <v>0</v>
      </c>
      <c r="AK38" s="177">
        <v>0</v>
      </c>
      <c r="AL38" s="177">
        <v>0</v>
      </c>
      <c r="AM38" s="177">
        <v>1426.35</v>
      </c>
      <c r="AN38" s="177">
        <v>1426.35</v>
      </c>
      <c r="AO38" s="177">
        <v>1426.35</v>
      </c>
      <c r="AP38" s="177">
        <v>1426.35</v>
      </c>
      <c r="AQ38" s="177">
        <v>1426.35</v>
      </c>
      <c r="AR38" s="177">
        <v>1426.35</v>
      </c>
      <c r="AS38" s="177">
        <v>1426.35</v>
      </c>
      <c r="AT38" s="177">
        <v>1426.35</v>
      </c>
      <c r="AU38" s="177">
        <v>1426.35</v>
      </c>
    </row>
    <row r="39" spans="1:47" x14ac:dyDescent="0.25">
      <c r="A39" s="190" t="s">
        <v>642</v>
      </c>
      <c r="B39" s="65" t="s">
        <v>745</v>
      </c>
      <c r="C39" s="191" t="s">
        <v>642</v>
      </c>
      <c r="D39" s="65" t="s">
        <v>747</v>
      </c>
      <c r="E39" s="192" t="str">
        <f>IF(A39=" "," ",VLOOKUP(A39,Estimate!A:Q,17,FALSE))</f>
        <v xml:space="preserve"> </v>
      </c>
      <c r="F39" s="193" t="s">
        <v>642</v>
      </c>
      <c r="G39" s="206" t="s">
        <v>642</v>
      </c>
      <c r="H39" s="195" t="s">
        <v>642</v>
      </c>
      <c r="I39" s="195" t="s">
        <v>642</v>
      </c>
      <c r="J39" s="195"/>
      <c r="K39" s="193" t="s">
        <v>642</v>
      </c>
      <c r="L39" s="196" t="str">
        <f t="shared" si="0"/>
        <v xml:space="preserve"> </v>
      </c>
      <c r="M39" s="193" t="s">
        <v>642</v>
      </c>
      <c r="N39" s="196" t="str">
        <f t="shared" si="0"/>
        <v xml:space="preserve"> </v>
      </c>
      <c r="O39" s="193" t="s">
        <v>642</v>
      </c>
      <c r="P39" s="196" t="str">
        <f t="shared" ref="P39" si="221">IFERROR(IF(O39=0," ",O39/$F39)," ")</f>
        <v xml:space="preserve"> </v>
      </c>
      <c r="Q39" s="193" t="s">
        <v>642</v>
      </c>
      <c r="R39" s="196" t="str">
        <f t="shared" ref="R39" si="222">IFERROR(IF(Q39=0," ",Q39/$F39)," ")</f>
        <v xml:space="preserve"> </v>
      </c>
      <c r="S39" s="193" t="s">
        <v>642</v>
      </c>
      <c r="T39" s="196" t="str">
        <f t="shared" ref="T39" si="223">IFERROR(IF(S39=0," ",S39/$F39)," ")</f>
        <v xml:space="preserve"> </v>
      </c>
      <c r="U39" s="193" t="s">
        <v>642</v>
      </c>
      <c r="V39" s="196" t="str">
        <f t="shared" ref="V39" si="224">IFERROR(IF(U39=0," ",U39/$F39)," ")</f>
        <v xml:space="preserve"> </v>
      </c>
      <c r="W39" s="193" t="s">
        <v>642</v>
      </c>
      <c r="X39" s="196" t="str">
        <f t="shared" ref="X39" si="225">IFERROR(IF(W39=0," ",W39/$F39)," ")</f>
        <v xml:space="preserve"> </v>
      </c>
      <c r="Y39" s="193" t="s">
        <v>642</v>
      </c>
      <c r="Z39" s="196" t="str">
        <f t="shared" ref="Z39" si="226">IFERROR(IF(Y39=0," ",Y39/$F39)," ")</f>
        <v xml:space="preserve"> </v>
      </c>
      <c r="AA39" s="193" t="s">
        <v>642</v>
      </c>
      <c r="AB39" s="196" t="str">
        <f t="shared" ref="AB39" si="227">IFERROR(IF(AA39=0," ",AA39/$F39)," ")</f>
        <v xml:space="preserve"> </v>
      </c>
      <c r="AC39" s="193" t="s">
        <v>642</v>
      </c>
      <c r="AD39" s="196" t="str">
        <f t="shared" ref="AD39" si="228">IFERROR(IF(AC39=0," ",AC39/$F39)," ")</f>
        <v xml:space="preserve"> </v>
      </c>
      <c r="AE39" s="193" t="s">
        <v>642</v>
      </c>
      <c r="AF39" s="196" t="str">
        <f t="shared" ref="AF39" si="229">IFERROR(IF(AE39=0," ",AE39/$F39)," ")</f>
        <v xml:space="preserve"> </v>
      </c>
      <c r="AG39" s="193" t="s">
        <v>642</v>
      </c>
      <c r="AH39" s="196" t="str">
        <f t="shared" ref="AH39" si="230">IFERROR(IF(AG39=0," ",AG39/$F39)," ")</f>
        <v xml:space="preserve"> </v>
      </c>
      <c r="AI39" s="197"/>
      <c r="AJ39" s="177" t="s">
        <v>642</v>
      </c>
      <c r="AK39" s="177" t="s">
        <v>642</v>
      </c>
      <c r="AL39" s="177" t="s">
        <v>642</v>
      </c>
      <c r="AM39" s="177" t="s">
        <v>642</v>
      </c>
      <c r="AN39" s="177" t="s">
        <v>642</v>
      </c>
      <c r="AO39" s="177" t="s">
        <v>642</v>
      </c>
      <c r="AP39" s="177" t="s">
        <v>642</v>
      </c>
      <c r="AQ39" s="177" t="s">
        <v>642</v>
      </c>
      <c r="AR39" s="177" t="s">
        <v>642</v>
      </c>
      <c r="AS39" s="177" t="s">
        <v>642</v>
      </c>
      <c r="AT39" s="177" t="s">
        <v>642</v>
      </c>
      <c r="AU39" s="177" t="s">
        <v>642</v>
      </c>
    </row>
    <row r="40" spans="1:47" x14ac:dyDescent="0.25">
      <c r="A40" s="190" t="s">
        <v>642</v>
      </c>
      <c r="B40" s="65">
        <v>2400</v>
      </c>
      <c r="C40" s="191" t="s">
        <v>65</v>
      </c>
      <c r="D40" s="65" t="s">
        <v>747</v>
      </c>
      <c r="E40" s="192" t="str">
        <f>IF(A40=" "," ",VLOOKUP(A40,Estimate!A:Q,17,FALSE))</f>
        <v xml:space="preserve"> </v>
      </c>
      <c r="F40" s="193" t="s">
        <v>642</v>
      </c>
      <c r="G40" s="206" t="s">
        <v>642</v>
      </c>
      <c r="H40" s="195" t="s">
        <v>642</v>
      </c>
      <c r="I40" s="195" t="s">
        <v>642</v>
      </c>
      <c r="J40" s="195"/>
      <c r="K40" s="193" t="s">
        <v>642</v>
      </c>
      <c r="L40" s="196" t="str">
        <f t="shared" si="0"/>
        <v xml:space="preserve"> </v>
      </c>
      <c r="M40" s="193" t="s">
        <v>642</v>
      </c>
      <c r="N40" s="196" t="str">
        <f t="shared" si="0"/>
        <v xml:space="preserve"> </v>
      </c>
      <c r="O40" s="193" t="s">
        <v>642</v>
      </c>
      <c r="P40" s="196" t="str">
        <f t="shared" ref="P40" si="231">IFERROR(IF(O40=0," ",O40/$F40)," ")</f>
        <v xml:space="preserve"> </v>
      </c>
      <c r="Q40" s="193" t="s">
        <v>642</v>
      </c>
      <c r="R40" s="196" t="str">
        <f t="shared" ref="R40" si="232">IFERROR(IF(Q40=0," ",Q40/$F40)," ")</f>
        <v xml:space="preserve"> </v>
      </c>
      <c r="S40" s="193" t="s">
        <v>642</v>
      </c>
      <c r="T40" s="196" t="str">
        <f t="shared" ref="T40" si="233">IFERROR(IF(S40=0," ",S40/$F40)," ")</f>
        <v xml:space="preserve"> </v>
      </c>
      <c r="U40" s="193" t="s">
        <v>642</v>
      </c>
      <c r="V40" s="196" t="str">
        <f t="shared" ref="V40" si="234">IFERROR(IF(U40=0," ",U40/$F40)," ")</f>
        <v xml:space="preserve"> </v>
      </c>
      <c r="W40" s="193" t="s">
        <v>642</v>
      </c>
      <c r="X40" s="196" t="str">
        <f t="shared" ref="X40" si="235">IFERROR(IF(W40=0," ",W40/$F40)," ")</f>
        <v xml:space="preserve"> </v>
      </c>
      <c r="Y40" s="193" t="s">
        <v>642</v>
      </c>
      <c r="Z40" s="196" t="str">
        <f t="shared" ref="Z40" si="236">IFERROR(IF(Y40=0," ",Y40/$F40)," ")</f>
        <v xml:space="preserve"> </v>
      </c>
      <c r="AA40" s="193" t="s">
        <v>642</v>
      </c>
      <c r="AB40" s="196" t="str">
        <f t="shared" ref="AB40" si="237">IFERROR(IF(AA40=0," ",AA40/$F40)," ")</f>
        <v xml:space="preserve"> </v>
      </c>
      <c r="AC40" s="193" t="s">
        <v>642</v>
      </c>
      <c r="AD40" s="196" t="str">
        <f t="shared" ref="AD40" si="238">IFERROR(IF(AC40=0," ",AC40/$F40)," ")</f>
        <v xml:space="preserve"> </v>
      </c>
      <c r="AE40" s="193" t="s">
        <v>642</v>
      </c>
      <c r="AF40" s="196" t="str">
        <f t="shared" ref="AF40" si="239">IFERROR(IF(AE40=0," ",AE40/$F40)," ")</f>
        <v xml:space="preserve"> </v>
      </c>
      <c r="AG40" s="193" t="s">
        <v>642</v>
      </c>
      <c r="AH40" s="196" t="str">
        <f t="shared" ref="AH40" si="240">IFERROR(IF(AG40=0," ",AG40/$F40)," ")</f>
        <v xml:space="preserve"> </v>
      </c>
      <c r="AI40" s="197"/>
      <c r="AJ40" s="177" t="s">
        <v>642</v>
      </c>
      <c r="AK40" s="177" t="s">
        <v>642</v>
      </c>
      <c r="AL40" s="177" t="s">
        <v>642</v>
      </c>
      <c r="AM40" s="177" t="s">
        <v>642</v>
      </c>
      <c r="AN40" s="177" t="s">
        <v>642</v>
      </c>
      <c r="AO40" s="177" t="s">
        <v>642</v>
      </c>
      <c r="AP40" s="177" t="s">
        <v>642</v>
      </c>
      <c r="AQ40" s="177" t="s">
        <v>642</v>
      </c>
      <c r="AR40" s="177" t="s">
        <v>642</v>
      </c>
      <c r="AS40" s="177" t="s">
        <v>642</v>
      </c>
      <c r="AT40" s="177" t="s">
        <v>642</v>
      </c>
      <c r="AU40" s="177" t="s">
        <v>642</v>
      </c>
    </row>
    <row r="41" spans="1:47" x14ac:dyDescent="0.25">
      <c r="A41" s="190">
        <v>13</v>
      </c>
      <c r="B41" s="65">
        <v>2404.1</v>
      </c>
      <c r="C41" s="191" t="s">
        <v>67</v>
      </c>
      <c r="D41" s="65" t="s">
        <v>26</v>
      </c>
      <c r="E41" s="192">
        <f>IF(A41=" "," ",VLOOKUP(A41,Estimate!A:Q,17,FALSE))</f>
        <v>3396.8</v>
      </c>
      <c r="F41" s="193">
        <v>66</v>
      </c>
      <c r="G41" s="206">
        <v>68.518575757575761</v>
      </c>
      <c r="H41" s="195">
        <v>77.27</v>
      </c>
      <c r="I41" s="195">
        <v>5099.82</v>
      </c>
      <c r="J41" s="195"/>
      <c r="K41" s="193"/>
      <c r="L41" s="196" t="str">
        <f t="shared" si="0"/>
        <v xml:space="preserve"> </v>
      </c>
      <c r="M41" s="193"/>
      <c r="N41" s="196" t="str">
        <f t="shared" si="0"/>
        <v xml:space="preserve"> </v>
      </c>
      <c r="O41" s="193"/>
      <c r="P41" s="196" t="str">
        <f t="shared" ref="P41" si="241">IFERROR(IF(O41=0," ",O41/$F41)," ")</f>
        <v xml:space="preserve"> </v>
      </c>
      <c r="Q41" s="193"/>
      <c r="R41" s="196" t="str">
        <f t="shared" ref="R41" si="242">IFERROR(IF(Q41=0," ",Q41/$F41)," ")</f>
        <v xml:space="preserve"> </v>
      </c>
      <c r="S41" s="193"/>
      <c r="T41" s="196" t="str">
        <f t="shared" ref="T41" si="243">IFERROR(IF(S41=0," ",S41/$F41)," ")</f>
        <v xml:space="preserve"> </v>
      </c>
      <c r="U41" s="193">
        <v>66</v>
      </c>
      <c r="V41" s="196">
        <f t="shared" ref="V41" si="244">IFERROR(IF(U41=0," ",U41/$F41)," ")</f>
        <v>1</v>
      </c>
      <c r="W41" s="193">
        <v>66</v>
      </c>
      <c r="X41" s="196">
        <f t="shared" ref="X41" si="245">IFERROR(IF(W41=0," ",W41/$F41)," ")</f>
        <v>1</v>
      </c>
      <c r="Y41" s="193">
        <v>66</v>
      </c>
      <c r="Z41" s="196">
        <f t="shared" ref="Z41" si="246">IFERROR(IF(Y41=0," ",Y41/$F41)," ")</f>
        <v>1</v>
      </c>
      <c r="AA41" s="193">
        <v>66</v>
      </c>
      <c r="AB41" s="196">
        <f t="shared" ref="AB41" si="247">IFERROR(IF(AA41=0," ",AA41/$F41)," ")</f>
        <v>1</v>
      </c>
      <c r="AC41" s="193">
        <v>66</v>
      </c>
      <c r="AD41" s="196">
        <f t="shared" ref="AD41" si="248">IFERROR(IF(AC41=0," ",AC41/$F41)," ")</f>
        <v>1</v>
      </c>
      <c r="AE41" s="193">
        <v>66</v>
      </c>
      <c r="AF41" s="196">
        <f t="shared" ref="AF41" si="249">IFERROR(IF(AE41=0," ",AE41/$F41)," ")</f>
        <v>1</v>
      </c>
      <c r="AG41" s="193">
        <v>66</v>
      </c>
      <c r="AH41" s="196">
        <f t="shared" ref="AH41" si="250">IFERROR(IF(AG41=0," ",AG41/$F41)," ")</f>
        <v>1</v>
      </c>
      <c r="AI41" s="197"/>
      <c r="AJ41" s="177">
        <v>0</v>
      </c>
      <c r="AK41" s="177">
        <v>0</v>
      </c>
      <c r="AL41" s="177">
        <v>0</v>
      </c>
      <c r="AM41" s="177">
        <v>0</v>
      </c>
      <c r="AN41" s="177">
        <v>0</v>
      </c>
      <c r="AO41" s="177">
        <v>5099.82</v>
      </c>
      <c r="AP41" s="177">
        <v>5099.82</v>
      </c>
      <c r="AQ41" s="177">
        <v>5099.82</v>
      </c>
      <c r="AR41" s="177">
        <v>5099.82</v>
      </c>
      <c r="AS41" s="177">
        <v>5099.82</v>
      </c>
      <c r="AT41" s="177">
        <v>5099.82</v>
      </c>
      <c r="AU41" s="177">
        <v>5099.82</v>
      </c>
    </row>
    <row r="42" spans="1:47" x14ac:dyDescent="0.25">
      <c r="A42" s="190">
        <v>14</v>
      </c>
      <c r="B42" s="65">
        <v>2404.3000000000002</v>
      </c>
      <c r="C42" s="191" t="s">
        <v>72</v>
      </c>
      <c r="D42" s="65" t="s">
        <v>26</v>
      </c>
      <c r="E42" s="192">
        <f>IF(A42=" "," ",VLOOKUP(A42,Estimate!A:Q,17,FALSE))</f>
        <v>19808.254697286015</v>
      </c>
      <c r="F42" s="193">
        <v>377</v>
      </c>
      <c r="G42" s="206">
        <v>69.95453315649867</v>
      </c>
      <c r="H42" s="195">
        <v>78.89</v>
      </c>
      <c r="I42" s="195">
        <v>29741.53</v>
      </c>
      <c r="J42" s="195"/>
      <c r="K42" s="193"/>
      <c r="L42" s="196" t="str">
        <f t="shared" si="0"/>
        <v xml:space="preserve"> </v>
      </c>
      <c r="M42" s="193"/>
      <c r="N42" s="196" t="str">
        <f t="shared" si="0"/>
        <v xml:space="preserve"> </v>
      </c>
      <c r="O42" s="193"/>
      <c r="P42" s="196" t="str">
        <f t="shared" ref="P42" si="251">IFERROR(IF(O42=0," ",O42/$F42)," ")</f>
        <v xml:space="preserve"> </v>
      </c>
      <c r="Q42" s="193"/>
      <c r="R42" s="196" t="str">
        <f t="shared" ref="R42" si="252">IFERROR(IF(Q42=0," ",Q42/$F42)," ")</f>
        <v xml:space="preserve"> </v>
      </c>
      <c r="S42" s="193"/>
      <c r="T42" s="196" t="str">
        <f t="shared" ref="T42" si="253">IFERROR(IF(S42=0," ",S42/$F42)," ")</f>
        <v xml:space="preserve"> </v>
      </c>
      <c r="U42" s="193">
        <v>377</v>
      </c>
      <c r="V42" s="196">
        <f t="shared" ref="V42" si="254">IFERROR(IF(U42=0," ",U42/$F42)," ")</f>
        <v>1</v>
      </c>
      <c r="W42" s="193">
        <v>377</v>
      </c>
      <c r="X42" s="196">
        <f t="shared" ref="X42" si="255">IFERROR(IF(W42=0," ",W42/$F42)," ")</f>
        <v>1</v>
      </c>
      <c r="Y42" s="193">
        <v>377</v>
      </c>
      <c r="Z42" s="196">
        <f t="shared" ref="Z42" si="256">IFERROR(IF(Y42=0," ",Y42/$F42)," ")</f>
        <v>1</v>
      </c>
      <c r="AA42" s="193">
        <v>377</v>
      </c>
      <c r="AB42" s="196">
        <f t="shared" ref="AB42" si="257">IFERROR(IF(AA42=0," ",AA42/$F42)," ")</f>
        <v>1</v>
      </c>
      <c r="AC42" s="193">
        <v>377</v>
      </c>
      <c r="AD42" s="196">
        <f t="shared" ref="AD42" si="258">IFERROR(IF(AC42=0," ",AC42/$F42)," ")</f>
        <v>1</v>
      </c>
      <c r="AE42" s="193">
        <v>377</v>
      </c>
      <c r="AF42" s="196">
        <f t="shared" ref="AF42" si="259">IFERROR(IF(AE42=0," ",AE42/$F42)," ")</f>
        <v>1</v>
      </c>
      <c r="AG42" s="193">
        <v>377</v>
      </c>
      <c r="AH42" s="196">
        <f t="shared" ref="AH42" si="260">IFERROR(IF(AG42=0," ",AG42/$F42)," ")</f>
        <v>1</v>
      </c>
      <c r="AI42" s="197"/>
      <c r="AJ42" s="177">
        <v>0</v>
      </c>
      <c r="AK42" s="177">
        <v>0</v>
      </c>
      <c r="AL42" s="177">
        <v>0</v>
      </c>
      <c r="AM42" s="177">
        <v>0</v>
      </c>
      <c r="AN42" s="177">
        <v>0</v>
      </c>
      <c r="AO42" s="177">
        <v>29741.53</v>
      </c>
      <c r="AP42" s="177">
        <v>29741.53</v>
      </c>
      <c r="AQ42" s="177">
        <v>29741.53</v>
      </c>
      <c r="AR42" s="177">
        <v>29741.53</v>
      </c>
      <c r="AS42" s="177">
        <v>29741.53</v>
      </c>
      <c r="AT42" s="177">
        <v>29741.53</v>
      </c>
      <c r="AU42" s="177">
        <v>29741.53</v>
      </c>
    </row>
    <row r="43" spans="1:47" x14ac:dyDescent="0.25">
      <c r="A43" s="190">
        <v>15</v>
      </c>
      <c r="B43" s="65">
        <v>2413.1</v>
      </c>
      <c r="C43" s="191" t="s">
        <v>74</v>
      </c>
      <c r="D43" s="65" t="s">
        <v>52</v>
      </c>
      <c r="E43" s="192">
        <f>IF(A43=" "," ",VLOOKUP(A43,Estimate!A:Q,17,FALSE))</f>
        <v>32670</v>
      </c>
      <c r="F43" s="193">
        <v>1</v>
      </c>
      <c r="G43" s="206">
        <v>43495.616999999998</v>
      </c>
      <c r="H43" s="195">
        <v>49051.56</v>
      </c>
      <c r="I43" s="195">
        <v>49051.56</v>
      </c>
      <c r="J43" s="195"/>
      <c r="K43" s="193"/>
      <c r="L43" s="196" t="str">
        <f t="shared" si="0"/>
        <v xml:space="preserve"> </v>
      </c>
      <c r="M43" s="193">
        <v>1</v>
      </c>
      <c r="N43" s="196">
        <f t="shared" si="0"/>
        <v>1</v>
      </c>
      <c r="O43" s="193">
        <v>1</v>
      </c>
      <c r="P43" s="196">
        <f t="shared" ref="P43" si="261">IFERROR(IF(O43=0," ",O43/$F43)," ")</f>
        <v>1</v>
      </c>
      <c r="Q43" s="193">
        <v>1</v>
      </c>
      <c r="R43" s="196">
        <f t="shared" ref="R43" si="262">IFERROR(IF(Q43=0," ",Q43/$F43)," ")</f>
        <v>1</v>
      </c>
      <c r="S43" s="193">
        <v>1</v>
      </c>
      <c r="T43" s="196">
        <f t="shared" ref="T43" si="263">IFERROR(IF(S43=0," ",S43/$F43)," ")</f>
        <v>1</v>
      </c>
      <c r="U43" s="193">
        <v>1</v>
      </c>
      <c r="V43" s="196">
        <f t="shared" ref="V43" si="264">IFERROR(IF(U43=0," ",U43/$F43)," ")</f>
        <v>1</v>
      </c>
      <c r="W43" s="193">
        <v>1</v>
      </c>
      <c r="X43" s="196">
        <f t="shared" ref="X43" si="265">IFERROR(IF(W43=0," ",W43/$F43)," ")</f>
        <v>1</v>
      </c>
      <c r="Y43" s="193">
        <v>1</v>
      </c>
      <c r="Z43" s="196">
        <f t="shared" ref="Z43" si="266">IFERROR(IF(Y43=0," ",Y43/$F43)," ")</f>
        <v>1</v>
      </c>
      <c r="AA43" s="193">
        <v>1</v>
      </c>
      <c r="AB43" s="196">
        <f t="shared" ref="AB43" si="267">IFERROR(IF(AA43=0," ",AA43/$F43)," ")</f>
        <v>1</v>
      </c>
      <c r="AC43" s="193">
        <v>1</v>
      </c>
      <c r="AD43" s="196">
        <f t="shared" ref="AD43" si="268">IFERROR(IF(AC43=0," ",AC43/$F43)," ")</f>
        <v>1</v>
      </c>
      <c r="AE43" s="193">
        <v>1</v>
      </c>
      <c r="AF43" s="196">
        <f t="shared" ref="AF43" si="269">IFERROR(IF(AE43=0," ",AE43/$F43)," ")</f>
        <v>1</v>
      </c>
      <c r="AG43" s="193">
        <v>1</v>
      </c>
      <c r="AH43" s="196">
        <f t="shared" ref="AH43" si="270">IFERROR(IF(AG43=0," ",AG43/$F43)," ")</f>
        <v>1</v>
      </c>
      <c r="AI43" s="197"/>
      <c r="AJ43" s="177">
        <v>0</v>
      </c>
      <c r="AK43" s="177">
        <v>49051.56</v>
      </c>
      <c r="AL43" s="177">
        <v>49051.56</v>
      </c>
      <c r="AM43" s="177">
        <v>49051.56</v>
      </c>
      <c r="AN43" s="177">
        <v>49051.56</v>
      </c>
      <c r="AO43" s="177">
        <v>49051.56</v>
      </c>
      <c r="AP43" s="177">
        <v>49051.56</v>
      </c>
      <c r="AQ43" s="177">
        <v>49051.56</v>
      </c>
      <c r="AR43" s="177">
        <v>49051.56</v>
      </c>
      <c r="AS43" s="177">
        <v>49051.56</v>
      </c>
      <c r="AT43" s="177">
        <v>49051.56</v>
      </c>
      <c r="AU43" s="177">
        <v>49051.56</v>
      </c>
    </row>
    <row r="44" spans="1:47" x14ac:dyDescent="0.25">
      <c r="A44" s="190">
        <v>16</v>
      </c>
      <c r="B44" s="65">
        <v>2413.1999999999998</v>
      </c>
      <c r="C44" s="191" t="s">
        <v>77</v>
      </c>
      <c r="D44" s="65" t="s">
        <v>52</v>
      </c>
      <c r="E44" s="192">
        <f>IF(A44=" "," ",VLOOKUP(A44,Estimate!A:Q,17,FALSE))</f>
        <v>27200</v>
      </c>
      <c r="F44" s="193">
        <v>8</v>
      </c>
      <c r="G44" s="206">
        <v>4526.62925</v>
      </c>
      <c r="H44" s="195">
        <v>5104.84</v>
      </c>
      <c r="I44" s="195">
        <v>40838.720000000001</v>
      </c>
      <c r="J44" s="195"/>
      <c r="K44" s="193"/>
      <c r="L44" s="196" t="str">
        <f t="shared" si="0"/>
        <v xml:space="preserve"> </v>
      </c>
      <c r="M44" s="193">
        <v>7</v>
      </c>
      <c r="N44" s="196">
        <f t="shared" si="0"/>
        <v>0.875</v>
      </c>
      <c r="O44" s="193">
        <v>7</v>
      </c>
      <c r="P44" s="196">
        <f t="shared" ref="P44" si="271">IFERROR(IF(O44=0," ",O44/$F44)," ")</f>
        <v>0.875</v>
      </c>
      <c r="Q44" s="193">
        <v>7</v>
      </c>
      <c r="R44" s="196">
        <f t="shared" ref="R44" si="272">IFERROR(IF(Q44=0," ",Q44/$F44)," ")</f>
        <v>0.875</v>
      </c>
      <c r="S44" s="193">
        <v>7</v>
      </c>
      <c r="T44" s="196">
        <f t="shared" ref="T44" si="273">IFERROR(IF(S44=0," ",S44/$F44)," ")</f>
        <v>0.875</v>
      </c>
      <c r="U44" s="193">
        <v>8</v>
      </c>
      <c r="V44" s="196">
        <f t="shared" ref="V44" si="274">IFERROR(IF(U44=0," ",U44/$F44)," ")</f>
        <v>1</v>
      </c>
      <c r="W44" s="193">
        <v>8</v>
      </c>
      <c r="X44" s="196">
        <f t="shared" ref="X44" si="275">IFERROR(IF(W44=0," ",W44/$F44)," ")</f>
        <v>1</v>
      </c>
      <c r="Y44" s="193">
        <v>8</v>
      </c>
      <c r="Z44" s="196">
        <f t="shared" ref="Z44" si="276">IFERROR(IF(Y44=0," ",Y44/$F44)," ")</f>
        <v>1</v>
      </c>
      <c r="AA44" s="193">
        <v>8</v>
      </c>
      <c r="AB44" s="196">
        <f t="shared" ref="AB44" si="277">IFERROR(IF(AA44=0," ",AA44/$F44)," ")</f>
        <v>1</v>
      </c>
      <c r="AC44" s="193">
        <v>8</v>
      </c>
      <c r="AD44" s="196">
        <f t="shared" ref="AD44" si="278">IFERROR(IF(AC44=0," ",AC44/$F44)," ")</f>
        <v>1</v>
      </c>
      <c r="AE44" s="193">
        <v>8</v>
      </c>
      <c r="AF44" s="196">
        <f t="shared" ref="AF44" si="279">IFERROR(IF(AE44=0," ",AE44/$F44)," ")</f>
        <v>1</v>
      </c>
      <c r="AG44" s="193">
        <v>8</v>
      </c>
      <c r="AH44" s="196">
        <f t="shared" ref="AH44" si="280">IFERROR(IF(AG44=0," ",AG44/$F44)," ")</f>
        <v>1</v>
      </c>
      <c r="AI44" s="197"/>
      <c r="AJ44" s="177">
        <v>0</v>
      </c>
      <c r="AK44" s="177">
        <v>35733.880000000005</v>
      </c>
      <c r="AL44" s="177">
        <v>35733.880000000005</v>
      </c>
      <c r="AM44" s="177">
        <v>35733.880000000005</v>
      </c>
      <c r="AN44" s="177">
        <v>35733.880000000005</v>
      </c>
      <c r="AO44" s="177">
        <v>40838.720000000001</v>
      </c>
      <c r="AP44" s="177">
        <v>40838.720000000001</v>
      </c>
      <c r="AQ44" s="177">
        <v>40838.720000000001</v>
      </c>
      <c r="AR44" s="177">
        <v>40838.720000000001</v>
      </c>
      <c r="AS44" s="177">
        <v>40838.720000000001</v>
      </c>
      <c r="AT44" s="177">
        <v>40838.720000000001</v>
      </c>
      <c r="AU44" s="177">
        <v>40838.720000000001</v>
      </c>
    </row>
    <row r="45" spans="1:47" x14ac:dyDescent="0.25">
      <c r="A45" s="190">
        <v>17</v>
      </c>
      <c r="B45" s="65">
        <v>2413.4</v>
      </c>
      <c r="C45" s="191" t="s">
        <v>80</v>
      </c>
      <c r="D45" s="65" t="s">
        <v>52</v>
      </c>
      <c r="E45" s="192">
        <f>IF(A45=" "," ",VLOOKUP(A45,Estimate!A:Q,17,FALSE))</f>
        <v>3950</v>
      </c>
      <c r="F45" s="193">
        <v>1</v>
      </c>
      <c r="G45" s="206">
        <v>5258.8829999999998</v>
      </c>
      <c r="H45" s="195">
        <v>5930.63</v>
      </c>
      <c r="I45" s="195">
        <v>5930.63</v>
      </c>
      <c r="J45" s="195"/>
      <c r="K45" s="193"/>
      <c r="L45" s="196" t="str">
        <f t="shared" si="0"/>
        <v xml:space="preserve"> </v>
      </c>
      <c r="M45" s="193"/>
      <c r="N45" s="196" t="str">
        <f t="shared" si="0"/>
        <v xml:space="preserve"> </v>
      </c>
      <c r="O45" s="193"/>
      <c r="P45" s="196" t="str">
        <f t="shared" ref="P45" si="281">IFERROR(IF(O45=0," ",O45/$F45)," ")</f>
        <v xml:space="preserve"> </v>
      </c>
      <c r="Q45" s="193">
        <v>0.8</v>
      </c>
      <c r="R45" s="196">
        <f t="shared" ref="R45" si="282">IFERROR(IF(Q45=0," ",Q45/$F45)," ")</f>
        <v>0.8</v>
      </c>
      <c r="S45" s="193">
        <v>0.8</v>
      </c>
      <c r="T45" s="196">
        <f t="shared" ref="T45" si="283">IFERROR(IF(S45=0," ",S45/$F45)," ")</f>
        <v>0.8</v>
      </c>
      <c r="U45" s="193">
        <v>1</v>
      </c>
      <c r="V45" s="196">
        <f t="shared" ref="V45" si="284">IFERROR(IF(U45=0," ",U45/$F45)," ")</f>
        <v>1</v>
      </c>
      <c r="W45" s="193">
        <v>1</v>
      </c>
      <c r="X45" s="196">
        <f t="shared" ref="X45" si="285">IFERROR(IF(W45=0," ",W45/$F45)," ")</f>
        <v>1</v>
      </c>
      <c r="Y45" s="193">
        <v>1</v>
      </c>
      <c r="Z45" s="196">
        <f t="shared" ref="Z45" si="286">IFERROR(IF(Y45=0," ",Y45/$F45)," ")</f>
        <v>1</v>
      </c>
      <c r="AA45" s="193">
        <v>1</v>
      </c>
      <c r="AB45" s="196">
        <f t="shared" ref="AB45" si="287">IFERROR(IF(AA45=0," ",AA45/$F45)," ")</f>
        <v>1</v>
      </c>
      <c r="AC45" s="193">
        <v>1</v>
      </c>
      <c r="AD45" s="196">
        <f t="shared" ref="AD45" si="288">IFERROR(IF(AC45=0," ",AC45/$F45)," ")</f>
        <v>1</v>
      </c>
      <c r="AE45" s="193">
        <v>1</v>
      </c>
      <c r="AF45" s="196">
        <f t="shared" ref="AF45" si="289">IFERROR(IF(AE45=0," ",AE45/$F45)," ")</f>
        <v>1</v>
      </c>
      <c r="AG45" s="193">
        <v>1</v>
      </c>
      <c r="AH45" s="196">
        <f t="shared" ref="AH45" si="290">IFERROR(IF(AG45=0," ",AG45/$F45)," ")</f>
        <v>1</v>
      </c>
      <c r="AI45" s="197"/>
      <c r="AJ45" s="177">
        <v>0</v>
      </c>
      <c r="AK45" s="177">
        <v>0</v>
      </c>
      <c r="AL45" s="177">
        <v>0</v>
      </c>
      <c r="AM45" s="177">
        <v>4744.5039999999999</v>
      </c>
      <c r="AN45" s="177">
        <v>4744.5039999999999</v>
      </c>
      <c r="AO45" s="177">
        <v>5930.63</v>
      </c>
      <c r="AP45" s="177">
        <v>5930.63</v>
      </c>
      <c r="AQ45" s="177">
        <v>5930.63</v>
      </c>
      <c r="AR45" s="177">
        <v>5930.63</v>
      </c>
      <c r="AS45" s="177">
        <v>5930.63</v>
      </c>
      <c r="AT45" s="177">
        <v>5930.63</v>
      </c>
      <c r="AU45" s="177">
        <v>5930.63</v>
      </c>
    </row>
    <row r="46" spans="1:47" x14ac:dyDescent="0.25">
      <c r="A46" s="190">
        <v>18</v>
      </c>
      <c r="B46" s="65">
        <v>2141.1999999999998</v>
      </c>
      <c r="C46" s="191" t="s">
        <v>82</v>
      </c>
      <c r="D46" s="65" t="s">
        <v>52</v>
      </c>
      <c r="E46" s="192">
        <f>IF(A46=" "," ",VLOOKUP(A46,Estimate!A:Q,17,FALSE))</f>
        <v>3950</v>
      </c>
      <c r="F46" s="193">
        <v>1</v>
      </c>
      <c r="G46" s="206">
        <v>5258.8829999999998</v>
      </c>
      <c r="H46" s="195">
        <v>5930.63</v>
      </c>
      <c r="I46" s="195">
        <v>5930.63</v>
      </c>
      <c r="J46" s="195"/>
      <c r="K46" s="193"/>
      <c r="L46" s="196" t="str">
        <f t="shared" si="0"/>
        <v xml:space="preserve"> </v>
      </c>
      <c r="M46" s="193">
        <v>0.8</v>
      </c>
      <c r="N46" s="196">
        <f t="shared" si="0"/>
        <v>0.8</v>
      </c>
      <c r="O46" s="193">
        <v>0.8</v>
      </c>
      <c r="P46" s="196">
        <f t="shared" ref="P46" si="291">IFERROR(IF(O46=0," ",O46/$F46)," ")</f>
        <v>0.8</v>
      </c>
      <c r="Q46" s="193">
        <v>0.8</v>
      </c>
      <c r="R46" s="196">
        <f t="shared" ref="R46" si="292">IFERROR(IF(Q46=0," ",Q46/$F46)," ")</f>
        <v>0.8</v>
      </c>
      <c r="S46" s="193">
        <v>0.8</v>
      </c>
      <c r="T46" s="196">
        <f t="shared" ref="T46" si="293">IFERROR(IF(S46=0," ",S46/$F46)," ")</f>
        <v>0.8</v>
      </c>
      <c r="U46" s="193">
        <v>1</v>
      </c>
      <c r="V46" s="196">
        <f t="shared" ref="V46" si="294">IFERROR(IF(U46=0," ",U46/$F46)," ")</f>
        <v>1</v>
      </c>
      <c r="W46" s="193">
        <v>1</v>
      </c>
      <c r="X46" s="196">
        <f t="shared" ref="X46" si="295">IFERROR(IF(W46=0," ",W46/$F46)," ")</f>
        <v>1</v>
      </c>
      <c r="Y46" s="193">
        <v>1</v>
      </c>
      <c r="Z46" s="196">
        <f t="shared" ref="Z46" si="296">IFERROR(IF(Y46=0," ",Y46/$F46)," ")</f>
        <v>1</v>
      </c>
      <c r="AA46" s="193">
        <v>1</v>
      </c>
      <c r="AB46" s="196">
        <f t="shared" ref="AB46" si="297">IFERROR(IF(AA46=0," ",AA46/$F46)," ")</f>
        <v>1</v>
      </c>
      <c r="AC46" s="193">
        <v>1</v>
      </c>
      <c r="AD46" s="196">
        <f t="shared" ref="AD46" si="298">IFERROR(IF(AC46=0," ",AC46/$F46)," ")</f>
        <v>1</v>
      </c>
      <c r="AE46" s="193">
        <v>1</v>
      </c>
      <c r="AF46" s="196">
        <f t="shared" ref="AF46" si="299">IFERROR(IF(AE46=0," ",AE46/$F46)," ")</f>
        <v>1</v>
      </c>
      <c r="AG46" s="193">
        <v>1</v>
      </c>
      <c r="AH46" s="196">
        <f t="shared" ref="AH46" si="300">IFERROR(IF(AG46=0," ",AG46/$F46)," ")</f>
        <v>1</v>
      </c>
      <c r="AI46" s="197"/>
      <c r="AJ46" s="177">
        <v>0</v>
      </c>
      <c r="AK46" s="177">
        <v>4744.5039999999999</v>
      </c>
      <c r="AL46" s="177">
        <v>4744.5039999999999</v>
      </c>
      <c r="AM46" s="177">
        <v>4744.5039999999999</v>
      </c>
      <c r="AN46" s="177">
        <v>4744.5039999999999</v>
      </c>
      <c r="AO46" s="177">
        <v>5930.63</v>
      </c>
      <c r="AP46" s="177">
        <v>5930.63</v>
      </c>
      <c r="AQ46" s="177">
        <v>5930.63</v>
      </c>
      <c r="AR46" s="177">
        <v>5930.63</v>
      </c>
      <c r="AS46" s="177">
        <v>5930.63</v>
      </c>
      <c r="AT46" s="177">
        <v>5930.63</v>
      </c>
      <c r="AU46" s="177">
        <v>5930.63</v>
      </c>
    </row>
    <row r="47" spans="1:47" x14ac:dyDescent="0.25">
      <c r="A47" s="190" t="s">
        <v>642</v>
      </c>
      <c r="B47" s="65">
        <v>2500</v>
      </c>
      <c r="C47" s="191" t="s">
        <v>84</v>
      </c>
      <c r="D47" s="65" t="s">
        <v>747</v>
      </c>
      <c r="E47" s="192" t="str">
        <f>IF(A47=" "," ",VLOOKUP(A47,Estimate!A:Q,17,FALSE))</f>
        <v xml:space="preserve"> </v>
      </c>
      <c r="F47" s="193" t="s">
        <v>642</v>
      </c>
      <c r="G47" s="206" t="s">
        <v>642</v>
      </c>
      <c r="H47" s="195" t="s">
        <v>642</v>
      </c>
      <c r="I47" s="195" t="s">
        <v>642</v>
      </c>
      <c r="J47" s="195"/>
      <c r="K47" s="193" t="s">
        <v>642</v>
      </c>
      <c r="L47" s="196" t="str">
        <f t="shared" si="0"/>
        <v xml:space="preserve"> </v>
      </c>
      <c r="M47" s="193" t="s">
        <v>642</v>
      </c>
      <c r="N47" s="196" t="str">
        <f t="shared" si="0"/>
        <v xml:space="preserve"> </v>
      </c>
      <c r="O47" s="193" t="s">
        <v>642</v>
      </c>
      <c r="P47" s="196" t="str">
        <f t="shared" ref="P47" si="301">IFERROR(IF(O47=0," ",O47/$F47)," ")</f>
        <v xml:space="preserve"> </v>
      </c>
      <c r="Q47" s="193" t="s">
        <v>642</v>
      </c>
      <c r="R47" s="196" t="str">
        <f t="shared" ref="R47" si="302">IFERROR(IF(Q47=0," ",Q47/$F47)," ")</f>
        <v xml:space="preserve"> </v>
      </c>
      <c r="S47" s="193" t="s">
        <v>642</v>
      </c>
      <c r="T47" s="196" t="str">
        <f t="shared" ref="T47" si="303">IFERROR(IF(S47=0," ",S47/$F47)," ")</f>
        <v xml:space="preserve"> </v>
      </c>
      <c r="U47" s="193" t="s">
        <v>642</v>
      </c>
      <c r="V47" s="196" t="str">
        <f t="shared" ref="V47" si="304">IFERROR(IF(U47=0," ",U47/$F47)," ")</f>
        <v xml:space="preserve"> </v>
      </c>
      <c r="W47" s="193" t="s">
        <v>642</v>
      </c>
      <c r="X47" s="196" t="str">
        <f t="shared" ref="X47" si="305">IFERROR(IF(W47=0," ",W47/$F47)," ")</f>
        <v xml:space="preserve"> </v>
      </c>
      <c r="Y47" s="193" t="s">
        <v>642</v>
      </c>
      <c r="Z47" s="196" t="str">
        <f t="shared" ref="Z47" si="306">IFERROR(IF(Y47=0," ",Y47/$F47)," ")</f>
        <v xml:space="preserve"> </v>
      </c>
      <c r="AA47" s="193" t="s">
        <v>642</v>
      </c>
      <c r="AB47" s="196" t="str">
        <f t="shared" ref="AB47" si="307">IFERROR(IF(AA47=0," ",AA47/$F47)," ")</f>
        <v xml:space="preserve"> </v>
      </c>
      <c r="AC47" s="193" t="s">
        <v>642</v>
      </c>
      <c r="AD47" s="196" t="str">
        <f t="shared" ref="AD47" si="308">IFERROR(IF(AC47=0," ",AC47/$F47)," ")</f>
        <v xml:space="preserve"> </v>
      </c>
      <c r="AE47" s="193" t="s">
        <v>642</v>
      </c>
      <c r="AF47" s="196" t="str">
        <f t="shared" ref="AF47" si="309">IFERROR(IF(AE47=0," ",AE47/$F47)," ")</f>
        <v xml:space="preserve"> </v>
      </c>
      <c r="AG47" s="193" t="s">
        <v>642</v>
      </c>
      <c r="AH47" s="196" t="str">
        <f t="shared" ref="AH47" si="310">IFERROR(IF(AG47=0," ",AG47/$F47)," ")</f>
        <v xml:space="preserve"> </v>
      </c>
      <c r="AI47" s="197"/>
      <c r="AJ47" s="177" t="s">
        <v>642</v>
      </c>
      <c r="AK47" s="177" t="s">
        <v>642</v>
      </c>
      <c r="AL47" s="177" t="s">
        <v>642</v>
      </c>
      <c r="AM47" s="177" t="s">
        <v>642</v>
      </c>
      <c r="AN47" s="177" t="s">
        <v>642</v>
      </c>
      <c r="AO47" s="177" t="s">
        <v>642</v>
      </c>
      <c r="AP47" s="177" t="s">
        <v>642</v>
      </c>
      <c r="AQ47" s="177" t="s">
        <v>642</v>
      </c>
      <c r="AR47" s="177" t="s">
        <v>642</v>
      </c>
      <c r="AS47" s="177" t="s">
        <v>642</v>
      </c>
      <c r="AT47" s="177" t="s">
        <v>642</v>
      </c>
      <c r="AU47" s="177" t="s">
        <v>642</v>
      </c>
    </row>
    <row r="48" spans="1:47" ht="30" x14ac:dyDescent="0.25">
      <c r="A48" s="190">
        <v>19</v>
      </c>
      <c r="B48" s="65">
        <v>2501.1</v>
      </c>
      <c r="C48" s="191" t="s">
        <v>86</v>
      </c>
      <c r="D48" s="65" t="s">
        <v>26</v>
      </c>
      <c r="E48" s="192">
        <f>IF(A48=" "," ",VLOOKUP(A48,Estimate!A:Q,17,FALSE))</f>
        <v>15382.542537881385</v>
      </c>
      <c r="F48" s="193">
        <v>390</v>
      </c>
      <c r="G48" s="206">
        <v>52.175083846153846</v>
      </c>
      <c r="H48" s="195">
        <v>58.84</v>
      </c>
      <c r="I48" s="195">
        <v>22947.599999999999</v>
      </c>
      <c r="J48" s="195"/>
      <c r="K48" s="193"/>
      <c r="L48" s="196" t="str">
        <f t="shared" si="0"/>
        <v xml:space="preserve"> </v>
      </c>
      <c r="M48" s="193"/>
      <c r="N48" s="196" t="str">
        <f t="shared" si="0"/>
        <v xml:space="preserve"> </v>
      </c>
      <c r="O48" s="193"/>
      <c r="P48" s="196" t="str">
        <f t="shared" ref="P48" si="311">IFERROR(IF(O48=0," ",O48/$F48)," ")</f>
        <v xml:space="preserve"> </v>
      </c>
      <c r="Q48" s="193"/>
      <c r="R48" s="196" t="str">
        <f t="shared" ref="R48" si="312">IFERROR(IF(Q48=0," ",Q48/$F48)," ")</f>
        <v xml:space="preserve"> </v>
      </c>
      <c r="S48" s="193"/>
      <c r="T48" s="196" t="str">
        <f t="shared" ref="T48" si="313">IFERROR(IF(S48=0," ",S48/$F48)," ")</f>
        <v xml:space="preserve"> </v>
      </c>
      <c r="U48" s="193">
        <v>390</v>
      </c>
      <c r="V48" s="196">
        <f t="shared" ref="V48" si="314">IFERROR(IF(U48=0," ",U48/$F48)," ")</f>
        <v>1</v>
      </c>
      <c r="W48" s="193">
        <v>390</v>
      </c>
      <c r="X48" s="196">
        <f t="shared" ref="X48" si="315">IFERROR(IF(W48=0," ",W48/$F48)," ")</f>
        <v>1</v>
      </c>
      <c r="Y48" s="193">
        <v>390</v>
      </c>
      <c r="Z48" s="196">
        <f t="shared" ref="Z48" si="316">IFERROR(IF(Y48=0," ",Y48/$F48)," ")</f>
        <v>1</v>
      </c>
      <c r="AA48" s="193">
        <v>390</v>
      </c>
      <c r="AB48" s="196">
        <f t="shared" ref="AB48" si="317">IFERROR(IF(AA48=0," ",AA48/$F48)," ")</f>
        <v>1</v>
      </c>
      <c r="AC48" s="193">
        <v>390</v>
      </c>
      <c r="AD48" s="196">
        <f t="shared" ref="AD48" si="318">IFERROR(IF(AC48=0," ",AC48/$F48)," ")</f>
        <v>1</v>
      </c>
      <c r="AE48" s="193">
        <v>390</v>
      </c>
      <c r="AF48" s="196">
        <f t="shared" ref="AF48" si="319">IFERROR(IF(AE48=0," ",AE48/$F48)," ")</f>
        <v>1</v>
      </c>
      <c r="AG48" s="193">
        <v>390</v>
      </c>
      <c r="AH48" s="196">
        <f t="shared" ref="AH48" si="320">IFERROR(IF(AG48=0," ",AG48/$F48)," ")</f>
        <v>1</v>
      </c>
      <c r="AI48" s="197"/>
      <c r="AJ48" s="177">
        <v>0</v>
      </c>
      <c r="AK48" s="177">
        <v>0</v>
      </c>
      <c r="AL48" s="177">
        <v>0</v>
      </c>
      <c r="AM48" s="177">
        <v>0</v>
      </c>
      <c r="AN48" s="177">
        <v>0</v>
      </c>
      <c r="AO48" s="177">
        <v>22947.599999999999</v>
      </c>
      <c r="AP48" s="177">
        <v>22947.599999999999</v>
      </c>
      <c r="AQ48" s="177">
        <v>22947.599999999999</v>
      </c>
      <c r="AR48" s="177">
        <v>22947.599999999999</v>
      </c>
      <c r="AS48" s="177">
        <v>22947.599999999999</v>
      </c>
      <c r="AT48" s="177">
        <v>22947.599999999999</v>
      </c>
      <c r="AU48" s="177">
        <v>22947.599999999999</v>
      </c>
    </row>
    <row r="49" spans="1:47" x14ac:dyDescent="0.25">
      <c r="A49" s="190" t="s">
        <v>642</v>
      </c>
      <c r="B49" s="65" t="s">
        <v>745</v>
      </c>
      <c r="C49" s="191" t="s">
        <v>642</v>
      </c>
      <c r="D49" s="65" t="s">
        <v>747</v>
      </c>
      <c r="E49" s="192" t="str">
        <f>IF(A49=" "," ",VLOOKUP(A49,Estimate!A:Q,17,FALSE))</f>
        <v xml:space="preserve"> </v>
      </c>
      <c r="F49" s="193" t="s">
        <v>642</v>
      </c>
      <c r="G49" s="206" t="s">
        <v>642</v>
      </c>
      <c r="H49" s="195" t="s">
        <v>642</v>
      </c>
      <c r="I49" s="195" t="s">
        <v>642</v>
      </c>
      <c r="J49" s="195"/>
      <c r="K49" s="193" t="s">
        <v>642</v>
      </c>
      <c r="L49" s="196" t="str">
        <f t="shared" si="0"/>
        <v xml:space="preserve"> </v>
      </c>
      <c r="M49" s="193" t="s">
        <v>642</v>
      </c>
      <c r="N49" s="196" t="str">
        <f t="shared" si="0"/>
        <v xml:space="preserve"> </v>
      </c>
      <c r="O49" s="193" t="s">
        <v>642</v>
      </c>
      <c r="P49" s="196" t="str">
        <f t="shared" ref="P49" si="321">IFERROR(IF(O49=0," ",O49/$F49)," ")</f>
        <v xml:space="preserve"> </v>
      </c>
      <c r="Q49" s="193" t="s">
        <v>642</v>
      </c>
      <c r="R49" s="196" t="str">
        <f t="shared" ref="R49" si="322">IFERROR(IF(Q49=0," ",Q49/$F49)," ")</f>
        <v xml:space="preserve"> </v>
      </c>
      <c r="S49" s="193" t="s">
        <v>642</v>
      </c>
      <c r="T49" s="196" t="str">
        <f t="shared" ref="T49" si="323">IFERROR(IF(S49=0," ",S49/$F49)," ")</f>
        <v xml:space="preserve"> </v>
      </c>
      <c r="U49" s="193" t="s">
        <v>642</v>
      </c>
      <c r="V49" s="196" t="str">
        <f t="shared" ref="V49" si="324">IFERROR(IF(U49=0," ",U49/$F49)," ")</f>
        <v xml:space="preserve"> </v>
      </c>
      <c r="W49" s="193" t="s">
        <v>642</v>
      </c>
      <c r="X49" s="196" t="str">
        <f t="shared" ref="X49" si="325">IFERROR(IF(W49=0," ",W49/$F49)," ")</f>
        <v xml:space="preserve"> </v>
      </c>
      <c r="Y49" s="193" t="s">
        <v>642</v>
      </c>
      <c r="Z49" s="196" t="str">
        <f t="shared" ref="Z49" si="326">IFERROR(IF(Y49=0," ",Y49/$F49)," ")</f>
        <v xml:space="preserve"> </v>
      </c>
      <c r="AA49" s="193" t="s">
        <v>642</v>
      </c>
      <c r="AB49" s="196" t="str">
        <f t="shared" ref="AB49" si="327">IFERROR(IF(AA49=0," ",AA49/$F49)," ")</f>
        <v xml:space="preserve"> </v>
      </c>
      <c r="AC49" s="193" t="s">
        <v>642</v>
      </c>
      <c r="AD49" s="196" t="str">
        <f t="shared" ref="AD49" si="328">IFERROR(IF(AC49=0," ",AC49/$F49)," ")</f>
        <v xml:space="preserve"> </v>
      </c>
      <c r="AE49" s="193" t="s">
        <v>642</v>
      </c>
      <c r="AF49" s="196" t="str">
        <f t="shared" ref="AF49" si="329">IFERROR(IF(AE49=0," ",AE49/$F49)," ")</f>
        <v xml:space="preserve"> </v>
      </c>
      <c r="AG49" s="193" t="s">
        <v>642</v>
      </c>
      <c r="AH49" s="196" t="str">
        <f t="shared" ref="AH49" si="330">IFERROR(IF(AG49=0," ",AG49/$F49)," ")</f>
        <v xml:space="preserve"> </v>
      </c>
      <c r="AI49" s="197"/>
      <c r="AJ49" s="177" t="s">
        <v>642</v>
      </c>
      <c r="AK49" s="177" t="s">
        <v>642</v>
      </c>
      <c r="AL49" s="177" t="s">
        <v>642</v>
      </c>
      <c r="AM49" s="177" t="s">
        <v>642</v>
      </c>
      <c r="AN49" s="177" t="s">
        <v>642</v>
      </c>
      <c r="AO49" s="177" t="s">
        <v>642</v>
      </c>
      <c r="AP49" s="177" t="s">
        <v>642</v>
      </c>
      <c r="AQ49" s="177" t="s">
        <v>642</v>
      </c>
      <c r="AR49" s="177" t="s">
        <v>642</v>
      </c>
      <c r="AS49" s="177" t="s">
        <v>642</v>
      </c>
      <c r="AT49" s="177" t="s">
        <v>642</v>
      </c>
      <c r="AU49" s="177" t="s">
        <v>642</v>
      </c>
    </row>
    <row r="50" spans="1:47" x14ac:dyDescent="0.25">
      <c r="A50" s="190" t="s">
        <v>642</v>
      </c>
      <c r="B50" s="65">
        <v>2600</v>
      </c>
      <c r="C50" s="191" t="s">
        <v>91</v>
      </c>
      <c r="D50" s="65" t="s">
        <v>747</v>
      </c>
      <c r="E50" s="192" t="str">
        <f>IF(A50=" "," ",VLOOKUP(A50,Estimate!A:Q,17,FALSE))</f>
        <v xml:space="preserve"> </v>
      </c>
      <c r="F50" s="193" t="s">
        <v>642</v>
      </c>
      <c r="G50" s="206" t="s">
        <v>642</v>
      </c>
      <c r="H50" s="195" t="s">
        <v>642</v>
      </c>
      <c r="I50" s="195" t="s">
        <v>642</v>
      </c>
      <c r="J50" s="195"/>
      <c r="K50" s="193" t="s">
        <v>642</v>
      </c>
      <c r="L50" s="196" t="str">
        <f t="shared" si="0"/>
        <v xml:space="preserve"> </v>
      </c>
      <c r="M50" s="193" t="s">
        <v>642</v>
      </c>
      <c r="N50" s="196" t="str">
        <f t="shared" si="0"/>
        <v xml:space="preserve"> </v>
      </c>
      <c r="O50" s="193" t="s">
        <v>642</v>
      </c>
      <c r="P50" s="196" t="str">
        <f t="shared" ref="P50" si="331">IFERROR(IF(O50=0," ",O50/$F50)," ")</f>
        <v xml:space="preserve"> </v>
      </c>
      <c r="Q50" s="193" t="s">
        <v>642</v>
      </c>
      <c r="R50" s="196" t="str">
        <f t="shared" ref="R50" si="332">IFERROR(IF(Q50=0," ",Q50/$F50)," ")</f>
        <v xml:space="preserve"> </v>
      </c>
      <c r="S50" s="193" t="s">
        <v>642</v>
      </c>
      <c r="T50" s="196" t="str">
        <f t="shared" ref="T50" si="333">IFERROR(IF(S50=0," ",S50/$F50)," ")</f>
        <v xml:space="preserve"> </v>
      </c>
      <c r="U50" s="193" t="s">
        <v>642</v>
      </c>
      <c r="V50" s="196" t="str">
        <f t="shared" ref="V50" si="334">IFERROR(IF(U50=0," ",U50/$F50)," ")</f>
        <v xml:space="preserve"> </v>
      </c>
      <c r="W50" s="193" t="s">
        <v>642</v>
      </c>
      <c r="X50" s="196" t="str">
        <f t="shared" ref="X50" si="335">IFERROR(IF(W50=0," ",W50/$F50)," ")</f>
        <v xml:space="preserve"> </v>
      </c>
      <c r="Y50" s="193" t="s">
        <v>642</v>
      </c>
      <c r="Z50" s="196" t="str">
        <f t="shared" ref="Z50" si="336">IFERROR(IF(Y50=0," ",Y50/$F50)," ")</f>
        <v xml:space="preserve"> </v>
      </c>
      <c r="AA50" s="193" t="s">
        <v>642</v>
      </c>
      <c r="AB50" s="196" t="str">
        <f t="shared" ref="AB50" si="337">IFERROR(IF(AA50=0," ",AA50/$F50)," ")</f>
        <v xml:space="preserve"> </v>
      </c>
      <c r="AC50" s="193" t="s">
        <v>642</v>
      </c>
      <c r="AD50" s="196" t="str">
        <f t="shared" ref="AD50" si="338">IFERROR(IF(AC50=0," ",AC50/$F50)," ")</f>
        <v xml:space="preserve"> </v>
      </c>
      <c r="AE50" s="193" t="s">
        <v>642</v>
      </c>
      <c r="AF50" s="196" t="str">
        <f t="shared" ref="AF50" si="339">IFERROR(IF(AE50=0," ",AE50/$F50)," ")</f>
        <v xml:space="preserve"> </v>
      </c>
      <c r="AG50" s="193" t="s">
        <v>642</v>
      </c>
      <c r="AH50" s="196" t="str">
        <f t="shared" ref="AH50" si="340">IFERROR(IF(AG50=0," ",AG50/$F50)," ")</f>
        <v xml:space="preserve"> </v>
      </c>
      <c r="AI50" s="197"/>
      <c r="AJ50" s="177" t="s">
        <v>642</v>
      </c>
      <c r="AK50" s="177" t="s">
        <v>642</v>
      </c>
      <c r="AL50" s="177" t="s">
        <v>642</v>
      </c>
      <c r="AM50" s="177" t="s">
        <v>642</v>
      </c>
      <c r="AN50" s="177" t="s">
        <v>642</v>
      </c>
      <c r="AO50" s="177" t="s">
        <v>642</v>
      </c>
      <c r="AP50" s="177" t="s">
        <v>642</v>
      </c>
      <c r="AQ50" s="177" t="s">
        <v>642</v>
      </c>
      <c r="AR50" s="177" t="s">
        <v>642</v>
      </c>
      <c r="AS50" s="177" t="s">
        <v>642</v>
      </c>
      <c r="AT50" s="177" t="s">
        <v>642</v>
      </c>
      <c r="AU50" s="177" t="s">
        <v>642</v>
      </c>
    </row>
    <row r="51" spans="1:47" ht="30" x14ac:dyDescent="0.25">
      <c r="A51" s="190">
        <v>20</v>
      </c>
      <c r="B51" s="65">
        <v>2631.1</v>
      </c>
      <c r="C51" s="191" t="s">
        <v>93</v>
      </c>
      <c r="D51" s="65" t="s">
        <v>94</v>
      </c>
      <c r="E51" s="192">
        <f>IF(A51=" "," ",VLOOKUP(A51,Estimate!A:Q,17,FALSE))</f>
        <v>13898.474090859092</v>
      </c>
      <c r="F51" s="193">
        <v>188</v>
      </c>
      <c r="G51" s="206">
        <v>98.426819148936161</v>
      </c>
      <c r="H51" s="195">
        <v>111</v>
      </c>
      <c r="I51" s="195">
        <v>20868</v>
      </c>
      <c r="J51" s="195"/>
      <c r="K51" s="193"/>
      <c r="L51" s="196" t="str">
        <f t="shared" si="0"/>
        <v xml:space="preserve"> </v>
      </c>
      <c r="M51" s="193"/>
      <c r="N51" s="196" t="str">
        <f t="shared" si="0"/>
        <v xml:space="preserve"> </v>
      </c>
      <c r="O51" s="193"/>
      <c r="P51" s="196" t="str">
        <f t="shared" ref="P51" si="341">IFERROR(IF(O51=0," ",O51/$F51)," ")</f>
        <v xml:space="preserve"> </v>
      </c>
      <c r="Q51" s="193"/>
      <c r="R51" s="196" t="str">
        <f t="shared" ref="R51" si="342">IFERROR(IF(Q51=0," ",Q51/$F51)," ")</f>
        <v xml:space="preserve"> </v>
      </c>
      <c r="S51" s="193"/>
      <c r="T51" s="196" t="str">
        <f t="shared" ref="T51" si="343">IFERROR(IF(S51=0," ",S51/$F51)," ")</f>
        <v xml:space="preserve"> </v>
      </c>
      <c r="U51" s="193"/>
      <c r="V51" s="196" t="str">
        <f t="shared" ref="V51" si="344">IFERROR(IF(U51=0," ",U51/$F51)," ")</f>
        <v xml:space="preserve"> </v>
      </c>
      <c r="W51" s="193">
        <v>90</v>
      </c>
      <c r="X51" s="196">
        <f t="shared" ref="X51" si="345">IFERROR(IF(W51=0," ",W51/$F51)," ")</f>
        <v>0.47872340425531917</v>
      </c>
      <c r="Y51" s="193">
        <v>150</v>
      </c>
      <c r="Z51" s="196">
        <f t="shared" ref="Z51" si="346">IFERROR(IF(Y51=0," ",Y51/$F51)," ")</f>
        <v>0.7978723404255319</v>
      </c>
      <c r="AA51" s="193">
        <v>188</v>
      </c>
      <c r="AB51" s="196">
        <f t="shared" ref="AB51" si="347">IFERROR(IF(AA51=0," ",AA51/$F51)," ")</f>
        <v>1</v>
      </c>
      <c r="AC51" s="193">
        <v>188</v>
      </c>
      <c r="AD51" s="196">
        <f t="shared" ref="AD51" si="348">IFERROR(IF(AC51=0," ",AC51/$F51)," ")</f>
        <v>1</v>
      </c>
      <c r="AE51" s="193">
        <v>188</v>
      </c>
      <c r="AF51" s="196">
        <f t="shared" ref="AF51" si="349">IFERROR(IF(AE51=0," ",AE51/$F51)," ")</f>
        <v>1</v>
      </c>
      <c r="AG51" s="193">
        <v>188</v>
      </c>
      <c r="AH51" s="196">
        <f t="shared" ref="AH51" si="350">IFERROR(IF(AG51=0," ",AG51/$F51)," ")</f>
        <v>1</v>
      </c>
      <c r="AI51" s="197"/>
      <c r="AJ51" s="177">
        <v>0</v>
      </c>
      <c r="AK51" s="177">
        <v>0</v>
      </c>
      <c r="AL51" s="177">
        <v>0</v>
      </c>
      <c r="AM51" s="177">
        <v>0</v>
      </c>
      <c r="AN51" s="177">
        <v>0</v>
      </c>
      <c r="AO51" s="177">
        <v>0</v>
      </c>
      <c r="AP51" s="177">
        <v>9990</v>
      </c>
      <c r="AQ51" s="177">
        <v>16650</v>
      </c>
      <c r="AR51" s="177">
        <v>20868</v>
      </c>
      <c r="AS51" s="177">
        <v>20868</v>
      </c>
      <c r="AT51" s="177">
        <v>20868</v>
      </c>
      <c r="AU51" s="177">
        <v>20868</v>
      </c>
    </row>
    <row r="52" spans="1:47" ht="30" x14ac:dyDescent="0.25">
      <c r="A52" s="190">
        <v>21</v>
      </c>
      <c r="B52" s="65">
        <v>2631.2</v>
      </c>
      <c r="C52" s="191" t="s">
        <v>106</v>
      </c>
      <c r="D52" s="65" t="s">
        <v>94</v>
      </c>
      <c r="E52" s="192">
        <f>IF(A52=" "," ",VLOOKUP(A52,Estimate!A:Q,17,FALSE))</f>
        <v>2816.5271960730397</v>
      </c>
      <c r="F52" s="193">
        <v>38.1</v>
      </c>
      <c r="G52" s="206">
        <v>98.419068241469816</v>
      </c>
      <c r="H52" s="195">
        <v>110.99</v>
      </c>
      <c r="I52" s="195">
        <v>4228.72</v>
      </c>
      <c r="J52" s="195"/>
      <c r="K52" s="193"/>
      <c r="L52" s="196" t="str">
        <f t="shared" si="0"/>
        <v xml:space="preserve"> </v>
      </c>
      <c r="M52" s="193"/>
      <c r="N52" s="196" t="str">
        <f t="shared" si="0"/>
        <v xml:space="preserve"> </v>
      </c>
      <c r="O52" s="193"/>
      <c r="P52" s="196" t="str">
        <f t="shared" ref="P52" si="351">IFERROR(IF(O52=0," ",O52/$F52)," ")</f>
        <v xml:space="preserve"> </v>
      </c>
      <c r="Q52" s="193"/>
      <c r="R52" s="196" t="str">
        <f t="shared" ref="R52" si="352">IFERROR(IF(Q52=0," ",Q52/$F52)," ")</f>
        <v xml:space="preserve"> </v>
      </c>
      <c r="S52" s="193"/>
      <c r="T52" s="196" t="str">
        <f t="shared" ref="T52" si="353">IFERROR(IF(S52=0," ",S52/$F52)," ")</f>
        <v xml:space="preserve"> </v>
      </c>
      <c r="U52" s="193"/>
      <c r="V52" s="196" t="str">
        <f t="shared" ref="V52" si="354">IFERROR(IF(U52=0," ",U52/$F52)," ")</f>
        <v xml:space="preserve"> </v>
      </c>
      <c r="W52" s="193"/>
      <c r="X52" s="196" t="str">
        <f t="shared" ref="X52" si="355">IFERROR(IF(W52=0," ",W52/$F52)," ")</f>
        <v xml:space="preserve"> </v>
      </c>
      <c r="Y52" s="193">
        <v>38.1</v>
      </c>
      <c r="Z52" s="196">
        <f t="shared" ref="Z52" si="356">IFERROR(IF(Y52=0," ",Y52/$F52)," ")</f>
        <v>1</v>
      </c>
      <c r="AA52" s="193">
        <v>38.1</v>
      </c>
      <c r="AB52" s="196">
        <f t="shared" ref="AB52" si="357">IFERROR(IF(AA52=0," ",AA52/$F52)," ")</f>
        <v>1</v>
      </c>
      <c r="AC52" s="193">
        <v>38.1</v>
      </c>
      <c r="AD52" s="196">
        <f t="shared" ref="AD52" si="358">IFERROR(IF(AC52=0," ",AC52/$F52)," ")</f>
        <v>1</v>
      </c>
      <c r="AE52" s="193">
        <v>38.1</v>
      </c>
      <c r="AF52" s="196">
        <f t="shared" ref="AF52" si="359">IFERROR(IF(AE52=0," ",AE52/$F52)," ")</f>
        <v>1</v>
      </c>
      <c r="AG52" s="193">
        <v>38.1</v>
      </c>
      <c r="AH52" s="196">
        <f t="shared" ref="AH52" si="360">IFERROR(IF(AG52=0," ",AG52/$F52)," ")</f>
        <v>1</v>
      </c>
      <c r="AI52" s="197"/>
      <c r="AJ52" s="177">
        <v>0</v>
      </c>
      <c r="AK52" s="177">
        <v>0</v>
      </c>
      <c r="AL52" s="177">
        <v>0</v>
      </c>
      <c r="AM52" s="177">
        <v>0</v>
      </c>
      <c r="AN52" s="177">
        <v>0</v>
      </c>
      <c r="AO52" s="177">
        <v>0</v>
      </c>
      <c r="AP52" s="177">
        <v>0</v>
      </c>
      <c r="AQ52" s="177">
        <v>4228.72</v>
      </c>
      <c r="AR52" s="177">
        <v>4228.72</v>
      </c>
      <c r="AS52" s="177">
        <v>4228.72</v>
      </c>
      <c r="AT52" s="177">
        <v>4228.72</v>
      </c>
      <c r="AU52" s="177">
        <v>4228.72</v>
      </c>
    </row>
    <row r="53" spans="1:47" ht="45" x14ac:dyDescent="0.25">
      <c r="A53" s="190">
        <v>22</v>
      </c>
      <c r="B53" s="65">
        <v>2631.5</v>
      </c>
      <c r="C53" s="191" t="s">
        <v>108</v>
      </c>
      <c r="D53" s="65" t="s">
        <v>94</v>
      </c>
      <c r="E53" s="192">
        <f>IF(A53=" "," ",VLOOKUP(A53,Estimate!A:Q,17,FALSE))</f>
        <v>34443.189550376002</v>
      </c>
      <c r="F53" s="193">
        <v>240</v>
      </c>
      <c r="G53" s="206">
        <v>191.07340000000002</v>
      </c>
      <c r="H53" s="195">
        <v>215.48</v>
      </c>
      <c r="I53" s="195">
        <v>51715.199999999997</v>
      </c>
      <c r="J53" s="195"/>
      <c r="K53" s="193"/>
      <c r="L53" s="196" t="str">
        <f t="shared" si="0"/>
        <v xml:space="preserve"> </v>
      </c>
      <c r="M53" s="193"/>
      <c r="N53" s="196" t="str">
        <f t="shared" si="0"/>
        <v xml:space="preserve"> </v>
      </c>
      <c r="O53" s="193"/>
      <c r="P53" s="196" t="str">
        <f t="shared" ref="P53" si="361">IFERROR(IF(O53=0," ",O53/$F53)," ")</f>
        <v xml:space="preserve"> </v>
      </c>
      <c r="Q53" s="193"/>
      <c r="R53" s="196" t="str">
        <f t="shared" ref="R53" si="362">IFERROR(IF(Q53=0," ",Q53/$F53)," ")</f>
        <v xml:space="preserve"> </v>
      </c>
      <c r="S53" s="193"/>
      <c r="T53" s="196" t="str">
        <f t="shared" ref="T53" si="363">IFERROR(IF(S53=0," ",S53/$F53)," ")</f>
        <v xml:space="preserve"> </v>
      </c>
      <c r="U53" s="193"/>
      <c r="V53" s="196" t="str">
        <f t="shared" ref="V53" si="364">IFERROR(IF(U53=0," ",U53/$F53)," ")</f>
        <v xml:space="preserve"> </v>
      </c>
      <c r="W53" s="193"/>
      <c r="X53" s="196" t="str">
        <f t="shared" ref="X53" si="365">IFERROR(IF(W53=0," ",W53/$F53)," ")</f>
        <v xml:space="preserve"> </v>
      </c>
      <c r="Y53" s="193">
        <v>215</v>
      </c>
      <c r="Z53" s="196">
        <f t="shared" ref="Z53" si="366">IFERROR(IF(Y53=0," ",Y53/$F53)," ")</f>
        <v>0.89583333333333337</v>
      </c>
      <c r="AA53" s="193">
        <v>240</v>
      </c>
      <c r="AB53" s="196">
        <f t="shared" ref="AB53" si="367">IFERROR(IF(AA53=0," ",AA53/$F53)," ")</f>
        <v>1</v>
      </c>
      <c r="AC53" s="193">
        <v>240</v>
      </c>
      <c r="AD53" s="196">
        <f t="shared" ref="AD53" si="368">IFERROR(IF(AC53=0," ",AC53/$F53)," ")</f>
        <v>1</v>
      </c>
      <c r="AE53" s="193">
        <v>240</v>
      </c>
      <c r="AF53" s="196">
        <f t="shared" ref="AF53" si="369">IFERROR(IF(AE53=0," ",AE53/$F53)," ")</f>
        <v>1</v>
      </c>
      <c r="AG53" s="193">
        <v>240</v>
      </c>
      <c r="AH53" s="196">
        <f t="shared" ref="AH53" si="370">IFERROR(IF(AG53=0," ",AG53/$F53)," ")</f>
        <v>1</v>
      </c>
      <c r="AI53" s="197"/>
      <c r="AJ53" s="177">
        <v>0</v>
      </c>
      <c r="AK53" s="177">
        <v>0</v>
      </c>
      <c r="AL53" s="177">
        <v>0</v>
      </c>
      <c r="AM53" s="177">
        <v>0</v>
      </c>
      <c r="AN53" s="177">
        <v>0</v>
      </c>
      <c r="AO53" s="177">
        <v>0</v>
      </c>
      <c r="AP53" s="177">
        <v>0</v>
      </c>
      <c r="AQ53" s="177">
        <v>46328.2</v>
      </c>
      <c r="AR53" s="177">
        <v>51715.199999999997</v>
      </c>
      <c r="AS53" s="177">
        <v>51715.199999999997</v>
      </c>
      <c r="AT53" s="177">
        <v>51715.199999999997</v>
      </c>
      <c r="AU53" s="177">
        <v>51715.199999999997</v>
      </c>
    </row>
    <row r="54" spans="1:47" x14ac:dyDescent="0.25">
      <c r="A54" s="190" t="s">
        <v>642</v>
      </c>
      <c r="B54" s="65" t="s">
        <v>745</v>
      </c>
      <c r="C54" s="191" t="s">
        <v>642</v>
      </c>
      <c r="D54" s="65" t="s">
        <v>747</v>
      </c>
      <c r="E54" s="192" t="str">
        <f>IF(A54=" "," ",VLOOKUP(A54,Estimate!A:Q,17,FALSE))</f>
        <v xml:space="preserve"> </v>
      </c>
      <c r="F54" s="193" t="s">
        <v>642</v>
      </c>
      <c r="G54" s="206" t="s">
        <v>642</v>
      </c>
      <c r="H54" s="195" t="s">
        <v>642</v>
      </c>
      <c r="I54" s="195" t="s">
        <v>642</v>
      </c>
      <c r="J54" s="195"/>
      <c r="K54" s="193" t="s">
        <v>642</v>
      </c>
      <c r="L54" s="196" t="str">
        <f t="shared" si="0"/>
        <v xml:space="preserve"> </v>
      </c>
      <c r="M54" s="193" t="s">
        <v>642</v>
      </c>
      <c r="N54" s="196" t="str">
        <f t="shared" si="0"/>
        <v xml:space="preserve"> </v>
      </c>
      <c r="O54" s="193" t="s">
        <v>642</v>
      </c>
      <c r="P54" s="196" t="str">
        <f t="shared" ref="P54" si="371">IFERROR(IF(O54=0," ",O54/$F54)," ")</f>
        <v xml:space="preserve"> </v>
      </c>
      <c r="Q54" s="193" t="s">
        <v>642</v>
      </c>
      <c r="R54" s="196" t="str">
        <f t="shared" ref="R54" si="372">IFERROR(IF(Q54=0," ",Q54/$F54)," ")</f>
        <v xml:space="preserve"> </v>
      </c>
      <c r="S54" s="193" t="s">
        <v>642</v>
      </c>
      <c r="T54" s="196" t="str">
        <f t="shared" ref="T54" si="373">IFERROR(IF(S54=0," ",S54/$F54)," ")</f>
        <v xml:space="preserve"> </v>
      </c>
      <c r="U54" s="193" t="s">
        <v>642</v>
      </c>
      <c r="V54" s="196" t="str">
        <f t="shared" ref="V54" si="374">IFERROR(IF(U54=0," ",U54/$F54)," ")</f>
        <v xml:space="preserve"> </v>
      </c>
      <c r="W54" s="193" t="s">
        <v>642</v>
      </c>
      <c r="X54" s="196" t="str">
        <f t="shared" ref="X54" si="375">IFERROR(IF(W54=0," ",W54/$F54)," ")</f>
        <v xml:space="preserve"> </v>
      </c>
      <c r="Y54" s="193" t="s">
        <v>642</v>
      </c>
      <c r="Z54" s="196" t="str">
        <f t="shared" ref="Z54" si="376">IFERROR(IF(Y54=0," ",Y54/$F54)," ")</f>
        <v xml:space="preserve"> </v>
      </c>
      <c r="AA54" s="193" t="s">
        <v>642</v>
      </c>
      <c r="AB54" s="196" t="str">
        <f t="shared" ref="AB54" si="377">IFERROR(IF(AA54=0," ",AA54/$F54)," ")</f>
        <v xml:space="preserve"> </v>
      </c>
      <c r="AC54" s="193" t="s">
        <v>642</v>
      </c>
      <c r="AD54" s="196" t="str">
        <f t="shared" ref="AD54" si="378">IFERROR(IF(AC54=0," ",AC54/$F54)," ")</f>
        <v xml:space="preserve"> </v>
      </c>
      <c r="AE54" s="193" t="s">
        <v>642</v>
      </c>
      <c r="AF54" s="196" t="str">
        <f t="shared" ref="AF54" si="379">IFERROR(IF(AE54=0," ",AE54/$F54)," ")</f>
        <v xml:space="preserve"> </v>
      </c>
      <c r="AG54" s="193" t="s">
        <v>642</v>
      </c>
      <c r="AH54" s="196" t="str">
        <f t="shared" ref="AH54" si="380">IFERROR(IF(AG54=0," ",AG54/$F54)," ")</f>
        <v xml:space="preserve"> </v>
      </c>
      <c r="AI54" s="197"/>
      <c r="AJ54" s="177" t="s">
        <v>642</v>
      </c>
      <c r="AK54" s="177" t="s">
        <v>642</v>
      </c>
      <c r="AL54" s="177" t="s">
        <v>642</v>
      </c>
      <c r="AM54" s="177" t="s">
        <v>642</v>
      </c>
      <c r="AN54" s="177" t="s">
        <v>642</v>
      </c>
      <c r="AO54" s="177" t="s">
        <v>642</v>
      </c>
      <c r="AP54" s="177" t="s">
        <v>642</v>
      </c>
      <c r="AQ54" s="177" t="s">
        <v>642</v>
      </c>
      <c r="AR54" s="177" t="s">
        <v>642</v>
      </c>
      <c r="AS54" s="177" t="s">
        <v>642</v>
      </c>
      <c r="AT54" s="177" t="s">
        <v>642</v>
      </c>
      <c r="AU54" s="177" t="s">
        <v>642</v>
      </c>
    </row>
    <row r="55" spans="1:47" x14ac:dyDescent="0.25">
      <c r="A55" s="190" t="s">
        <v>642</v>
      </c>
      <c r="B55" s="65">
        <v>2700</v>
      </c>
      <c r="C55" s="191" t="s">
        <v>112</v>
      </c>
      <c r="D55" s="65" t="s">
        <v>747</v>
      </c>
      <c r="E55" s="192" t="str">
        <f>IF(A55=" "," ",VLOOKUP(A55,Estimate!A:Q,17,FALSE))</f>
        <v xml:space="preserve"> </v>
      </c>
      <c r="F55" s="193" t="s">
        <v>642</v>
      </c>
      <c r="G55" s="206" t="s">
        <v>642</v>
      </c>
      <c r="H55" s="195" t="s">
        <v>642</v>
      </c>
      <c r="I55" s="195" t="s">
        <v>642</v>
      </c>
      <c r="J55" s="195"/>
      <c r="K55" s="193" t="s">
        <v>642</v>
      </c>
      <c r="L55" s="196" t="str">
        <f t="shared" si="0"/>
        <v xml:space="preserve"> </v>
      </c>
      <c r="M55" s="193" t="s">
        <v>642</v>
      </c>
      <c r="N55" s="196" t="str">
        <f t="shared" si="0"/>
        <v xml:space="preserve"> </v>
      </c>
      <c r="O55" s="193" t="s">
        <v>642</v>
      </c>
      <c r="P55" s="196" t="str">
        <f t="shared" ref="P55" si="381">IFERROR(IF(O55=0," ",O55/$F55)," ")</f>
        <v xml:space="preserve"> </v>
      </c>
      <c r="Q55" s="193" t="s">
        <v>642</v>
      </c>
      <c r="R55" s="196" t="str">
        <f t="shared" ref="R55" si="382">IFERROR(IF(Q55=0," ",Q55/$F55)," ")</f>
        <v xml:space="preserve"> </v>
      </c>
      <c r="S55" s="193" t="s">
        <v>642</v>
      </c>
      <c r="T55" s="196" t="str">
        <f t="shared" ref="T55" si="383">IFERROR(IF(S55=0," ",S55/$F55)," ")</f>
        <v xml:space="preserve"> </v>
      </c>
      <c r="U55" s="193" t="s">
        <v>642</v>
      </c>
      <c r="V55" s="196" t="str">
        <f t="shared" ref="V55" si="384">IFERROR(IF(U55=0," ",U55/$F55)," ")</f>
        <v xml:space="preserve"> </v>
      </c>
      <c r="W55" s="193" t="s">
        <v>642</v>
      </c>
      <c r="X55" s="196" t="str">
        <f t="shared" ref="X55" si="385">IFERROR(IF(W55=0," ",W55/$F55)," ")</f>
        <v xml:space="preserve"> </v>
      </c>
      <c r="Y55" s="193" t="s">
        <v>642</v>
      </c>
      <c r="Z55" s="196" t="str">
        <f t="shared" ref="Z55" si="386">IFERROR(IF(Y55=0," ",Y55/$F55)," ")</f>
        <v xml:space="preserve"> </v>
      </c>
      <c r="AA55" s="193" t="s">
        <v>642</v>
      </c>
      <c r="AB55" s="196" t="str">
        <f t="shared" ref="AB55" si="387">IFERROR(IF(AA55=0," ",AA55/$F55)," ")</f>
        <v xml:space="preserve"> </v>
      </c>
      <c r="AC55" s="193" t="s">
        <v>642</v>
      </c>
      <c r="AD55" s="196" t="str">
        <f t="shared" ref="AD55" si="388">IFERROR(IF(AC55=0," ",AC55/$F55)," ")</f>
        <v xml:space="preserve"> </v>
      </c>
      <c r="AE55" s="193" t="s">
        <v>642</v>
      </c>
      <c r="AF55" s="196" t="str">
        <f t="shared" ref="AF55" si="389">IFERROR(IF(AE55=0," ",AE55/$F55)," ")</f>
        <v xml:space="preserve"> </v>
      </c>
      <c r="AG55" s="193" t="s">
        <v>642</v>
      </c>
      <c r="AH55" s="196" t="str">
        <f t="shared" ref="AH55" si="390">IFERROR(IF(AG55=0," ",AG55/$F55)," ")</f>
        <v xml:space="preserve"> </v>
      </c>
      <c r="AI55" s="197"/>
      <c r="AJ55" s="177" t="s">
        <v>642</v>
      </c>
      <c r="AK55" s="177" t="s">
        <v>642</v>
      </c>
      <c r="AL55" s="177" t="s">
        <v>642</v>
      </c>
      <c r="AM55" s="177" t="s">
        <v>642</v>
      </c>
      <c r="AN55" s="177" t="s">
        <v>642</v>
      </c>
      <c r="AO55" s="177" t="s">
        <v>642</v>
      </c>
      <c r="AP55" s="177" t="s">
        <v>642</v>
      </c>
      <c r="AQ55" s="177" t="s">
        <v>642</v>
      </c>
      <c r="AR55" s="177" t="s">
        <v>642</v>
      </c>
      <c r="AS55" s="177" t="s">
        <v>642</v>
      </c>
      <c r="AT55" s="177" t="s">
        <v>642</v>
      </c>
      <c r="AU55" s="177" t="s">
        <v>642</v>
      </c>
    </row>
    <row r="56" spans="1:47" ht="30" x14ac:dyDescent="0.25">
      <c r="A56" s="190">
        <v>23</v>
      </c>
      <c r="B56" s="65">
        <v>2712</v>
      </c>
      <c r="C56" s="191" t="s">
        <v>114</v>
      </c>
      <c r="D56" s="65" t="s">
        <v>94</v>
      </c>
      <c r="E56" s="192">
        <f>IF(A56=" "," ",VLOOKUP(A56,Estimate!A:Q,17,FALSE))</f>
        <v>456355.22600835306</v>
      </c>
      <c r="F56" s="193">
        <v>677</v>
      </c>
      <c r="G56" s="206">
        <v>777.55241196454938</v>
      </c>
      <c r="H56" s="195">
        <v>830.5</v>
      </c>
      <c r="I56" s="195">
        <v>562248.5</v>
      </c>
      <c r="J56" s="195"/>
      <c r="K56" s="193"/>
      <c r="L56" s="196" t="str">
        <f t="shared" si="0"/>
        <v xml:space="preserve"> </v>
      </c>
      <c r="M56" s="193">
        <v>145</v>
      </c>
      <c r="N56" s="196">
        <f t="shared" si="0"/>
        <v>0.21418020679468242</v>
      </c>
      <c r="O56" s="193">
        <v>385</v>
      </c>
      <c r="P56" s="196">
        <f t="shared" ref="P56" si="391">IFERROR(IF(O56=0," ",O56/$F56)," ")</f>
        <v>0.56868537666174301</v>
      </c>
      <c r="Q56" s="193">
        <v>677</v>
      </c>
      <c r="R56" s="196">
        <f t="shared" ref="R56" si="392">IFERROR(IF(Q56=0," ",Q56/$F56)," ")</f>
        <v>1</v>
      </c>
      <c r="S56" s="193">
        <v>677</v>
      </c>
      <c r="T56" s="196">
        <f t="shared" ref="T56" si="393">IFERROR(IF(S56=0," ",S56/$F56)," ")</f>
        <v>1</v>
      </c>
      <c r="U56" s="193">
        <v>677</v>
      </c>
      <c r="V56" s="196">
        <f t="shared" ref="V56" si="394">IFERROR(IF(U56=0," ",U56/$F56)," ")</f>
        <v>1</v>
      </c>
      <c r="W56" s="193">
        <v>677</v>
      </c>
      <c r="X56" s="196">
        <f t="shared" ref="X56" si="395">IFERROR(IF(W56=0," ",W56/$F56)," ")</f>
        <v>1</v>
      </c>
      <c r="Y56" s="193">
        <v>677</v>
      </c>
      <c r="Z56" s="196">
        <f t="shared" ref="Z56" si="396">IFERROR(IF(Y56=0," ",Y56/$F56)," ")</f>
        <v>1</v>
      </c>
      <c r="AA56" s="193">
        <v>677</v>
      </c>
      <c r="AB56" s="196">
        <f t="shared" ref="AB56" si="397">IFERROR(IF(AA56=0," ",AA56/$F56)," ")</f>
        <v>1</v>
      </c>
      <c r="AC56" s="193">
        <v>677</v>
      </c>
      <c r="AD56" s="196">
        <f t="shared" ref="AD56" si="398">IFERROR(IF(AC56=0," ",AC56/$F56)," ")</f>
        <v>1</v>
      </c>
      <c r="AE56" s="193">
        <v>677</v>
      </c>
      <c r="AF56" s="196">
        <f t="shared" ref="AF56" si="399">IFERROR(IF(AE56=0," ",AE56/$F56)," ")</f>
        <v>1</v>
      </c>
      <c r="AG56" s="193">
        <v>677</v>
      </c>
      <c r="AH56" s="196">
        <f t="shared" ref="AH56" si="400">IFERROR(IF(AG56=0," ",AG56/$F56)," ")</f>
        <v>1</v>
      </c>
      <c r="AI56" s="197"/>
      <c r="AJ56" s="177">
        <v>0</v>
      </c>
      <c r="AK56" s="177">
        <v>120422.5</v>
      </c>
      <c r="AL56" s="177">
        <v>319742.5</v>
      </c>
      <c r="AM56" s="177">
        <v>562248.5</v>
      </c>
      <c r="AN56" s="177">
        <v>562248.5</v>
      </c>
      <c r="AO56" s="177">
        <v>562248.5</v>
      </c>
      <c r="AP56" s="177">
        <v>562248.5</v>
      </c>
      <c r="AQ56" s="177">
        <v>562248.5</v>
      </c>
      <c r="AR56" s="177">
        <v>562248.5</v>
      </c>
      <c r="AS56" s="177">
        <v>562248.5</v>
      </c>
      <c r="AT56" s="177">
        <v>562248.5</v>
      </c>
      <c r="AU56" s="177">
        <v>562248.5</v>
      </c>
    </row>
    <row r="57" spans="1:47" x14ac:dyDescent="0.25">
      <c r="A57" s="190" t="s">
        <v>642</v>
      </c>
      <c r="B57" s="65" t="s">
        <v>745</v>
      </c>
      <c r="C57" s="191" t="s">
        <v>642</v>
      </c>
      <c r="D57" s="65" t="s">
        <v>747</v>
      </c>
      <c r="E57" s="192" t="str">
        <f>IF(A57=" "," ",VLOOKUP(A57,Estimate!A:Q,17,FALSE))</f>
        <v xml:space="preserve"> </v>
      </c>
      <c r="F57" s="193" t="s">
        <v>642</v>
      </c>
      <c r="G57" s="206" t="s">
        <v>642</v>
      </c>
      <c r="H57" s="195" t="s">
        <v>642</v>
      </c>
      <c r="I57" s="195" t="s">
        <v>642</v>
      </c>
      <c r="J57" s="195"/>
      <c r="K57" s="193" t="s">
        <v>642</v>
      </c>
      <c r="L57" s="196" t="str">
        <f t="shared" si="0"/>
        <v xml:space="preserve"> </v>
      </c>
      <c r="M57" s="193" t="s">
        <v>642</v>
      </c>
      <c r="N57" s="196" t="str">
        <f t="shared" si="0"/>
        <v xml:space="preserve"> </v>
      </c>
      <c r="O57" s="193" t="s">
        <v>642</v>
      </c>
      <c r="P57" s="196" t="str">
        <f t="shared" ref="P57" si="401">IFERROR(IF(O57=0," ",O57/$F57)," ")</f>
        <v xml:space="preserve"> </v>
      </c>
      <c r="Q57" s="193" t="s">
        <v>642</v>
      </c>
      <c r="R57" s="196" t="str">
        <f t="shared" ref="R57" si="402">IFERROR(IF(Q57=0," ",Q57/$F57)," ")</f>
        <v xml:space="preserve"> </v>
      </c>
      <c r="S57" s="193" t="s">
        <v>642</v>
      </c>
      <c r="T57" s="196" t="str">
        <f t="shared" ref="T57" si="403">IFERROR(IF(S57=0," ",S57/$F57)," ")</f>
        <v xml:space="preserve"> </v>
      </c>
      <c r="U57" s="193" t="s">
        <v>642</v>
      </c>
      <c r="V57" s="196" t="str">
        <f t="shared" ref="V57" si="404">IFERROR(IF(U57=0," ",U57/$F57)," ")</f>
        <v xml:space="preserve"> </v>
      </c>
      <c r="W57" s="193" t="s">
        <v>642</v>
      </c>
      <c r="X57" s="196" t="str">
        <f t="shared" ref="X57" si="405">IFERROR(IF(W57=0," ",W57/$F57)," ")</f>
        <v xml:space="preserve"> </v>
      </c>
      <c r="Y57" s="193" t="s">
        <v>642</v>
      </c>
      <c r="Z57" s="196" t="str">
        <f t="shared" ref="Z57" si="406">IFERROR(IF(Y57=0," ",Y57/$F57)," ")</f>
        <v xml:space="preserve"> </v>
      </c>
      <c r="AA57" s="193" t="s">
        <v>642</v>
      </c>
      <c r="AB57" s="196" t="str">
        <f t="shared" ref="AB57" si="407">IFERROR(IF(AA57=0," ",AA57/$F57)," ")</f>
        <v xml:space="preserve"> </v>
      </c>
      <c r="AC57" s="193" t="s">
        <v>642</v>
      </c>
      <c r="AD57" s="196" t="str">
        <f t="shared" ref="AD57" si="408">IFERROR(IF(AC57=0," ",AC57/$F57)," ")</f>
        <v xml:space="preserve"> </v>
      </c>
      <c r="AE57" s="193" t="s">
        <v>642</v>
      </c>
      <c r="AF57" s="196" t="str">
        <f t="shared" ref="AF57" si="409">IFERROR(IF(AE57=0," ",AE57/$F57)," ")</f>
        <v xml:space="preserve"> </v>
      </c>
      <c r="AG57" s="193" t="s">
        <v>642</v>
      </c>
      <c r="AH57" s="196" t="str">
        <f t="shared" ref="AH57" si="410">IFERROR(IF(AG57=0," ",AG57/$F57)," ")</f>
        <v xml:space="preserve"> </v>
      </c>
      <c r="AI57" s="197"/>
      <c r="AJ57" s="177" t="s">
        <v>642</v>
      </c>
      <c r="AK57" s="177" t="s">
        <v>642</v>
      </c>
      <c r="AL57" s="177" t="s">
        <v>642</v>
      </c>
      <c r="AM57" s="177" t="s">
        <v>642</v>
      </c>
      <c r="AN57" s="177" t="s">
        <v>642</v>
      </c>
      <c r="AO57" s="177" t="s">
        <v>642</v>
      </c>
      <c r="AP57" s="177" t="s">
        <v>642</v>
      </c>
      <c r="AQ57" s="177" t="s">
        <v>642</v>
      </c>
      <c r="AR57" s="177" t="s">
        <v>642</v>
      </c>
      <c r="AS57" s="177" t="s">
        <v>642</v>
      </c>
      <c r="AT57" s="177" t="s">
        <v>642</v>
      </c>
      <c r="AU57" s="177" t="s">
        <v>642</v>
      </c>
    </row>
    <row r="58" spans="1:47" x14ac:dyDescent="0.25">
      <c r="A58" s="190" t="s">
        <v>642</v>
      </c>
      <c r="B58" s="65">
        <v>3000</v>
      </c>
      <c r="C58" s="191" t="s">
        <v>131</v>
      </c>
      <c r="D58" s="65" t="s">
        <v>747</v>
      </c>
      <c r="E58" s="192" t="str">
        <f>IF(A58=" "," ",VLOOKUP(A58,Estimate!A:Q,17,FALSE))</f>
        <v xml:space="preserve"> </v>
      </c>
      <c r="F58" s="193" t="s">
        <v>642</v>
      </c>
      <c r="G58" s="206" t="s">
        <v>642</v>
      </c>
      <c r="H58" s="195" t="s">
        <v>642</v>
      </c>
      <c r="I58" s="195" t="s">
        <v>642</v>
      </c>
      <c r="J58" s="195"/>
      <c r="K58" s="193" t="s">
        <v>642</v>
      </c>
      <c r="L58" s="196" t="str">
        <f t="shared" si="0"/>
        <v xml:space="preserve"> </v>
      </c>
      <c r="M58" s="193" t="s">
        <v>642</v>
      </c>
      <c r="N58" s="196" t="str">
        <f t="shared" si="0"/>
        <v xml:space="preserve"> </v>
      </c>
      <c r="O58" s="193" t="s">
        <v>642</v>
      </c>
      <c r="P58" s="196" t="str">
        <f t="shared" ref="P58" si="411">IFERROR(IF(O58=0," ",O58/$F58)," ")</f>
        <v xml:space="preserve"> </v>
      </c>
      <c r="Q58" s="193" t="s">
        <v>642</v>
      </c>
      <c r="R58" s="196" t="str">
        <f t="shared" ref="R58" si="412">IFERROR(IF(Q58=0," ",Q58/$F58)," ")</f>
        <v xml:space="preserve"> </v>
      </c>
      <c r="S58" s="193" t="s">
        <v>642</v>
      </c>
      <c r="T58" s="196" t="str">
        <f t="shared" ref="T58" si="413">IFERROR(IF(S58=0," ",S58/$F58)," ")</f>
        <v xml:space="preserve"> </v>
      </c>
      <c r="U58" s="193" t="s">
        <v>642</v>
      </c>
      <c r="V58" s="196" t="str">
        <f t="shared" ref="V58" si="414">IFERROR(IF(U58=0," ",U58/$F58)," ")</f>
        <v xml:space="preserve"> </v>
      </c>
      <c r="W58" s="193" t="s">
        <v>642</v>
      </c>
      <c r="X58" s="196" t="str">
        <f t="shared" ref="X58" si="415">IFERROR(IF(W58=0," ",W58/$F58)," ")</f>
        <v xml:space="preserve"> </v>
      </c>
      <c r="Y58" s="193" t="s">
        <v>642</v>
      </c>
      <c r="Z58" s="196" t="str">
        <f t="shared" ref="Z58" si="416">IFERROR(IF(Y58=0," ",Y58/$F58)," ")</f>
        <v xml:space="preserve"> </v>
      </c>
      <c r="AA58" s="193" t="s">
        <v>642</v>
      </c>
      <c r="AB58" s="196" t="str">
        <f t="shared" ref="AB58" si="417">IFERROR(IF(AA58=0," ",AA58/$F58)," ")</f>
        <v xml:space="preserve"> </v>
      </c>
      <c r="AC58" s="193" t="s">
        <v>642</v>
      </c>
      <c r="AD58" s="196" t="str">
        <f t="shared" ref="AD58" si="418">IFERROR(IF(AC58=0," ",AC58/$F58)," ")</f>
        <v xml:space="preserve"> </v>
      </c>
      <c r="AE58" s="193" t="s">
        <v>642</v>
      </c>
      <c r="AF58" s="196" t="str">
        <f t="shared" ref="AF58" si="419">IFERROR(IF(AE58=0," ",AE58/$F58)," ")</f>
        <v xml:space="preserve"> </v>
      </c>
      <c r="AG58" s="193" t="s">
        <v>642</v>
      </c>
      <c r="AH58" s="196" t="str">
        <f t="shared" ref="AH58" si="420">IFERROR(IF(AG58=0," ",AG58/$F58)," ")</f>
        <v xml:space="preserve"> </v>
      </c>
      <c r="AI58" s="197"/>
      <c r="AJ58" s="177" t="s">
        <v>642</v>
      </c>
      <c r="AK58" s="177" t="s">
        <v>642</v>
      </c>
      <c r="AL58" s="177" t="s">
        <v>642</v>
      </c>
      <c r="AM58" s="177" t="s">
        <v>642</v>
      </c>
      <c r="AN58" s="177" t="s">
        <v>642</v>
      </c>
      <c r="AO58" s="177" t="s">
        <v>642</v>
      </c>
      <c r="AP58" s="177" t="s">
        <v>642</v>
      </c>
      <c r="AQ58" s="177" t="s">
        <v>642</v>
      </c>
      <c r="AR58" s="177" t="s">
        <v>642</v>
      </c>
      <c r="AS58" s="177" t="s">
        <v>642</v>
      </c>
      <c r="AT58" s="177" t="s">
        <v>642</v>
      </c>
      <c r="AU58" s="177" t="s">
        <v>642</v>
      </c>
    </row>
    <row r="59" spans="1:47" x14ac:dyDescent="0.25">
      <c r="A59" s="190" t="s">
        <v>642</v>
      </c>
      <c r="B59" s="65">
        <v>3100</v>
      </c>
      <c r="C59" s="191" t="s">
        <v>761</v>
      </c>
      <c r="D59" s="65" t="s">
        <v>747</v>
      </c>
      <c r="E59" s="192" t="str">
        <f>IF(A59=" "," ",VLOOKUP(A59,Estimate!A:Q,17,FALSE))</f>
        <v xml:space="preserve"> </v>
      </c>
      <c r="F59" s="193" t="s">
        <v>642</v>
      </c>
      <c r="G59" s="206" t="s">
        <v>642</v>
      </c>
      <c r="H59" s="195" t="s">
        <v>642</v>
      </c>
      <c r="I59" s="195" t="s">
        <v>642</v>
      </c>
      <c r="J59" s="195"/>
      <c r="K59" s="193" t="s">
        <v>642</v>
      </c>
      <c r="L59" s="196" t="str">
        <f t="shared" si="0"/>
        <v xml:space="preserve"> </v>
      </c>
      <c r="M59" s="193" t="s">
        <v>642</v>
      </c>
      <c r="N59" s="196" t="str">
        <f t="shared" si="0"/>
        <v xml:space="preserve"> </v>
      </c>
      <c r="O59" s="193" t="s">
        <v>642</v>
      </c>
      <c r="P59" s="196" t="str">
        <f t="shared" ref="P59" si="421">IFERROR(IF(O59=0," ",O59/$F59)," ")</f>
        <v xml:space="preserve"> </v>
      </c>
      <c r="Q59" s="193" t="s">
        <v>642</v>
      </c>
      <c r="R59" s="196" t="str">
        <f t="shared" ref="R59" si="422">IFERROR(IF(Q59=0," ",Q59/$F59)," ")</f>
        <v xml:space="preserve"> </v>
      </c>
      <c r="S59" s="193" t="s">
        <v>642</v>
      </c>
      <c r="T59" s="196" t="str">
        <f t="shared" ref="T59" si="423">IFERROR(IF(S59=0," ",S59/$F59)," ")</f>
        <v xml:space="preserve"> </v>
      </c>
      <c r="U59" s="193" t="s">
        <v>642</v>
      </c>
      <c r="V59" s="196" t="str">
        <f t="shared" ref="V59" si="424">IFERROR(IF(U59=0," ",U59/$F59)," ")</f>
        <v xml:space="preserve"> </v>
      </c>
      <c r="W59" s="193" t="s">
        <v>642</v>
      </c>
      <c r="X59" s="196" t="str">
        <f t="shared" ref="X59" si="425">IFERROR(IF(W59=0," ",W59/$F59)," ")</f>
        <v xml:space="preserve"> </v>
      </c>
      <c r="Y59" s="193" t="s">
        <v>642</v>
      </c>
      <c r="Z59" s="196" t="str">
        <f t="shared" ref="Z59" si="426">IFERROR(IF(Y59=0," ",Y59/$F59)," ")</f>
        <v xml:space="preserve"> </v>
      </c>
      <c r="AA59" s="193" t="s">
        <v>642</v>
      </c>
      <c r="AB59" s="196" t="str">
        <f t="shared" ref="AB59" si="427">IFERROR(IF(AA59=0," ",AA59/$F59)," ")</f>
        <v xml:space="preserve"> </v>
      </c>
      <c r="AC59" s="193" t="s">
        <v>642</v>
      </c>
      <c r="AD59" s="196" t="str">
        <f t="shared" ref="AD59" si="428">IFERROR(IF(AC59=0," ",AC59/$F59)," ")</f>
        <v xml:space="preserve"> </v>
      </c>
      <c r="AE59" s="193" t="s">
        <v>642</v>
      </c>
      <c r="AF59" s="196" t="str">
        <f t="shared" ref="AF59" si="429">IFERROR(IF(AE59=0," ",AE59/$F59)," ")</f>
        <v xml:space="preserve"> </v>
      </c>
      <c r="AG59" s="193" t="s">
        <v>642</v>
      </c>
      <c r="AH59" s="196" t="str">
        <f t="shared" ref="AH59" si="430">IFERROR(IF(AG59=0," ",AG59/$F59)," ")</f>
        <v xml:space="preserve"> </v>
      </c>
      <c r="AI59" s="197"/>
      <c r="AJ59" s="177" t="s">
        <v>642</v>
      </c>
      <c r="AK59" s="177" t="s">
        <v>642</v>
      </c>
      <c r="AL59" s="177" t="s">
        <v>642</v>
      </c>
      <c r="AM59" s="177" t="s">
        <v>642</v>
      </c>
      <c r="AN59" s="177" t="s">
        <v>642</v>
      </c>
      <c r="AO59" s="177" t="s">
        <v>642</v>
      </c>
      <c r="AP59" s="177" t="s">
        <v>642</v>
      </c>
      <c r="AQ59" s="177" t="s">
        <v>642</v>
      </c>
      <c r="AR59" s="177" t="s">
        <v>642</v>
      </c>
      <c r="AS59" s="177" t="s">
        <v>642</v>
      </c>
      <c r="AT59" s="177" t="s">
        <v>642</v>
      </c>
      <c r="AU59" s="177" t="s">
        <v>642</v>
      </c>
    </row>
    <row r="60" spans="1:47" x14ac:dyDescent="0.25">
      <c r="A60" s="190" t="s">
        <v>642</v>
      </c>
      <c r="B60" s="65">
        <v>3101.1</v>
      </c>
      <c r="C60" s="191" t="s">
        <v>762</v>
      </c>
      <c r="D60" s="65" t="s">
        <v>17</v>
      </c>
      <c r="E60" s="192" t="str">
        <f>IF(A60=" "," ",VLOOKUP(A60,Estimate!A:Q,17,FALSE))</f>
        <v xml:space="preserve"> </v>
      </c>
      <c r="F60" s="193">
        <v>1</v>
      </c>
      <c r="G60" s="206" t="s">
        <v>642</v>
      </c>
      <c r="H60" s="195"/>
      <c r="I60" s="195"/>
      <c r="J60" s="195"/>
      <c r="K60" s="193"/>
      <c r="L60" s="196" t="str">
        <f t="shared" si="0"/>
        <v xml:space="preserve"> </v>
      </c>
      <c r="M60" s="193"/>
      <c r="N60" s="196" t="str">
        <f t="shared" si="0"/>
        <v xml:space="preserve"> </v>
      </c>
      <c r="O60" s="193"/>
      <c r="P60" s="196" t="str">
        <f t="shared" ref="P60" si="431">IFERROR(IF(O60=0," ",O60/$F60)," ")</f>
        <v xml:space="preserve"> </v>
      </c>
      <c r="Q60" s="193"/>
      <c r="R60" s="196" t="str">
        <f t="shared" ref="R60" si="432">IFERROR(IF(Q60=0," ",Q60/$F60)," ")</f>
        <v xml:space="preserve"> </v>
      </c>
      <c r="S60" s="193"/>
      <c r="T60" s="196" t="str">
        <f t="shared" ref="T60" si="433">IFERROR(IF(S60=0," ",S60/$F60)," ")</f>
        <v xml:space="preserve"> </v>
      </c>
      <c r="U60" s="193"/>
      <c r="V60" s="196" t="str">
        <f t="shared" ref="V60" si="434">IFERROR(IF(U60=0," ",U60/$F60)," ")</f>
        <v xml:space="preserve"> </v>
      </c>
      <c r="W60" s="193"/>
      <c r="X60" s="196" t="str">
        <f t="shared" ref="X60" si="435">IFERROR(IF(W60=0," ",W60/$F60)," ")</f>
        <v xml:space="preserve"> </v>
      </c>
      <c r="Y60" s="193"/>
      <c r="Z60" s="196" t="str">
        <f t="shared" ref="Z60" si="436">IFERROR(IF(Y60=0," ",Y60/$F60)," ")</f>
        <v xml:space="preserve"> </v>
      </c>
      <c r="AA60" s="193"/>
      <c r="AB60" s="196" t="str">
        <f t="shared" ref="AB60" si="437">IFERROR(IF(AA60=0," ",AA60/$F60)," ")</f>
        <v xml:space="preserve"> </v>
      </c>
      <c r="AC60" s="193"/>
      <c r="AD60" s="196" t="str">
        <f t="shared" ref="AD60" si="438">IFERROR(IF(AC60=0," ",AC60/$F60)," ")</f>
        <v xml:space="preserve"> </v>
      </c>
      <c r="AE60" s="193"/>
      <c r="AF60" s="196" t="str">
        <f t="shared" ref="AF60" si="439">IFERROR(IF(AE60=0," ",AE60/$F60)," ")</f>
        <v xml:space="preserve"> </v>
      </c>
      <c r="AG60" s="193"/>
      <c r="AH60" s="196" t="str">
        <f t="shared" ref="AH60" si="440">IFERROR(IF(AG60=0," ",AG60/$F60)," ")</f>
        <v xml:space="preserve"> </v>
      </c>
      <c r="AI60" s="197"/>
      <c r="AJ60" s="177" t="s">
        <v>642</v>
      </c>
      <c r="AK60" s="177" t="s">
        <v>642</v>
      </c>
      <c r="AL60" s="177" t="s">
        <v>642</v>
      </c>
      <c r="AM60" s="177" t="s">
        <v>642</v>
      </c>
      <c r="AN60" s="177" t="s">
        <v>642</v>
      </c>
      <c r="AO60" s="177" t="s">
        <v>642</v>
      </c>
      <c r="AP60" s="177" t="s">
        <v>642</v>
      </c>
      <c r="AQ60" s="177" t="s">
        <v>642</v>
      </c>
      <c r="AR60" s="177" t="s">
        <v>642</v>
      </c>
      <c r="AS60" s="177" t="s">
        <v>642</v>
      </c>
      <c r="AT60" s="177" t="s">
        <v>642</v>
      </c>
      <c r="AU60" s="177" t="s">
        <v>642</v>
      </c>
    </row>
    <row r="61" spans="1:47" x14ac:dyDescent="0.25">
      <c r="A61" s="190" t="s">
        <v>642</v>
      </c>
      <c r="B61" s="65">
        <v>3200</v>
      </c>
      <c r="C61" s="191" t="s">
        <v>763</v>
      </c>
      <c r="D61" s="65" t="s">
        <v>747</v>
      </c>
      <c r="E61" s="192" t="str">
        <f>IF(A61=" "," ",VLOOKUP(A61,Estimate!A:Q,17,FALSE))</f>
        <v xml:space="preserve"> </v>
      </c>
      <c r="F61" s="193" t="s">
        <v>642</v>
      </c>
      <c r="G61" s="206" t="s">
        <v>642</v>
      </c>
      <c r="H61" s="195" t="s">
        <v>642</v>
      </c>
      <c r="I61" s="195" t="s">
        <v>642</v>
      </c>
      <c r="J61" s="195"/>
      <c r="K61" s="193" t="s">
        <v>642</v>
      </c>
      <c r="L61" s="196" t="str">
        <f t="shared" si="0"/>
        <v xml:space="preserve"> </v>
      </c>
      <c r="M61" s="193" t="s">
        <v>642</v>
      </c>
      <c r="N61" s="196" t="str">
        <f t="shared" si="0"/>
        <v xml:space="preserve"> </v>
      </c>
      <c r="O61" s="193" t="s">
        <v>642</v>
      </c>
      <c r="P61" s="196" t="str">
        <f t="shared" ref="P61" si="441">IFERROR(IF(O61=0," ",O61/$F61)," ")</f>
        <v xml:space="preserve"> </v>
      </c>
      <c r="Q61" s="193" t="s">
        <v>642</v>
      </c>
      <c r="R61" s="196" t="str">
        <f t="shared" ref="R61" si="442">IFERROR(IF(Q61=0," ",Q61/$F61)," ")</f>
        <v xml:space="preserve"> </v>
      </c>
      <c r="S61" s="193" t="s">
        <v>642</v>
      </c>
      <c r="T61" s="196" t="str">
        <f t="shared" ref="T61" si="443">IFERROR(IF(S61=0," ",S61/$F61)," ")</f>
        <v xml:space="preserve"> </v>
      </c>
      <c r="U61" s="193" t="s">
        <v>642</v>
      </c>
      <c r="V61" s="196" t="str">
        <f t="shared" ref="V61" si="444">IFERROR(IF(U61=0," ",U61/$F61)," ")</f>
        <v xml:space="preserve"> </v>
      </c>
      <c r="W61" s="193" t="s">
        <v>642</v>
      </c>
      <c r="X61" s="196" t="str">
        <f t="shared" ref="X61" si="445">IFERROR(IF(W61=0," ",W61/$F61)," ")</f>
        <v xml:space="preserve"> </v>
      </c>
      <c r="Y61" s="193" t="s">
        <v>642</v>
      </c>
      <c r="Z61" s="196" t="str">
        <f t="shared" ref="Z61" si="446">IFERROR(IF(Y61=0," ",Y61/$F61)," ")</f>
        <v xml:space="preserve"> </v>
      </c>
      <c r="AA61" s="193" t="s">
        <v>642</v>
      </c>
      <c r="AB61" s="196" t="str">
        <f t="shared" ref="AB61" si="447">IFERROR(IF(AA61=0," ",AA61/$F61)," ")</f>
        <v xml:space="preserve"> </v>
      </c>
      <c r="AC61" s="193" t="s">
        <v>642</v>
      </c>
      <c r="AD61" s="196" t="str">
        <f t="shared" ref="AD61" si="448">IFERROR(IF(AC61=0," ",AC61/$F61)," ")</f>
        <v xml:space="preserve"> </v>
      </c>
      <c r="AE61" s="193" t="s">
        <v>642</v>
      </c>
      <c r="AF61" s="196" t="str">
        <f t="shared" ref="AF61" si="449">IFERROR(IF(AE61=0," ",AE61/$F61)," ")</f>
        <v xml:space="preserve"> </v>
      </c>
      <c r="AG61" s="193" t="s">
        <v>642</v>
      </c>
      <c r="AH61" s="196" t="str">
        <f t="shared" ref="AH61" si="450">IFERROR(IF(AG61=0," ",AG61/$F61)," ")</f>
        <v xml:space="preserve"> </v>
      </c>
      <c r="AI61" s="197"/>
      <c r="AJ61" s="177" t="s">
        <v>642</v>
      </c>
      <c r="AK61" s="177" t="s">
        <v>642</v>
      </c>
      <c r="AL61" s="177" t="s">
        <v>642</v>
      </c>
      <c r="AM61" s="177" t="s">
        <v>642</v>
      </c>
      <c r="AN61" s="177" t="s">
        <v>642</v>
      </c>
      <c r="AO61" s="177" t="s">
        <v>642</v>
      </c>
      <c r="AP61" s="177" t="s">
        <v>642</v>
      </c>
      <c r="AQ61" s="177" t="s">
        <v>642</v>
      </c>
      <c r="AR61" s="177" t="s">
        <v>642</v>
      </c>
      <c r="AS61" s="177" t="s">
        <v>642</v>
      </c>
      <c r="AT61" s="177" t="s">
        <v>642</v>
      </c>
      <c r="AU61" s="177" t="s">
        <v>642</v>
      </c>
    </row>
    <row r="62" spans="1:47" x14ac:dyDescent="0.25">
      <c r="A62" s="190">
        <v>24</v>
      </c>
      <c r="B62" s="65">
        <v>3201</v>
      </c>
      <c r="C62" s="191" t="s">
        <v>133</v>
      </c>
      <c r="D62" s="65" t="s">
        <v>59</v>
      </c>
      <c r="E62" s="192">
        <f>IF(A62=" "," ",VLOOKUP(A62,Estimate!A:Q,17,FALSE))</f>
        <v>3690.2222222222222</v>
      </c>
      <c r="F62" s="193">
        <v>380</v>
      </c>
      <c r="G62" s="206">
        <v>12.928674736842105</v>
      </c>
      <c r="H62" s="195">
        <v>14.58</v>
      </c>
      <c r="I62" s="195">
        <v>5540.4</v>
      </c>
      <c r="J62" s="195"/>
      <c r="K62" s="193"/>
      <c r="L62" s="196" t="str">
        <f t="shared" si="0"/>
        <v xml:space="preserve"> </v>
      </c>
      <c r="M62" s="193"/>
      <c r="N62" s="196" t="str">
        <f t="shared" si="0"/>
        <v xml:space="preserve"> </v>
      </c>
      <c r="O62" s="193">
        <v>76</v>
      </c>
      <c r="P62" s="196">
        <f t="shared" ref="P62" si="451">IFERROR(IF(O62=0," ",O62/$F62)," ")</f>
        <v>0.2</v>
      </c>
      <c r="Q62" s="193">
        <v>276</v>
      </c>
      <c r="R62" s="196">
        <f t="shared" ref="R62" si="452">IFERROR(IF(Q62=0," ",Q62/$F62)," ")</f>
        <v>0.72631578947368425</v>
      </c>
      <c r="S62" s="193">
        <v>380</v>
      </c>
      <c r="T62" s="196">
        <f t="shared" ref="T62" si="453">IFERROR(IF(S62=0," ",S62/$F62)," ")</f>
        <v>1</v>
      </c>
      <c r="U62" s="193">
        <v>380</v>
      </c>
      <c r="V62" s="196">
        <f t="shared" ref="V62" si="454">IFERROR(IF(U62=0," ",U62/$F62)," ")</f>
        <v>1</v>
      </c>
      <c r="W62" s="193">
        <v>380</v>
      </c>
      <c r="X62" s="196">
        <f t="shared" ref="X62" si="455">IFERROR(IF(W62=0," ",W62/$F62)," ")</f>
        <v>1</v>
      </c>
      <c r="Y62" s="193">
        <v>380</v>
      </c>
      <c r="Z62" s="196">
        <f t="shared" ref="Z62" si="456">IFERROR(IF(Y62=0," ",Y62/$F62)," ")</f>
        <v>1</v>
      </c>
      <c r="AA62" s="193">
        <v>380</v>
      </c>
      <c r="AB62" s="196">
        <f t="shared" ref="AB62" si="457">IFERROR(IF(AA62=0," ",AA62/$F62)," ")</f>
        <v>1</v>
      </c>
      <c r="AC62" s="193">
        <v>380</v>
      </c>
      <c r="AD62" s="196">
        <f t="shared" ref="AD62" si="458">IFERROR(IF(AC62=0," ",AC62/$F62)," ")</f>
        <v>1</v>
      </c>
      <c r="AE62" s="193">
        <v>380</v>
      </c>
      <c r="AF62" s="196">
        <f t="shared" ref="AF62" si="459">IFERROR(IF(AE62=0," ",AE62/$F62)," ")</f>
        <v>1</v>
      </c>
      <c r="AG62" s="193">
        <v>380</v>
      </c>
      <c r="AH62" s="196">
        <f t="shared" ref="AH62" si="460">IFERROR(IF(AG62=0," ",AG62/$F62)," ")</f>
        <v>1</v>
      </c>
      <c r="AI62" s="197"/>
      <c r="AJ62" s="177">
        <v>0</v>
      </c>
      <c r="AK62" s="177">
        <v>0</v>
      </c>
      <c r="AL62" s="177">
        <v>1108.08</v>
      </c>
      <c r="AM62" s="177">
        <v>4024.08</v>
      </c>
      <c r="AN62" s="177">
        <v>5540.4</v>
      </c>
      <c r="AO62" s="177">
        <v>5540.4</v>
      </c>
      <c r="AP62" s="177">
        <v>5540.4</v>
      </c>
      <c r="AQ62" s="177">
        <v>5540.4</v>
      </c>
      <c r="AR62" s="177">
        <v>5540.4</v>
      </c>
      <c r="AS62" s="177">
        <v>5540.4</v>
      </c>
      <c r="AT62" s="177">
        <v>5540.4</v>
      </c>
      <c r="AU62" s="177">
        <v>5540.4</v>
      </c>
    </row>
    <row r="63" spans="1:47" x14ac:dyDescent="0.25">
      <c r="A63" s="190">
        <v>25</v>
      </c>
      <c r="B63" s="65">
        <v>3201.2</v>
      </c>
      <c r="C63" s="191" t="s">
        <v>138</v>
      </c>
      <c r="D63" s="65" t="s">
        <v>59</v>
      </c>
      <c r="E63" s="192">
        <f>IF(A63=" "," ",VLOOKUP(A63,Estimate!A:Q,17,FALSE))</f>
        <v>10548.387096774193</v>
      </c>
      <c r="F63" s="193">
        <v>1000</v>
      </c>
      <c r="G63" s="206">
        <v>14.0453051</v>
      </c>
      <c r="H63" s="195">
        <v>15.84</v>
      </c>
      <c r="I63" s="195">
        <v>15840</v>
      </c>
      <c r="J63" s="195"/>
      <c r="K63" s="193"/>
      <c r="L63" s="196" t="str">
        <f t="shared" si="0"/>
        <v xml:space="preserve"> </v>
      </c>
      <c r="M63" s="193"/>
      <c r="N63" s="196" t="str">
        <f t="shared" si="0"/>
        <v xml:space="preserve"> </v>
      </c>
      <c r="O63" s="193">
        <v>200</v>
      </c>
      <c r="P63" s="196">
        <f t="shared" ref="P63" si="461">IFERROR(IF(O63=0," ",O63/$F63)," ")</f>
        <v>0.2</v>
      </c>
      <c r="Q63" s="193">
        <v>750</v>
      </c>
      <c r="R63" s="196">
        <f t="shared" ref="R63" si="462">IFERROR(IF(Q63=0," ",Q63/$F63)," ")</f>
        <v>0.75</v>
      </c>
      <c r="S63" s="193">
        <v>1000</v>
      </c>
      <c r="T63" s="196">
        <f t="shared" ref="T63" si="463">IFERROR(IF(S63=0," ",S63/$F63)," ")</f>
        <v>1</v>
      </c>
      <c r="U63" s="193">
        <v>1000</v>
      </c>
      <c r="V63" s="196">
        <f t="shared" ref="V63" si="464">IFERROR(IF(U63=0," ",U63/$F63)," ")</f>
        <v>1</v>
      </c>
      <c r="W63" s="193">
        <v>1000</v>
      </c>
      <c r="X63" s="196">
        <f t="shared" ref="X63" si="465">IFERROR(IF(W63=0," ",W63/$F63)," ")</f>
        <v>1</v>
      </c>
      <c r="Y63" s="193">
        <v>1000</v>
      </c>
      <c r="Z63" s="196">
        <f t="shared" ref="Z63" si="466">IFERROR(IF(Y63=0," ",Y63/$F63)," ")</f>
        <v>1</v>
      </c>
      <c r="AA63" s="193">
        <v>1000</v>
      </c>
      <c r="AB63" s="196">
        <f t="shared" ref="AB63" si="467">IFERROR(IF(AA63=0," ",AA63/$F63)," ")</f>
        <v>1</v>
      </c>
      <c r="AC63" s="193">
        <v>1000</v>
      </c>
      <c r="AD63" s="196">
        <f t="shared" ref="AD63" si="468">IFERROR(IF(AC63=0," ",AC63/$F63)," ")</f>
        <v>1</v>
      </c>
      <c r="AE63" s="193">
        <v>1000</v>
      </c>
      <c r="AF63" s="196">
        <f t="shared" ref="AF63" si="469">IFERROR(IF(AE63=0," ",AE63/$F63)," ")</f>
        <v>1</v>
      </c>
      <c r="AG63" s="193">
        <v>1000</v>
      </c>
      <c r="AH63" s="196">
        <f t="shared" ref="AH63" si="470">IFERROR(IF(AG63=0," ",AG63/$F63)," ")</f>
        <v>1</v>
      </c>
      <c r="AI63" s="197"/>
      <c r="AJ63" s="177">
        <v>0</v>
      </c>
      <c r="AK63" s="177">
        <v>0</v>
      </c>
      <c r="AL63" s="177">
        <v>3168</v>
      </c>
      <c r="AM63" s="177">
        <v>11880</v>
      </c>
      <c r="AN63" s="177">
        <v>15840</v>
      </c>
      <c r="AO63" s="177">
        <v>15840</v>
      </c>
      <c r="AP63" s="177">
        <v>15840</v>
      </c>
      <c r="AQ63" s="177">
        <v>15840</v>
      </c>
      <c r="AR63" s="177">
        <v>15840</v>
      </c>
      <c r="AS63" s="177">
        <v>15840</v>
      </c>
      <c r="AT63" s="177">
        <v>15840</v>
      </c>
      <c r="AU63" s="177">
        <v>15840</v>
      </c>
    </row>
    <row r="64" spans="1:47" x14ac:dyDescent="0.25">
      <c r="A64" s="190" t="s">
        <v>642</v>
      </c>
      <c r="B64" s="65">
        <v>3300</v>
      </c>
      <c r="C64" s="191" t="s">
        <v>142</v>
      </c>
      <c r="D64" s="65" t="s">
        <v>747</v>
      </c>
      <c r="E64" s="192" t="str">
        <f>IF(A64=" "," ",VLOOKUP(A64,Estimate!A:Q,17,FALSE))</f>
        <v xml:space="preserve"> </v>
      </c>
      <c r="F64" s="193" t="s">
        <v>642</v>
      </c>
      <c r="G64" s="206" t="s">
        <v>642</v>
      </c>
      <c r="H64" s="195" t="s">
        <v>642</v>
      </c>
      <c r="I64" s="195" t="s">
        <v>642</v>
      </c>
      <c r="J64" s="195"/>
      <c r="K64" s="193" t="s">
        <v>642</v>
      </c>
      <c r="L64" s="196" t="str">
        <f t="shared" si="0"/>
        <v xml:space="preserve"> </v>
      </c>
      <c r="M64" s="193" t="s">
        <v>642</v>
      </c>
      <c r="N64" s="196" t="str">
        <f t="shared" si="0"/>
        <v xml:space="preserve"> </v>
      </c>
      <c r="O64" s="193" t="s">
        <v>642</v>
      </c>
      <c r="P64" s="196" t="str">
        <f t="shared" ref="P64" si="471">IFERROR(IF(O64=0," ",O64/$F64)," ")</f>
        <v xml:space="preserve"> </v>
      </c>
      <c r="Q64" s="193" t="s">
        <v>642</v>
      </c>
      <c r="R64" s="196" t="str">
        <f t="shared" ref="R64" si="472">IFERROR(IF(Q64=0," ",Q64/$F64)," ")</f>
        <v xml:space="preserve"> </v>
      </c>
      <c r="S64" s="193" t="s">
        <v>642</v>
      </c>
      <c r="T64" s="196" t="str">
        <f t="shared" ref="T64" si="473">IFERROR(IF(S64=0," ",S64/$F64)," ")</f>
        <v xml:space="preserve"> </v>
      </c>
      <c r="U64" s="193" t="s">
        <v>642</v>
      </c>
      <c r="V64" s="196" t="str">
        <f t="shared" ref="V64" si="474">IFERROR(IF(U64=0," ",U64/$F64)," ")</f>
        <v xml:space="preserve"> </v>
      </c>
      <c r="W64" s="193" t="s">
        <v>642</v>
      </c>
      <c r="X64" s="196" t="str">
        <f t="shared" ref="X64" si="475">IFERROR(IF(W64=0," ",W64/$F64)," ")</f>
        <v xml:space="preserve"> </v>
      </c>
      <c r="Y64" s="193" t="s">
        <v>642</v>
      </c>
      <c r="Z64" s="196" t="str">
        <f t="shared" ref="Z64" si="476">IFERROR(IF(Y64=0," ",Y64/$F64)," ")</f>
        <v xml:space="preserve"> </v>
      </c>
      <c r="AA64" s="193" t="s">
        <v>642</v>
      </c>
      <c r="AB64" s="196" t="str">
        <f t="shared" ref="AB64" si="477">IFERROR(IF(AA64=0," ",AA64/$F64)," ")</f>
        <v xml:space="preserve"> </v>
      </c>
      <c r="AC64" s="193" t="s">
        <v>642</v>
      </c>
      <c r="AD64" s="196" t="str">
        <f t="shared" ref="AD64" si="478">IFERROR(IF(AC64=0," ",AC64/$F64)," ")</f>
        <v xml:space="preserve"> </v>
      </c>
      <c r="AE64" s="193" t="s">
        <v>642</v>
      </c>
      <c r="AF64" s="196" t="str">
        <f t="shared" ref="AF64" si="479">IFERROR(IF(AE64=0," ",AE64/$F64)," ")</f>
        <v xml:space="preserve"> </v>
      </c>
      <c r="AG64" s="193" t="s">
        <v>642</v>
      </c>
      <c r="AH64" s="196" t="str">
        <f t="shared" ref="AH64" si="480">IFERROR(IF(AG64=0," ",AG64/$F64)," ")</f>
        <v xml:space="preserve"> </v>
      </c>
      <c r="AI64" s="197"/>
      <c r="AJ64" s="177" t="s">
        <v>642</v>
      </c>
      <c r="AK64" s="177" t="s">
        <v>642</v>
      </c>
      <c r="AL64" s="177" t="s">
        <v>642</v>
      </c>
      <c r="AM64" s="177" t="s">
        <v>642</v>
      </c>
      <c r="AN64" s="177" t="s">
        <v>642</v>
      </c>
      <c r="AO64" s="177" t="s">
        <v>642</v>
      </c>
      <c r="AP64" s="177" t="s">
        <v>642</v>
      </c>
      <c r="AQ64" s="177" t="s">
        <v>642</v>
      </c>
      <c r="AR64" s="177" t="s">
        <v>642</v>
      </c>
      <c r="AS64" s="177" t="s">
        <v>642</v>
      </c>
      <c r="AT64" s="177" t="s">
        <v>642</v>
      </c>
      <c r="AU64" s="177" t="s">
        <v>642</v>
      </c>
    </row>
    <row r="65" spans="1:47" x14ac:dyDescent="0.25">
      <c r="A65" s="190">
        <v>26</v>
      </c>
      <c r="B65" s="65">
        <v>3301.2</v>
      </c>
      <c r="C65" s="191" t="s">
        <v>144</v>
      </c>
      <c r="D65" s="65" t="s">
        <v>94</v>
      </c>
      <c r="E65" s="192">
        <f>IF(A65=" "," ",VLOOKUP(A65,Estimate!A:Q,17,FALSE))</f>
        <v>9925.7142857142862</v>
      </c>
      <c r="F65" s="193">
        <v>9000</v>
      </c>
      <c r="G65" s="206">
        <v>1.4710403666666665</v>
      </c>
      <c r="H65" s="195">
        <v>1.66</v>
      </c>
      <c r="I65" s="195">
        <v>14940</v>
      </c>
      <c r="J65" s="195"/>
      <c r="K65" s="193"/>
      <c r="L65" s="196" t="str">
        <f t="shared" si="0"/>
        <v xml:space="preserve"> </v>
      </c>
      <c r="M65" s="193"/>
      <c r="N65" s="196" t="str">
        <f t="shared" si="0"/>
        <v xml:space="preserve"> </v>
      </c>
      <c r="O65" s="193">
        <v>1800</v>
      </c>
      <c r="P65" s="196">
        <f t="shared" ref="P65" si="481">IFERROR(IF(O65=0," ",O65/$F65)," ")</f>
        <v>0.2</v>
      </c>
      <c r="Q65" s="193">
        <v>6000</v>
      </c>
      <c r="R65" s="196">
        <f t="shared" ref="R65" si="482">IFERROR(IF(Q65=0," ",Q65/$F65)," ")</f>
        <v>0.66666666666666663</v>
      </c>
      <c r="S65" s="193">
        <v>9000</v>
      </c>
      <c r="T65" s="196">
        <f t="shared" ref="T65" si="483">IFERROR(IF(S65=0," ",S65/$F65)," ")</f>
        <v>1</v>
      </c>
      <c r="U65" s="193">
        <v>9000</v>
      </c>
      <c r="V65" s="196">
        <f t="shared" ref="V65" si="484">IFERROR(IF(U65=0," ",U65/$F65)," ")</f>
        <v>1</v>
      </c>
      <c r="W65" s="193">
        <v>9000</v>
      </c>
      <c r="X65" s="196">
        <f t="shared" ref="X65" si="485">IFERROR(IF(W65=0," ",W65/$F65)," ")</f>
        <v>1</v>
      </c>
      <c r="Y65" s="193">
        <v>9000</v>
      </c>
      <c r="Z65" s="196">
        <f t="shared" ref="Z65" si="486">IFERROR(IF(Y65=0," ",Y65/$F65)," ")</f>
        <v>1</v>
      </c>
      <c r="AA65" s="193">
        <v>9000</v>
      </c>
      <c r="AB65" s="196">
        <f t="shared" ref="AB65" si="487">IFERROR(IF(AA65=0," ",AA65/$F65)," ")</f>
        <v>1</v>
      </c>
      <c r="AC65" s="193">
        <v>9000</v>
      </c>
      <c r="AD65" s="196">
        <f t="shared" ref="AD65" si="488">IFERROR(IF(AC65=0," ",AC65/$F65)," ")</f>
        <v>1</v>
      </c>
      <c r="AE65" s="193">
        <v>9000</v>
      </c>
      <c r="AF65" s="196">
        <f t="shared" ref="AF65" si="489">IFERROR(IF(AE65=0," ",AE65/$F65)," ")</f>
        <v>1</v>
      </c>
      <c r="AG65" s="193">
        <v>9000</v>
      </c>
      <c r="AH65" s="196">
        <f t="shared" ref="AH65" si="490">IFERROR(IF(AG65=0," ",AG65/$F65)," ")</f>
        <v>1</v>
      </c>
      <c r="AI65" s="197"/>
      <c r="AJ65" s="177">
        <v>0</v>
      </c>
      <c r="AK65" s="177">
        <v>0</v>
      </c>
      <c r="AL65" s="177">
        <v>2988</v>
      </c>
      <c r="AM65" s="177">
        <v>9960</v>
      </c>
      <c r="AN65" s="177">
        <v>14940</v>
      </c>
      <c r="AO65" s="177">
        <v>14940</v>
      </c>
      <c r="AP65" s="177">
        <v>14940</v>
      </c>
      <c r="AQ65" s="177">
        <v>14940</v>
      </c>
      <c r="AR65" s="177">
        <v>14940</v>
      </c>
      <c r="AS65" s="177">
        <v>14940</v>
      </c>
      <c r="AT65" s="177">
        <v>14940</v>
      </c>
      <c r="AU65" s="177">
        <v>14940</v>
      </c>
    </row>
    <row r="66" spans="1:47" x14ac:dyDescent="0.25">
      <c r="A66" s="190" t="s">
        <v>642</v>
      </c>
      <c r="B66" s="65" t="s">
        <v>745</v>
      </c>
      <c r="C66" s="191" t="s">
        <v>642</v>
      </c>
      <c r="D66" s="65" t="s">
        <v>747</v>
      </c>
      <c r="E66" s="192" t="str">
        <f>IF(A66=" "," ",VLOOKUP(A66,Estimate!A:Q,17,FALSE))</f>
        <v xml:space="preserve"> </v>
      </c>
      <c r="F66" s="193" t="s">
        <v>642</v>
      </c>
      <c r="G66" s="206" t="s">
        <v>642</v>
      </c>
      <c r="H66" s="195" t="s">
        <v>642</v>
      </c>
      <c r="I66" s="195" t="s">
        <v>642</v>
      </c>
      <c r="J66" s="195"/>
      <c r="K66" s="193" t="s">
        <v>642</v>
      </c>
      <c r="L66" s="196" t="str">
        <f t="shared" si="0"/>
        <v xml:space="preserve"> </v>
      </c>
      <c r="M66" s="193" t="s">
        <v>642</v>
      </c>
      <c r="N66" s="196" t="str">
        <f t="shared" si="0"/>
        <v xml:space="preserve"> </v>
      </c>
      <c r="O66" s="193" t="s">
        <v>642</v>
      </c>
      <c r="P66" s="196" t="str">
        <f t="shared" ref="P66" si="491">IFERROR(IF(O66=0," ",O66/$F66)," ")</f>
        <v xml:space="preserve"> </v>
      </c>
      <c r="Q66" s="193" t="s">
        <v>642</v>
      </c>
      <c r="R66" s="196" t="str">
        <f t="shared" ref="R66" si="492">IFERROR(IF(Q66=0," ",Q66/$F66)," ")</f>
        <v xml:space="preserve"> </v>
      </c>
      <c r="S66" s="193" t="s">
        <v>642</v>
      </c>
      <c r="T66" s="196" t="str">
        <f t="shared" ref="T66" si="493">IFERROR(IF(S66=0," ",S66/$F66)," ")</f>
        <v xml:space="preserve"> </v>
      </c>
      <c r="U66" s="193" t="s">
        <v>642</v>
      </c>
      <c r="V66" s="196" t="str">
        <f t="shared" ref="V66" si="494">IFERROR(IF(U66=0," ",U66/$F66)," ")</f>
        <v xml:space="preserve"> </v>
      </c>
      <c r="W66" s="193" t="s">
        <v>642</v>
      </c>
      <c r="X66" s="196" t="str">
        <f t="shared" ref="X66" si="495">IFERROR(IF(W66=0," ",W66/$F66)," ")</f>
        <v xml:space="preserve"> </v>
      </c>
      <c r="Y66" s="193" t="s">
        <v>642</v>
      </c>
      <c r="Z66" s="196" t="str">
        <f t="shared" ref="Z66" si="496">IFERROR(IF(Y66=0," ",Y66/$F66)," ")</f>
        <v xml:space="preserve"> </v>
      </c>
      <c r="AA66" s="193" t="s">
        <v>642</v>
      </c>
      <c r="AB66" s="196" t="str">
        <f t="shared" ref="AB66" si="497">IFERROR(IF(AA66=0," ",AA66/$F66)," ")</f>
        <v xml:space="preserve"> </v>
      </c>
      <c r="AC66" s="193" t="s">
        <v>642</v>
      </c>
      <c r="AD66" s="196" t="str">
        <f t="shared" ref="AD66" si="498">IFERROR(IF(AC66=0," ",AC66/$F66)," ")</f>
        <v xml:space="preserve"> </v>
      </c>
      <c r="AE66" s="193" t="s">
        <v>642</v>
      </c>
      <c r="AF66" s="196" t="str">
        <f t="shared" ref="AF66" si="499">IFERROR(IF(AE66=0," ",AE66/$F66)," ")</f>
        <v xml:space="preserve"> </v>
      </c>
      <c r="AG66" s="193" t="s">
        <v>642</v>
      </c>
      <c r="AH66" s="196" t="str">
        <f t="shared" ref="AH66" si="500">IFERROR(IF(AG66=0," ",AG66/$F66)," ")</f>
        <v xml:space="preserve"> </v>
      </c>
      <c r="AI66" s="197"/>
      <c r="AJ66" s="177" t="s">
        <v>642</v>
      </c>
      <c r="AK66" s="177" t="s">
        <v>642</v>
      </c>
      <c r="AL66" s="177" t="s">
        <v>642</v>
      </c>
      <c r="AM66" s="177" t="s">
        <v>642</v>
      </c>
      <c r="AN66" s="177" t="s">
        <v>642</v>
      </c>
      <c r="AO66" s="177" t="s">
        <v>642</v>
      </c>
      <c r="AP66" s="177" t="s">
        <v>642</v>
      </c>
      <c r="AQ66" s="177" t="s">
        <v>642</v>
      </c>
      <c r="AR66" s="177" t="s">
        <v>642</v>
      </c>
      <c r="AS66" s="177" t="s">
        <v>642</v>
      </c>
      <c r="AT66" s="177" t="s">
        <v>642</v>
      </c>
      <c r="AU66" s="177" t="s">
        <v>642</v>
      </c>
    </row>
    <row r="67" spans="1:47" x14ac:dyDescent="0.25">
      <c r="A67" s="190" t="s">
        <v>642</v>
      </c>
      <c r="B67" s="65">
        <v>4100</v>
      </c>
      <c r="C67" s="191" t="s">
        <v>147</v>
      </c>
      <c r="D67" s="65" t="s">
        <v>747</v>
      </c>
      <c r="E67" s="192" t="str">
        <f>IF(A67=" "," ",VLOOKUP(A67,Estimate!A:Q,17,FALSE))</f>
        <v xml:space="preserve"> </v>
      </c>
      <c r="F67" s="193" t="s">
        <v>642</v>
      </c>
      <c r="G67" s="206" t="s">
        <v>642</v>
      </c>
      <c r="H67" s="195" t="s">
        <v>642</v>
      </c>
      <c r="I67" s="195" t="s">
        <v>642</v>
      </c>
      <c r="J67" s="195"/>
      <c r="K67" s="193" t="s">
        <v>642</v>
      </c>
      <c r="L67" s="196" t="str">
        <f t="shared" si="0"/>
        <v xml:space="preserve"> </v>
      </c>
      <c r="M67" s="193" t="s">
        <v>642</v>
      </c>
      <c r="N67" s="196" t="str">
        <f t="shared" si="0"/>
        <v xml:space="preserve"> </v>
      </c>
      <c r="O67" s="193" t="s">
        <v>642</v>
      </c>
      <c r="P67" s="196" t="str">
        <f t="shared" ref="P67" si="501">IFERROR(IF(O67=0," ",O67/$F67)," ")</f>
        <v xml:space="preserve"> </v>
      </c>
      <c r="Q67" s="193" t="s">
        <v>642</v>
      </c>
      <c r="R67" s="196" t="str">
        <f t="shared" ref="R67" si="502">IFERROR(IF(Q67=0," ",Q67/$F67)," ")</f>
        <v xml:space="preserve"> </v>
      </c>
      <c r="S67" s="193" t="s">
        <v>642</v>
      </c>
      <c r="T67" s="196" t="str">
        <f t="shared" ref="T67" si="503">IFERROR(IF(S67=0," ",S67/$F67)," ")</f>
        <v xml:space="preserve"> </v>
      </c>
      <c r="U67" s="193" t="s">
        <v>642</v>
      </c>
      <c r="V67" s="196" t="str">
        <f t="shared" ref="V67" si="504">IFERROR(IF(U67=0," ",U67/$F67)," ")</f>
        <v xml:space="preserve"> </v>
      </c>
      <c r="W67" s="193" t="s">
        <v>642</v>
      </c>
      <c r="X67" s="196" t="str">
        <f t="shared" ref="X67" si="505">IFERROR(IF(W67=0," ",W67/$F67)," ")</f>
        <v xml:space="preserve"> </v>
      </c>
      <c r="Y67" s="193" t="s">
        <v>642</v>
      </c>
      <c r="Z67" s="196" t="str">
        <f t="shared" ref="Z67" si="506">IFERROR(IF(Y67=0," ",Y67/$F67)," ")</f>
        <v xml:space="preserve"> </v>
      </c>
      <c r="AA67" s="193" t="s">
        <v>642</v>
      </c>
      <c r="AB67" s="196" t="str">
        <f t="shared" ref="AB67" si="507">IFERROR(IF(AA67=0," ",AA67/$F67)," ")</f>
        <v xml:space="preserve"> </v>
      </c>
      <c r="AC67" s="193" t="s">
        <v>642</v>
      </c>
      <c r="AD67" s="196" t="str">
        <f t="shared" ref="AD67" si="508">IFERROR(IF(AC67=0," ",AC67/$F67)," ")</f>
        <v xml:space="preserve"> </v>
      </c>
      <c r="AE67" s="193" t="s">
        <v>642</v>
      </c>
      <c r="AF67" s="196" t="str">
        <f t="shared" ref="AF67" si="509">IFERROR(IF(AE67=0," ",AE67/$F67)," ")</f>
        <v xml:space="preserve"> </v>
      </c>
      <c r="AG67" s="193" t="s">
        <v>642</v>
      </c>
      <c r="AH67" s="196" t="str">
        <f t="shared" ref="AH67" si="510">IFERROR(IF(AG67=0," ",AG67/$F67)," ")</f>
        <v xml:space="preserve"> </v>
      </c>
      <c r="AI67" s="197"/>
      <c r="AJ67" s="177" t="s">
        <v>642</v>
      </c>
      <c r="AK67" s="177" t="s">
        <v>642</v>
      </c>
      <c r="AL67" s="177" t="s">
        <v>642</v>
      </c>
      <c r="AM67" s="177" t="s">
        <v>642</v>
      </c>
      <c r="AN67" s="177" t="s">
        <v>642</v>
      </c>
      <c r="AO67" s="177" t="s">
        <v>642</v>
      </c>
      <c r="AP67" s="177" t="s">
        <v>642</v>
      </c>
      <c r="AQ67" s="177" t="s">
        <v>642</v>
      </c>
      <c r="AR67" s="177" t="s">
        <v>642</v>
      </c>
      <c r="AS67" s="177" t="s">
        <v>642</v>
      </c>
      <c r="AT67" s="177" t="s">
        <v>642</v>
      </c>
      <c r="AU67" s="177" t="s">
        <v>642</v>
      </c>
    </row>
    <row r="68" spans="1:47" x14ac:dyDescent="0.25">
      <c r="A68" s="190">
        <v>27</v>
      </c>
      <c r="B68" s="65">
        <v>4103.1000000000004</v>
      </c>
      <c r="C68" s="191" t="s">
        <v>149</v>
      </c>
      <c r="D68" s="65" t="s">
        <v>59</v>
      </c>
      <c r="E68" s="192">
        <f>IF(A68=" "," ",VLOOKUP(A68,Estimate!A:Q,17,FALSE))</f>
        <v>16887.861111111109</v>
      </c>
      <c r="F68" s="193">
        <v>125</v>
      </c>
      <c r="G68" s="206">
        <v>179.87301439999999</v>
      </c>
      <c r="H68" s="195">
        <v>202.85</v>
      </c>
      <c r="I68" s="195">
        <v>25356.25</v>
      </c>
      <c r="J68" s="195"/>
      <c r="K68" s="193"/>
      <c r="L68" s="196" t="str">
        <f t="shared" si="0"/>
        <v xml:space="preserve"> </v>
      </c>
      <c r="M68" s="193"/>
      <c r="N68" s="196" t="str">
        <f t="shared" si="0"/>
        <v xml:space="preserve"> </v>
      </c>
      <c r="O68" s="193"/>
      <c r="P68" s="196" t="str">
        <f t="shared" ref="P68" si="511">IFERROR(IF(O68=0," ",O68/$F68)," ")</f>
        <v xml:space="preserve"> </v>
      </c>
      <c r="Q68" s="193"/>
      <c r="R68" s="196" t="str">
        <f t="shared" ref="R68" si="512">IFERROR(IF(Q68=0," ",Q68/$F68)," ")</f>
        <v xml:space="preserve"> </v>
      </c>
      <c r="S68" s="193"/>
      <c r="T68" s="196" t="str">
        <f t="shared" ref="T68" si="513">IFERROR(IF(S68=0," ",S68/$F68)," ")</f>
        <v xml:space="preserve"> </v>
      </c>
      <c r="U68" s="193">
        <v>125</v>
      </c>
      <c r="V68" s="196">
        <f t="shared" ref="V68" si="514">IFERROR(IF(U68=0," ",U68/$F68)," ")</f>
        <v>1</v>
      </c>
      <c r="W68" s="193">
        <v>125</v>
      </c>
      <c r="X68" s="196">
        <f t="shared" ref="X68" si="515">IFERROR(IF(W68=0," ",W68/$F68)," ")</f>
        <v>1</v>
      </c>
      <c r="Y68" s="193">
        <v>125</v>
      </c>
      <c r="Z68" s="196">
        <f t="shared" ref="Z68" si="516">IFERROR(IF(Y68=0," ",Y68/$F68)," ")</f>
        <v>1</v>
      </c>
      <c r="AA68" s="193">
        <v>125</v>
      </c>
      <c r="AB68" s="196">
        <f t="shared" ref="AB68" si="517">IFERROR(IF(AA68=0," ",AA68/$F68)," ")</f>
        <v>1</v>
      </c>
      <c r="AC68" s="193">
        <v>125</v>
      </c>
      <c r="AD68" s="196">
        <f t="shared" ref="AD68" si="518">IFERROR(IF(AC68=0," ",AC68/$F68)," ")</f>
        <v>1</v>
      </c>
      <c r="AE68" s="193">
        <v>125</v>
      </c>
      <c r="AF68" s="196">
        <f t="shared" ref="AF68" si="519">IFERROR(IF(AE68=0," ",AE68/$F68)," ")</f>
        <v>1</v>
      </c>
      <c r="AG68" s="193">
        <v>125</v>
      </c>
      <c r="AH68" s="196">
        <f t="shared" ref="AH68" si="520">IFERROR(IF(AG68=0," ",AG68/$F68)," ")</f>
        <v>1</v>
      </c>
      <c r="AI68" s="197"/>
      <c r="AJ68" s="177">
        <v>0</v>
      </c>
      <c r="AK68" s="177">
        <v>0</v>
      </c>
      <c r="AL68" s="177">
        <v>0</v>
      </c>
      <c r="AM68" s="177">
        <v>0</v>
      </c>
      <c r="AN68" s="177">
        <v>0</v>
      </c>
      <c r="AO68" s="177">
        <v>25356.25</v>
      </c>
      <c r="AP68" s="177">
        <v>25356.25</v>
      </c>
      <c r="AQ68" s="177">
        <v>25356.25</v>
      </c>
      <c r="AR68" s="177">
        <v>25356.25</v>
      </c>
      <c r="AS68" s="177">
        <v>25356.25</v>
      </c>
      <c r="AT68" s="177">
        <v>25356.25</v>
      </c>
      <c r="AU68" s="177">
        <v>25356.25</v>
      </c>
    </row>
    <row r="69" spans="1:47" x14ac:dyDescent="0.25">
      <c r="A69" s="190">
        <v>28</v>
      </c>
      <c r="B69" s="65">
        <v>4104.2</v>
      </c>
      <c r="C69" s="191" t="s">
        <v>156</v>
      </c>
      <c r="D69" s="65" t="s">
        <v>59</v>
      </c>
      <c r="E69" s="192">
        <f>IF(A69=" "," ",VLOOKUP(A69,Estimate!A:Q,17,FALSE))</f>
        <v>23360.783678425018</v>
      </c>
      <c r="F69" s="193">
        <v>190</v>
      </c>
      <c r="G69" s="206">
        <v>177.85201421052633</v>
      </c>
      <c r="H69" s="195">
        <v>200.57</v>
      </c>
      <c r="I69" s="195">
        <v>38108.300000000003</v>
      </c>
      <c r="J69" s="195"/>
      <c r="K69" s="193"/>
      <c r="L69" s="196" t="str">
        <f t="shared" si="0"/>
        <v xml:space="preserve"> </v>
      </c>
      <c r="M69" s="193"/>
      <c r="N69" s="196" t="str">
        <f t="shared" si="0"/>
        <v xml:space="preserve"> </v>
      </c>
      <c r="O69" s="193"/>
      <c r="P69" s="196" t="str">
        <f t="shared" ref="P69" si="521">IFERROR(IF(O69=0," ",O69/$F69)," ")</f>
        <v xml:space="preserve"> </v>
      </c>
      <c r="Q69" s="193"/>
      <c r="R69" s="196" t="str">
        <f t="shared" ref="R69" si="522">IFERROR(IF(Q69=0," ",Q69/$F69)," ")</f>
        <v xml:space="preserve"> </v>
      </c>
      <c r="S69" s="193"/>
      <c r="T69" s="196" t="str">
        <f t="shared" ref="T69" si="523">IFERROR(IF(S69=0," ",S69/$F69)," ")</f>
        <v xml:space="preserve"> </v>
      </c>
      <c r="U69" s="193">
        <v>190</v>
      </c>
      <c r="V69" s="196">
        <f t="shared" ref="V69" si="524">IFERROR(IF(U69=0," ",U69/$F69)," ")</f>
        <v>1</v>
      </c>
      <c r="W69" s="193">
        <v>190</v>
      </c>
      <c r="X69" s="196">
        <f t="shared" ref="X69" si="525">IFERROR(IF(W69=0," ",W69/$F69)," ")</f>
        <v>1</v>
      </c>
      <c r="Y69" s="193">
        <v>190</v>
      </c>
      <c r="Z69" s="196">
        <f t="shared" ref="Z69" si="526">IFERROR(IF(Y69=0," ",Y69/$F69)," ")</f>
        <v>1</v>
      </c>
      <c r="AA69" s="193">
        <v>190</v>
      </c>
      <c r="AB69" s="196">
        <f t="shared" ref="AB69" si="527">IFERROR(IF(AA69=0," ",AA69/$F69)," ")</f>
        <v>1</v>
      </c>
      <c r="AC69" s="193">
        <v>190</v>
      </c>
      <c r="AD69" s="196">
        <f t="shared" ref="AD69" si="528">IFERROR(IF(AC69=0," ",AC69/$F69)," ")</f>
        <v>1</v>
      </c>
      <c r="AE69" s="193">
        <v>190</v>
      </c>
      <c r="AF69" s="196">
        <f t="shared" ref="AF69" si="529">IFERROR(IF(AE69=0," ",AE69/$F69)," ")</f>
        <v>1</v>
      </c>
      <c r="AG69" s="193">
        <v>190</v>
      </c>
      <c r="AH69" s="196">
        <f t="shared" ref="AH69" si="530">IFERROR(IF(AG69=0," ",AG69/$F69)," ")</f>
        <v>1</v>
      </c>
      <c r="AI69" s="197"/>
      <c r="AJ69" s="177">
        <v>0</v>
      </c>
      <c r="AK69" s="177">
        <v>0</v>
      </c>
      <c r="AL69" s="177">
        <v>0</v>
      </c>
      <c r="AM69" s="177">
        <v>0</v>
      </c>
      <c r="AN69" s="177">
        <v>0</v>
      </c>
      <c r="AO69" s="177">
        <v>38108.300000000003</v>
      </c>
      <c r="AP69" s="177">
        <v>38108.300000000003</v>
      </c>
      <c r="AQ69" s="177">
        <v>38108.300000000003</v>
      </c>
      <c r="AR69" s="177">
        <v>38108.300000000003</v>
      </c>
      <c r="AS69" s="177">
        <v>38108.300000000003</v>
      </c>
      <c r="AT69" s="177">
        <v>38108.300000000003</v>
      </c>
      <c r="AU69" s="177">
        <v>38108.300000000003</v>
      </c>
    </row>
    <row r="70" spans="1:47" ht="30" x14ac:dyDescent="0.25">
      <c r="A70" s="190">
        <v>29</v>
      </c>
      <c r="B70" s="65">
        <v>4104.3999999999996</v>
      </c>
      <c r="C70" s="191" t="s">
        <v>158</v>
      </c>
      <c r="D70" s="65" t="s">
        <v>59</v>
      </c>
      <c r="E70" s="192">
        <f>IF(A70=" "," ",VLOOKUP(A70,Estimate!A:Q,17,FALSE))</f>
        <v>6019.8834308343085</v>
      </c>
      <c r="F70" s="193">
        <v>36</v>
      </c>
      <c r="G70" s="206">
        <v>231.15244166666668</v>
      </c>
      <c r="H70" s="195">
        <v>260.68</v>
      </c>
      <c r="I70" s="195">
        <v>9384.48</v>
      </c>
      <c r="J70" s="195"/>
      <c r="K70" s="193"/>
      <c r="L70" s="196" t="str">
        <f t="shared" si="0"/>
        <v xml:space="preserve"> </v>
      </c>
      <c r="M70" s="193"/>
      <c r="N70" s="196" t="str">
        <f t="shared" si="0"/>
        <v xml:space="preserve"> </v>
      </c>
      <c r="O70" s="193"/>
      <c r="P70" s="196" t="str">
        <f t="shared" ref="P70" si="531">IFERROR(IF(O70=0," ",O70/$F70)," ")</f>
        <v xml:space="preserve"> </v>
      </c>
      <c r="Q70" s="193"/>
      <c r="R70" s="196" t="str">
        <f t="shared" ref="R70" si="532">IFERROR(IF(Q70=0," ",Q70/$F70)," ")</f>
        <v xml:space="preserve"> </v>
      </c>
      <c r="S70" s="193"/>
      <c r="T70" s="196" t="str">
        <f t="shared" ref="T70" si="533">IFERROR(IF(S70=0," ",S70/$F70)," ")</f>
        <v xml:space="preserve"> </v>
      </c>
      <c r="U70" s="193">
        <v>36</v>
      </c>
      <c r="V70" s="196">
        <f t="shared" ref="V70" si="534">IFERROR(IF(U70=0," ",U70/$F70)," ")</f>
        <v>1</v>
      </c>
      <c r="W70" s="193">
        <v>36</v>
      </c>
      <c r="X70" s="196">
        <f t="shared" ref="X70" si="535">IFERROR(IF(W70=0," ",W70/$F70)," ")</f>
        <v>1</v>
      </c>
      <c r="Y70" s="193">
        <v>36</v>
      </c>
      <c r="Z70" s="196">
        <f t="shared" ref="Z70" si="536">IFERROR(IF(Y70=0," ",Y70/$F70)," ")</f>
        <v>1</v>
      </c>
      <c r="AA70" s="193">
        <v>36</v>
      </c>
      <c r="AB70" s="196">
        <f t="shared" ref="AB70" si="537">IFERROR(IF(AA70=0," ",AA70/$F70)," ")</f>
        <v>1</v>
      </c>
      <c r="AC70" s="193">
        <v>36</v>
      </c>
      <c r="AD70" s="196">
        <f t="shared" ref="AD70" si="538">IFERROR(IF(AC70=0," ",AC70/$F70)," ")</f>
        <v>1</v>
      </c>
      <c r="AE70" s="193">
        <v>36</v>
      </c>
      <c r="AF70" s="196">
        <f t="shared" ref="AF70" si="539">IFERROR(IF(AE70=0," ",AE70/$F70)," ")</f>
        <v>1</v>
      </c>
      <c r="AG70" s="193">
        <v>36</v>
      </c>
      <c r="AH70" s="196">
        <f t="shared" ref="AH70" si="540">IFERROR(IF(AG70=0," ",AG70/$F70)," ")</f>
        <v>1</v>
      </c>
      <c r="AI70" s="197"/>
      <c r="AJ70" s="177">
        <v>0</v>
      </c>
      <c r="AK70" s="177">
        <v>0</v>
      </c>
      <c r="AL70" s="177">
        <v>0</v>
      </c>
      <c r="AM70" s="177">
        <v>0</v>
      </c>
      <c r="AN70" s="177">
        <v>0</v>
      </c>
      <c r="AO70" s="177">
        <v>9384.48</v>
      </c>
      <c r="AP70" s="177">
        <v>9384.48</v>
      </c>
      <c r="AQ70" s="177">
        <v>9384.48</v>
      </c>
      <c r="AR70" s="177">
        <v>9384.48</v>
      </c>
      <c r="AS70" s="177">
        <v>9384.48</v>
      </c>
      <c r="AT70" s="177">
        <v>9384.48</v>
      </c>
      <c r="AU70" s="177">
        <v>9384.48</v>
      </c>
    </row>
    <row r="71" spans="1:47" x14ac:dyDescent="0.25">
      <c r="A71" s="190" t="s">
        <v>642</v>
      </c>
      <c r="B71" s="65">
        <v>5100</v>
      </c>
      <c r="C71" s="191" t="s">
        <v>160</v>
      </c>
      <c r="D71" s="65" t="s">
        <v>747</v>
      </c>
      <c r="E71" s="192" t="str">
        <f>IF(A71=" "," ",VLOOKUP(A71,Estimate!A:Q,17,FALSE))</f>
        <v xml:space="preserve"> </v>
      </c>
      <c r="F71" s="193" t="s">
        <v>642</v>
      </c>
      <c r="G71" s="206" t="s">
        <v>642</v>
      </c>
      <c r="H71" s="195" t="s">
        <v>642</v>
      </c>
      <c r="I71" s="195" t="s">
        <v>642</v>
      </c>
      <c r="J71" s="195"/>
      <c r="K71" s="193" t="s">
        <v>642</v>
      </c>
      <c r="L71" s="196" t="str">
        <f t="shared" si="0"/>
        <v xml:space="preserve"> </v>
      </c>
      <c r="M71" s="193" t="s">
        <v>642</v>
      </c>
      <c r="N71" s="196" t="str">
        <f t="shared" si="0"/>
        <v xml:space="preserve"> </v>
      </c>
      <c r="O71" s="193" t="s">
        <v>642</v>
      </c>
      <c r="P71" s="196" t="str">
        <f t="shared" ref="P71" si="541">IFERROR(IF(O71=0," ",O71/$F71)," ")</f>
        <v xml:space="preserve"> </v>
      </c>
      <c r="Q71" s="193" t="s">
        <v>642</v>
      </c>
      <c r="R71" s="196" t="str">
        <f t="shared" ref="R71" si="542">IFERROR(IF(Q71=0," ",Q71/$F71)," ")</f>
        <v xml:space="preserve"> </v>
      </c>
      <c r="S71" s="193" t="s">
        <v>642</v>
      </c>
      <c r="T71" s="196" t="str">
        <f t="shared" ref="T71" si="543">IFERROR(IF(S71=0," ",S71/$F71)," ")</f>
        <v xml:space="preserve"> </v>
      </c>
      <c r="U71" s="193" t="s">
        <v>642</v>
      </c>
      <c r="V71" s="196" t="str">
        <f t="shared" ref="V71" si="544">IFERROR(IF(U71=0," ",U71/$F71)," ")</f>
        <v xml:space="preserve"> </v>
      </c>
      <c r="W71" s="193" t="s">
        <v>642</v>
      </c>
      <c r="X71" s="196" t="str">
        <f t="shared" ref="X71" si="545">IFERROR(IF(W71=0," ",W71/$F71)," ")</f>
        <v xml:space="preserve"> </v>
      </c>
      <c r="Y71" s="193" t="s">
        <v>642</v>
      </c>
      <c r="Z71" s="196" t="str">
        <f t="shared" ref="Z71" si="546">IFERROR(IF(Y71=0," ",Y71/$F71)," ")</f>
        <v xml:space="preserve"> </v>
      </c>
      <c r="AA71" s="193" t="s">
        <v>642</v>
      </c>
      <c r="AB71" s="196" t="str">
        <f t="shared" ref="AB71" si="547">IFERROR(IF(AA71=0," ",AA71/$F71)," ")</f>
        <v xml:space="preserve"> </v>
      </c>
      <c r="AC71" s="193" t="s">
        <v>642</v>
      </c>
      <c r="AD71" s="196" t="str">
        <f t="shared" ref="AD71" si="548">IFERROR(IF(AC71=0," ",AC71/$F71)," ")</f>
        <v xml:space="preserve"> </v>
      </c>
      <c r="AE71" s="193" t="s">
        <v>642</v>
      </c>
      <c r="AF71" s="196" t="str">
        <f t="shared" ref="AF71" si="549">IFERROR(IF(AE71=0," ",AE71/$F71)," ")</f>
        <v xml:space="preserve"> </v>
      </c>
      <c r="AG71" s="193" t="s">
        <v>642</v>
      </c>
      <c r="AH71" s="196" t="str">
        <f t="shared" ref="AH71" si="550">IFERROR(IF(AG71=0," ",AG71/$F71)," ")</f>
        <v xml:space="preserve"> </v>
      </c>
      <c r="AI71" s="197"/>
      <c r="AJ71" s="177" t="s">
        <v>642</v>
      </c>
      <c r="AK71" s="177" t="s">
        <v>642</v>
      </c>
      <c r="AL71" s="177" t="s">
        <v>642</v>
      </c>
      <c r="AM71" s="177" t="s">
        <v>642</v>
      </c>
      <c r="AN71" s="177" t="s">
        <v>642</v>
      </c>
      <c r="AO71" s="177" t="s">
        <v>642</v>
      </c>
      <c r="AP71" s="177" t="s">
        <v>642</v>
      </c>
      <c r="AQ71" s="177" t="s">
        <v>642</v>
      </c>
      <c r="AR71" s="177" t="s">
        <v>642</v>
      </c>
      <c r="AS71" s="177" t="s">
        <v>642</v>
      </c>
      <c r="AT71" s="177" t="s">
        <v>642</v>
      </c>
      <c r="AU71" s="177" t="s">
        <v>642</v>
      </c>
    </row>
    <row r="72" spans="1:47" ht="60" x14ac:dyDescent="0.25">
      <c r="A72" s="190">
        <v>30</v>
      </c>
      <c r="B72" s="65">
        <v>5141.1000000000004</v>
      </c>
      <c r="C72" s="191" t="s">
        <v>162</v>
      </c>
      <c r="D72" s="65" t="s">
        <v>94</v>
      </c>
      <c r="E72" s="192">
        <f>IF(A72=" "," ",VLOOKUP(A72,Estimate!A:Q,17,FALSE))</f>
        <v>17548.125</v>
      </c>
      <c r="F72" s="193">
        <v>955</v>
      </c>
      <c r="G72" s="206">
        <v>24.464655497382196</v>
      </c>
      <c r="H72" s="195">
        <v>27.59</v>
      </c>
      <c r="I72" s="195">
        <v>26348.45</v>
      </c>
      <c r="J72" s="195"/>
      <c r="K72" s="193"/>
      <c r="L72" s="196" t="str">
        <f t="shared" si="0"/>
        <v xml:space="preserve"> </v>
      </c>
      <c r="M72" s="193"/>
      <c r="N72" s="196" t="str">
        <f t="shared" si="0"/>
        <v xml:space="preserve"> </v>
      </c>
      <c r="O72" s="193"/>
      <c r="P72" s="196" t="str">
        <f t="shared" ref="P72" si="551">IFERROR(IF(O72=0," ",O72/$F72)," ")</f>
        <v xml:space="preserve"> </v>
      </c>
      <c r="Q72" s="193"/>
      <c r="R72" s="196" t="str">
        <f t="shared" ref="R72" si="552">IFERROR(IF(Q72=0," ",Q72/$F72)," ")</f>
        <v xml:space="preserve"> </v>
      </c>
      <c r="S72" s="193"/>
      <c r="T72" s="196" t="str">
        <f t="shared" ref="T72" si="553">IFERROR(IF(S72=0," ",S72/$F72)," ")</f>
        <v xml:space="preserve"> </v>
      </c>
      <c r="U72" s="193"/>
      <c r="V72" s="196" t="str">
        <f t="shared" ref="V72" si="554">IFERROR(IF(U72=0," ",U72/$F72)," ")</f>
        <v xml:space="preserve"> </v>
      </c>
      <c r="W72" s="193">
        <v>955</v>
      </c>
      <c r="X72" s="196">
        <f t="shared" ref="X72" si="555">IFERROR(IF(W72=0," ",W72/$F72)," ")</f>
        <v>1</v>
      </c>
      <c r="Y72" s="193">
        <v>955</v>
      </c>
      <c r="Z72" s="196">
        <f t="shared" ref="Z72" si="556">IFERROR(IF(Y72=0," ",Y72/$F72)," ")</f>
        <v>1</v>
      </c>
      <c r="AA72" s="193">
        <v>955</v>
      </c>
      <c r="AB72" s="196">
        <f t="shared" ref="AB72" si="557">IFERROR(IF(AA72=0," ",AA72/$F72)," ")</f>
        <v>1</v>
      </c>
      <c r="AC72" s="193">
        <v>955</v>
      </c>
      <c r="AD72" s="196">
        <f t="shared" ref="AD72" si="558">IFERROR(IF(AC72=0," ",AC72/$F72)," ")</f>
        <v>1</v>
      </c>
      <c r="AE72" s="193">
        <v>955</v>
      </c>
      <c r="AF72" s="196">
        <f t="shared" ref="AF72" si="559">IFERROR(IF(AE72=0," ",AE72/$F72)," ")</f>
        <v>1</v>
      </c>
      <c r="AG72" s="193">
        <v>955</v>
      </c>
      <c r="AH72" s="196">
        <f t="shared" ref="AH72" si="560">IFERROR(IF(AG72=0," ",AG72/$F72)," ")</f>
        <v>1</v>
      </c>
      <c r="AI72" s="197"/>
      <c r="AJ72" s="177">
        <v>0</v>
      </c>
      <c r="AK72" s="177">
        <v>0</v>
      </c>
      <c r="AL72" s="177">
        <v>0</v>
      </c>
      <c r="AM72" s="177">
        <v>0</v>
      </c>
      <c r="AN72" s="177">
        <v>0</v>
      </c>
      <c r="AO72" s="177">
        <v>0</v>
      </c>
      <c r="AP72" s="177">
        <v>26348.45</v>
      </c>
      <c r="AQ72" s="177">
        <v>26348.45</v>
      </c>
      <c r="AR72" s="177">
        <v>26348.45</v>
      </c>
      <c r="AS72" s="177">
        <v>26348.45</v>
      </c>
      <c r="AT72" s="177">
        <v>26348.45</v>
      </c>
      <c r="AU72" s="177">
        <v>26348.45</v>
      </c>
    </row>
    <row r="73" spans="1:47" ht="30" x14ac:dyDescent="0.25">
      <c r="A73" s="190" t="s">
        <v>642</v>
      </c>
      <c r="B73" s="65">
        <v>5600</v>
      </c>
      <c r="C73" s="191" t="s">
        <v>165</v>
      </c>
      <c r="D73" s="65" t="s">
        <v>747</v>
      </c>
      <c r="E73" s="192" t="str">
        <f>IF(A73=" "," ",VLOOKUP(A73,Estimate!A:Q,17,FALSE))</f>
        <v xml:space="preserve"> </v>
      </c>
      <c r="F73" s="193" t="s">
        <v>642</v>
      </c>
      <c r="G73" s="206" t="s">
        <v>642</v>
      </c>
      <c r="H73" s="195" t="s">
        <v>642</v>
      </c>
      <c r="I73" s="195" t="s">
        <v>642</v>
      </c>
      <c r="J73" s="195"/>
      <c r="K73" s="193" t="s">
        <v>642</v>
      </c>
      <c r="L73" s="196" t="str">
        <f t="shared" si="0"/>
        <v xml:space="preserve"> </v>
      </c>
      <c r="M73" s="193" t="s">
        <v>642</v>
      </c>
      <c r="N73" s="196" t="str">
        <f t="shared" si="0"/>
        <v xml:space="preserve"> </v>
      </c>
      <c r="O73" s="193" t="s">
        <v>642</v>
      </c>
      <c r="P73" s="196" t="str">
        <f t="shared" ref="P73" si="561">IFERROR(IF(O73=0," ",O73/$F73)," ")</f>
        <v xml:space="preserve"> </v>
      </c>
      <c r="Q73" s="193" t="s">
        <v>642</v>
      </c>
      <c r="R73" s="196" t="str">
        <f t="shared" ref="R73" si="562">IFERROR(IF(Q73=0," ",Q73/$F73)," ")</f>
        <v xml:space="preserve"> </v>
      </c>
      <c r="S73" s="193" t="s">
        <v>642</v>
      </c>
      <c r="T73" s="196" t="str">
        <f t="shared" ref="T73" si="563">IFERROR(IF(S73=0," ",S73/$F73)," ")</f>
        <v xml:space="preserve"> </v>
      </c>
      <c r="U73" s="193" t="s">
        <v>642</v>
      </c>
      <c r="V73" s="196" t="str">
        <f t="shared" ref="V73" si="564">IFERROR(IF(U73=0," ",U73/$F73)," ")</f>
        <v xml:space="preserve"> </v>
      </c>
      <c r="W73" s="193" t="s">
        <v>642</v>
      </c>
      <c r="X73" s="196" t="str">
        <f t="shared" ref="X73" si="565">IFERROR(IF(W73=0," ",W73/$F73)," ")</f>
        <v xml:space="preserve"> </v>
      </c>
      <c r="Y73" s="193" t="s">
        <v>642</v>
      </c>
      <c r="Z73" s="196" t="str">
        <f t="shared" ref="Z73" si="566">IFERROR(IF(Y73=0," ",Y73/$F73)," ")</f>
        <v xml:space="preserve"> </v>
      </c>
      <c r="AA73" s="193" t="s">
        <v>642</v>
      </c>
      <c r="AB73" s="196" t="str">
        <f t="shared" ref="AB73" si="567">IFERROR(IF(AA73=0," ",AA73/$F73)," ")</f>
        <v xml:space="preserve"> </v>
      </c>
      <c r="AC73" s="193" t="s">
        <v>642</v>
      </c>
      <c r="AD73" s="196" t="str">
        <f t="shared" ref="AD73" si="568">IFERROR(IF(AC73=0," ",AC73/$F73)," ")</f>
        <v xml:space="preserve"> </v>
      </c>
      <c r="AE73" s="193" t="s">
        <v>642</v>
      </c>
      <c r="AF73" s="196" t="str">
        <f t="shared" ref="AF73" si="569">IFERROR(IF(AE73=0," ",AE73/$F73)," ")</f>
        <v xml:space="preserve"> </v>
      </c>
      <c r="AG73" s="193" t="s">
        <v>642</v>
      </c>
      <c r="AH73" s="196" t="str">
        <f t="shared" ref="AH73" si="570">IFERROR(IF(AG73=0," ",AG73/$F73)," ")</f>
        <v xml:space="preserve"> </v>
      </c>
      <c r="AI73" s="197"/>
      <c r="AJ73" s="177" t="s">
        <v>642</v>
      </c>
      <c r="AK73" s="177" t="s">
        <v>642</v>
      </c>
      <c r="AL73" s="177" t="s">
        <v>642</v>
      </c>
      <c r="AM73" s="177" t="s">
        <v>642</v>
      </c>
      <c r="AN73" s="177" t="s">
        <v>642</v>
      </c>
      <c r="AO73" s="177" t="s">
        <v>642</v>
      </c>
      <c r="AP73" s="177" t="s">
        <v>642</v>
      </c>
      <c r="AQ73" s="177" t="s">
        <v>642</v>
      </c>
      <c r="AR73" s="177" t="s">
        <v>642</v>
      </c>
      <c r="AS73" s="177" t="s">
        <v>642</v>
      </c>
      <c r="AT73" s="177" t="s">
        <v>642</v>
      </c>
      <c r="AU73" s="177" t="s">
        <v>642</v>
      </c>
    </row>
    <row r="74" spans="1:47" x14ac:dyDescent="0.25">
      <c r="A74" s="190">
        <v>31</v>
      </c>
      <c r="B74" s="65">
        <v>5602.1</v>
      </c>
      <c r="C74" s="191" t="s">
        <v>167</v>
      </c>
      <c r="D74" s="65" t="s">
        <v>30</v>
      </c>
      <c r="E74" s="192">
        <f>IF(A74=" "," ",VLOOKUP(A74,Estimate!A:Q,17,FALSE))</f>
        <v>39160</v>
      </c>
      <c r="F74" s="193">
        <v>80</v>
      </c>
      <c r="G74" s="206">
        <v>651.703575</v>
      </c>
      <c r="H74" s="195">
        <v>734.95</v>
      </c>
      <c r="I74" s="195">
        <v>58796</v>
      </c>
      <c r="J74" s="195"/>
      <c r="K74" s="193"/>
      <c r="L74" s="196" t="str">
        <f t="shared" si="0"/>
        <v xml:space="preserve"> </v>
      </c>
      <c r="M74" s="193"/>
      <c r="N74" s="196" t="str">
        <f t="shared" si="0"/>
        <v xml:space="preserve"> </v>
      </c>
      <c r="O74" s="193"/>
      <c r="P74" s="196" t="str">
        <f t="shared" ref="P74" si="571">IFERROR(IF(O74=0," ",O74/$F74)," ")</f>
        <v xml:space="preserve"> </v>
      </c>
      <c r="Q74" s="193"/>
      <c r="R74" s="196" t="str">
        <f t="shared" ref="R74" si="572">IFERROR(IF(Q74=0," ",Q74/$F74)," ")</f>
        <v xml:space="preserve"> </v>
      </c>
      <c r="S74" s="193"/>
      <c r="T74" s="196" t="str">
        <f t="shared" ref="T74" si="573">IFERROR(IF(S74=0," ",S74/$F74)," ")</f>
        <v xml:space="preserve"> </v>
      </c>
      <c r="U74" s="193"/>
      <c r="V74" s="196" t="str">
        <f t="shared" ref="V74" si="574">IFERROR(IF(U74=0," ",U74/$F74)," ")</f>
        <v xml:space="preserve"> </v>
      </c>
      <c r="W74" s="193">
        <v>80</v>
      </c>
      <c r="X74" s="196">
        <f t="shared" ref="X74" si="575">IFERROR(IF(W74=0," ",W74/$F74)," ")</f>
        <v>1</v>
      </c>
      <c r="Y74" s="193">
        <v>80</v>
      </c>
      <c r="Z74" s="196">
        <f t="shared" ref="Z74" si="576">IFERROR(IF(Y74=0," ",Y74/$F74)," ")</f>
        <v>1</v>
      </c>
      <c r="AA74" s="193">
        <v>80</v>
      </c>
      <c r="AB74" s="196">
        <f t="shared" ref="AB74" si="577">IFERROR(IF(AA74=0," ",AA74/$F74)," ")</f>
        <v>1</v>
      </c>
      <c r="AC74" s="193">
        <v>80</v>
      </c>
      <c r="AD74" s="196">
        <f t="shared" ref="AD74" si="578">IFERROR(IF(AC74=0," ",AC74/$F74)," ")</f>
        <v>1</v>
      </c>
      <c r="AE74" s="193">
        <v>80</v>
      </c>
      <c r="AF74" s="196">
        <f t="shared" ref="AF74" si="579">IFERROR(IF(AE74=0," ",AE74/$F74)," ")</f>
        <v>1</v>
      </c>
      <c r="AG74" s="193">
        <v>80</v>
      </c>
      <c r="AH74" s="196">
        <f t="shared" ref="AH74" si="580">IFERROR(IF(AG74=0," ",AG74/$F74)," ")</f>
        <v>1</v>
      </c>
      <c r="AI74" s="197"/>
      <c r="AJ74" s="177">
        <v>0</v>
      </c>
      <c r="AK74" s="177">
        <v>0</v>
      </c>
      <c r="AL74" s="177">
        <v>0</v>
      </c>
      <c r="AM74" s="177">
        <v>0</v>
      </c>
      <c r="AN74" s="177">
        <v>0</v>
      </c>
      <c r="AO74" s="177">
        <v>0</v>
      </c>
      <c r="AP74" s="177">
        <v>58796</v>
      </c>
      <c r="AQ74" s="177">
        <v>58796</v>
      </c>
      <c r="AR74" s="177">
        <v>58796</v>
      </c>
      <c r="AS74" s="177">
        <v>58796</v>
      </c>
      <c r="AT74" s="177">
        <v>58796</v>
      </c>
      <c r="AU74" s="177">
        <v>58796</v>
      </c>
    </row>
    <row r="75" spans="1:47" x14ac:dyDescent="0.25">
      <c r="A75" s="190" t="s">
        <v>642</v>
      </c>
      <c r="B75" s="65" t="s">
        <v>745</v>
      </c>
      <c r="C75" s="191" t="s">
        <v>642</v>
      </c>
      <c r="D75" s="65" t="s">
        <v>747</v>
      </c>
      <c r="E75" s="192" t="str">
        <f>IF(A75=" "," ",VLOOKUP(A75,Estimate!A:Q,17,FALSE))</f>
        <v xml:space="preserve"> </v>
      </c>
      <c r="F75" s="193" t="s">
        <v>642</v>
      </c>
      <c r="G75" s="206" t="s">
        <v>642</v>
      </c>
      <c r="H75" s="195" t="s">
        <v>642</v>
      </c>
      <c r="I75" s="195" t="s">
        <v>642</v>
      </c>
      <c r="J75" s="195"/>
      <c r="K75" s="193" t="s">
        <v>642</v>
      </c>
      <c r="L75" s="196" t="str">
        <f t="shared" si="0"/>
        <v xml:space="preserve"> </v>
      </c>
      <c r="M75" s="193" t="s">
        <v>642</v>
      </c>
      <c r="N75" s="196" t="str">
        <f t="shared" si="0"/>
        <v xml:space="preserve"> </v>
      </c>
      <c r="O75" s="193" t="s">
        <v>642</v>
      </c>
      <c r="P75" s="196" t="str">
        <f t="shared" ref="P75" si="581">IFERROR(IF(O75=0," ",O75/$F75)," ")</f>
        <v xml:space="preserve"> </v>
      </c>
      <c r="Q75" s="193" t="s">
        <v>642</v>
      </c>
      <c r="R75" s="196" t="str">
        <f t="shared" ref="R75" si="582">IFERROR(IF(Q75=0," ",Q75/$F75)," ")</f>
        <v xml:space="preserve"> </v>
      </c>
      <c r="S75" s="193" t="s">
        <v>642</v>
      </c>
      <c r="T75" s="196" t="str">
        <f t="shared" ref="T75" si="583">IFERROR(IF(S75=0," ",S75/$F75)," ")</f>
        <v xml:space="preserve"> </v>
      </c>
      <c r="U75" s="193" t="s">
        <v>642</v>
      </c>
      <c r="V75" s="196" t="str">
        <f t="shared" ref="V75" si="584">IFERROR(IF(U75=0," ",U75/$F75)," ")</f>
        <v xml:space="preserve"> </v>
      </c>
      <c r="W75" s="193" t="s">
        <v>642</v>
      </c>
      <c r="X75" s="196" t="str">
        <f t="shared" ref="X75" si="585">IFERROR(IF(W75=0," ",W75/$F75)," ")</f>
        <v xml:space="preserve"> </v>
      </c>
      <c r="Y75" s="193" t="s">
        <v>642</v>
      </c>
      <c r="Z75" s="196" t="str">
        <f t="shared" ref="Z75" si="586">IFERROR(IF(Y75=0," ",Y75/$F75)," ")</f>
        <v xml:space="preserve"> </v>
      </c>
      <c r="AA75" s="193" t="s">
        <v>642</v>
      </c>
      <c r="AB75" s="196" t="str">
        <f t="shared" ref="AB75" si="587">IFERROR(IF(AA75=0," ",AA75/$F75)," ")</f>
        <v xml:space="preserve"> </v>
      </c>
      <c r="AC75" s="193" t="s">
        <v>642</v>
      </c>
      <c r="AD75" s="196" t="str">
        <f t="shared" ref="AD75" si="588">IFERROR(IF(AC75=0," ",AC75/$F75)," ")</f>
        <v xml:space="preserve"> </v>
      </c>
      <c r="AE75" s="193" t="s">
        <v>642</v>
      </c>
      <c r="AF75" s="196" t="str">
        <f t="shared" ref="AF75" si="589">IFERROR(IF(AE75=0," ",AE75/$F75)," ")</f>
        <v xml:space="preserve"> </v>
      </c>
      <c r="AG75" s="193" t="s">
        <v>642</v>
      </c>
      <c r="AH75" s="196" t="str">
        <f t="shared" ref="AH75" si="590">IFERROR(IF(AG75=0," ",AG75/$F75)," ")</f>
        <v xml:space="preserve"> </v>
      </c>
      <c r="AI75" s="197"/>
      <c r="AJ75" s="177" t="s">
        <v>642</v>
      </c>
      <c r="AK75" s="177" t="s">
        <v>642</v>
      </c>
      <c r="AL75" s="177" t="s">
        <v>642</v>
      </c>
      <c r="AM75" s="177" t="s">
        <v>642</v>
      </c>
      <c r="AN75" s="177" t="s">
        <v>642</v>
      </c>
      <c r="AO75" s="177" t="s">
        <v>642</v>
      </c>
      <c r="AP75" s="177" t="s">
        <v>642</v>
      </c>
      <c r="AQ75" s="177" t="s">
        <v>642</v>
      </c>
      <c r="AR75" s="177" t="s">
        <v>642</v>
      </c>
      <c r="AS75" s="177" t="s">
        <v>642</v>
      </c>
      <c r="AT75" s="177" t="s">
        <v>642</v>
      </c>
      <c r="AU75" s="177" t="s">
        <v>642</v>
      </c>
    </row>
    <row r="76" spans="1:47" x14ac:dyDescent="0.25">
      <c r="A76" s="190" t="s">
        <v>642</v>
      </c>
      <c r="B76" s="65">
        <v>6140</v>
      </c>
      <c r="C76" s="191" t="s">
        <v>170</v>
      </c>
      <c r="D76" s="65" t="s">
        <v>747</v>
      </c>
      <c r="E76" s="192" t="str">
        <f>IF(A76=" "," ",VLOOKUP(A76,Estimate!A:Q,17,FALSE))</f>
        <v xml:space="preserve"> </v>
      </c>
      <c r="F76" s="193" t="s">
        <v>642</v>
      </c>
      <c r="G76" s="206" t="s">
        <v>642</v>
      </c>
      <c r="H76" s="195" t="s">
        <v>642</v>
      </c>
      <c r="I76" s="195" t="s">
        <v>642</v>
      </c>
      <c r="J76" s="195"/>
      <c r="K76" s="193" t="s">
        <v>642</v>
      </c>
      <c r="L76" s="196" t="str">
        <f t="shared" si="0"/>
        <v xml:space="preserve"> </v>
      </c>
      <c r="M76" s="193" t="s">
        <v>642</v>
      </c>
      <c r="N76" s="196" t="str">
        <f t="shared" si="0"/>
        <v xml:space="preserve"> </v>
      </c>
      <c r="O76" s="193" t="s">
        <v>642</v>
      </c>
      <c r="P76" s="196" t="str">
        <f t="shared" ref="P76" si="591">IFERROR(IF(O76=0," ",O76/$F76)," ")</f>
        <v xml:space="preserve"> </v>
      </c>
      <c r="Q76" s="193" t="s">
        <v>642</v>
      </c>
      <c r="R76" s="196" t="str">
        <f t="shared" ref="R76" si="592">IFERROR(IF(Q76=0," ",Q76/$F76)," ")</f>
        <v xml:space="preserve"> </v>
      </c>
      <c r="S76" s="193" t="s">
        <v>642</v>
      </c>
      <c r="T76" s="196" t="str">
        <f t="shared" ref="T76" si="593">IFERROR(IF(S76=0," ",S76/$F76)," ")</f>
        <v xml:space="preserve"> </v>
      </c>
      <c r="U76" s="193" t="s">
        <v>642</v>
      </c>
      <c r="V76" s="196" t="str">
        <f t="shared" ref="V76" si="594">IFERROR(IF(U76=0," ",U76/$F76)," ")</f>
        <v xml:space="preserve"> </v>
      </c>
      <c r="W76" s="193" t="s">
        <v>642</v>
      </c>
      <c r="X76" s="196" t="str">
        <f t="shared" ref="X76" si="595">IFERROR(IF(W76=0," ",W76/$F76)," ")</f>
        <v xml:space="preserve"> </v>
      </c>
      <c r="Y76" s="193" t="s">
        <v>642</v>
      </c>
      <c r="Z76" s="196" t="str">
        <f t="shared" ref="Z76" si="596">IFERROR(IF(Y76=0," ",Y76/$F76)," ")</f>
        <v xml:space="preserve"> </v>
      </c>
      <c r="AA76" s="193" t="s">
        <v>642</v>
      </c>
      <c r="AB76" s="196" t="str">
        <f t="shared" ref="AB76" si="597">IFERROR(IF(AA76=0," ",AA76/$F76)," ")</f>
        <v xml:space="preserve"> </v>
      </c>
      <c r="AC76" s="193" t="s">
        <v>642</v>
      </c>
      <c r="AD76" s="196" t="str">
        <f t="shared" ref="AD76" si="598">IFERROR(IF(AC76=0," ",AC76/$F76)," ")</f>
        <v xml:space="preserve"> </v>
      </c>
      <c r="AE76" s="193" t="s">
        <v>642</v>
      </c>
      <c r="AF76" s="196" t="str">
        <f t="shared" ref="AF76" si="599">IFERROR(IF(AE76=0," ",AE76/$F76)," ")</f>
        <v xml:space="preserve"> </v>
      </c>
      <c r="AG76" s="193" t="s">
        <v>642</v>
      </c>
      <c r="AH76" s="196" t="str">
        <f t="shared" ref="AH76" si="600">IFERROR(IF(AG76=0," ",AG76/$F76)," ")</f>
        <v xml:space="preserve"> </v>
      </c>
      <c r="AI76" s="197"/>
      <c r="AJ76" s="177" t="s">
        <v>642</v>
      </c>
      <c r="AK76" s="177" t="s">
        <v>642</v>
      </c>
      <c r="AL76" s="177" t="s">
        <v>642</v>
      </c>
      <c r="AM76" s="177" t="s">
        <v>642</v>
      </c>
      <c r="AN76" s="177" t="s">
        <v>642</v>
      </c>
      <c r="AO76" s="177" t="s">
        <v>642</v>
      </c>
      <c r="AP76" s="177" t="s">
        <v>642</v>
      </c>
      <c r="AQ76" s="177" t="s">
        <v>642</v>
      </c>
      <c r="AR76" s="177" t="s">
        <v>642</v>
      </c>
      <c r="AS76" s="177" t="s">
        <v>642</v>
      </c>
      <c r="AT76" s="177" t="s">
        <v>642</v>
      </c>
      <c r="AU76" s="177" t="s">
        <v>642</v>
      </c>
    </row>
    <row r="77" spans="1:47" x14ac:dyDescent="0.25">
      <c r="A77" s="190" t="s">
        <v>642</v>
      </c>
      <c r="B77" s="65">
        <v>6161.1</v>
      </c>
      <c r="C77" s="191" t="s">
        <v>172</v>
      </c>
      <c r="D77" s="65" t="s">
        <v>747</v>
      </c>
      <c r="E77" s="192" t="str">
        <f>IF(A77=" "," ",VLOOKUP(A77,Estimate!A:Q,17,FALSE))</f>
        <v xml:space="preserve"> </v>
      </c>
      <c r="F77" s="193" t="s">
        <v>642</v>
      </c>
      <c r="G77" s="206" t="s">
        <v>642</v>
      </c>
      <c r="H77" s="195" t="s">
        <v>642</v>
      </c>
      <c r="I77" s="195" t="s">
        <v>642</v>
      </c>
      <c r="J77" s="195"/>
      <c r="K77" s="193" t="s">
        <v>642</v>
      </c>
      <c r="L77" s="196" t="str">
        <f t="shared" si="0"/>
        <v xml:space="preserve"> </v>
      </c>
      <c r="M77" s="193" t="s">
        <v>642</v>
      </c>
      <c r="N77" s="196" t="str">
        <f t="shared" si="0"/>
        <v xml:space="preserve"> </v>
      </c>
      <c r="O77" s="193" t="s">
        <v>642</v>
      </c>
      <c r="P77" s="196" t="str">
        <f t="shared" ref="P77" si="601">IFERROR(IF(O77=0," ",O77/$F77)," ")</f>
        <v xml:space="preserve"> </v>
      </c>
      <c r="Q77" s="193" t="s">
        <v>642</v>
      </c>
      <c r="R77" s="196" t="str">
        <f t="shared" ref="R77" si="602">IFERROR(IF(Q77=0," ",Q77/$F77)," ")</f>
        <v xml:space="preserve"> </v>
      </c>
      <c r="S77" s="193" t="s">
        <v>642</v>
      </c>
      <c r="T77" s="196" t="str">
        <f t="shared" ref="T77" si="603">IFERROR(IF(S77=0," ",S77/$F77)," ")</f>
        <v xml:space="preserve"> </v>
      </c>
      <c r="U77" s="193" t="s">
        <v>642</v>
      </c>
      <c r="V77" s="196" t="str">
        <f t="shared" ref="V77" si="604">IFERROR(IF(U77=0," ",U77/$F77)," ")</f>
        <v xml:space="preserve"> </v>
      </c>
      <c r="W77" s="193" t="s">
        <v>642</v>
      </c>
      <c r="X77" s="196" t="str">
        <f t="shared" ref="X77" si="605">IFERROR(IF(W77=0," ",W77/$F77)," ")</f>
        <v xml:space="preserve"> </v>
      </c>
      <c r="Y77" s="193" t="s">
        <v>642</v>
      </c>
      <c r="Z77" s="196" t="str">
        <f t="shared" ref="Z77" si="606">IFERROR(IF(Y77=0," ",Y77/$F77)," ")</f>
        <v xml:space="preserve"> </v>
      </c>
      <c r="AA77" s="193" t="s">
        <v>642</v>
      </c>
      <c r="AB77" s="196" t="str">
        <f t="shared" ref="AB77" si="607">IFERROR(IF(AA77=0," ",AA77/$F77)," ")</f>
        <v xml:space="preserve"> </v>
      </c>
      <c r="AC77" s="193" t="s">
        <v>642</v>
      </c>
      <c r="AD77" s="196" t="str">
        <f t="shared" ref="AD77" si="608">IFERROR(IF(AC77=0," ",AC77/$F77)," ")</f>
        <v xml:space="preserve"> </v>
      </c>
      <c r="AE77" s="193" t="s">
        <v>642</v>
      </c>
      <c r="AF77" s="196" t="str">
        <f t="shared" ref="AF77" si="609">IFERROR(IF(AE77=0," ",AE77/$F77)," ")</f>
        <v xml:space="preserve"> </v>
      </c>
      <c r="AG77" s="193" t="s">
        <v>642</v>
      </c>
      <c r="AH77" s="196" t="str">
        <f t="shared" ref="AH77" si="610">IFERROR(IF(AG77=0," ",AG77/$F77)," ")</f>
        <v xml:space="preserve"> </v>
      </c>
      <c r="AI77" s="197"/>
      <c r="AJ77" s="177" t="s">
        <v>642</v>
      </c>
      <c r="AK77" s="177" t="s">
        <v>642</v>
      </c>
      <c r="AL77" s="177" t="s">
        <v>642</v>
      </c>
      <c r="AM77" s="177" t="s">
        <v>642</v>
      </c>
      <c r="AN77" s="177" t="s">
        <v>642</v>
      </c>
      <c r="AO77" s="177" t="s">
        <v>642</v>
      </c>
      <c r="AP77" s="177" t="s">
        <v>642</v>
      </c>
      <c r="AQ77" s="177" t="s">
        <v>642</v>
      </c>
      <c r="AR77" s="177" t="s">
        <v>642</v>
      </c>
      <c r="AS77" s="177" t="s">
        <v>642</v>
      </c>
      <c r="AT77" s="177" t="s">
        <v>642</v>
      </c>
      <c r="AU77" s="177" t="s">
        <v>642</v>
      </c>
    </row>
    <row r="78" spans="1:47" x14ac:dyDescent="0.25">
      <c r="A78" s="190">
        <v>32</v>
      </c>
      <c r="B78" s="65">
        <v>6161.3</v>
      </c>
      <c r="C78" s="191" t="s">
        <v>174</v>
      </c>
      <c r="D78" s="65" t="s">
        <v>19</v>
      </c>
      <c r="E78" s="192">
        <f>IF(A78=" "," ",VLOOKUP(A78,Estimate!A:Q,17,FALSE))</f>
        <v>84579.6</v>
      </c>
      <c r="F78" s="193">
        <v>1</v>
      </c>
      <c r="G78" s="206">
        <v>112606.111</v>
      </c>
      <c r="H78" s="195">
        <v>126989.93</v>
      </c>
      <c r="I78" s="195">
        <v>126989.93</v>
      </c>
      <c r="J78" s="195"/>
      <c r="K78" s="193"/>
      <c r="L78" s="196" t="str">
        <f t="shared" si="0"/>
        <v xml:space="preserve"> </v>
      </c>
      <c r="M78" s="193"/>
      <c r="N78" s="196" t="str">
        <f t="shared" si="0"/>
        <v xml:space="preserve"> </v>
      </c>
      <c r="O78" s="193">
        <v>0.04</v>
      </c>
      <c r="P78" s="196">
        <f t="shared" ref="P78" si="611">IFERROR(IF(O78=0," ",O78/$F78)," ")</f>
        <v>0.04</v>
      </c>
      <c r="Q78" s="193">
        <v>0.04</v>
      </c>
      <c r="R78" s="196">
        <f t="shared" ref="R78" si="612">IFERROR(IF(Q78=0," ",Q78/$F78)," ")</f>
        <v>0.04</v>
      </c>
      <c r="S78" s="193">
        <v>0.04</v>
      </c>
      <c r="T78" s="196">
        <f t="shared" ref="T78" si="613">IFERROR(IF(S78=0," ",S78/$F78)," ")</f>
        <v>0.04</v>
      </c>
      <c r="U78" s="193">
        <v>0.8</v>
      </c>
      <c r="V78" s="196">
        <f t="shared" ref="V78" si="614">IFERROR(IF(U78=0," ",U78/$F78)," ")</f>
        <v>0.8</v>
      </c>
      <c r="W78" s="193">
        <v>1</v>
      </c>
      <c r="X78" s="196">
        <f t="shared" ref="X78" si="615">IFERROR(IF(W78=0," ",W78/$F78)," ")</f>
        <v>1</v>
      </c>
      <c r="Y78" s="193">
        <v>1</v>
      </c>
      <c r="Z78" s="196">
        <f t="shared" ref="Z78" si="616">IFERROR(IF(Y78=0," ",Y78/$F78)," ")</f>
        <v>1</v>
      </c>
      <c r="AA78" s="193">
        <v>1</v>
      </c>
      <c r="AB78" s="196">
        <f t="shared" ref="AB78" si="617">IFERROR(IF(AA78=0," ",AA78/$F78)," ")</f>
        <v>1</v>
      </c>
      <c r="AC78" s="193">
        <v>1</v>
      </c>
      <c r="AD78" s="196">
        <f t="shared" ref="AD78" si="618">IFERROR(IF(AC78=0," ",AC78/$F78)," ")</f>
        <v>1</v>
      </c>
      <c r="AE78" s="193">
        <v>1</v>
      </c>
      <c r="AF78" s="196">
        <f t="shared" ref="AF78" si="619">IFERROR(IF(AE78=0," ",AE78/$F78)," ")</f>
        <v>1</v>
      </c>
      <c r="AG78" s="193">
        <v>1</v>
      </c>
      <c r="AH78" s="196">
        <f t="shared" ref="AH78" si="620">IFERROR(IF(AG78=0," ",AG78/$F78)," ")</f>
        <v>1</v>
      </c>
      <c r="AI78" s="197"/>
      <c r="AJ78" s="177">
        <v>0</v>
      </c>
      <c r="AK78" s="177">
        <v>0</v>
      </c>
      <c r="AL78" s="177">
        <v>5079.5972000000002</v>
      </c>
      <c r="AM78" s="177">
        <v>5079.5972000000002</v>
      </c>
      <c r="AN78" s="177">
        <v>5079.5972000000002</v>
      </c>
      <c r="AO78" s="177">
        <v>101591.944</v>
      </c>
      <c r="AP78" s="177">
        <v>126989.93</v>
      </c>
      <c r="AQ78" s="177">
        <v>126989.93</v>
      </c>
      <c r="AR78" s="177">
        <v>126989.93</v>
      </c>
      <c r="AS78" s="177">
        <v>126989.93</v>
      </c>
      <c r="AT78" s="177">
        <v>126989.93</v>
      </c>
      <c r="AU78" s="177">
        <v>126989.93</v>
      </c>
    </row>
    <row r="79" spans="1:47" x14ac:dyDescent="0.25">
      <c r="A79" s="190" t="s">
        <v>642</v>
      </c>
      <c r="B79" s="65">
        <v>9000</v>
      </c>
      <c r="C79" s="191" t="s">
        <v>178</v>
      </c>
      <c r="D79" s="65" t="s">
        <v>747</v>
      </c>
      <c r="E79" s="192" t="str">
        <f>IF(A79=" "," ",VLOOKUP(A79,Estimate!A:Q,17,FALSE))</f>
        <v xml:space="preserve"> </v>
      </c>
      <c r="F79" s="193" t="s">
        <v>642</v>
      </c>
      <c r="G79" s="206" t="s">
        <v>642</v>
      </c>
      <c r="H79" s="195" t="s">
        <v>642</v>
      </c>
      <c r="I79" s="195" t="s">
        <v>642</v>
      </c>
      <c r="J79" s="195"/>
      <c r="K79" s="193" t="s">
        <v>642</v>
      </c>
      <c r="L79" s="196" t="str">
        <f t="shared" si="0"/>
        <v xml:space="preserve"> </v>
      </c>
      <c r="M79" s="193" t="s">
        <v>642</v>
      </c>
      <c r="N79" s="196" t="str">
        <f t="shared" si="0"/>
        <v xml:space="preserve"> </v>
      </c>
      <c r="O79" s="193" t="s">
        <v>642</v>
      </c>
      <c r="P79" s="196" t="str">
        <f t="shared" ref="P79" si="621">IFERROR(IF(O79=0," ",O79/$F79)," ")</f>
        <v xml:space="preserve"> </v>
      </c>
      <c r="Q79" s="193" t="s">
        <v>642</v>
      </c>
      <c r="R79" s="196" t="str">
        <f t="shared" ref="R79" si="622">IFERROR(IF(Q79=0," ",Q79/$F79)," ")</f>
        <v xml:space="preserve"> </v>
      </c>
      <c r="S79" s="193" t="s">
        <v>642</v>
      </c>
      <c r="T79" s="196" t="str">
        <f t="shared" ref="T79" si="623">IFERROR(IF(S79=0," ",S79/$F79)," ")</f>
        <v xml:space="preserve"> </v>
      </c>
      <c r="U79" s="193" t="s">
        <v>642</v>
      </c>
      <c r="V79" s="196" t="str">
        <f t="shared" ref="V79" si="624">IFERROR(IF(U79=0," ",U79/$F79)," ")</f>
        <v xml:space="preserve"> </v>
      </c>
      <c r="W79" s="193" t="s">
        <v>642</v>
      </c>
      <c r="X79" s="196" t="str">
        <f t="shared" ref="X79" si="625">IFERROR(IF(W79=0," ",W79/$F79)," ")</f>
        <v xml:space="preserve"> </v>
      </c>
      <c r="Y79" s="193" t="s">
        <v>642</v>
      </c>
      <c r="Z79" s="196" t="str">
        <f t="shared" ref="Z79" si="626">IFERROR(IF(Y79=0," ",Y79/$F79)," ")</f>
        <v xml:space="preserve"> </v>
      </c>
      <c r="AA79" s="193" t="s">
        <v>642</v>
      </c>
      <c r="AB79" s="196" t="str">
        <f t="shared" ref="AB79" si="627">IFERROR(IF(AA79=0," ",AA79/$F79)," ")</f>
        <v xml:space="preserve"> </v>
      </c>
      <c r="AC79" s="193" t="s">
        <v>642</v>
      </c>
      <c r="AD79" s="196" t="str">
        <f t="shared" ref="AD79" si="628">IFERROR(IF(AC79=0," ",AC79/$F79)," ")</f>
        <v xml:space="preserve"> </v>
      </c>
      <c r="AE79" s="193" t="s">
        <v>642</v>
      </c>
      <c r="AF79" s="196" t="str">
        <f t="shared" ref="AF79" si="629">IFERROR(IF(AE79=0," ",AE79/$F79)," ")</f>
        <v xml:space="preserve"> </v>
      </c>
      <c r="AG79" s="193" t="s">
        <v>642</v>
      </c>
      <c r="AH79" s="196" t="str">
        <f t="shared" ref="AH79" si="630">IFERROR(IF(AG79=0," ",AG79/$F79)," ")</f>
        <v xml:space="preserve"> </v>
      </c>
      <c r="AI79" s="197"/>
      <c r="AJ79" s="177" t="s">
        <v>642</v>
      </c>
      <c r="AK79" s="177" t="s">
        <v>642</v>
      </c>
      <c r="AL79" s="177" t="s">
        <v>642</v>
      </c>
      <c r="AM79" s="177" t="s">
        <v>642</v>
      </c>
      <c r="AN79" s="177" t="s">
        <v>642</v>
      </c>
      <c r="AO79" s="177" t="s">
        <v>642</v>
      </c>
      <c r="AP79" s="177" t="s">
        <v>642</v>
      </c>
      <c r="AQ79" s="177" t="s">
        <v>642</v>
      </c>
      <c r="AR79" s="177" t="s">
        <v>642</v>
      </c>
      <c r="AS79" s="177" t="s">
        <v>642</v>
      </c>
      <c r="AT79" s="177" t="s">
        <v>642</v>
      </c>
      <c r="AU79" s="177" t="s">
        <v>642</v>
      </c>
    </row>
    <row r="80" spans="1:47" x14ac:dyDescent="0.25">
      <c r="A80" s="190" t="s">
        <v>642</v>
      </c>
      <c r="B80" s="65" t="s">
        <v>745</v>
      </c>
      <c r="C80" s="191" t="s">
        <v>642</v>
      </c>
      <c r="D80" s="65" t="s">
        <v>747</v>
      </c>
      <c r="E80" s="192" t="str">
        <f>IF(A80=" "," ",VLOOKUP(A80,Estimate!A:Q,17,FALSE))</f>
        <v xml:space="preserve"> </v>
      </c>
      <c r="F80" s="193" t="s">
        <v>642</v>
      </c>
      <c r="G80" s="206" t="s">
        <v>642</v>
      </c>
      <c r="H80" s="195" t="s">
        <v>642</v>
      </c>
      <c r="I80" s="195" t="s">
        <v>642</v>
      </c>
      <c r="J80" s="195"/>
      <c r="K80" s="193" t="s">
        <v>642</v>
      </c>
      <c r="L80" s="196" t="str">
        <f t="shared" si="0"/>
        <v xml:space="preserve"> </v>
      </c>
      <c r="M80" s="193" t="s">
        <v>642</v>
      </c>
      <c r="N80" s="196" t="str">
        <f t="shared" si="0"/>
        <v xml:space="preserve"> </v>
      </c>
      <c r="O80" s="193" t="s">
        <v>642</v>
      </c>
      <c r="P80" s="196" t="str">
        <f t="shared" ref="P80" si="631">IFERROR(IF(O80=0," ",O80/$F80)," ")</f>
        <v xml:space="preserve"> </v>
      </c>
      <c r="Q80" s="193" t="s">
        <v>642</v>
      </c>
      <c r="R80" s="196" t="str">
        <f t="shared" ref="R80" si="632">IFERROR(IF(Q80=0," ",Q80/$F80)," ")</f>
        <v xml:space="preserve"> </v>
      </c>
      <c r="S80" s="193" t="s">
        <v>642</v>
      </c>
      <c r="T80" s="196" t="str">
        <f t="shared" ref="T80" si="633">IFERROR(IF(S80=0," ",S80/$F80)," ")</f>
        <v xml:space="preserve"> </v>
      </c>
      <c r="U80" s="193" t="s">
        <v>642</v>
      </c>
      <c r="V80" s="196" t="str">
        <f t="shared" ref="V80" si="634">IFERROR(IF(U80=0," ",U80/$F80)," ")</f>
        <v xml:space="preserve"> </v>
      </c>
      <c r="W80" s="193" t="s">
        <v>642</v>
      </c>
      <c r="X80" s="196" t="str">
        <f t="shared" ref="X80" si="635">IFERROR(IF(W80=0," ",W80/$F80)," ")</f>
        <v xml:space="preserve"> </v>
      </c>
      <c r="Y80" s="193" t="s">
        <v>642</v>
      </c>
      <c r="Z80" s="196" t="str">
        <f t="shared" ref="Z80" si="636">IFERROR(IF(Y80=0," ",Y80/$F80)," ")</f>
        <v xml:space="preserve"> </v>
      </c>
      <c r="AA80" s="193" t="s">
        <v>642</v>
      </c>
      <c r="AB80" s="196" t="str">
        <f t="shared" ref="AB80" si="637">IFERROR(IF(AA80=0," ",AA80/$F80)," ")</f>
        <v xml:space="preserve"> </v>
      </c>
      <c r="AC80" s="193" t="s">
        <v>642</v>
      </c>
      <c r="AD80" s="196" t="str">
        <f t="shared" ref="AD80" si="638">IFERROR(IF(AC80=0," ",AC80/$F80)," ")</f>
        <v xml:space="preserve"> </v>
      </c>
      <c r="AE80" s="193" t="s">
        <v>642</v>
      </c>
      <c r="AF80" s="196" t="str">
        <f t="shared" ref="AF80" si="639">IFERROR(IF(AE80=0," ",AE80/$F80)," ")</f>
        <v xml:space="preserve"> </v>
      </c>
      <c r="AG80" s="193" t="s">
        <v>642</v>
      </c>
      <c r="AH80" s="196" t="str">
        <f t="shared" ref="AH80" si="640">IFERROR(IF(AG80=0," ",AG80/$F80)," ")</f>
        <v xml:space="preserve"> </v>
      </c>
      <c r="AI80" s="197"/>
      <c r="AJ80" s="177" t="s">
        <v>642</v>
      </c>
      <c r="AK80" s="177" t="s">
        <v>642</v>
      </c>
      <c r="AL80" s="177" t="s">
        <v>642</v>
      </c>
      <c r="AM80" s="177" t="s">
        <v>642</v>
      </c>
      <c r="AN80" s="177" t="s">
        <v>642</v>
      </c>
      <c r="AO80" s="177" t="s">
        <v>642</v>
      </c>
      <c r="AP80" s="177" t="s">
        <v>642</v>
      </c>
      <c r="AQ80" s="177" t="s">
        <v>642</v>
      </c>
      <c r="AR80" s="177" t="s">
        <v>642</v>
      </c>
      <c r="AS80" s="177" t="s">
        <v>642</v>
      </c>
      <c r="AT80" s="177" t="s">
        <v>642</v>
      </c>
      <c r="AU80" s="177" t="s">
        <v>642</v>
      </c>
    </row>
    <row r="81" spans="1:47" x14ac:dyDescent="0.25">
      <c r="A81" s="190">
        <v>32.5</v>
      </c>
      <c r="B81" s="65">
        <v>9001</v>
      </c>
      <c r="C81" s="191" t="s">
        <v>180</v>
      </c>
      <c r="D81" s="65" t="s">
        <v>17</v>
      </c>
      <c r="E81" s="192">
        <f>IF(A81=" "," ",VLOOKUP(A81,Estimate!A:Q,17,FALSE))</f>
        <v>57531</v>
      </c>
      <c r="F81" s="193">
        <v>1</v>
      </c>
      <c r="G81" s="206">
        <v>76594.615000000005</v>
      </c>
      <c r="H81" s="195">
        <v>86378.48</v>
      </c>
      <c r="I81" s="195">
        <v>86378.48</v>
      </c>
      <c r="J81" s="195"/>
      <c r="K81" s="193"/>
      <c r="L81" s="196" t="str">
        <f t="shared" ref="L81:N144" si="641">IFERROR(IF(K81=0," ",K81/$F81)," ")</f>
        <v xml:space="preserve"> </v>
      </c>
      <c r="M81" s="193">
        <v>0.2</v>
      </c>
      <c r="N81" s="196">
        <f t="shared" si="641"/>
        <v>0.2</v>
      </c>
      <c r="O81" s="193">
        <v>0.4</v>
      </c>
      <c r="P81" s="196">
        <f t="shared" ref="P81" si="642">IFERROR(IF(O81=0," ",O81/$F81)," ")</f>
        <v>0.4</v>
      </c>
      <c r="Q81" s="193">
        <v>0.65</v>
      </c>
      <c r="R81" s="196">
        <f t="shared" ref="R81" si="643">IFERROR(IF(Q81=0," ",Q81/$F81)," ")</f>
        <v>0.65</v>
      </c>
      <c r="S81" s="193">
        <v>0.7</v>
      </c>
      <c r="T81" s="196">
        <f t="shared" ref="T81" si="644">IFERROR(IF(S81=0," ",S81/$F81)," ")</f>
        <v>0.7</v>
      </c>
      <c r="U81" s="193">
        <v>0.85</v>
      </c>
      <c r="V81" s="196">
        <f t="shared" ref="V81" si="645">IFERROR(IF(U81=0," ",U81/$F81)," ")</f>
        <v>0.85</v>
      </c>
      <c r="W81" s="193">
        <v>1</v>
      </c>
      <c r="X81" s="196">
        <f t="shared" ref="X81" si="646">IFERROR(IF(W81=0," ",W81/$F81)," ")</f>
        <v>1</v>
      </c>
      <c r="Y81" s="193">
        <v>1</v>
      </c>
      <c r="Z81" s="196">
        <f t="shared" ref="Z81" si="647">IFERROR(IF(Y81=0," ",Y81/$F81)," ")</f>
        <v>1</v>
      </c>
      <c r="AA81" s="193">
        <v>1</v>
      </c>
      <c r="AB81" s="196">
        <f t="shared" ref="AB81" si="648">IFERROR(IF(AA81=0," ",AA81/$F81)," ")</f>
        <v>1</v>
      </c>
      <c r="AC81" s="193">
        <v>1</v>
      </c>
      <c r="AD81" s="196">
        <f t="shared" ref="AD81" si="649">IFERROR(IF(AC81=0," ",AC81/$F81)," ")</f>
        <v>1</v>
      </c>
      <c r="AE81" s="193">
        <v>1</v>
      </c>
      <c r="AF81" s="196">
        <f t="shared" ref="AF81" si="650">IFERROR(IF(AE81=0," ",AE81/$F81)," ")</f>
        <v>1</v>
      </c>
      <c r="AG81" s="193">
        <v>1</v>
      </c>
      <c r="AH81" s="196">
        <f t="shared" ref="AH81" si="651">IFERROR(IF(AG81=0," ",AG81/$F81)," ")</f>
        <v>1</v>
      </c>
      <c r="AI81" s="197"/>
      <c r="AJ81" s="177">
        <v>0</v>
      </c>
      <c r="AK81" s="177">
        <v>17275.696</v>
      </c>
      <c r="AL81" s="177">
        <v>34551.392</v>
      </c>
      <c r="AM81" s="177">
        <v>56146.012000000002</v>
      </c>
      <c r="AN81" s="177">
        <v>60464.935999999994</v>
      </c>
      <c r="AO81" s="177">
        <v>73421.707999999999</v>
      </c>
      <c r="AP81" s="177">
        <v>86378.48</v>
      </c>
      <c r="AQ81" s="177">
        <v>86378.48</v>
      </c>
      <c r="AR81" s="177">
        <v>86378.48</v>
      </c>
      <c r="AS81" s="177">
        <v>86378.48</v>
      </c>
      <c r="AT81" s="177">
        <v>86378.48</v>
      </c>
      <c r="AU81" s="177">
        <v>86378.48</v>
      </c>
    </row>
    <row r="82" spans="1:47" x14ac:dyDescent="0.25">
      <c r="A82" s="190">
        <v>33</v>
      </c>
      <c r="B82" s="65">
        <v>9002</v>
      </c>
      <c r="C82" s="191" t="s">
        <v>186</v>
      </c>
      <c r="D82" s="65" t="s">
        <v>17</v>
      </c>
      <c r="E82" s="192">
        <f>IF(A82=" "," ",VLOOKUP(A82,Estimate!A:Q,17,FALSE))</f>
        <v>15945</v>
      </c>
      <c r="F82" s="193">
        <v>1</v>
      </c>
      <c r="G82" s="206">
        <v>21228.574000000001</v>
      </c>
      <c r="H82" s="195">
        <v>23940.22</v>
      </c>
      <c r="I82" s="195">
        <v>23940.22</v>
      </c>
      <c r="J82" s="195"/>
      <c r="K82" s="193">
        <v>0.25</v>
      </c>
      <c r="L82" s="196">
        <f t="shared" si="641"/>
        <v>0.25</v>
      </c>
      <c r="M82" s="193">
        <v>0.5</v>
      </c>
      <c r="N82" s="196">
        <f t="shared" si="641"/>
        <v>0.5</v>
      </c>
      <c r="O82" s="193">
        <v>0.7</v>
      </c>
      <c r="P82" s="196">
        <f t="shared" ref="P82" si="652">IFERROR(IF(O82=0," ",O82/$F82)," ")</f>
        <v>0.7</v>
      </c>
      <c r="Q82" s="193">
        <v>0.8</v>
      </c>
      <c r="R82" s="196">
        <f t="shared" ref="R82" si="653">IFERROR(IF(Q82=0," ",Q82/$F82)," ")</f>
        <v>0.8</v>
      </c>
      <c r="S82" s="193">
        <v>0.9</v>
      </c>
      <c r="T82" s="196">
        <f t="shared" ref="T82" si="654">IFERROR(IF(S82=0," ",S82/$F82)," ")</f>
        <v>0.9</v>
      </c>
      <c r="U82" s="193">
        <v>0.95</v>
      </c>
      <c r="V82" s="196">
        <f t="shared" ref="V82" si="655">IFERROR(IF(U82=0," ",U82/$F82)," ")</f>
        <v>0.95</v>
      </c>
      <c r="W82" s="193">
        <v>1</v>
      </c>
      <c r="X82" s="196">
        <f t="shared" ref="X82" si="656">IFERROR(IF(W82=0," ",W82/$F82)," ")</f>
        <v>1</v>
      </c>
      <c r="Y82" s="193">
        <v>1</v>
      </c>
      <c r="Z82" s="196">
        <f t="shared" ref="Z82" si="657">IFERROR(IF(Y82=0," ",Y82/$F82)," ")</f>
        <v>1</v>
      </c>
      <c r="AA82" s="193">
        <v>1</v>
      </c>
      <c r="AB82" s="196">
        <f t="shared" ref="AB82" si="658">IFERROR(IF(AA82=0," ",AA82/$F82)," ")</f>
        <v>1</v>
      </c>
      <c r="AC82" s="193">
        <v>1</v>
      </c>
      <c r="AD82" s="196">
        <f t="shared" ref="AD82" si="659">IFERROR(IF(AC82=0," ",AC82/$F82)," ")</f>
        <v>1</v>
      </c>
      <c r="AE82" s="193">
        <v>1</v>
      </c>
      <c r="AF82" s="196">
        <f t="shared" ref="AF82" si="660">IFERROR(IF(AE82=0," ",AE82/$F82)," ")</f>
        <v>1</v>
      </c>
      <c r="AG82" s="193">
        <v>1</v>
      </c>
      <c r="AH82" s="196">
        <f t="shared" ref="AH82" si="661">IFERROR(IF(AG82=0," ",AG82/$F82)," ")</f>
        <v>1</v>
      </c>
      <c r="AI82" s="197"/>
      <c r="AJ82" s="177">
        <v>5985.0550000000003</v>
      </c>
      <c r="AK82" s="177">
        <v>11970.11</v>
      </c>
      <c r="AL82" s="177">
        <v>16758.153999999999</v>
      </c>
      <c r="AM82" s="177">
        <v>19152.176000000003</v>
      </c>
      <c r="AN82" s="177">
        <v>21546.198</v>
      </c>
      <c r="AO82" s="177">
        <v>22743.208999999999</v>
      </c>
      <c r="AP82" s="177">
        <v>23940.22</v>
      </c>
      <c r="AQ82" s="177">
        <v>23940.22</v>
      </c>
      <c r="AR82" s="177">
        <v>23940.22</v>
      </c>
      <c r="AS82" s="177">
        <v>23940.22</v>
      </c>
      <c r="AT82" s="177">
        <v>23940.22</v>
      </c>
      <c r="AU82" s="177">
        <v>23940.22</v>
      </c>
    </row>
    <row r="83" spans="1:47" x14ac:dyDescent="0.25">
      <c r="A83" s="190">
        <v>34</v>
      </c>
      <c r="B83" s="65">
        <v>9002</v>
      </c>
      <c r="C83" s="191" t="s">
        <v>189</v>
      </c>
      <c r="D83" s="65" t="s">
        <v>17</v>
      </c>
      <c r="E83" s="192">
        <f>IF(A83=" "," ",VLOOKUP(A83,Estimate!A:Q,17,FALSE))</f>
        <v>7390</v>
      </c>
      <c r="F83" s="193">
        <v>1</v>
      </c>
      <c r="G83" s="206">
        <v>9838.768</v>
      </c>
      <c r="H83" s="195">
        <v>11095.53</v>
      </c>
      <c r="I83" s="195">
        <v>11095.53</v>
      </c>
      <c r="J83" s="195"/>
      <c r="K83" s="193"/>
      <c r="L83" s="196" t="str">
        <f t="shared" si="641"/>
        <v xml:space="preserve"> </v>
      </c>
      <c r="M83" s="193"/>
      <c r="N83" s="196" t="str">
        <f t="shared" si="641"/>
        <v xml:space="preserve"> </v>
      </c>
      <c r="O83" s="193"/>
      <c r="P83" s="196" t="str">
        <f t="shared" ref="P83" si="662">IFERROR(IF(O83=0," ",O83/$F83)," ")</f>
        <v xml:space="preserve"> </v>
      </c>
      <c r="Q83" s="193">
        <v>0.6</v>
      </c>
      <c r="R83" s="196">
        <f t="shared" ref="R83" si="663">IFERROR(IF(Q83=0," ",Q83/$F83)," ")</f>
        <v>0.6</v>
      </c>
      <c r="S83" s="193">
        <v>0.65</v>
      </c>
      <c r="T83" s="196">
        <f t="shared" ref="T83" si="664">IFERROR(IF(S83=0," ",S83/$F83)," ")</f>
        <v>0.65</v>
      </c>
      <c r="U83" s="193">
        <v>0.8</v>
      </c>
      <c r="V83" s="196">
        <f t="shared" ref="V83" si="665">IFERROR(IF(U83=0," ",U83/$F83)," ")</f>
        <v>0.8</v>
      </c>
      <c r="W83" s="193">
        <v>1</v>
      </c>
      <c r="X83" s="196">
        <f t="shared" ref="X83" si="666">IFERROR(IF(W83=0," ",W83/$F83)," ")</f>
        <v>1</v>
      </c>
      <c r="Y83" s="193">
        <v>1</v>
      </c>
      <c r="Z83" s="196">
        <f t="shared" ref="Z83" si="667">IFERROR(IF(Y83=0," ",Y83/$F83)," ")</f>
        <v>1</v>
      </c>
      <c r="AA83" s="193">
        <v>1</v>
      </c>
      <c r="AB83" s="196">
        <f t="shared" ref="AB83" si="668">IFERROR(IF(AA83=0," ",AA83/$F83)," ")</f>
        <v>1</v>
      </c>
      <c r="AC83" s="193">
        <v>1</v>
      </c>
      <c r="AD83" s="196">
        <f t="shared" ref="AD83" si="669">IFERROR(IF(AC83=0," ",AC83/$F83)," ")</f>
        <v>1</v>
      </c>
      <c r="AE83" s="193">
        <v>1</v>
      </c>
      <c r="AF83" s="196">
        <f t="shared" ref="AF83" si="670">IFERROR(IF(AE83=0," ",AE83/$F83)," ")</f>
        <v>1</v>
      </c>
      <c r="AG83" s="193">
        <v>1</v>
      </c>
      <c r="AH83" s="196">
        <f t="shared" ref="AH83" si="671">IFERROR(IF(AG83=0," ",AG83/$F83)," ")</f>
        <v>1</v>
      </c>
      <c r="AI83" s="197"/>
      <c r="AJ83" s="177" t="s">
        <v>642</v>
      </c>
      <c r="AK83" s="177" t="s">
        <v>642</v>
      </c>
      <c r="AL83" s="177" t="s">
        <v>642</v>
      </c>
      <c r="AM83" s="177">
        <v>6657.3180000000002</v>
      </c>
      <c r="AN83" s="177">
        <v>7212.0945000000011</v>
      </c>
      <c r="AO83" s="177">
        <v>8876.4240000000009</v>
      </c>
      <c r="AP83" s="177">
        <v>11095.53</v>
      </c>
      <c r="AQ83" s="177">
        <v>11095.53</v>
      </c>
      <c r="AR83" s="177">
        <v>11095.53</v>
      </c>
      <c r="AS83" s="177">
        <v>11095.53</v>
      </c>
      <c r="AT83" s="177">
        <v>11095.53</v>
      </c>
      <c r="AU83" s="177">
        <v>11095.53</v>
      </c>
    </row>
    <row r="84" spans="1:47" x14ac:dyDescent="0.25">
      <c r="A84" s="190">
        <v>35</v>
      </c>
      <c r="B84" s="65">
        <v>9051</v>
      </c>
      <c r="C84" s="191" t="s">
        <v>191</v>
      </c>
      <c r="D84" s="65" t="s">
        <v>17</v>
      </c>
      <c r="E84" s="192">
        <f>IF(A84=" "," ",VLOOKUP(A84,Estimate!A:Q,17,FALSE))</f>
        <v>1998</v>
      </c>
      <c r="F84" s="193">
        <v>1</v>
      </c>
      <c r="G84" s="206">
        <v>2660.0639999999999</v>
      </c>
      <c r="H84" s="195">
        <v>2999.85</v>
      </c>
      <c r="I84" s="195">
        <v>2999.85</v>
      </c>
      <c r="J84" s="195"/>
      <c r="K84" s="193">
        <v>0.1</v>
      </c>
      <c r="L84" s="196">
        <f t="shared" si="641"/>
        <v>0.1</v>
      </c>
      <c r="M84" s="193">
        <v>0.25</v>
      </c>
      <c r="N84" s="196">
        <f t="shared" si="641"/>
        <v>0.25</v>
      </c>
      <c r="O84" s="193">
        <v>0.5</v>
      </c>
      <c r="P84" s="196">
        <f t="shared" ref="P84" si="672">IFERROR(IF(O84=0," ",O84/$F84)," ")</f>
        <v>0.5</v>
      </c>
      <c r="Q84" s="193">
        <v>0.75</v>
      </c>
      <c r="R84" s="196">
        <f t="shared" ref="R84" si="673">IFERROR(IF(Q84=0," ",Q84/$F84)," ")</f>
        <v>0.75</v>
      </c>
      <c r="S84" s="193">
        <v>1</v>
      </c>
      <c r="T84" s="196">
        <f t="shared" ref="T84" si="674">IFERROR(IF(S84=0," ",S84/$F84)," ")</f>
        <v>1</v>
      </c>
      <c r="U84" s="193">
        <v>1</v>
      </c>
      <c r="V84" s="196">
        <f t="shared" ref="V84" si="675">IFERROR(IF(U84=0," ",U84/$F84)," ")</f>
        <v>1</v>
      </c>
      <c r="W84" s="193">
        <v>1</v>
      </c>
      <c r="X84" s="196">
        <f t="shared" ref="X84" si="676">IFERROR(IF(W84=0," ",W84/$F84)," ")</f>
        <v>1</v>
      </c>
      <c r="Y84" s="193">
        <v>1</v>
      </c>
      <c r="Z84" s="196">
        <f t="shared" ref="Z84" si="677">IFERROR(IF(Y84=0," ",Y84/$F84)," ")</f>
        <v>1</v>
      </c>
      <c r="AA84" s="193">
        <v>1</v>
      </c>
      <c r="AB84" s="196">
        <f t="shared" ref="AB84" si="678">IFERROR(IF(AA84=0," ",AA84/$F84)," ")</f>
        <v>1</v>
      </c>
      <c r="AC84" s="193">
        <v>1</v>
      </c>
      <c r="AD84" s="196">
        <f t="shared" ref="AD84" si="679">IFERROR(IF(AC84=0," ",AC84/$F84)," ")</f>
        <v>1</v>
      </c>
      <c r="AE84" s="193">
        <v>1</v>
      </c>
      <c r="AF84" s="196">
        <f t="shared" ref="AF84" si="680">IFERROR(IF(AE84=0," ",AE84/$F84)," ")</f>
        <v>1</v>
      </c>
      <c r="AG84" s="193">
        <v>1</v>
      </c>
      <c r="AH84" s="196">
        <f t="shared" ref="AH84" si="681">IFERROR(IF(AG84=0," ",AG84/$F84)," ")</f>
        <v>1</v>
      </c>
      <c r="AI84" s="197"/>
      <c r="AJ84" s="177">
        <v>299.98500000000001</v>
      </c>
      <c r="AK84" s="177">
        <v>749.96249999999998</v>
      </c>
      <c r="AL84" s="177">
        <v>1499.925</v>
      </c>
      <c r="AM84" s="177">
        <v>2249.8874999999998</v>
      </c>
      <c r="AN84" s="177">
        <v>2999.85</v>
      </c>
      <c r="AO84" s="177">
        <v>2999.85</v>
      </c>
      <c r="AP84" s="177">
        <v>2999.85</v>
      </c>
      <c r="AQ84" s="177">
        <v>2999.85</v>
      </c>
      <c r="AR84" s="177">
        <v>2999.85</v>
      </c>
      <c r="AS84" s="177">
        <v>2999.85</v>
      </c>
      <c r="AT84" s="177">
        <v>2999.85</v>
      </c>
      <c r="AU84" s="177">
        <v>2999.85</v>
      </c>
    </row>
    <row r="85" spans="1:47" x14ac:dyDescent="0.25">
      <c r="A85" s="190" t="s">
        <v>642</v>
      </c>
      <c r="B85" s="65" t="s">
        <v>745</v>
      </c>
      <c r="C85" s="191" t="s">
        <v>642</v>
      </c>
      <c r="D85" s="65" t="s">
        <v>747</v>
      </c>
      <c r="E85" s="192" t="str">
        <f>IF(A85=" "," ",VLOOKUP(A85,Estimate!A:Q,17,FALSE))</f>
        <v xml:space="preserve"> </v>
      </c>
      <c r="F85" s="193" t="s">
        <v>642</v>
      </c>
      <c r="G85" s="206"/>
      <c r="H85" s="195" t="s">
        <v>642</v>
      </c>
      <c r="I85" s="195" t="s">
        <v>642</v>
      </c>
      <c r="J85" s="195"/>
      <c r="K85" s="193" t="s">
        <v>642</v>
      </c>
      <c r="L85" s="196" t="str">
        <f t="shared" si="641"/>
        <v xml:space="preserve"> </v>
      </c>
      <c r="M85" s="193" t="s">
        <v>642</v>
      </c>
      <c r="N85" s="196" t="str">
        <f t="shared" si="641"/>
        <v xml:space="preserve"> </v>
      </c>
      <c r="O85" s="193" t="s">
        <v>642</v>
      </c>
      <c r="P85" s="196" t="str">
        <f t="shared" ref="P85" si="682">IFERROR(IF(O85=0," ",O85/$F85)," ")</f>
        <v xml:space="preserve"> </v>
      </c>
      <c r="Q85" s="193" t="s">
        <v>642</v>
      </c>
      <c r="R85" s="196" t="str">
        <f t="shared" ref="R85" si="683">IFERROR(IF(Q85=0," ",Q85/$F85)," ")</f>
        <v xml:space="preserve"> </v>
      </c>
      <c r="S85" s="193" t="s">
        <v>642</v>
      </c>
      <c r="T85" s="196" t="str">
        <f t="shared" ref="T85" si="684">IFERROR(IF(S85=0," ",S85/$F85)," ")</f>
        <v xml:space="preserve"> </v>
      </c>
      <c r="U85" s="193" t="s">
        <v>642</v>
      </c>
      <c r="V85" s="196" t="str">
        <f t="shared" ref="V85" si="685">IFERROR(IF(U85=0," ",U85/$F85)," ")</f>
        <v xml:space="preserve"> </v>
      </c>
      <c r="W85" s="193" t="s">
        <v>642</v>
      </c>
      <c r="X85" s="196" t="str">
        <f t="shared" ref="X85" si="686">IFERROR(IF(W85=0," ",W85/$F85)," ")</f>
        <v xml:space="preserve"> </v>
      </c>
      <c r="Y85" s="193" t="s">
        <v>642</v>
      </c>
      <c r="Z85" s="196" t="str">
        <f t="shared" ref="Z85" si="687">IFERROR(IF(Y85=0," ",Y85/$F85)," ")</f>
        <v xml:space="preserve"> </v>
      </c>
      <c r="AA85" s="193" t="s">
        <v>642</v>
      </c>
      <c r="AB85" s="196" t="str">
        <f t="shared" ref="AB85" si="688">IFERROR(IF(AA85=0," ",AA85/$F85)," ")</f>
        <v xml:space="preserve"> </v>
      </c>
      <c r="AC85" s="193" t="s">
        <v>642</v>
      </c>
      <c r="AD85" s="196" t="str">
        <f t="shared" ref="AD85" si="689">IFERROR(IF(AC85=0," ",AC85/$F85)," ")</f>
        <v xml:space="preserve"> </v>
      </c>
      <c r="AE85" s="193" t="s">
        <v>642</v>
      </c>
      <c r="AF85" s="196" t="str">
        <f t="shared" ref="AF85" si="690">IFERROR(IF(AE85=0," ",AE85/$F85)," ")</f>
        <v xml:space="preserve"> </v>
      </c>
      <c r="AG85" s="193" t="s">
        <v>642</v>
      </c>
      <c r="AH85" s="196" t="str">
        <f t="shared" ref="AH85" si="691">IFERROR(IF(AG85=0," ",AG85/$F85)," ")</f>
        <v xml:space="preserve"> </v>
      </c>
      <c r="AI85" s="197"/>
      <c r="AJ85" s="177" t="s">
        <v>642</v>
      </c>
      <c r="AK85" s="177" t="s">
        <v>642</v>
      </c>
      <c r="AL85" s="177" t="s">
        <v>642</v>
      </c>
      <c r="AM85" s="177" t="s">
        <v>642</v>
      </c>
      <c r="AN85" s="177" t="s">
        <v>642</v>
      </c>
      <c r="AO85" s="177" t="s">
        <v>642</v>
      </c>
      <c r="AP85" s="177" t="s">
        <v>642</v>
      </c>
      <c r="AQ85" s="177" t="s">
        <v>642</v>
      </c>
      <c r="AR85" s="177" t="s">
        <v>642</v>
      </c>
      <c r="AS85" s="177" t="s">
        <v>642</v>
      </c>
      <c r="AT85" s="177" t="s">
        <v>642</v>
      </c>
      <c r="AU85" s="177" t="s">
        <v>642</v>
      </c>
    </row>
    <row r="86" spans="1:47" x14ac:dyDescent="0.25">
      <c r="A86" s="190" t="s">
        <v>642</v>
      </c>
      <c r="B86" s="65" t="s">
        <v>764</v>
      </c>
      <c r="C86" s="191" t="s">
        <v>194</v>
      </c>
      <c r="D86" s="65" t="s">
        <v>747</v>
      </c>
      <c r="E86" s="192" t="str">
        <f>IF(A86=" "," ",VLOOKUP(A86,Estimate!A:Q,17,FALSE))</f>
        <v xml:space="preserve"> </v>
      </c>
      <c r="F86" s="193" t="s">
        <v>642</v>
      </c>
      <c r="G86" s="206" t="s">
        <v>642</v>
      </c>
      <c r="H86" s="195" t="s">
        <v>642</v>
      </c>
      <c r="I86" s="195" t="s">
        <v>642</v>
      </c>
      <c r="J86" s="195"/>
      <c r="K86" s="193" t="s">
        <v>642</v>
      </c>
      <c r="L86" s="196" t="str">
        <f t="shared" si="641"/>
        <v xml:space="preserve"> </v>
      </c>
      <c r="M86" s="193" t="s">
        <v>642</v>
      </c>
      <c r="N86" s="196" t="str">
        <f t="shared" si="641"/>
        <v xml:space="preserve"> </v>
      </c>
      <c r="O86" s="193" t="s">
        <v>642</v>
      </c>
      <c r="P86" s="196" t="str">
        <f t="shared" ref="P86" si="692">IFERROR(IF(O86=0," ",O86/$F86)," ")</f>
        <v xml:space="preserve"> </v>
      </c>
      <c r="Q86" s="193" t="s">
        <v>642</v>
      </c>
      <c r="R86" s="196" t="str">
        <f t="shared" ref="R86" si="693">IFERROR(IF(Q86=0," ",Q86/$F86)," ")</f>
        <v xml:space="preserve"> </v>
      </c>
      <c r="S86" s="193" t="s">
        <v>642</v>
      </c>
      <c r="T86" s="196" t="str">
        <f t="shared" ref="T86" si="694">IFERROR(IF(S86=0," ",S86/$F86)," ")</f>
        <v xml:space="preserve"> </v>
      </c>
      <c r="U86" s="193" t="s">
        <v>642</v>
      </c>
      <c r="V86" s="196" t="str">
        <f t="shared" ref="V86" si="695">IFERROR(IF(U86=0," ",U86/$F86)," ")</f>
        <v xml:space="preserve"> </v>
      </c>
      <c r="W86" s="193" t="s">
        <v>642</v>
      </c>
      <c r="X86" s="196" t="str">
        <f t="shared" ref="X86" si="696">IFERROR(IF(W86=0," ",W86/$F86)," ")</f>
        <v xml:space="preserve"> </v>
      </c>
      <c r="Y86" s="193" t="s">
        <v>642</v>
      </c>
      <c r="Z86" s="196" t="str">
        <f t="shared" ref="Z86" si="697">IFERROR(IF(Y86=0," ",Y86/$F86)," ")</f>
        <v xml:space="preserve"> </v>
      </c>
      <c r="AA86" s="193" t="s">
        <v>642</v>
      </c>
      <c r="AB86" s="196" t="str">
        <f t="shared" ref="AB86" si="698">IFERROR(IF(AA86=0," ",AA86/$F86)," ")</f>
        <v xml:space="preserve"> </v>
      </c>
      <c r="AC86" s="193" t="s">
        <v>642</v>
      </c>
      <c r="AD86" s="196" t="str">
        <f t="shared" ref="AD86" si="699">IFERROR(IF(AC86=0," ",AC86/$F86)," ")</f>
        <v xml:space="preserve"> </v>
      </c>
      <c r="AE86" s="193" t="s">
        <v>642</v>
      </c>
      <c r="AF86" s="196" t="str">
        <f t="shared" ref="AF86" si="700">IFERROR(IF(AE86=0," ",AE86/$F86)," ")</f>
        <v xml:space="preserve"> </v>
      </c>
      <c r="AG86" s="193" t="s">
        <v>642</v>
      </c>
      <c r="AH86" s="196" t="str">
        <f t="shared" ref="AH86" si="701">IFERROR(IF(AG86=0," ",AG86/$F86)," ")</f>
        <v xml:space="preserve"> </v>
      </c>
      <c r="AI86" s="197"/>
      <c r="AJ86" s="177" t="s">
        <v>642</v>
      </c>
      <c r="AK86" s="177" t="s">
        <v>642</v>
      </c>
      <c r="AL86" s="177" t="s">
        <v>642</v>
      </c>
      <c r="AM86" s="177" t="s">
        <v>642</v>
      </c>
      <c r="AN86" s="177" t="s">
        <v>642</v>
      </c>
      <c r="AO86" s="177" t="s">
        <v>642</v>
      </c>
      <c r="AP86" s="177" t="s">
        <v>642</v>
      </c>
      <c r="AQ86" s="177" t="s">
        <v>642</v>
      </c>
      <c r="AR86" s="177" t="s">
        <v>642</v>
      </c>
      <c r="AS86" s="177" t="s">
        <v>642</v>
      </c>
      <c r="AT86" s="177" t="s">
        <v>642</v>
      </c>
      <c r="AU86" s="177" t="s">
        <v>642</v>
      </c>
    </row>
    <row r="87" spans="1:47" x14ac:dyDescent="0.25">
      <c r="A87" s="190" t="s">
        <v>642</v>
      </c>
      <c r="B87" s="65">
        <v>9300</v>
      </c>
      <c r="C87" s="191" t="s">
        <v>196</v>
      </c>
      <c r="D87" s="65" t="s">
        <v>747</v>
      </c>
      <c r="E87" s="192" t="str">
        <f>IF(A87=" "," ",VLOOKUP(A87,Estimate!A:Q,17,FALSE))</f>
        <v xml:space="preserve"> </v>
      </c>
      <c r="F87" s="193" t="s">
        <v>642</v>
      </c>
      <c r="G87" s="206" t="s">
        <v>642</v>
      </c>
      <c r="H87" s="195" t="s">
        <v>642</v>
      </c>
      <c r="I87" s="195" t="s">
        <v>642</v>
      </c>
      <c r="J87" s="195"/>
      <c r="K87" s="193" t="s">
        <v>642</v>
      </c>
      <c r="L87" s="196" t="str">
        <f t="shared" si="641"/>
        <v xml:space="preserve"> </v>
      </c>
      <c r="M87" s="193" t="s">
        <v>642</v>
      </c>
      <c r="N87" s="196" t="str">
        <f t="shared" si="641"/>
        <v xml:space="preserve"> </v>
      </c>
      <c r="O87" s="193" t="s">
        <v>642</v>
      </c>
      <c r="P87" s="196" t="str">
        <f t="shared" ref="P87" si="702">IFERROR(IF(O87=0," ",O87/$F87)," ")</f>
        <v xml:space="preserve"> </v>
      </c>
      <c r="Q87" s="193" t="s">
        <v>642</v>
      </c>
      <c r="R87" s="196" t="str">
        <f t="shared" ref="R87" si="703">IFERROR(IF(Q87=0," ",Q87/$F87)," ")</f>
        <v xml:space="preserve"> </v>
      </c>
      <c r="S87" s="193" t="s">
        <v>642</v>
      </c>
      <c r="T87" s="196" t="str">
        <f t="shared" ref="T87" si="704">IFERROR(IF(S87=0," ",S87/$F87)," ")</f>
        <v xml:space="preserve"> </v>
      </c>
      <c r="U87" s="193" t="s">
        <v>642</v>
      </c>
      <c r="V87" s="196" t="str">
        <f t="shared" ref="V87" si="705">IFERROR(IF(U87=0," ",U87/$F87)," ")</f>
        <v xml:space="preserve"> </v>
      </c>
      <c r="W87" s="193" t="s">
        <v>642</v>
      </c>
      <c r="X87" s="196" t="str">
        <f t="shared" ref="X87" si="706">IFERROR(IF(W87=0," ",W87/$F87)," ")</f>
        <v xml:space="preserve"> </v>
      </c>
      <c r="Y87" s="193" t="s">
        <v>642</v>
      </c>
      <c r="Z87" s="196" t="str">
        <f t="shared" ref="Z87" si="707">IFERROR(IF(Y87=0," ",Y87/$F87)," ")</f>
        <v xml:space="preserve"> </v>
      </c>
      <c r="AA87" s="193" t="s">
        <v>642</v>
      </c>
      <c r="AB87" s="196" t="str">
        <f t="shared" ref="AB87" si="708">IFERROR(IF(AA87=0," ",AA87/$F87)," ")</f>
        <v xml:space="preserve"> </v>
      </c>
      <c r="AC87" s="193" t="s">
        <v>642</v>
      </c>
      <c r="AD87" s="196" t="str">
        <f t="shared" ref="AD87" si="709">IFERROR(IF(AC87=0," ",AC87/$F87)," ")</f>
        <v xml:space="preserve"> </v>
      </c>
      <c r="AE87" s="193" t="s">
        <v>642</v>
      </c>
      <c r="AF87" s="196" t="str">
        <f t="shared" ref="AF87" si="710">IFERROR(IF(AE87=0," ",AE87/$F87)," ")</f>
        <v xml:space="preserve"> </v>
      </c>
      <c r="AG87" s="193" t="s">
        <v>642</v>
      </c>
      <c r="AH87" s="196" t="str">
        <f t="shared" ref="AH87" si="711">IFERROR(IF(AG87=0," ",AG87/$F87)," ")</f>
        <v xml:space="preserve"> </v>
      </c>
      <c r="AI87" s="197"/>
      <c r="AJ87" s="177" t="s">
        <v>642</v>
      </c>
      <c r="AK87" s="177" t="s">
        <v>642</v>
      </c>
      <c r="AL87" s="177" t="s">
        <v>642</v>
      </c>
      <c r="AM87" s="177" t="s">
        <v>642</v>
      </c>
      <c r="AN87" s="177" t="s">
        <v>642</v>
      </c>
      <c r="AO87" s="177" t="s">
        <v>642</v>
      </c>
      <c r="AP87" s="177" t="s">
        <v>642</v>
      </c>
      <c r="AQ87" s="177" t="s">
        <v>642</v>
      </c>
      <c r="AR87" s="177" t="s">
        <v>642</v>
      </c>
      <c r="AS87" s="177" t="s">
        <v>642</v>
      </c>
      <c r="AT87" s="177" t="s">
        <v>642</v>
      </c>
      <c r="AU87" s="177" t="s">
        <v>642</v>
      </c>
    </row>
    <row r="88" spans="1:47" x14ac:dyDescent="0.25">
      <c r="A88" s="190" t="s">
        <v>642</v>
      </c>
      <c r="B88" s="65">
        <v>9304</v>
      </c>
      <c r="C88" s="191" t="s">
        <v>198</v>
      </c>
      <c r="D88" s="65" t="s">
        <v>747</v>
      </c>
      <c r="E88" s="192" t="str">
        <f>IF(A88=" "," ",VLOOKUP(A88,Estimate!A:Q,17,FALSE))</f>
        <v xml:space="preserve"> </v>
      </c>
      <c r="F88" s="193" t="s">
        <v>642</v>
      </c>
      <c r="G88" s="206" t="s">
        <v>642</v>
      </c>
      <c r="H88" s="195" t="s">
        <v>642</v>
      </c>
      <c r="I88" s="195" t="s">
        <v>642</v>
      </c>
      <c r="J88" s="195"/>
      <c r="K88" s="193" t="s">
        <v>642</v>
      </c>
      <c r="L88" s="196" t="str">
        <f t="shared" si="641"/>
        <v xml:space="preserve"> </v>
      </c>
      <c r="M88" s="193" t="s">
        <v>642</v>
      </c>
      <c r="N88" s="196" t="str">
        <f t="shared" si="641"/>
        <v xml:space="preserve"> </v>
      </c>
      <c r="O88" s="193" t="s">
        <v>642</v>
      </c>
      <c r="P88" s="196" t="str">
        <f t="shared" ref="P88" si="712">IFERROR(IF(O88=0," ",O88/$F88)," ")</f>
        <v xml:space="preserve"> </v>
      </c>
      <c r="Q88" s="193" t="s">
        <v>642</v>
      </c>
      <c r="R88" s="196" t="str">
        <f t="shared" ref="R88" si="713">IFERROR(IF(Q88=0," ",Q88/$F88)," ")</f>
        <v xml:space="preserve"> </v>
      </c>
      <c r="S88" s="193" t="s">
        <v>642</v>
      </c>
      <c r="T88" s="196" t="str">
        <f t="shared" ref="T88" si="714">IFERROR(IF(S88=0," ",S88/$F88)," ")</f>
        <v xml:space="preserve"> </v>
      </c>
      <c r="U88" s="193" t="s">
        <v>642</v>
      </c>
      <c r="V88" s="196" t="str">
        <f t="shared" ref="V88" si="715">IFERROR(IF(U88=0," ",U88/$F88)," ")</f>
        <v xml:space="preserve"> </v>
      </c>
      <c r="W88" s="193" t="s">
        <v>642</v>
      </c>
      <c r="X88" s="196" t="str">
        <f t="shared" ref="X88" si="716">IFERROR(IF(W88=0," ",W88/$F88)," ")</f>
        <v xml:space="preserve"> </v>
      </c>
      <c r="Y88" s="193" t="s">
        <v>642</v>
      </c>
      <c r="Z88" s="196" t="str">
        <f t="shared" ref="Z88" si="717">IFERROR(IF(Y88=0," ",Y88/$F88)," ")</f>
        <v xml:space="preserve"> </v>
      </c>
      <c r="AA88" s="193" t="s">
        <v>642</v>
      </c>
      <c r="AB88" s="196" t="str">
        <f t="shared" ref="AB88" si="718">IFERROR(IF(AA88=0," ",AA88/$F88)," ")</f>
        <v xml:space="preserve"> </v>
      </c>
      <c r="AC88" s="193" t="s">
        <v>642</v>
      </c>
      <c r="AD88" s="196" t="str">
        <f t="shared" ref="AD88" si="719">IFERROR(IF(AC88=0," ",AC88/$F88)," ")</f>
        <v xml:space="preserve"> </v>
      </c>
      <c r="AE88" s="193" t="s">
        <v>642</v>
      </c>
      <c r="AF88" s="196" t="str">
        <f t="shared" ref="AF88" si="720">IFERROR(IF(AE88=0," ",AE88/$F88)," ")</f>
        <v xml:space="preserve"> </v>
      </c>
      <c r="AG88" s="193" t="s">
        <v>642</v>
      </c>
      <c r="AH88" s="196" t="str">
        <f t="shared" ref="AH88" si="721">IFERROR(IF(AG88=0," ",AG88/$F88)," ")</f>
        <v xml:space="preserve"> </v>
      </c>
      <c r="AI88" s="197"/>
      <c r="AJ88" s="177" t="s">
        <v>642</v>
      </c>
      <c r="AK88" s="177" t="s">
        <v>642</v>
      </c>
      <c r="AL88" s="177" t="s">
        <v>642</v>
      </c>
      <c r="AM88" s="177" t="s">
        <v>642</v>
      </c>
      <c r="AN88" s="177" t="s">
        <v>642</v>
      </c>
      <c r="AO88" s="177" t="s">
        <v>642</v>
      </c>
      <c r="AP88" s="177" t="s">
        <v>642</v>
      </c>
      <c r="AQ88" s="177" t="s">
        <v>642</v>
      </c>
      <c r="AR88" s="177" t="s">
        <v>642</v>
      </c>
      <c r="AS88" s="177" t="s">
        <v>642</v>
      </c>
      <c r="AT88" s="177" t="s">
        <v>642</v>
      </c>
      <c r="AU88" s="177" t="s">
        <v>642</v>
      </c>
    </row>
    <row r="89" spans="1:47" x14ac:dyDescent="0.25">
      <c r="A89" s="190">
        <v>36</v>
      </c>
      <c r="B89" s="65">
        <v>9304.1</v>
      </c>
      <c r="C89" s="191" t="s">
        <v>200</v>
      </c>
      <c r="D89" s="65" t="s">
        <v>26</v>
      </c>
      <c r="E89" s="192">
        <f>IF(A89=" "," ",VLOOKUP(A89,Estimate!A:Q,17,FALSE))</f>
        <v>3795</v>
      </c>
      <c r="F89" s="193">
        <v>253</v>
      </c>
      <c r="G89" s="206">
        <v>19.969529644268775</v>
      </c>
      <c r="H89" s="195">
        <v>22.52</v>
      </c>
      <c r="I89" s="195">
        <v>5697.56</v>
      </c>
      <c r="J89" s="195"/>
      <c r="K89" s="193"/>
      <c r="L89" s="196" t="str">
        <f t="shared" si="641"/>
        <v xml:space="preserve"> </v>
      </c>
      <c r="M89" s="193"/>
      <c r="N89" s="196" t="str">
        <f t="shared" si="641"/>
        <v xml:space="preserve"> </v>
      </c>
      <c r="O89" s="193">
        <v>253</v>
      </c>
      <c r="P89" s="196">
        <f t="shared" ref="P89" si="722">IFERROR(IF(O89=0," ",O89/$F89)," ")</f>
        <v>1</v>
      </c>
      <c r="Q89" s="193">
        <v>253</v>
      </c>
      <c r="R89" s="196">
        <f t="shared" ref="R89" si="723">IFERROR(IF(Q89=0," ",Q89/$F89)," ")</f>
        <v>1</v>
      </c>
      <c r="S89" s="193">
        <v>253</v>
      </c>
      <c r="T89" s="196">
        <f t="shared" ref="T89" si="724">IFERROR(IF(S89=0," ",S89/$F89)," ")</f>
        <v>1</v>
      </c>
      <c r="U89" s="193">
        <v>253</v>
      </c>
      <c r="V89" s="196">
        <f t="shared" ref="V89" si="725">IFERROR(IF(U89=0," ",U89/$F89)," ")</f>
        <v>1</v>
      </c>
      <c r="W89" s="193">
        <v>253</v>
      </c>
      <c r="X89" s="196">
        <f t="shared" ref="X89" si="726">IFERROR(IF(W89=0," ",W89/$F89)," ")</f>
        <v>1</v>
      </c>
      <c r="Y89" s="193">
        <v>253</v>
      </c>
      <c r="Z89" s="196">
        <f t="shared" ref="Z89" si="727">IFERROR(IF(Y89=0," ",Y89/$F89)," ")</f>
        <v>1</v>
      </c>
      <c r="AA89" s="193">
        <v>253</v>
      </c>
      <c r="AB89" s="196">
        <f t="shared" ref="AB89" si="728">IFERROR(IF(AA89=0," ",AA89/$F89)," ")</f>
        <v>1</v>
      </c>
      <c r="AC89" s="193">
        <v>253</v>
      </c>
      <c r="AD89" s="196">
        <f t="shared" ref="AD89" si="729">IFERROR(IF(AC89=0," ",AC89/$F89)," ")</f>
        <v>1</v>
      </c>
      <c r="AE89" s="193">
        <v>253</v>
      </c>
      <c r="AF89" s="196">
        <f t="shared" ref="AF89" si="730">IFERROR(IF(AE89=0," ",AE89/$F89)," ")</f>
        <v>1</v>
      </c>
      <c r="AG89" s="193">
        <v>253</v>
      </c>
      <c r="AH89" s="196">
        <f t="shared" ref="AH89" si="731">IFERROR(IF(AG89=0," ",AG89/$F89)," ")</f>
        <v>1</v>
      </c>
      <c r="AI89" s="197"/>
      <c r="AJ89" s="177">
        <v>0</v>
      </c>
      <c r="AK89" s="177">
        <v>0</v>
      </c>
      <c r="AL89" s="177">
        <v>5697.56</v>
      </c>
      <c r="AM89" s="177">
        <v>5697.56</v>
      </c>
      <c r="AN89" s="177">
        <v>5697.56</v>
      </c>
      <c r="AO89" s="177">
        <v>5697.56</v>
      </c>
      <c r="AP89" s="177">
        <v>5697.56</v>
      </c>
      <c r="AQ89" s="177">
        <v>5697.56</v>
      </c>
      <c r="AR89" s="177">
        <v>5697.56</v>
      </c>
      <c r="AS89" s="177">
        <v>5697.56</v>
      </c>
      <c r="AT89" s="177">
        <v>5697.56</v>
      </c>
      <c r="AU89" s="177">
        <v>5697.56</v>
      </c>
    </row>
    <row r="90" spans="1:47" ht="45" x14ac:dyDescent="0.25">
      <c r="A90" s="190" t="s">
        <v>642</v>
      </c>
      <c r="B90" s="65">
        <v>9311</v>
      </c>
      <c r="C90" s="191" t="s">
        <v>202</v>
      </c>
      <c r="D90" s="65" t="s">
        <v>747</v>
      </c>
      <c r="E90" s="192" t="str">
        <f>IF(A90=" "," ",VLOOKUP(A90,Estimate!A:Q,17,FALSE))</f>
        <v xml:space="preserve"> </v>
      </c>
      <c r="F90" s="193" t="s">
        <v>642</v>
      </c>
      <c r="G90" s="206" t="s">
        <v>642</v>
      </c>
      <c r="H90" s="195" t="s">
        <v>642</v>
      </c>
      <c r="I90" s="195" t="s">
        <v>642</v>
      </c>
      <c r="J90" s="195"/>
      <c r="K90" s="193" t="s">
        <v>642</v>
      </c>
      <c r="L90" s="196" t="str">
        <f t="shared" si="641"/>
        <v xml:space="preserve"> </v>
      </c>
      <c r="M90" s="193" t="s">
        <v>642</v>
      </c>
      <c r="N90" s="196" t="str">
        <f t="shared" si="641"/>
        <v xml:space="preserve"> </v>
      </c>
      <c r="O90" s="193" t="s">
        <v>642</v>
      </c>
      <c r="P90" s="196" t="str">
        <f t="shared" ref="P90" si="732">IFERROR(IF(O90=0," ",O90/$F90)," ")</f>
        <v xml:space="preserve"> </v>
      </c>
      <c r="Q90" s="193" t="s">
        <v>642</v>
      </c>
      <c r="R90" s="196" t="str">
        <f t="shared" ref="R90" si="733">IFERROR(IF(Q90=0," ",Q90/$F90)," ")</f>
        <v xml:space="preserve"> </v>
      </c>
      <c r="S90" s="193" t="s">
        <v>642</v>
      </c>
      <c r="T90" s="196" t="str">
        <f t="shared" ref="T90" si="734">IFERROR(IF(S90=0," ",S90/$F90)," ")</f>
        <v xml:space="preserve"> </v>
      </c>
      <c r="U90" s="193" t="s">
        <v>642</v>
      </c>
      <c r="V90" s="196" t="str">
        <f t="shared" ref="V90" si="735">IFERROR(IF(U90=0," ",U90/$F90)," ")</f>
        <v xml:space="preserve"> </v>
      </c>
      <c r="W90" s="193" t="s">
        <v>642</v>
      </c>
      <c r="X90" s="196" t="str">
        <f t="shared" ref="X90" si="736">IFERROR(IF(W90=0," ",W90/$F90)," ")</f>
        <v xml:space="preserve"> </v>
      </c>
      <c r="Y90" s="193" t="s">
        <v>642</v>
      </c>
      <c r="Z90" s="196" t="str">
        <f t="shared" ref="Z90" si="737">IFERROR(IF(Y90=0," ",Y90/$F90)," ")</f>
        <v xml:space="preserve"> </v>
      </c>
      <c r="AA90" s="193" t="s">
        <v>642</v>
      </c>
      <c r="AB90" s="196" t="str">
        <f t="shared" ref="AB90" si="738">IFERROR(IF(AA90=0," ",AA90/$F90)," ")</f>
        <v xml:space="preserve"> </v>
      </c>
      <c r="AC90" s="193" t="s">
        <v>642</v>
      </c>
      <c r="AD90" s="196" t="str">
        <f t="shared" ref="AD90" si="739">IFERROR(IF(AC90=0," ",AC90/$F90)," ")</f>
        <v xml:space="preserve"> </v>
      </c>
      <c r="AE90" s="193" t="s">
        <v>642</v>
      </c>
      <c r="AF90" s="196" t="str">
        <f t="shared" ref="AF90" si="740">IFERROR(IF(AE90=0," ",AE90/$F90)," ")</f>
        <v xml:space="preserve"> </v>
      </c>
      <c r="AG90" s="193" t="s">
        <v>642</v>
      </c>
      <c r="AH90" s="196" t="str">
        <f t="shared" ref="AH90" si="741">IFERROR(IF(AG90=0," ",AG90/$F90)," ")</f>
        <v xml:space="preserve"> </v>
      </c>
      <c r="AI90" s="197"/>
      <c r="AJ90" s="177" t="s">
        <v>642</v>
      </c>
      <c r="AK90" s="177" t="s">
        <v>642</v>
      </c>
      <c r="AL90" s="177" t="s">
        <v>642</v>
      </c>
      <c r="AM90" s="177" t="s">
        <v>642</v>
      </c>
      <c r="AN90" s="177" t="s">
        <v>642</v>
      </c>
      <c r="AO90" s="177" t="s">
        <v>642</v>
      </c>
      <c r="AP90" s="177" t="s">
        <v>642</v>
      </c>
      <c r="AQ90" s="177" t="s">
        <v>642</v>
      </c>
      <c r="AR90" s="177" t="s">
        <v>642</v>
      </c>
      <c r="AS90" s="177" t="s">
        <v>642</v>
      </c>
      <c r="AT90" s="177" t="s">
        <v>642</v>
      </c>
      <c r="AU90" s="177" t="s">
        <v>642</v>
      </c>
    </row>
    <row r="91" spans="1:47" x14ac:dyDescent="0.25">
      <c r="A91" s="190">
        <v>37</v>
      </c>
      <c r="B91" s="65">
        <v>9311.1</v>
      </c>
      <c r="C91" s="191" t="s">
        <v>200</v>
      </c>
      <c r="D91" s="65" t="s">
        <v>204</v>
      </c>
      <c r="E91" s="192">
        <f>IF(A91=" "," ",VLOOKUP(A91,Estimate!A:Q,17,FALSE))</f>
        <v>8100</v>
      </c>
      <c r="F91" s="193">
        <v>6</v>
      </c>
      <c r="G91" s="206">
        <v>1797.3368333333335</v>
      </c>
      <c r="H91" s="195">
        <v>2026.92</v>
      </c>
      <c r="I91" s="195">
        <v>12161.52</v>
      </c>
      <c r="J91" s="195"/>
      <c r="K91" s="193"/>
      <c r="L91" s="196" t="str">
        <f t="shared" si="641"/>
        <v xml:space="preserve"> </v>
      </c>
      <c r="M91" s="193"/>
      <c r="N91" s="196" t="str">
        <f t="shared" si="641"/>
        <v xml:space="preserve"> </v>
      </c>
      <c r="O91" s="193">
        <v>6</v>
      </c>
      <c r="P91" s="196">
        <f t="shared" ref="P91" si="742">IFERROR(IF(O91=0," ",O91/$F91)," ")</f>
        <v>1</v>
      </c>
      <c r="Q91" s="193">
        <v>6</v>
      </c>
      <c r="R91" s="196">
        <f t="shared" ref="R91" si="743">IFERROR(IF(Q91=0," ",Q91/$F91)," ")</f>
        <v>1</v>
      </c>
      <c r="S91" s="193">
        <v>6</v>
      </c>
      <c r="T91" s="196">
        <f t="shared" ref="T91" si="744">IFERROR(IF(S91=0," ",S91/$F91)," ")</f>
        <v>1</v>
      </c>
      <c r="U91" s="193">
        <v>6</v>
      </c>
      <c r="V91" s="196">
        <f t="shared" ref="V91" si="745">IFERROR(IF(U91=0," ",U91/$F91)," ")</f>
        <v>1</v>
      </c>
      <c r="W91" s="193">
        <v>6</v>
      </c>
      <c r="X91" s="196">
        <f t="shared" ref="X91" si="746">IFERROR(IF(W91=0," ",W91/$F91)," ")</f>
        <v>1</v>
      </c>
      <c r="Y91" s="193">
        <v>6</v>
      </c>
      <c r="Z91" s="196">
        <f t="shared" ref="Z91" si="747">IFERROR(IF(Y91=0," ",Y91/$F91)," ")</f>
        <v>1</v>
      </c>
      <c r="AA91" s="193">
        <v>6</v>
      </c>
      <c r="AB91" s="196">
        <f t="shared" ref="AB91" si="748">IFERROR(IF(AA91=0," ",AA91/$F91)," ")</f>
        <v>1</v>
      </c>
      <c r="AC91" s="193">
        <v>6</v>
      </c>
      <c r="AD91" s="196">
        <f t="shared" ref="AD91" si="749">IFERROR(IF(AC91=0," ",AC91/$F91)," ")</f>
        <v>1</v>
      </c>
      <c r="AE91" s="193">
        <v>6</v>
      </c>
      <c r="AF91" s="196">
        <f t="shared" ref="AF91" si="750">IFERROR(IF(AE91=0," ",AE91/$F91)," ")</f>
        <v>1</v>
      </c>
      <c r="AG91" s="193">
        <v>6</v>
      </c>
      <c r="AH91" s="196">
        <f t="shared" ref="AH91" si="751">IFERROR(IF(AG91=0," ",AG91/$F91)," ")</f>
        <v>1</v>
      </c>
      <c r="AI91" s="197"/>
      <c r="AJ91" s="177">
        <v>0</v>
      </c>
      <c r="AK91" s="177">
        <v>0</v>
      </c>
      <c r="AL91" s="177">
        <v>12161.52</v>
      </c>
      <c r="AM91" s="177">
        <v>12161.52</v>
      </c>
      <c r="AN91" s="177">
        <v>12161.52</v>
      </c>
      <c r="AO91" s="177">
        <v>12161.52</v>
      </c>
      <c r="AP91" s="177">
        <v>12161.52</v>
      </c>
      <c r="AQ91" s="177">
        <v>12161.52</v>
      </c>
      <c r="AR91" s="177">
        <v>12161.52</v>
      </c>
      <c r="AS91" s="177">
        <v>12161.52</v>
      </c>
      <c r="AT91" s="177">
        <v>12161.52</v>
      </c>
      <c r="AU91" s="177">
        <v>12161.52</v>
      </c>
    </row>
    <row r="92" spans="1:47" ht="30" x14ac:dyDescent="0.25">
      <c r="A92" s="190" t="s">
        <v>642</v>
      </c>
      <c r="B92" s="65">
        <v>9320</v>
      </c>
      <c r="C92" s="191" t="s">
        <v>206</v>
      </c>
      <c r="D92" s="65" t="s">
        <v>747</v>
      </c>
      <c r="E92" s="192" t="str">
        <f>IF(A92=" "," ",VLOOKUP(A92,Estimate!A:Q,17,FALSE))</f>
        <v xml:space="preserve"> </v>
      </c>
      <c r="F92" s="193" t="s">
        <v>642</v>
      </c>
      <c r="G92" s="206" t="s">
        <v>642</v>
      </c>
      <c r="H92" s="195" t="s">
        <v>642</v>
      </c>
      <c r="I92" s="195" t="s">
        <v>642</v>
      </c>
      <c r="J92" s="195"/>
      <c r="K92" s="193" t="s">
        <v>642</v>
      </c>
      <c r="L92" s="196" t="str">
        <f t="shared" si="641"/>
        <v xml:space="preserve"> </v>
      </c>
      <c r="M92" s="193" t="s">
        <v>642</v>
      </c>
      <c r="N92" s="196" t="str">
        <f t="shared" si="641"/>
        <v xml:space="preserve"> </v>
      </c>
      <c r="O92" s="193" t="s">
        <v>642</v>
      </c>
      <c r="P92" s="196" t="str">
        <f t="shared" ref="P92" si="752">IFERROR(IF(O92=0," ",O92/$F92)," ")</f>
        <v xml:space="preserve"> </v>
      </c>
      <c r="Q92" s="193" t="s">
        <v>642</v>
      </c>
      <c r="R92" s="196" t="str">
        <f t="shared" ref="R92" si="753">IFERROR(IF(Q92=0," ",Q92/$F92)," ")</f>
        <v xml:space="preserve"> </v>
      </c>
      <c r="S92" s="193" t="s">
        <v>642</v>
      </c>
      <c r="T92" s="196" t="str">
        <f t="shared" ref="T92" si="754">IFERROR(IF(S92=0," ",S92/$F92)," ")</f>
        <v xml:space="preserve"> </v>
      </c>
      <c r="U92" s="193" t="s">
        <v>642</v>
      </c>
      <c r="V92" s="196" t="str">
        <f t="shared" ref="V92" si="755">IFERROR(IF(U92=0," ",U92/$F92)," ")</f>
        <v xml:space="preserve"> </v>
      </c>
      <c r="W92" s="193" t="s">
        <v>642</v>
      </c>
      <c r="X92" s="196" t="str">
        <f t="shared" ref="X92" si="756">IFERROR(IF(W92=0," ",W92/$F92)," ")</f>
        <v xml:space="preserve"> </v>
      </c>
      <c r="Y92" s="193" t="s">
        <v>642</v>
      </c>
      <c r="Z92" s="196" t="str">
        <f t="shared" ref="Z92" si="757">IFERROR(IF(Y92=0," ",Y92/$F92)," ")</f>
        <v xml:space="preserve"> </v>
      </c>
      <c r="AA92" s="193" t="s">
        <v>642</v>
      </c>
      <c r="AB92" s="196" t="str">
        <f t="shared" ref="AB92" si="758">IFERROR(IF(AA92=0," ",AA92/$F92)," ")</f>
        <v xml:space="preserve"> </v>
      </c>
      <c r="AC92" s="193" t="s">
        <v>642</v>
      </c>
      <c r="AD92" s="196" t="str">
        <f t="shared" ref="AD92" si="759">IFERROR(IF(AC92=0," ",AC92/$F92)," ")</f>
        <v xml:space="preserve"> </v>
      </c>
      <c r="AE92" s="193" t="s">
        <v>642</v>
      </c>
      <c r="AF92" s="196" t="str">
        <f t="shared" ref="AF92" si="760">IFERROR(IF(AE92=0," ",AE92/$F92)," ")</f>
        <v xml:space="preserve"> </v>
      </c>
      <c r="AG92" s="193" t="s">
        <v>642</v>
      </c>
      <c r="AH92" s="196" t="str">
        <f t="shared" ref="AH92" si="761">IFERROR(IF(AG92=0," ",AG92/$F92)," ")</f>
        <v xml:space="preserve"> </v>
      </c>
      <c r="AI92" s="197"/>
      <c r="AJ92" s="177" t="s">
        <v>642</v>
      </c>
      <c r="AK92" s="177" t="s">
        <v>642</v>
      </c>
      <c r="AL92" s="177" t="s">
        <v>642</v>
      </c>
      <c r="AM92" s="177" t="s">
        <v>642</v>
      </c>
      <c r="AN92" s="177" t="s">
        <v>642</v>
      </c>
      <c r="AO92" s="177" t="s">
        <v>642</v>
      </c>
      <c r="AP92" s="177" t="s">
        <v>642</v>
      </c>
      <c r="AQ92" s="177" t="s">
        <v>642</v>
      </c>
      <c r="AR92" s="177" t="s">
        <v>642</v>
      </c>
      <c r="AS92" s="177" t="s">
        <v>642</v>
      </c>
      <c r="AT92" s="177" t="s">
        <v>642</v>
      </c>
      <c r="AU92" s="177" t="s">
        <v>642</v>
      </c>
    </row>
    <row r="93" spans="1:47" x14ac:dyDescent="0.25">
      <c r="A93" s="190">
        <v>38</v>
      </c>
      <c r="B93" s="65">
        <v>9320.2000000000007</v>
      </c>
      <c r="C93" s="191" t="s">
        <v>208</v>
      </c>
      <c r="D93" s="65" t="s">
        <v>204</v>
      </c>
      <c r="E93" s="192">
        <f>IF(A93=" "," ",VLOOKUP(A93,Estimate!A:Q,17,FALSE))</f>
        <v>240</v>
      </c>
      <c r="F93" s="193">
        <v>2</v>
      </c>
      <c r="G93" s="206">
        <v>159.76300000000001</v>
      </c>
      <c r="H93" s="195">
        <v>180.17</v>
      </c>
      <c r="I93" s="195">
        <v>360.34</v>
      </c>
      <c r="J93" s="195"/>
      <c r="K93" s="193"/>
      <c r="L93" s="196" t="str">
        <f t="shared" si="641"/>
        <v xml:space="preserve"> </v>
      </c>
      <c r="M93" s="193"/>
      <c r="N93" s="196" t="str">
        <f t="shared" si="641"/>
        <v xml:space="preserve"> </v>
      </c>
      <c r="O93" s="193">
        <v>2</v>
      </c>
      <c r="P93" s="196">
        <f t="shared" ref="P93" si="762">IFERROR(IF(O93=0," ",O93/$F93)," ")</f>
        <v>1</v>
      </c>
      <c r="Q93" s="193">
        <v>2</v>
      </c>
      <c r="R93" s="196">
        <f t="shared" ref="R93" si="763">IFERROR(IF(Q93=0," ",Q93/$F93)," ")</f>
        <v>1</v>
      </c>
      <c r="S93" s="193">
        <v>2</v>
      </c>
      <c r="T93" s="196">
        <f t="shared" ref="T93" si="764">IFERROR(IF(S93=0," ",S93/$F93)," ")</f>
        <v>1</v>
      </c>
      <c r="U93" s="193">
        <v>2</v>
      </c>
      <c r="V93" s="196">
        <f t="shared" ref="V93" si="765">IFERROR(IF(U93=0," ",U93/$F93)," ")</f>
        <v>1</v>
      </c>
      <c r="W93" s="193">
        <v>2</v>
      </c>
      <c r="X93" s="196">
        <f t="shared" ref="X93" si="766">IFERROR(IF(W93=0," ",W93/$F93)," ")</f>
        <v>1</v>
      </c>
      <c r="Y93" s="193">
        <v>2</v>
      </c>
      <c r="Z93" s="196">
        <f t="shared" ref="Z93" si="767">IFERROR(IF(Y93=0," ",Y93/$F93)," ")</f>
        <v>1</v>
      </c>
      <c r="AA93" s="193">
        <v>2</v>
      </c>
      <c r="AB93" s="196">
        <f t="shared" ref="AB93" si="768">IFERROR(IF(AA93=0," ",AA93/$F93)," ")</f>
        <v>1</v>
      </c>
      <c r="AC93" s="193">
        <v>2</v>
      </c>
      <c r="AD93" s="196">
        <f t="shared" ref="AD93" si="769">IFERROR(IF(AC93=0," ",AC93/$F93)," ")</f>
        <v>1</v>
      </c>
      <c r="AE93" s="193">
        <v>2</v>
      </c>
      <c r="AF93" s="196">
        <f t="shared" ref="AF93" si="770">IFERROR(IF(AE93=0," ",AE93/$F93)," ")</f>
        <v>1</v>
      </c>
      <c r="AG93" s="193">
        <v>2</v>
      </c>
      <c r="AH93" s="196">
        <f t="shared" ref="AH93" si="771">IFERROR(IF(AG93=0," ",AG93/$F93)," ")</f>
        <v>1</v>
      </c>
      <c r="AI93" s="197"/>
      <c r="AJ93" s="177">
        <v>0</v>
      </c>
      <c r="AK93" s="177">
        <v>0</v>
      </c>
      <c r="AL93" s="177">
        <v>360.34</v>
      </c>
      <c r="AM93" s="177">
        <v>360.34</v>
      </c>
      <c r="AN93" s="177">
        <v>360.34</v>
      </c>
      <c r="AO93" s="177">
        <v>360.34</v>
      </c>
      <c r="AP93" s="177">
        <v>360.34</v>
      </c>
      <c r="AQ93" s="177">
        <v>360.34</v>
      </c>
      <c r="AR93" s="177">
        <v>360.34</v>
      </c>
      <c r="AS93" s="177">
        <v>360.34</v>
      </c>
      <c r="AT93" s="177">
        <v>360.34</v>
      </c>
      <c r="AU93" s="177">
        <v>360.34</v>
      </c>
    </row>
    <row r="94" spans="1:47" x14ac:dyDescent="0.25">
      <c r="A94" s="190">
        <v>39</v>
      </c>
      <c r="B94" s="65">
        <v>9320.2999999999993</v>
      </c>
      <c r="C94" s="191" t="s">
        <v>210</v>
      </c>
      <c r="D94" s="65" t="s">
        <v>204</v>
      </c>
      <c r="E94" s="192">
        <f>IF(A94=" "," ",VLOOKUP(A94,Estimate!A:Q,17,FALSE))</f>
        <v>360</v>
      </c>
      <c r="F94" s="193">
        <v>3</v>
      </c>
      <c r="G94" s="206">
        <v>159.76300000000001</v>
      </c>
      <c r="H94" s="195">
        <v>180.17</v>
      </c>
      <c r="I94" s="195">
        <v>540.51</v>
      </c>
      <c r="J94" s="195"/>
      <c r="K94" s="193"/>
      <c r="L94" s="196" t="str">
        <f t="shared" si="641"/>
        <v xml:space="preserve"> </v>
      </c>
      <c r="M94" s="193"/>
      <c r="N94" s="196" t="str">
        <f t="shared" si="641"/>
        <v xml:space="preserve"> </v>
      </c>
      <c r="O94" s="193">
        <v>3</v>
      </c>
      <c r="P94" s="196">
        <f t="shared" ref="P94" si="772">IFERROR(IF(O94=0," ",O94/$F94)," ")</f>
        <v>1</v>
      </c>
      <c r="Q94" s="193">
        <v>3</v>
      </c>
      <c r="R94" s="196">
        <f t="shared" ref="R94" si="773">IFERROR(IF(Q94=0," ",Q94/$F94)," ")</f>
        <v>1</v>
      </c>
      <c r="S94" s="193">
        <v>3</v>
      </c>
      <c r="T94" s="196">
        <f t="shared" ref="T94" si="774">IFERROR(IF(S94=0," ",S94/$F94)," ")</f>
        <v>1</v>
      </c>
      <c r="U94" s="193">
        <v>3</v>
      </c>
      <c r="V94" s="196">
        <f t="shared" ref="V94" si="775">IFERROR(IF(U94=0," ",U94/$F94)," ")</f>
        <v>1</v>
      </c>
      <c r="W94" s="193">
        <v>3</v>
      </c>
      <c r="X94" s="196">
        <f t="shared" ref="X94" si="776">IFERROR(IF(W94=0," ",W94/$F94)," ")</f>
        <v>1</v>
      </c>
      <c r="Y94" s="193">
        <v>3</v>
      </c>
      <c r="Z94" s="196">
        <f t="shared" ref="Z94" si="777">IFERROR(IF(Y94=0," ",Y94/$F94)," ")</f>
        <v>1</v>
      </c>
      <c r="AA94" s="193">
        <v>3</v>
      </c>
      <c r="AB94" s="196">
        <f t="shared" ref="AB94" si="778">IFERROR(IF(AA94=0," ",AA94/$F94)," ")</f>
        <v>1</v>
      </c>
      <c r="AC94" s="193">
        <v>3</v>
      </c>
      <c r="AD94" s="196">
        <f t="shared" ref="AD94" si="779">IFERROR(IF(AC94=0," ",AC94/$F94)," ")</f>
        <v>1</v>
      </c>
      <c r="AE94" s="193">
        <v>3</v>
      </c>
      <c r="AF94" s="196">
        <f t="shared" ref="AF94" si="780">IFERROR(IF(AE94=0," ",AE94/$F94)," ")</f>
        <v>1</v>
      </c>
      <c r="AG94" s="193">
        <v>3</v>
      </c>
      <c r="AH94" s="196">
        <f t="shared" ref="AH94" si="781">IFERROR(IF(AG94=0," ",AG94/$F94)," ")</f>
        <v>1</v>
      </c>
      <c r="AI94" s="197"/>
      <c r="AJ94" s="177">
        <v>0</v>
      </c>
      <c r="AK94" s="177">
        <v>0</v>
      </c>
      <c r="AL94" s="177">
        <v>540.51</v>
      </c>
      <c r="AM94" s="177">
        <v>540.51</v>
      </c>
      <c r="AN94" s="177">
        <v>540.51</v>
      </c>
      <c r="AO94" s="177">
        <v>540.51</v>
      </c>
      <c r="AP94" s="177">
        <v>540.51</v>
      </c>
      <c r="AQ94" s="177">
        <v>540.51</v>
      </c>
      <c r="AR94" s="177">
        <v>540.51</v>
      </c>
      <c r="AS94" s="177">
        <v>540.51</v>
      </c>
      <c r="AT94" s="177">
        <v>540.51</v>
      </c>
      <c r="AU94" s="177">
        <v>540.51</v>
      </c>
    </row>
    <row r="95" spans="1:47" x14ac:dyDescent="0.25">
      <c r="A95" s="190">
        <v>40</v>
      </c>
      <c r="B95" s="65">
        <v>9320.4</v>
      </c>
      <c r="C95" s="191" t="s">
        <v>212</v>
      </c>
      <c r="D95" s="65" t="s">
        <v>204</v>
      </c>
      <c r="E95" s="192">
        <f>IF(A95=" "," ",VLOOKUP(A95,Estimate!A:Q,17,FALSE))</f>
        <v>280</v>
      </c>
      <c r="F95" s="193">
        <v>2</v>
      </c>
      <c r="G95" s="206">
        <v>186.39099999999999</v>
      </c>
      <c r="H95" s="195">
        <v>210.2</v>
      </c>
      <c r="I95" s="195">
        <v>420.4</v>
      </c>
      <c r="J95" s="195"/>
      <c r="K95" s="193"/>
      <c r="L95" s="196" t="str">
        <f t="shared" si="641"/>
        <v xml:space="preserve"> </v>
      </c>
      <c r="M95" s="193"/>
      <c r="N95" s="196" t="str">
        <f t="shared" si="641"/>
        <v xml:space="preserve"> </v>
      </c>
      <c r="O95" s="193">
        <v>2</v>
      </c>
      <c r="P95" s="196">
        <f t="shared" ref="P95" si="782">IFERROR(IF(O95=0," ",O95/$F95)," ")</f>
        <v>1</v>
      </c>
      <c r="Q95" s="193">
        <v>2</v>
      </c>
      <c r="R95" s="196">
        <f t="shared" ref="R95" si="783">IFERROR(IF(Q95=0," ",Q95/$F95)," ")</f>
        <v>1</v>
      </c>
      <c r="S95" s="193">
        <v>2</v>
      </c>
      <c r="T95" s="196">
        <f t="shared" ref="T95" si="784">IFERROR(IF(S95=0," ",S95/$F95)," ")</f>
        <v>1</v>
      </c>
      <c r="U95" s="193">
        <v>2</v>
      </c>
      <c r="V95" s="196">
        <f t="shared" ref="V95" si="785">IFERROR(IF(U95=0," ",U95/$F95)," ")</f>
        <v>1</v>
      </c>
      <c r="W95" s="193">
        <v>2</v>
      </c>
      <c r="X95" s="196">
        <f t="shared" ref="X95" si="786">IFERROR(IF(W95=0," ",W95/$F95)," ")</f>
        <v>1</v>
      </c>
      <c r="Y95" s="193">
        <v>2</v>
      </c>
      <c r="Z95" s="196">
        <f t="shared" ref="Z95" si="787">IFERROR(IF(Y95=0," ",Y95/$F95)," ")</f>
        <v>1</v>
      </c>
      <c r="AA95" s="193">
        <v>2</v>
      </c>
      <c r="AB95" s="196">
        <f t="shared" ref="AB95" si="788">IFERROR(IF(AA95=0," ",AA95/$F95)," ")</f>
        <v>1</v>
      </c>
      <c r="AC95" s="193">
        <v>2</v>
      </c>
      <c r="AD95" s="196">
        <f t="shared" ref="AD95" si="789">IFERROR(IF(AC95=0," ",AC95/$F95)," ")</f>
        <v>1</v>
      </c>
      <c r="AE95" s="193">
        <v>2</v>
      </c>
      <c r="AF95" s="196">
        <f t="shared" ref="AF95" si="790">IFERROR(IF(AE95=0," ",AE95/$F95)," ")</f>
        <v>1</v>
      </c>
      <c r="AG95" s="193">
        <v>2</v>
      </c>
      <c r="AH95" s="196">
        <f t="shared" ref="AH95" si="791">IFERROR(IF(AG95=0," ",AG95/$F95)," ")</f>
        <v>1</v>
      </c>
      <c r="AI95" s="197"/>
      <c r="AJ95" s="177">
        <v>0</v>
      </c>
      <c r="AK95" s="177">
        <v>0</v>
      </c>
      <c r="AL95" s="177">
        <v>420.4</v>
      </c>
      <c r="AM95" s="177">
        <v>420.4</v>
      </c>
      <c r="AN95" s="177">
        <v>420.4</v>
      </c>
      <c r="AO95" s="177">
        <v>420.4</v>
      </c>
      <c r="AP95" s="177">
        <v>420.4</v>
      </c>
      <c r="AQ95" s="177">
        <v>420.4</v>
      </c>
      <c r="AR95" s="177">
        <v>420.4</v>
      </c>
      <c r="AS95" s="177">
        <v>420.4</v>
      </c>
      <c r="AT95" s="177">
        <v>420.4</v>
      </c>
      <c r="AU95" s="177">
        <v>420.4</v>
      </c>
    </row>
    <row r="96" spans="1:47" ht="45" x14ac:dyDescent="0.25">
      <c r="A96" s="190" t="s">
        <v>642</v>
      </c>
      <c r="B96" s="65">
        <v>9340</v>
      </c>
      <c r="C96" s="191" t="s">
        <v>214</v>
      </c>
      <c r="D96" s="65" t="s">
        <v>747</v>
      </c>
      <c r="E96" s="192" t="str">
        <f>IF(A96=" "," ",VLOOKUP(A96,Estimate!A:Q,17,FALSE))</f>
        <v xml:space="preserve"> </v>
      </c>
      <c r="F96" s="193" t="s">
        <v>642</v>
      </c>
      <c r="G96" s="206" t="s">
        <v>642</v>
      </c>
      <c r="H96" s="195" t="s">
        <v>642</v>
      </c>
      <c r="I96" s="195" t="s">
        <v>642</v>
      </c>
      <c r="J96" s="195"/>
      <c r="K96" s="193" t="s">
        <v>642</v>
      </c>
      <c r="L96" s="196" t="str">
        <f t="shared" si="641"/>
        <v xml:space="preserve"> </v>
      </c>
      <c r="M96" s="193" t="s">
        <v>642</v>
      </c>
      <c r="N96" s="196" t="str">
        <f t="shared" si="641"/>
        <v xml:space="preserve"> </v>
      </c>
      <c r="O96" s="193" t="s">
        <v>642</v>
      </c>
      <c r="P96" s="196" t="str">
        <f t="shared" ref="P96" si="792">IFERROR(IF(O96=0," ",O96/$F96)," ")</f>
        <v xml:space="preserve"> </v>
      </c>
      <c r="Q96" s="193" t="s">
        <v>642</v>
      </c>
      <c r="R96" s="196" t="str">
        <f t="shared" ref="R96" si="793">IFERROR(IF(Q96=0," ",Q96/$F96)," ")</f>
        <v xml:space="preserve"> </v>
      </c>
      <c r="S96" s="193" t="s">
        <v>642</v>
      </c>
      <c r="T96" s="196" t="str">
        <f t="shared" ref="T96" si="794">IFERROR(IF(S96=0," ",S96/$F96)," ")</f>
        <v xml:space="preserve"> </v>
      </c>
      <c r="U96" s="193" t="s">
        <v>642</v>
      </c>
      <c r="V96" s="196" t="str">
        <f t="shared" ref="V96" si="795">IFERROR(IF(U96=0," ",U96/$F96)," ")</f>
        <v xml:space="preserve"> </v>
      </c>
      <c r="W96" s="193" t="s">
        <v>642</v>
      </c>
      <c r="X96" s="196" t="str">
        <f t="shared" ref="X96" si="796">IFERROR(IF(W96=0," ",W96/$F96)," ")</f>
        <v xml:space="preserve"> </v>
      </c>
      <c r="Y96" s="193" t="s">
        <v>642</v>
      </c>
      <c r="Z96" s="196" t="str">
        <f t="shared" ref="Z96" si="797">IFERROR(IF(Y96=0," ",Y96/$F96)," ")</f>
        <v xml:space="preserve"> </v>
      </c>
      <c r="AA96" s="193" t="s">
        <v>642</v>
      </c>
      <c r="AB96" s="196" t="str">
        <f t="shared" ref="AB96" si="798">IFERROR(IF(AA96=0," ",AA96/$F96)," ")</f>
        <v xml:space="preserve"> </v>
      </c>
      <c r="AC96" s="193" t="s">
        <v>642</v>
      </c>
      <c r="AD96" s="196" t="str">
        <f t="shared" ref="AD96" si="799">IFERROR(IF(AC96=0," ",AC96/$F96)," ")</f>
        <v xml:space="preserve"> </v>
      </c>
      <c r="AE96" s="193" t="s">
        <v>642</v>
      </c>
      <c r="AF96" s="196" t="str">
        <f t="shared" ref="AF96" si="800">IFERROR(IF(AE96=0," ",AE96/$F96)," ")</f>
        <v xml:space="preserve"> </v>
      </c>
      <c r="AG96" s="193" t="s">
        <v>642</v>
      </c>
      <c r="AH96" s="196" t="str">
        <f t="shared" ref="AH96" si="801">IFERROR(IF(AG96=0," ",AG96/$F96)," ")</f>
        <v xml:space="preserve"> </v>
      </c>
      <c r="AI96" s="197"/>
      <c r="AJ96" s="177" t="s">
        <v>642</v>
      </c>
      <c r="AK96" s="177" t="s">
        <v>642</v>
      </c>
      <c r="AL96" s="177" t="s">
        <v>642</v>
      </c>
      <c r="AM96" s="177" t="s">
        <v>642</v>
      </c>
      <c r="AN96" s="177" t="s">
        <v>642</v>
      </c>
      <c r="AO96" s="177" t="s">
        <v>642</v>
      </c>
      <c r="AP96" s="177" t="s">
        <v>642</v>
      </c>
      <c r="AQ96" s="177" t="s">
        <v>642</v>
      </c>
      <c r="AR96" s="177" t="s">
        <v>642</v>
      </c>
      <c r="AS96" s="177" t="s">
        <v>642</v>
      </c>
      <c r="AT96" s="177" t="s">
        <v>642</v>
      </c>
      <c r="AU96" s="177" t="s">
        <v>642</v>
      </c>
    </row>
    <row r="97" spans="1:47" x14ac:dyDescent="0.25">
      <c r="A97" s="190">
        <v>41</v>
      </c>
      <c r="B97" s="65">
        <v>9343.1</v>
      </c>
      <c r="C97" s="191" t="s">
        <v>216</v>
      </c>
      <c r="D97" s="65" t="s">
        <v>204</v>
      </c>
      <c r="E97" s="192">
        <f>IF(A97=" "," ",VLOOKUP(A97,Estimate!A:Q,17,FALSE))</f>
        <v>840</v>
      </c>
      <c r="F97" s="193">
        <v>3</v>
      </c>
      <c r="G97" s="206">
        <v>372.78199999999998</v>
      </c>
      <c r="H97" s="195">
        <v>420.4</v>
      </c>
      <c r="I97" s="195">
        <v>1261.2</v>
      </c>
      <c r="J97" s="195"/>
      <c r="K97" s="193"/>
      <c r="L97" s="196" t="str">
        <f t="shared" si="641"/>
        <v xml:space="preserve"> </v>
      </c>
      <c r="M97" s="193"/>
      <c r="N97" s="196" t="str">
        <f t="shared" si="641"/>
        <v xml:space="preserve"> </v>
      </c>
      <c r="O97" s="193">
        <v>3</v>
      </c>
      <c r="P97" s="196">
        <f t="shared" ref="P97" si="802">IFERROR(IF(O97=0," ",O97/$F97)," ")</f>
        <v>1</v>
      </c>
      <c r="Q97" s="193">
        <v>3</v>
      </c>
      <c r="R97" s="196">
        <f t="shared" ref="R97" si="803">IFERROR(IF(Q97=0," ",Q97/$F97)," ")</f>
        <v>1</v>
      </c>
      <c r="S97" s="193">
        <v>3</v>
      </c>
      <c r="T97" s="196">
        <f t="shared" ref="T97" si="804">IFERROR(IF(S97=0," ",S97/$F97)," ")</f>
        <v>1</v>
      </c>
      <c r="U97" s="193">
        <v>3</v>
      </c>
      <c r="V97" s="196">
        <f t="shared" ref="V97" si="805">IFERROR(IF(U97=0," ",U97/$F97)," ")</f>
        <v>1</v>
      </c>
      <c r="W97" s="193">
        <v>3</v>
      </c>
      <c r="X97" s="196">
        <f t="shared" ref="X97" si="806">IFERROR(IF(W97=0," ",W97/$F97)," ")</f>
        <v>1</v>
      </c>
      <c r="Y97" s="193">
        <v>3</v>
      </c>
      <c r="Z97" s="196">
        <f t="shared" ref="Z97" si="807">IFERROR(IF(Y97=0," ",Y97/$F97)," ")</f>
        <v>1</v>
      </c>
      <c r="AA97" s="193">
        <v>3</v>
      </c>
      <c r="AB97" s="196">
        <f t="shared" ref="AB97" si="808">IFERROR(IF(AA97=0," ",AA97/$F97)," ")</f>
        <v>1</v>
      </c>
      <c r="AC97" s="193">
        <v>3</v>
      </c>
      <c r="AD97" s="196">
        <f t="shared" ref="AD97" si="809">IFERROR(IF(AC97=0," ",AC97/$F97)," ")</f>
        <v>1</v>
      </c>
      <c r="AE97" s="193">
        <v>3</v>
      </c>
      <c r="AF97" s="196">
        <f t="shared" ref="AF97" si="810">IFERROR(IF(AE97=0," ",AE97/$F97)," ")</f>
        <v>1</v>
      </c>
      <c r="AG97" s="193">
        <v>3</v>
      </c>
      <c r="AH97" s="196">
        <f t="shared" ref="AH97" si="811">IFERROR(IF(AG97=0," ",AG97/$F97)," ")</f>
        <v>1</v>
      </c>
      <c r="AI97" s="197"/>
      <c r="AJ97" s="177">
        <v>0</v>
      </c>
      <c r="AK97" s="177">
        <v>0</v>
      </c>
      <c r="AL97" s="177">
        <v>1261.2</v>
      </c>
      <c r="AM97" s="177">
        <v>1261.2</v>
      </c>
      <c r="AN97" s="177">
        <v>1261.2</v>
      </c>
      <c r="AO97" s="177">
        <v>1261.2</v>
      </c>
      <c r="AP97" s="177">
        <v>1261.2</v>
      </c>
      <c r="AQ97" s="177">
        <v>1261.2</v>
      </c>
      <c r="AR97" s="177">
        <v>1261.2</v>
      </c>
      <c r="AS97" s="177">
        <v>1261.2</v>
      </c>
      <c r="AT97" s="177">
        <v>1261.2</v>
      </c>
      <c r="AU97" s="177">
        <v>1261.2</v>
      </c>
    </row>
    <row r="98" spans="1:47" ht="45" x14ac:dyDescent="0.25">
      <c r="A98" s="190" t="s">
        <v>642</v>
      </c>
      <c r="B98" s="65">
        <v>9360</v>
      </c>
      <c r="C98" s="191" t="s">
        <v>218</v>
      </c>
      <c r="D98" s="65" t="s">
        <v>747</v>
      </c>
      <c r="E98" s="192" t="str">
        <f>IF(A98=" "," ",VLOOKUP(A98,Estimate!A:Q,17,FALSE))</f>
        <v xml:space="preserve"> </v>
      </c>
      <c r="F98" s="193" t="s">
        <v>642</v>
      </c>
      <c r="G98" s="206" t="s">
        <v>642</v>
      </c>
      <c r="H98" s="195" t="s">
        <v>642</v>
      </c>
      <c r="I98" s="195" t="s">
        <v>642</v>
      </c>
      <c r="J98" s="195"/>
      <c r="K98" s="193" t="s">
        <v>642</v>
      </c>
      <c r="L98" s="196" t="str">
        <f t="shared" si="641"/>
        <v xml:space="preserve"> </v>
      </c>
      <c r="M98" s="193" t="s">
        <v>642</v>
      </c>
      <c r="N98" s="196" t="str">
        <f t="shared" si="641"/>
        <v xml:space="preserve"> </v>
      </c>
      <c r="O98" s="193" t="s">
        <v>642</v>
      </c>
      <c r="P98" s="196" t="str">
        <f t="shared" ref="P98" si="812">IFERROR(IF(O98=0," ",O98/$F98)," ")</f>
        <v xml:space="preserve"> </v>
      </c>
      <c r="Q98" s="193" t="s">
        <v>642</v>
      </c>
      <c r="R98" s="196" t="str">
        <f t="shared" ref="R98" si="813">IFERROR(IF(Q98=0," ",Q98/$F98)," ")</f>
        <v xml:space="preserve"> </v>
      </c>
      <c r="S98" s="193" t="s">
        <v>642</v>
      </c>
      <c r="T98" s="196" t="str">
        <f t="shared" ref="T98" si="814">IFERROR(IF(S98=0," ",S98/$F98)," ")</f>
        <v xml:space="preserve"> </v>
      </c>
      <c r="U98" s="193" t="s">
        <v>642</v>
      </c>
      <c r="V98" s="196" t="str">
        <f t="shared" ref="V98" si="815">IFERROR(IF(U98=0," ",U98/$F98)," ")</f>
        <v xml:space="preserve"> </v>
      </c>
      <c r="W98" s="193" t="s">
        <v>642</v>
      </c>
      <c r="X98" s="196" t="str">
        <f t="shared" ref="X98" si="816">IFERROR(IF(W98=0," ",W98/$F98)," ")</f>
        <v xml:space="preserve"> </v>
      </c>
      <c r="Y98" s="193" t="s">
        <v>642</v>
      </c>
      <c r="Z98" s="196" t="str">
        <f t="shared" ref="Z98" si="817">IFERROR(IF(Y98=0," ",Y98/$F98)," ")</f>
        <v xml:space="preserve"> </v>
      </c>
      <c r="AA98" s="193" t="s">
        <v>642</v>
      </c>
      <c r="AB98" s="196" t="str">
        <f t="shared" ref="AB98" si="818">IFERROR(IF(AA98=0," ",AA98/$F98)," ")</f>
        <v xml:space="preserve"> </v>
      </c>
      <c r="AC98" s="193" t="s">
        <v>642</v>
      </c>
      <c r="AD98" s="196" t="str">
        <f t="shared" ref="AD98" si="819">IFERROR(IF(AC98=0," ",AC98/$F98)," ")</f>
        <v xml:space="preserve"> </v>
      </c>
      <c r="AE98" s="193" t="s">
        <v>642</v>
      </c>
      <c r="AF98" s="196" t="str">
        <f t="shared" ref="AF98" si="820">IFERROR(IF(AE98=0," ",AE98/$F98)," ")</f>
        <v xml:space="preserve"> </v>
      </c>
      <c r="AG98" s="193" t="s">
        <v>642</v>
      </c>
      <c r="AH98" s="196" t="str">
        <f t="shared" ref="AH98" si="821">IFERROR(IF(AG98=0," ",AG98/$F98)," ")</f>
        <v xml:space="preserve"> </v>
      </c>
      <c r="AI98" s="197"/>
      <c r="AJ98" s="177" t="s">
        <v>642</v>
      </c>
      <c r="AK98" s="177" t="s">
        <v>642</v>
      </c>
      <c r="AL98" s="177" t="s">
        <v>642</v>
      </c>
      <c r="AM98" s="177" t="s">
        <v>642</v>
      </c>
      <c r="AN98" s="177" t="s">
        <v>642</v>
      </c>
      <c r="AO98" s="177" t="s">
        <v>642</v>
      </c>
      <c r="AP98" s="177" t="s">
        <v>642</v>
      </c>
      <c r="AQ98" s="177" t="s">
        <v>642</v>
      </c>
      <c r="AR98" s="177" t="s">
        <v>642</v>
      </c>
      <c r="AS98" s="177" t="s">
        <v>642</v>
      </c>
      <c r="AT98" s="177" t="s">
        <v>642</v>
      </c>
      <c r="AU98" s="177" t="s">
        <v>642</v>
      </c>
    </row>
    <row r="99" spans="1:47" x14ac:dyDescent="0.25">
      <c r="A99" s="190">
        <v>42</v>
      </c>
      <c r="B99" s="65">
        <v>9360.1</v>
      </c>
      <c r="C99" s="191" t="s">
        <v>220</v>
      </c>
      <c r="D99" s="65" t="s">
        <v>204</v>
      </c>
      <c r="E99" s="192">
        <f>IF(A99=" "," ",VLOOKUP(A99,Estimate!A:Q,17,FALSE))</f>
        <v>560</v>
      </c>
      <c r="F99" s="193">
        <v>2</v>
      </c>
      <c r="G99" s="206">
        <v>372.78199999999998</v>
      </c>
      <c r="H99" s="195">
        <v>420.4</v>
      </c>
      <c r="I99" s="195">
        <v>840.8</v>
      </c>
      <c r="J99" s="195"/>
      <c r="K99" s="193"/>
      <c r="L99" s="196" t="str">
        <f t="shared" si="641"/>
        <v xml:space="preserve"> </v>
      </c>
      <c r="M99" s="193"/>
      <c r="N99" s="196" t="str">
        <f t="shared" si="641"/>
        <v xml:space="preserve"> </v>
      </c>
      <c r="O99" s="193">
        <v>2</v>
      </c>
      <c r="P99" s="196">
        <f t="shared" ref="P99" si="822">IFERROR(IF(O99=0," ",O99/$F99)," ")</f>
        <v>1</v>
      </c>
      <c r="Q99" s="193">
        <v>2</v>
      </c>
      <c r="R99" s="196">
        <f t="shared" ref="R99" si="823">IFERROR(IF(Q99=0," ",Q99/$F99)," ")</f>
        <v>1</v>
      </c>
      <c r="S99" s="193">
        <v>2</v>
      </c>
      <c r="T99" s="196">
        <f t="shared" ref="T99" si="824">IFERROR(IF(S99=0," ",S99/$F99)," ")</f>
        <v>1</v>
      </c>
      <c r="U99" s="193">
        <v>2</v>
      </c>
      <c r="V99" s="196">
        <f t="shared" ref="V99" si="825">IFERROR(IF(U99=0," ",U99/$F99)," ")</f>
        <v>1</v>
      </c>
      <c r="W99" s="193">
        <v>2</v>
      </c>
      <c r="X99" s="196">
        <f t="shared" ref="X99" si="826">IFERROR(IF(W99=0," ",W99/$F99)," ")</f>
        <v>1</v>
      </c>
      <c r="Y99" s="193">
        <v>2</v>
      </c>
      <c r="Z99" s="196">
        <f t="shared" ref="Z99" si="827">IFERROR(IF(Y99=0," ",Y99/$F99)," ")</f>
        <v>1</v>
      </c>
      <c r="AA99" s="193">
        <v>2</v>
      </c>
      <c r="AB99" s="196">
        <f t="shared" ref="AB99" si="828">IFERROR(IF(AA99=0," ",AA99/$F99)," ")</f>
        <v>1</v>
      </c>
      <c r="AC99" s="193">
        <v>2</v>
      </c>
      <c r="AD99" s="196">
        <f t="shared" ref="AD99" si="829">IFERROR(IF(AC99=0," ",AC99/$F99)," ")</f>
        <v>1</v>
      </c>
      <c r="AE99" s="193">
        <v>2</v>
      </c>
      <c r="AF99" s="196">
        <f t="shared" ref="AF99" si="830">IFERROR(IF(AE99=0," ",AE99/$F99)," ")</f>
        <v>1</v>
      </c>
      <c r="AG99" s="193">
        <v>2</v>
      </c>
      <c r="AH99" s="196">
        <f t="shared" ref="AH99" si="831">IFERROR(IF(AG99=0," ",AG99/$F99)," ")</f>
        <v>1</v>
      </c>
      <c r="AI99" s="197"/>
      <c r="AJ99" s="177">
        <v>0</v>
      </c>
      <c r="AK99" s="177">
        <v>0</v>
      </c>
      <c r="AL99" s="177">
        <v>840.8</v>
      </c>
      <c r="AM99" s="177">
        <v>840.8</v>
      </c>
      <c r="AN99" s="177">
        <v>840.8</v>
      </c>
      <c r="AO99" s="177">
        <v>840.8</v>
      </c>
      <c r="AP99" s="177">
        <v>840.8</v>
      </c>
      <c r="AQ99" s="177">
        <v>840.8</v>
      </c>
      <c r="AR99" s="177">
        <v>840.8</v>
      </c>
      <c r="AS99" s="177">
        <v>840.8</v>
      </c>
      <c r="AT99" s="177">
        <v>840.8</v>
      </c>
      <c r="AU99" s="177">
        <v>840.8</v>
      </c>
    </row>
    <row r="100" spans="1:47" x14ac:dyDescent="0.25">
      <c r="A100" s="190">
        <v>43</v>
      </c>
      <c r="B100" s="65">
        <v>9361.1</v>
      </c>
      <c r="C100" s="191" t="s">
        <v>222</v>
      </c>
      <c r="D100" s="65" t="s">
        <v>204</v>
      </c>
      <c r="E100" s="192">
        <f>IF(A100=" "," ",VLOOKUP(A100,Estimate!A:Q,17,FALSE))</f>
        <v>600</v>
      </c>
      <c r="F100" s="193">
        <v>2</v>
      </c>
      <c r="G100" s="206">
        <v>399.41050000000001</v>
      </c>
      <c r="H100" s="195">
        <v>450.43</v>
      </c>
      <c r="I100" s="195">
        <v>900.86</v>
      </c>
      <c r="J100" s="195"/>
      <c r="K100" s="193"/>
      <c r="L100" s="196" t="str">
        <f t="shared" si="641"/>
        <v xml:space="preserve"> </v>
      </c>
      <c r="M100" s="193"/>
      <c r="N100" s="196" t="str">
        <f t="shared" si="641"/>
        <v xml:space="preserve"> </v>
      </c>
      <c r="O100" s="193">
        <v>2</v>
      </c>
      <c r="P100" s="196">
        <f t="shared" ref="P100" si="832">IFERROR(IF(O100=0," ",O100/$F100)," ")</f>
        <v>1</v>
      </c>
      <c r="Q100" s="193">
        <v>2</v>
      </c>
      <c r="R100" s="196">
        <f t="shared" ref="R100" si="833">IFERROR(IF(Q100=0," ",Q100/$F100)," ")</f>
        <v>1</v>
      </c>
      <c r="S100" s="193">
        <v>2</v>
      </c>
      <c r="T100" s="196">
        <f t="shared" ref="T100" si="834">IFERROR(IF(S100=0," ",S100/$F100)," ")</f>
        <v>1</v>
      </c>
      <c r="U100" s="193">
        <v>2</v>
      </c>
      <c r="V100" s="196">
        <f t="shared" ref="V100" si="835">IFERROR(IF(U100=0," ",U100/$F100)," ")</f>
        <v>1</v>
      </c>
      <c r="W100" s="193">
        <v>2</v>
      </c>
      <c r="X100" s="196">
        <f t="shared" ref="X100" si="836">IFERROR(IF(W100=0," ",W100/$F100)," ")</f>
        <v>1</v>
      </c>
      <c r="Y100" s="193">
        <v>2</v>
      </c>
      <c r="Z100" s="196">
        <f t="shared" ref="Z100" si="837">IFERROR(IF(Y100=0," ",Y100/$F100)," ")</f>
        <v>1</v>
      </c>
      <c r="AA100" s="193">
        <v>2</v>
      </c>
      <c r="AB100" s="196">
        <f t="shared" ref="AB100" si="838">IFERROR(IF(AA100=0," ",AA100/$F100)," ")</f>
        <v>1</v>
      </c>
      <c r="AC100" s="193">
        <v>2</v>
      </c>
      <c r="AD100" s="196">
        <f t="shared" ref="AD100" si="839">IFERROR(IF(AC100=0," ",AC100/$F100)," ")</f>
        <v>1</v>
      </c>
      <c r="AE100" s="193">
        <v>2</v>
      </c>
      <c r="AF100" s="196">
        <f t="shared" ref="AF100" si="840">IFERROR(IF(AE100=0," ",AE100/$F100)," ")</f>
        <v>1</v>
      </c>
      <c r="AG100" s="193">
        <v>2</v>
      </c>
      <c r="AH100" s="196">
        <f t="shared" ref="AH100" si="841">IFERROR(IF(AG100=0," ",AG100/$F100)," ")</f>
        <v>1</v>
      </c>
      <c r="AI100" s="197"/>
      <c r="AJ100" s="177">
        <v>0</v>
      </c>
      <c r="AK100" s="177">
        <v>0</v>
      </c>
      <c r="AL100" s="177">
        <v>900.86</v>
      </c>
      <c r="AM100" s="177">
        <v>900.86</v>
      </c>
      <c r="AN100" s="177">
        <v>900.86</v>
      </c>
      <c r="AO100" s="177">
        <v>900.86</v>
      </c>
      <c r="AP100" s="177">
        <v>900.86</v>
      </c>
      <c r="AQ100" s="177">
        <v>900.86</v>
      </c>
      <c r="AR100" s="177">
        <v>900.86</v>
      </c>
      <c r="AS100" s="177">
        <v>900.86</v>
      </c>
      <c r="AT100" s="177">
        <v>900.86</v>
      </c>
      <c r="AU100" s="177">
        <v>900.86</v>
      </c>
    </row>
    <row r="101" spans="1:47" x14ac:dyDescent="0.25">
      <c r="A101" s="190">
        <v>44</v>
      </c>
      <c r="B101" s="65">
        <v>9362.2000000000007</v>
      </c>
      <c r="C101" s="191" t="s">
        <v>224</v>
      </c>
      <c r="D101" s="65" t="s">
        <v>204</v>
      </c>
      <c r="E101" s="192">
        <f>IF(A101=" "," ",VLOOKUP(A101,Estimate!A:Q,17,FALSE))</f>
        <v>260</v>
      </c>
      <c r="F101" s="193">
        <v>2</v>
      </c>
      <c r="G101" s="206">
        <v>173.0805</v>
      </c>
      <c r="H101" s="195">
        <v>195.19</v>
      </c>
      <c r="I101" s="195">
        <v>390.38</v>
      </c>
      <c r="J101" s="195"/>
      <c r="K101" s="193"/>
      <c r="L101" s="196" t="str">
        <f t="shared" si="641"/>
        <v xml:space="preserve"> </v>
      </c>
      <c r="M101" s="193"/>
      <c r="N101" s="196" t="str">
        <f t="shared" si="641"/>
        <v xml:space="preserve"> </v>
      </c>
      <c r="O101" s="193"/>
      <c r="P101" s="196" t="str">
        <f t="shared" ref="P101" si="842">IFERROR(IF(O101=0," ",O101/$F101)," ")</f>
        <v xml:space="preserve"> </v>
      </c>
      <c r="Q101" s="193"/>
      <c r="R101" s="196" t="str">
        <f t="shared" ref="R101" si="843">IFERROR(IF(Q101=0," ",Q101/$F101)," ")</f>
        <v xml:space="preserve"> </v>
      </c>
      <c r="S101" s="193"/>
      <c r="T101" s="196" t="str">
        <f t="shared" ref="T101" si="844">IFERROR(IF(S101=0," ",S101/$F101)," ")</f>
        <v xml:space="preserve"> </v>
      </c>
      <c r="U101" s="193"/>
      <c r="V101" s="196" t="str">
        <f t="shared" ref="V101" si="845">IFERROR(IF(U101=0," ",U101/$F101)," ")</f>
        <v xml:space="preserve"> </v>
      </c>
      <c r="W101" s="193">
        <v>2</v>
      </c>
      <c r="X101" s="196">
        <f t="shared" ref="X101" si="846">IFERROR(IF(W101=0," ",W101/$F101)," ")</f>
        <v>1</v>
      </c>
      <c r="Y101" s="193">
        <v>2</v>
      </c>
      <c r="Z101" s="196">
        <f t="shared" ref="Z101" si="847">IFERROR(IF(Y101=0," ",Y101/$F101)," ")</f>
        <v>1</v>
      </c>
      <c r="AA101" s="193">
        <v>2</v>
      </c>
      <c r="AB101" s="196">
        <f t="shared" ref="AB101" si="848">IFERROR(IF(AA101=0," ",AA101/$F101)," ")</f>
        <v>1</v>
      </c>
      <c r="AC101" s="193">
        <v>2</v>
      </c>
      <c r="AD101" s="196">
        <f t="shared" ref="AD101" si="849">IFERROR(IF(AC101=0," ",AC101/$F101)," ")</f>
        <v>1</v>
      </c>
      <c r="AE101" s="193">
        <v>2</v>
      </c>
      <c r="AF101" s="196">
        <f t="shared" ref="AF101" si="850">IFERROR(IF(AE101=0," ",AE101/$F101)," ")</f>
        <v>1</v>
      </c>
      <c r="AG101" s="193">
        <v>2</v>
      </c>
      <c r="AH101" s="196">
        <f t="shared" ref="AH101" si="851">IFERROR(IF(AG101=0," ",AG101/$F101)," ")</f>
        <v>1</v>
      </c>
      <c r="AI101" s="197"/>
      <c r="AJ101" s="177">
        <v>0</v>
      </c>
      <c r="AK101" s="177">
        <v>0</v>
      </c>
      <c r="AL101" s="177">
        <v>0</v>
      </c>
      <c r="AM101" s="177">
        <v>0</v>
      </c>
      <c r="AN101" s="177">
        <v>0</v>
      </c>
      <c r="AO101" s="177">
        <v>0</v>
      </c>
      <c r="AP101" s="177">
        <v>390.38</v>
      </c>
      <c r="AQ101" s="177">
        <v>390.38</v>
      </c>
      <c r="AR101" s="177">
        <v>390.38</v>
      </c>
      <c r="AS101" s="177">
        <v>390.38</v>
      </c>
      <c r="AT101" s="177">
        <v>390.38</v>
      </c>
      <c r="AU101" s="177">
        <v>390.38</v>
      </c>
    </row>
    <row r="102" spans="1:47" x14ac:dyDescent="0.25">
      <c r="A102" s="190">
        <v>45</v>
      </c>
      <c r="B102" s="65">
        <v>9363.1</v>
      </c>
      <c r="C102" s="191" t="s">
        <v>226</v>
      </c>
      <c r="D102" s="65" t="s">
        <v>204</v>
      </c>
      <c r="E102" s="192">
        <f>IF(A102=" "," ",VLOOKUP(A102,Estimate!A:Q,17,FALSE))</f>
        <v>200</v>
      </c>
      <c r="F102" s="193">
        <v>2</v>
      </c>
      <c r="G102" s="206">
        <v>133.1345</v>
      </c>
      <c r="H102" s="195">
        <v>150.13999999999999</v>
      </c>
      <c r="I102" s="195">
        <v>300.27999999999997</v>
      </c>
      <c r="J102" s="195"/>
      <c r="K102" s="193"/>
      <c r="L102" s="196" t="str">
        <f t="shared" si="641"/>
        <v xml:space="preserve"> </v>
      </c>
      <c r="M102" s="193"/>
      <c r="N102" s="196" t="str">
        <f t="shared" si="641"/>
        <v xml:space="preserve"> </v>
      </c>
      <c r="O102" s="193">
        <v>2</v>
      </c>
      <c r="P102" s="196">
        <f t="shared" ref="P102" si="852">IFERROR(IF(O102=0," ",O102/$F102)," ")</f>
        <v>1</v>
      </c>
      <c r="Q102" s="193">
        <v>2</v>
      </c>
      <c r="R102" s="196">
        <f t="shared" ref="R102" si="853">IFERROR(IF(Q102=0," ",Q102/$F102)," ")</f>
        <v>1</v>
      </c>
      <c r="S102" s="193">
        <v>2</v>
      </c>
      <c r="T102" s="196">
        <f t="shared" ref="T102" si="854">IFERROR(IF(S102=0," ",S102/$F102)," ")</f>
        <v>1</v>
      </c>
      <c r="U102" s="193">
        <v>2</v>
      </c>
      <c r="V102" s="196">
        <f t="shared" ref="V102" si="855">IFERROR(IF(U102=0," ",U102/$F102)," ")</f>
        <v>1</v>
      </c>
      <c r="W102" s="193">
        <v>2</v>
      </c>
      <c r="X102" s="196">
        <f t="shared" ref="X102" si="856">IFERROR(IF(W102=0," ",W102/$F102)," ")</f>
        <v>1</v>
      </c>
      <c r="Y102" s="193">
        <v>2</v>
      </c>
      <c r="Z102" s="196">
        <f t="shared" ref="Z102" si="857">IFERROR(IF(Y102=0," ",Y102/$F102)," ")</f>
        <v>1</v>
      </c>
      <c r="AA102" s="193">
        <v>2</v>
      </c>
      <c r="AB102" s="196">
        <f t="shared" ref="AB102" si="858">IFERROR(IF(AA102=0," ",AA102/$F102)," ")</f>
        <v>1</v>
      </c>
      <c r="AC102" s="193">
        <v>2</v>
      </c>
      <c r="AD102" s="196">
        <f t="shared" ref="AD102" si="859">IFERROR(IF(AC102=0," ",AC102/$F102)," ")</f>
        <v>1</v>
      </c>
      <c r="AE102" s="193">
        <v>2</v>
      </c>
      <c r="AF102" s="196">
        <f t="shared" ref="AF102" si="860">IFERROR(IF(AE102=0," ",AE102/$F102)," ")</f>
        <v>1</v>
      </c>
      <c r="AG102" s="193">
        <v>2</v>
      </c>
      <c r="AH102" s="196">
        <f t="shared" ref="AH102" si="861">IFERROR(IF(AG102=0," ",AG102/$F102)," ")</f>
        <v>1</v>
      </c>
      <c r="AI102" s="197"/>
      <c r="AJ102" s="177">
        <v>0</v>
      </c>
      <c r="AK102" s="177">
        <v>0</v>
      </c>
      <c r="AL102" s="177">
        <v>300.27999999999997</v>
      </c>
      <c r="AM102" s="177">
        <v>300.27999999999997</v>
      </c>
      <c r="AN102" s="177">
        <v>300.27999999999997</v>
      </c>
      <c r="AO102" s="177">
        <v>300.27999999999997</v>
      </c>
      <c r="AP102" s="177">
        <v>300.27999999999997</v>
      </c>
      <c r="AQ102" s="177">
        <v>300.27999999999997</v>
      </c>
      <c r="AR102" s="177">
        <v>300.27999999999997</v>
      </c>
      <c r="AS102" s="177">
        <v>300.27999999999997</v>
      </c>
      <c r="AT102" s="177">
        <v>300.27999999999997</v>
      </c>
      <c r="AU102" s="177">
        <v>300.27999999999997</v>
      </c>
    </row>
    <row r="103" spans="1:47" ht="30" x14ac:dyDescent="0.25">
      <c r="A103" s="190">
        <v>46</v>
      </c>
      <c r="B103" s="65">
        <v>9364.1</v>
      </c>
      <c r="C103" s="191" t="s">
        <v>228</v>
      </c>
      <c r="D103" s="65" t="s">
        <v>204</v>
      </c>
      <c r="E103" s="192">
        <f>IF(A103=" "," ",VLOOKUP(A103,Estimate!A:Q,17,FALSE))</f>
        <v>1040</v>
      </c>
      <c r="F103" s="193">
        <v>2</v>
      </c>
      <c r="G103" s="206">
        <v>692.30799999999999</v>
      </c>
      <c r="H103" s="195">
        <v>780.74</v>
      </c>
      <c r="I103" s="195">
        <v>1561.48</v>
      </c>
      <c r="J103" s="195"/>
      <c r="K103" s="193"/>
      <c r="L103" s="196" t="str">
        <f t="shared" si="641"/>
        <v xml:space="preserve"> </v>
      </c>
      <c r="M103" s="193"/>
      <c r="N103" s="196" t="str">
        <f t="shared" si="641"/>
        <v xml:space="preserve"> </v>
      </c>
      <c r="O103" s="193"/>
      <c r="P103" s="196" t="str">
        <f t="shared" ref="P103" si="862">IFERROR(IF(O103=0," ",O103/$F103)," ")</f>
        <v xml:space="preserve"> </v>
      </c>
      <c r="Q103" s="193"/>
      <c r="R103" s="196" t="str">
        <f t="shared" ref="R103" si="863">IFERROR(IF(Q103=0," ",Q103/$F103)," ")</f>
        <v xml:space="preserve"> </v>
      </c>
      <c r="S103" s="193"/>
      <c r="T103" s="196" t="str">
        <f t="shared" ref="T103" si="864">IFERROR(IF(S103=0," ",S103/$F103)," ")</f>
        <v xml:space="preserve"> </v>
      </c>
      <c r="U103" s="193"/>
      <c r="V103" s="196" t="str">
        <f t="shared" ref="V103" si="865">IFERROR(IF(U103=0," ",U103/$F103)," ")</f>
        <v xml:space="preserve"> </v>
      </c>
      <c r="W103" s="193">
        <v>2</v>
      </c>
      <c r="X103" s="196">
        <f t="shared" ref="X103" si="866">IFERROR(IF(W103=0," ",W103/$F103)," ")</f>
        <v>1</v>
      </c>
      <c r="Y103" s="193">
        <v>2</v>
      </c>
      <c r="Z103" s="196">
        <f t="shared" ref="Z103" si="867">IFERROR(IF(Y103=0," ",Y103/$F103)," ")</f>
        <v>1</v>
      </c>
      <c r="AA103" s="193">
        <v>2</v>
      </c>
      <c r="AB103" s="196">
        <f t="shared" ref="AB103" si="868">IFERROR(IF(AA103=0," ",AA103/$F103)," ")</f>
        <v>1</v>
      </c>
      <c r="AC103" s="193">
        <v>2</v>
      </c>
      <c r="AD103" s="196">
        <f t="shared" ref="AD103" si="869">IFERROR(IF(AC103=0," ",AC103/$F103)," ")</f>
        <v>1</v>
      </c>
      <c r="AE103" s="193">
        <v>2</v>
      </c>
      <c r="AF103" s="196">
        <f t="shared" ref="AF103" si="870">IFERROR(IF(AE103=0," ",AE103/$F103)," ")</f>
        <v>1</v>
      </c>
      <c r="AG103" s="193">
        <v>2</v>
      </c>
      <c r="AH103" s="196">
        <f t="shared" ref="AH103" si="871">IFERROR(IF(AG103=0," ",AG103/$F103)," ")</f>
        <v>1</v>
      </c>
      <c r="AI103" s="197"/>
      <c r="AJ103" s="177">
        <v>0</v>
      </c>
      <c r="AK103" s="177">
        <v>0</v>
      </c>
      <c r="AL103" s="177">
        <v>0</v>
      </c>
      <c r="AM103" s="177">
        <v>0</v>
      </c>
      <c r="AN103" s="177">
        <v>0</v>
      </c>
      <c r="AO103" s="177">
        <v>0</v>
      </c>
      <c r="AP103" s="177">
        <v>1561.48</v>
      </c>
      <c r="AQ103" s="177">
        <v>1561.48</v>
      </c>
      <c r="AR103" s="177">
        <v>1561.48</v>
      </c>
      <c r="AS103" s="177">
        <v>1561.48</v>
      </c>
      <c r="AT103" s="177">
        <v>1561.48</v>
      </c>
      <c r="AU103" s="177">
        <v>1561.48</v>
      </c>
    </row>
    <row r="104" spans="1:47" ht="45" x14ac:dyDescent="0.25">
      <c r="A104" s="190" t="s">
        <v>642</v>
      </c>
      <c r="B104" s="65">
        <v>9391</v>
      </c>
      <c r="C104" s="191" t="s">
        <v>230</v>
      </c>
      <c r="D104" s="65" t="s">
        <v>747</v>
      </c>
      <c r="E104" s="192" t="str">
        <f>IF(A104=" "," ",VLOOKUP(A104,Estimate!A:Q,17,FALSE))</f>
        <v xml:space="preserve"> </v>
      </c>
      <c r="F104" s="193" t="s">
        <v>642</v>
      </c>
      <c r="G104" s="206" t="s">
        <v>642</v>
      </c>
      <c r="H104" s="195" t="s">
        <v>642</v>
      </c>
      <c r="I104" s="195" t="s">
        <v>642</v>
      </c>
      <c r="J104" s="195"/>
      <c r="K104" s="193" t="s">
        <v>642</v>
      </c>
      <c r="L104" s="196" t="str">
        <f t="shared" si="641"/>
        <v xml:space="preserve"> </v>
      </c>
      <c r="M104" s="193" t="s">
        <v>642</v>
      </c>
      <c r="N104" s="196" t="str">
        <f t="shared" si="641"/>
        <v xml:space="preserve"> </v>
      </c>
      <c r="O104" s="193" t="s">
        <v>642</v>
      </c>
      <c r="P104" s="196" t="str">
        <f t="shared" ref="P104" si="872">IFERROR(IF(O104=0," ",O104/$F104)," ")</f>
        <v xml:space="preserve"> </v>
      </c>
      <c r="Q104" s="193" t="s">
        <v>642</v>
      </c>
      <c r="R104" s="196" t="str">
        <f t="shared" ref="R104" si="873">IFERROR(IF(Q104=0," ",Q104/$F104)," ")</f>
        <v xml:space="preserve"> </v>
      </c>
      <c r="S104" s="193" t="s">
        <v>642</v>
      </c>
      <c r="T104" s="196" t="str">
        <f t="shared" ref="T104" si="874">IFERROR(IF(S104=0," ",S104/$F104)," ")</f>
        <v xml:space="preserve"> </v>
      </c>
      <c r="U104" s="193" t="s">
        <v>642</v>
      </c>
      <c r="V104" s="196" t="str">
        <f t="shared" ref="V104" si="875">IFERROR(IF(U104=0," ",U104/$F104)," ")</f>
        <v xml:space="preserve"> </v>
      </c>
      <c r="W104" s="193" t="s">
        <v>642</v>
      </c>
      <c r="X104" s="196" t="str">
        <f t="shared" ref="X104" si="876">IFERROR(IF(W104=0," ",W104/$F104)," ")</f>
        <v xml:space="preserve"> </v>
      </c>
      <c r="Y104" s="193" t="s">
        <v>642</v>
      </c>
      <c r="Z104" s="196" t="str">
        <f t="shared" ref="Z104" si="877">IFERROR(IF(Y104=0," ",Y104/$F104)," ")</f>
        <v xml:space="preserve"> </v>
      </c>
      <c r="AA104" s="193" t="s">
        <v>642</v>
      </c>
      <c r="AB104" s="196" t="str">
        <f t="shared" ref="AB104" si="878">IFERROR(IF(AA104=0," ",AA104/$F104)," ")</f>
        <v xml:space="preserve"> </v>
      </c>
      <c r="AC104" s="193" t="s">
        <v>642</v>
      </c>
      <c r="AD104" s="196" t="str">
        <f t="shared" ref="AD104" si="879">IFERROR(IF(AC104=0," ",AC104/$F104)," ")</f>
        <v xml:space="preserve"> </v>
      </c>
      <c r="AE104" s="193" t="s">
        <v>642</v>
      </c>
      <c r="AF104" s="196" t="str">
        <f t="shared" ref="AF104" si="880">IFERROR(IF(AE104=0," ",AE104/$F104)," ")</f>
        <v xml:space="preserve"> </v>
      </c>
      <c r="AG104" s="193" t="s">
        <v>642</v>
      </c>
      <c r="AH104" s="196" t="str">
        <f t="shared" ref="AH104" si="881">IFERROR(IF(AG104=0," ",AG104/$F104)," ")</f>
        <v xml:space="preserve"> </v>
      </c>
      <c r="AI104" s="197"/>
      <c r="AJ104" s="177" t="s">
        <v>642</v>
      </c>
      <c r="AK104" s="177" t="s">
        <v>642</v>
      </c>
      <c r="AL104" s="177" t="s">
        <v>642</v>
      </c>
      <c r="AM104" s="177" t="s">
        <v>642</v>
      </c>
      <c r="AN104" s="177" t="s">
        <v>642</v>
      </c>
      <c r="AO104" s="177" t="s">
        <v>642</v>
      </c>
      <c r="AP104" s="177" t="s">
        <v>642</v>
      </c>
      <c r="AQ104" s="177" t="s">
        <v>642</v>
      </c>
      <c r="AR104" s="177" t="s">
        <v>642</v>
      </c>
      <c r="AS104" s="177" t="s">
        <v>642</v>
      </c>
      <c r="AT104" s="177" t="s">
        <v>642</v>
      </c>
      <c r="AU104" s="177" t="s">
        <v>642</v>
      </c>
    </row>
    <row r="105" spans="1:47" x14ac:dyDescent="0.25">
      <c r="A105" s="190">
        <v>47</v>
      </c>
      <c r="B105" s="65">
        <v>9391.1</v>
      </c>
      <c r="C105" s="191" t="s">
        <v>232</v>
      </c>
      <c r="D105" s="65" t="s">
        <v>204</v>
      </c>
      <c r="E105" s="192">
        <f>IF(A105=" "," ",VLOOKUP(A105,Estimate!A:Q,17,FALSE))</f>
        <v>700</v>
      </c>
      <c r="F105" s="193">
        <v>7</v>
      </c>
      <c r="G105" s="206">
        <v>133.13457142857143</v>
      </c>
      <c r="H105" s="195">
        <v>150.13999999999999</v>
      </c>
      <c r="I105" s="195">
        <v>1050.98</v>
      </c>
      <c r="J105" s="195"/>
      <c r="K105" s="193"/>
      <c r="L105" s="196" t="str">
        <f t="shared" si="641"/>
        <v xml:space="preserve"> </v>
      </c>
      <c r="M105" s="193"/>
      <c r="N105" s="196" t="str">
        <f t="shared" si="641"/>
        <v xml:space="preserve"> </v>
      </c>
      <c r="O105" s="193"/>
      <c r="P105" s="196" t="str">
        <f t="shared" ref="P105" si="882">IFERROR(IF(O105=0," ",O105/$F105)," ")</f>
        <v xml:space="preserve"> </v>
      </c>
      <c r="Q105" s="193"/>
      <c r="R105" s="196" t="str">
        <f t="shared" ref="R105" si="883">IFERROR(IF(Q105=0," ",Q105/$F105)," ")</f>
        <v xml:space="preserve"> </v>
      </c>
      <c r="S105" s="193"/>
      <c r="T105" s="196" t="str">
        <f t="shared" ref="T105" si="884">IFERROR(IF(S105=0," ",S105/$F105)," ")</f>
        <v xml:space="preserve"> </v>
      </c>
      <c r="U105" s="193">
        <v>7</v>
      </c>
      <c r="V105" s="196">
        <f t="shared" ref="V105" si="885">IFERROR(IF(U105=0," ",U105/$F105)," ")</f>
        <v>1</v>
      </c>
      <c r="W105" s="193">
        <v>7</v>
      </c>
      <c r="X105" s="196">
        <f t="shared" ref="X105" si="886">IFERROR(IF(W105=0," ",W105/$F105)," ")</f>
        <v>1</v>
      </c>
      <c r="Y105" s="193">
        <v>7</v>
      </c>
      <c r="Z105" s="196">
        <f t="shared" ref="Z105" si="887">IFERROR(IF(Y105=0," ",Y105/$F105)," ")</f>
        <v>1</v>
      </c>
      <c r="AA105" s="193">
        <v>7</v>
      </c>
      <c r="AB105" s="196">
        <f t="shared" ref="AB105" si="888">IFERROR(IF(AA105=0," ",AA105/$F105)," ")</f>
        <v>1</v>
      </c>
      <c r="AC105" s="193">
        <v>7</v>
      </c>
      <c r="AD105" s="196">
        <f t="shared" ref="AD105" si="889">IFERROR(IF(AC105=0," ",AC105/$F105)," ")</f>
        <v>1</v>
      </c>
      <c r="AE105" s="193">
        <v>7</v>
      </c>
      <c r="AF105" s="196">
        <f t="shared" ref="AF105" si="890">IFERROR(IF(AE105=0," ",AE105/$F105)," ")</f>
        <v>1</v>
      </c>
      <c r="AG105" s="193">
        <v>7</v>
      </c>
      <c r="AH105" s="196">
        <f t="shared" ref="AH105" si="891">IFERROR(IF(AG105=0," ",AG105/$F105)," ")</f>
        <v>1</v>
      </c>
      <c r="AI105" s="197"/>
      <c r="AJ105" s="177">
        <v>0</v>
      </c>
      <c r="AK105" s="177">
        <v>0</v>
      </c>
      <c r="AL105" s="177">
        <v>0</v>
      </c>
      <c r="AM105" s="177">
        <v>0</v>
      </c>
      <c r="AN105" s="177">
        <v>0</v>
      </c>
      <c r="AO105" s="177">
        <v>1050.98</v>
      </c>
      <c r="AP105" s="177">
        <v>1050.98</v>
      </c>
      <c r="AQ105" s="177">
        <v>1050.98</v>
      </c>
      <c r="AR105" s="177">
        <v>1050.98</v>
      </c>
      <c r="AS105" s="177">
        <v>1050.98</v>
      </c>
      <c r="AT105" s="177">
        <v>1050.98</v>
      </c>
      <c r="AU105" s="177">
        <v>1050.98</v>
      </c>
    </row>
    <row r="106" spans="1:47" x14ac:dyDescent="0.25">
      <c r="A106" s="190" t="s">
        <v>642</v>
      </c>
      <c r="B106" s="65">
        <v>9400</v>
      </c>
      <c r="C106" s="191" t="s">
        <v>234</v>
      </c>
      <c r="D106" s="65" t="s">
        <v>747</v>
      </c>
      <c r="E106" s="192" t="str">
        <f>IF(A106=" "," ",VLOOKUP(A106,Estimate!A:Q,17,FALSE))</f>
        <v xml:space="preserve"> </v>
      </c>
      <c r="F106" s="193" t="s">
        <v>642</v>
      </c>
      <c r="G106" s="206" t="s">
        <v>642</v>
      </c>
      <c r="H106" s="195" t="s">
        <v>642</v>
      </c>
      <c r="I106" s="195" t="s">
        <v>642</v>
      </c>
      <c r="J106" s="195"/>
      <c r="K106" s="193" t="s">
        <v>642</v>
      </c>
      <c r="L106" s="196" t="str">
        <f t="shared" si="641"/>
        <v xml:space="preserve"> </v>
      </c>
      <c r="M106" s="193" t="s">
        <v>642</v>
      </c>
      <c r="N106" s="196" t="str">
        <f t="shared" si="641"/>
        <v xml:space="preserve"> </v>
      </c>
      <c r="O106" s="193" t="s">
        <v>642</v>
      </c>
      <c r="P106" s="196" t="str">
        <f t="shared" ref="P106" si="892">IFERROR(IF(O106=0," ",O106/$F106)," ")</f>
        <v xml:space="preserve"> </v>
      </c>
      <c r="Q106" s="193" t="s">
        <v>642</v>
      </c>
      <c r="R106" s="196" t="str">
        <f t="shared" ref="R106" si="893">IFERROR(IF(Q106=0," ",Q106/$F106)," ")</f>
        <v xml:space="preserve"> </v>
      </c>
      <c r="S106" s="193" t="s">
        <v>642</v>
      </c>
      <c r="T106" s="196" t="str">
        <f t="shared" ref="T106" si="894">IFERROR(IF(S106=0," ",S106/$F106)," ")</f>
        <v xml:space="preserve"> </v>
      </c>
      <c r="U106" s="193" t="s">
        <v>642</v>
      </c>
      <c r="V106" s="196" t="str">
        <f t="shared" ref="V106" si="895">IFERROR(IF(U106=0," ",U106/$F106)," ")</f>
        <v xml:space="preserve"> </v>
      </c>
      <c r="W106" s="193" t="s">
        <v>642</v>
      </c>
      <c r="X106" s="196" t="str">
        <f t="shared" ref="X106" si="896">IFERROR(IF(W106=0," ",W106/$F106)," ")</f>
        <v xml:space="preserve"> </v>
      </c>
      <c r="Y106" s="193" t="s">
        <v>642</v>
      </c>
      <c r="Z106" s="196" t="str">
        <f t="shared" ref="Z106" si="897">IFERROR(IF(Y106=0," ",Y106/$F106)," ")</f>
        <v xml:space="preserve"> </v>
      </c>
      <c r="AA106" s="193" t="s">
        <v>642</v>
      </c>
      <c r="AB106" s="196" t="str">
        <f t="shared" ref="AB106" si="898">IFERROR(IF(AA106=0," ",AA106/$F106)," ")</f>
        <v xml:space="preserve"> </v>
      </c>
      <c r="AC106" s="193" t="s">
        <v>642</v>
      </c>
      <c r="AD106" s="196" t="str">
        <f t="shared" ref="AD106" si="899">IFERROR(IF(AC106=0," ",AC106/$F106)," ")</f>
        <v xml:space="preserve"> </v>
      </c>
      <c r="AE106" s="193" t="s">
        <v>642</v>
      </c>
      <c r="AF106" s="196" t="str">
        <f t="shared" ref="AF106" si="900">IFERROR(IF(AE106=0," ",AE106/$F106)," ")</f>
        <v xml:space="preserve"> </v>
      </c>
      <c r="AG106" s="193" t="s">
        <v>642</v>
      </c>
      <c r="AH106" s="196" t="str">
        <f t="shared" ref="AH106" si="901">IFERROR(IF(AG106=0," ",AG106/$F106)," ")</f>
        <v xml:space="preserve"> </v>
      </c>
      <c r="AI106" s="197"/>
      <c r="AJ106" s="177" t="s">
        <v>642</v>
      </c>
      <c r="AK106" s="177" t="s">
        <v>642</v>
      </c>
      <c r="AL106" s="177" t="s">
        <v>642</v>
      </c>
      <c r="AM106" s="177" t="s">
        <v>642</v>
      </c>
      <c r="AN106" s="177" t="s">
        <v>642</v>
      </c>
      <c r="AO106" s="177" t="s">
        <v>642</v>
      </c>
      <c r="AP106" s="177" t="s">
        <v>642</v>
      </c>
      <c r="AQ106" s="177" t="s">
        <v>642</v>
      </c>
      <c r="AR106" s="177" t="s">
        <v>642</v>
      </c>
      <c r="AS106" s="177" t="s">
        <v>642</v>
      </c>
      <c r="AT106" s="177" t="s">
        <v>642</v>
      </c>
      <c r="AU106" s="177" t="s">
        <v>642</v>
      </c>
    </row>
    <row r="107" spans="1:47" x14ac:dyDescent="0.25">
      <c r="A107" s="190">
        <v>48</v>
      </c>
      <c r="B107" s="65">
        <v>9401.2000000000007</v>
      </c>
      <c r="C107" s="191" t="s">
        <v>236</v>
      </c>
      <c r="D107" s="65" t="s">
        <v>204</v>
      </c>
      <c r="E107" s="192">
        <f>IF(A107=" "," ",VLOOKUP(A107,Estimate!A:Q,17,FALSE))</f>
        <v>500</v>
      </c>
      <c r="F107" s="193">
        <v>2</v>
      </c>
      <c r="G107" s="206">
        <v>332.84300000000002</v>
      </c>
      <c r="H107" s="195">
        <v>375.36</v>
      </c>
      <c r="I107" s="195">
        <v>750.72</v>
      </c>
      <c r="J107" s="195"/>
      <c r="K107" s="193"/>
      <c r="L107" s="196" t="str">
        <f t="shared" si="641"/>
        <v xml:space="preserve"> </v>
      </c>
      <c r="M107" s="193"/>
      <c r="N107" s="196" t="str">
        <f t="shared" si="641"/>
        <v xml:space="preserve"> </v>
      </c>
      <c r="O107" s="193"/>
      <c r="P107" s="196" t="str">
        <f t="shared" ref="P107" si="902">IFERROR(IF(O107=0," ",O107/$F107)," ")</f>
        <v xml:space="preserve"> </v>
      </c>
      <c r="Q107" s="193"/>
      <c r="R107" s="196" t="str">
        <f t="shared" ref="R107" si="903">IFERROR(IF(Q107=0," ",Q107/$F107)," ")</f>
        <v xml:space="preserve"> </v>
      </c>
      <c r="S107" s="193"/>
      <c r="T107" s="196" t="str">
        <f t="shared" ref="T107" si="904">IFERROR(IF(S107=0," ",S107/$F107)," ")</f>
        <v xml:space="preserve"> </v>
      </c>
      <c r="U107" s="193">
        <v>2</v>
      </c>
      <c r="V107" s="196">
        <f t="shared" ref="V107" si="905">IFERROR(IF(U107=0," ",U107/$F107)," ")</f>
        <v>1</v>
      </c>
      <c r="W107" s="193">
        <v>2</v>
      </c>
      <c r="X107" s="196">
        <f t="shared" ref="X107" si="906">IFERROR(IF(W107=0," ",W107/$F107)," ")</f>
        <v>1</v>
      </c>
      <c r="Y107" s="193">
        <v>2</v>
      </c>
      <c r="Z107" s="196">
        <f t="shared" ref="Z107" si="907">IFERROR(IF(Y107=0," ",Y107/$F107)," ")</f>
        <v>1</v>
      </c>
      <c r="AA107" s="193">
        <v>2</v>
      </c>
      <c r="AB107" s="196">
        <f t="shared" ref="AB107" si="908">IFERROR(IF(AA107=0," ",AA107/$F107)," ")</f>
        <v>1</v>
      </c>
      <c r="AC107" s="193">
        <v>2</v>
      </c>
      <c r="AD107" s="196">
        <f t="shared" ref="AD107" si="909">IFERROR(IF(AC107=0," ",AC107/$F107)," ")</f>
        <v>1</v>
      </c>
      <c r="AE107" s="193">
        <v>2</v>
      </c>
      <c r="AF107" s="196">
        <f t="shared" ref="AF107" si="910">IFERROR(IF(AE107=0," ",AE107/$F107)," ")</f>
        <v>1</v>
      </c>
      <c r="AG107" s="193">
        <v>2</v>
      </c>
      <c r="AH107" s="196">
        <f t="shared" ref="AH107" si="911">IFERROR(IF(AG107=0," ",AG107/$F107)," ")</f>
        <v>1</v>
      </c>
      <c r="AI107" s="197"/>
      <c r="AJ107" s="177">
        <v>0</v>
      </c>
      <c r="AK107" s="177">
        <v>0</v>
      </c>
      <c r="AL107" s="177">
        <v>0</v>
      </c>
      <c r="AM107" s="177">
        <v>0</v>
      </c>
      <c r="AN107" s="177">
        <v>0</v>
      </c>
      <c r="AO107" s="177">
        <v>750.72</v>
      </c>
      <c r="AP107" s="177">
        <v>750.72</v>
      </c>
      <c r="AQ107" s="177">
        <v>750.72</v>
      </c>
      <c r="AR107" s="177">
        <v>750.72</v>
      </c>
      <c r="AS107" s="177">
        <v>750.72</v>
      </c>
      <c r="AT107" s="177">
        <v>750.72</v>
      </c>
      <c r="AU107" s="177">
        <v>750.72</v>
      </c>
    </row>
    <row r="108" spans="1:47" ht="45" x14ac:dyDescent="0.25">
      <c r="A108" s="190" t="s">
        <v>642</v>
      </c>
      <c r="B108" s="65">
        <v>9470</v>
      </c>
      <c r="C108" s="191" t="s">
        <v>238</v>
      </c>
      <c r="D108" s="65" t="s">
        <v>747</v>
      </c>
      <c r="E108" s="192" t="str">
        <f>IF(A108=" "," ",VLOOKUP(A108,Estimate!A:Q,17,FALSE))</f>
        <v xml:space="preserve"> </v>
      </c>
      <c r="F108" s="193" t="s">
        <v>642</v>
      </c>
      <c r="G108" s="206" t="s">
        <v>642</v>
      </c>
      <c r="H108" s="195" t="s">
        <v>642</v>
      </c>
      <c r="I108" s="195" t="s">
        <v>642</v>
      </c>
      <c r="J108" s="195"/>
      <c r="K108" s="193" t="s">
        <v>642</v>
      </c>
      <c r="L108" s="196" t="str">
        <f t="shared" si="641"/>
        <v xml:space="preserve"> </v>
      </c>
      <c r="M108" s="193" t="s">
        <v>642</v>
      </c>
      <c r="N108" s="196" t="str">
        <f t="shared" si="641"/>
        <v xml:space="preserve"> </v>
      </c>
      <c r="O108" s="193" t="s">
        <v>642</v>
      </c>
      <c r="P108" s="196" t="str">
        <f t="shared" ref="P108" si="912">IFERROR(IF(O108=0," ",O108/$F108)," ")</f>
        <v xml:space="preserve"> </v>
      </c>
      <c r="Q108" s="193" t="s">
        <v>642</v>
      </c>
      <c r="R108" s="196" t="str">
        <f t="shared" ref="R108" si="913">IFERROR(IF(Q108=0," ",Q108/$F108)," ")</f>
        <v xml:space="preserve"> </v>
      </c>
      <c r="S108" s="193" t="s">
        <v>642</v>
      </c>
      <c r="T108" s="196" t="str">
        <f t="shared" ref="T108" si="914">IFERROR(IF(S108=0," ",S108/$F108)," ")</f>
        <v xml:space="preserve"> </v>
      </c>
      <c r="U108" s="193" t="s">
        <v>642</v>
      </c>
      <c r="V108" s="196" t="str">
        <f t="shared" ref="V108" si="915">IFERROR(IF(U108=0," ",U108/$F108)," ")</f>
        <v xml:space="preserve"> </v>
      </c>
      <c r="W108" s="193" t="s">
        <v>642</v>
      </c>
      <c r="X108" s="196" t="str">
        <f t="shared" ref="X108" si="916">IFERROR(IF(W108=0," ",W108/$F108)," ")</f>
        <v xml:space="preserve"> </v>
      </c>
      <c r="Y108" s="193" t="s">
        <v>642</v>
      </c>
      <c r="Z108" s="196" t="str">
        <f t="shared" ref="Z108" si="917">IFERROR(IF(Y108=0," ",Y108/$F108)," ")</f>
        <v xml:space="preserve"> </v>
      </c>
      <c r="AA108" s="193" t="s">
        <v>642</v>
      </c>
      <c r="AB108" s="196" t="str">
        <f t="shared" ref="AB108" si="918">IFERROR(IF(AA108=0," ",AA108/$F108)," ")</f>
        <v xml:space="preserve"> </v>
      </c>
      <c r="AC108" s="193" t="s">
        <v>642</v>
      </c>
      <c r="AD108" s="196" t="str">
        <f t="shared" ref="AD108" si="919">IFERROR(IF(AC108=0," ",AC108/$F108)," ")</f>
        <v xml:space="preserve"> </v>
      </c>
      <c r="AE108" s="193" t="s">
        <v>642</v>
      </c>
      <c r="AF108" s="196" t="str">
        <f t="shared" ref="AF108" si="920">IFERROR(IF(AE108=0," ",AE108/$F108)," ")</f>
        <v xml:space="preserve"> </v>
      </c>
      <c r="AG108" s="193" t="s">
        <v>642</v>
      </c>
      <c r="AH108" s="196" t="str">
        <f t="shared" ref="AH108" si="921">IFERROR(IF(AG108=0," ",AG108/$F108)," ")</f>
        <v xml:space="preserve"> </v>
      </c>
      <c r="AI108" s="197"/>
      <c r="AJ108" s="177" t="s">
        <v>642</v>
      </c>
      <c r="AK108" s="177" t="s">
        <v>642</v>
      </c>
      <c r="AL108" s="177" t="s">
        <v>642</v>
      </c>
      <c r="AM108" s="177" t="s">
        <v>642</v>
      </c>
      <c r="AN108" s="177" t="s">
        <v>642</v>
      </c>
      <c r="AO108" s="177" t="s">
        <v>642</v>
      </c>
      <c r="AP108" s="177" t="s">
        <v>642</v>
      </c>
      <c r="AQ108" s="177" t="s">
        <v>642</v>
      </c>
      <c r="AR108" s="177" t="s">
        <v>642</v>
      </c>
      <c r="AS108" s="177" t="s">
        <v>642</v>
      </c>
      <c r="AT108" s="177" t="s">
        <v>642</v>
      </c>
      <c r="AU108" s="177" t="s">
        <v>642</v>
      </c>
    </row>
    <row r="109" spans="1:47" ht="30" x14ac:dyDescent="0.25">
      <c r="A109" s="190">
        <v>49</v>
      </c>
      <c r="B109" s="65">
        <v>9470.1</v>
      </c>
      <c r="C109" s="191" t="s">
        <v>240</v>
      </c>
      <c r="D109" s="65" t="s">
        <v>204</v>
      </c>
      <c r="E109" s="192">
        <f>IF(A109=" "," ",VLOOKUP(A109,Estimate!A:Q,17,FALSE))</f>
        <v>2800</v>
      </c>
      <c r="F109" s="193">
        <v>7</v>
      </c>
      <c r="G109" s="206">
        <v>532.54499999999996</v>
      </c>
      <c r="H109" s="195">
        <v>600.57000000000005</v>
      </c>
      <c r="I109" s="195">
        <v>4203.99</v>
      </c>
      <c r="J109" s="195"/>
      <c r="K109" s="193"/>
      <c r="L109" s="196" t="str">
        <f t="shared" si="641"/>
        <v xml:space="preserve"> </v>
      </c>
      <c r="M109" s="193"/>
      <c r="N109" s="196" t="str">
        <f t="shared" si="641"/>
        <v xml:space="preserve"> </v>
      </c>
      <c r="O109" s="193"/>
      <c r="P109" s="196" t="str">
        <f t="shared" ref="P109" si="922">IFERROR(IF(O109=0," ",O109/$F109)," ")</f>
        <v xml:space="preserve"> </v>
      </c>
      <c r="Q109" s="193"/>
      <c r="R109" s="196" t="str">
        <f t="shared" ref="R109" si="923">IFERROR(IF(Q109=0," ",Q109/$F109)," ")</f>
        <v xml:space="preserve"> </v>
      </c>
      <c r="S109" s="193"/>
      <c r="T109" s="196" t="str">
        <f t="shared" ref="T109" si="924">IFERROR(IF(S109=0," ",S109/$F109)," ")</f>
        <v xml:space="preserve"> </v>
      </c>
      <c r="U109" s="193">
        <v>7</v>
      </c>
      <c r="V109" s="196">
        <f t="shared" ref="V109" si="925">IFERROR(IF(U109=0," ",U109/$F109)," ")</f>
        <v>1</v>
      </c>
      <c r="W109" s="193">
        <v>7</v>
      </c>
      <c r="X109" s="196">
        <f t="shared" ref="X109" si="926">IFERROR(IF(W109=0," ",W109/$F109)," ")</f>
        <v>1</v>
      </c>
      <c r="Y109" s="193">
        <v>7</v>
      </c>
      <c r="Z109" s="196">
        <f t="shared" ref="Z109" si="927">IFERROR(IF(Y109=0," ",Y109/$F109)," ")</f>
        <v>1</v>
      </c>
      <c r="AA109" s="193">
        <v>7</v>
      </c>
      <c r="AB109" s="196">
        <f t="shared" ref="AB109" si="928">IFERROR(IF(AA109=0," ",AA109/$F109)," ")</f>
        <v>1</v>
      </c>
      <c r="AC109" s="193">
        <v>7</v>
      </c>
      <c r="AD109" s="196">
        <f t="shared" ref="AD109" si="929">IFERROR(IF(AC109=0," ",AC109/$F109)," ")</f>
        <v>1</v>
      </c>
      <c r="AE109" s="193">
        <v>7</v>
      </c>
      <c r="AF109" s="196">
        <f t="shared" ref="AF109" si="930">IFERROR(IF(AE109=0," ",AE109/$F109)," ")</f>
        <v>1</v>
      </c>
      <c r="AG109" s="193">
        <v>7</v>
      </c>
      <c r="AH109" s="196">
        <f t="shared" ref="AH109" si="931">IFERROR(IF(AG109=0," ",AG109/$F109)," ")</f>
        <v>1</v>
      </c>
      <c r="AI109" s="197"/>
      <c r="AJ109" s="177">
        <v>0</v>
      </c>
      <c r="AK109" s="177">
        <v>0</v>
      </c>
      <c r="AL109" s="177">
        <v>0</v>
      </c>
      <c r="AM109" s="177">
        <v>0</v>
      </c>
      <c r="AN109" s="177">
        <v>0</v>
      </c>
      <c r="AO109" s="177">
        <v>4203.99</v>
      </c>
      <c r="AP109" s="177">
        <v>4203.99</v>
      </c>
      <c r="AQ109" s="177">
        <v>4203.99</v>
      </c>
      <c r="AR109" s="177">
        <v>4203.99</v>
      </c>
      <c r="AS109" s="177">
        <v>4203.99</v>
      </c>
      <c r="AT109" s="177">
        <v>4203.99</v>
      </c>
      <c r="AU109" s="177">
        <v>4203.99</v>
      </c>
    </row>
    <row r="110" spans="1:47" ht="30" x14ac:dyDescent="0.25">
      <c r="A110" s="190">
        <v>50</v>
      </c>
      <c r="B110" s="65">
        <v>9470.2000000000007</v>
      </c>
      <c r="C110" s="191" t="s">
        <v>242</v>
      </c>
      <c r="D110" s="65" t="s">
        <v>204</v>
      </c>
      <c r="E110" s="192">
        <f>IF(A110=" "," ",VLOOKUP(A110,Estimate!A:Q,17,FALSE))</f>
        <v>4000</v>
      </c>
      <c r="F110" s="193">
        <v>2</v>
      </c>
      <c r="G110" s="206">
        <v>2662.7249999999999</v>
      </c>
      <c r="H110" s="195">
        <v>3002.85</v>
      </c>
      <c r="I110" s="195">
        <v>6005.7</v>
      </c>
      <c r="J110" s="195"/>
      <c r="K110" s="193"/>
      <c r="L110" s="196" t="str">
        <f t="shared" si="641"/>
        <v xml:space="preserve"> </v>
      </c>
      <c r="M110" s="193"/>
      <c r="N110" s="196" t="str">
        <f t="shared" si="641"/>
        <v xml:space="preserve"> </v>
      </c>
      <c r="O110" s="193"/>
      <c r="P110" s="196" t="str">
        <f t="shared" ref="P110" si="932">IFERROR(IF(O110=0," ",O110/$F110)," ")</f>
        <v xml:space="preserve"> </v>
      </c>
      <c r="Q110" s="193"/>
      <c r="R110" s="196" t="str">
        <f t="shared" ref="R110" si="933">IFERROR(IF(Q110=0," ",Q110/$F110)," ")</f>
        <v xml:space="preserve"> </v>
      </c>
      <c r="S110" s="193"/>
      <c r="T110" s="196" t="str">
        <f t="shared" ref="T110" si="934">IFERROR(IF(S110=0," ",S110/$F110)," ")</f>
        <v xml:space="preserve"> </v>
      </c>
      <c r="U110" s="193">
        <v>2</v>
      </c>
      <c r="V110" s="196">
        <f t="shared" ref="V110" si="935">IFERROR(IF(U110=0," ",U110/$F110)," ")</f>
        <v>1</v>
      </c>
      <c r="W110" s="193">
        <v>2</v>
      </c>
      <c r="X110" s="196">
        <f t="shared" ref="X110" si="936">IFERROR(IF(W110=0," ",W110/$F110)," ")</f>
        <v>1</v>
      </c>
      <c r="Y110" s="193">
        <v>2</v>
      </c>
      <c r="Z110" s="196">
        <f t="shared" ref="Z110" si="937">IFERROR(IF(Y110=0," ",Y110/$F110)," ")</f>
        <v>1</v>
      </c>
      <c r="AA110" s="193">
        <v>2</v>
      </c>
      <c r="AB110" s="196">
        <f t="shared" ref="AB110" si="938">IFERROR(IF(AA110=0," ",AA110/$F110)," ")</f>
        <v>1</v>
      </c>
      <c r="AC110" s="193">
        <v>2</v>
      </c>
      <c r="AD110" s="196">
        <f t="shared" ref="AD110" si="939">IFERROR(IF(AC110=0," ",AC110/$F110)," ")</f>
        <v>1</v>
      </c>
      <c r="AE110" s="193">
        <v>2</v>
      </c>
      <c r="AF110" s="196">
        <f t="shared" ref="AF110" si="940">IFERROR(IF(AE110=0," ",AE110/$F110)," ")</f>
        <v>1</v>
      </c>
      <c r="AG110" s="193">
        <v>2</v>
      </c>
      <c r="AH110" s="196">
        <f t="shared" ref="AH110" si="941">IFERROR(IF(AG110=0," ",AG110/$F110)," ")</f>
        <v>1</v>
      </c>
      <c r="AI110" s="197"/>
      <c r="AJ110" s="177">
        <v>0</v>
      </c>
      <c r="AK110" s="177">
        <v>0</v>
      </c>
      <c r="AL110" s="177">
        <v>0</v>
      </c>
      <c r="AM110" s="177">
        <v>0</v>
      </c>
      <c r="AN110" s="177">
        <v>0</v>
      </c>
      <c r="AO110" s="177">
        <v>6005.7</v>
      </c>
      <c r="AP110" s="177">
        <v>6005.7</v>
      </c>
      <c r="AQ110" s="177">
        <v>6005.7</v>
      </c>
      <c r="AR110" s="177">
        <v>6005.7</v>
      </c>
      <c r="AS110" s="177">
        <v>6005.7</v>
      </c>
      <c r="AT110" s="177">
        <v>6005.7</v>
      </c>
      <c r="AU110" s="177">
        <v>6005.7</v>
      </c>
    </row>
    <row r="111" spans="1:47" ht="30" x14ac:dyDescent="0.25">
      <c r="A111" s="190">
        <v>51</v>
      </c>
      <c r="B111" s="65">
        <v>9470.2999999999993</v>
      </c>
      <c r="C111" s="191" t="s">
        <v>244</v>
      </c>
      <c r="D111" s="65" t="s">
        <v>204</v>
      </c>
      <c r="E111" s="192">
        <f>IF(A111=" "," ",VLOOKUP(A111,Estimate!A:Q,17,FALSE))</f>
        <v>1920</v>
      </c>
      <c r="F111" s="193">
        <v>4</v>
      </c>
      <c r="G111" s="206">
        <v>639.05124999999998</v>
      </c>
      <c r="H111" s="195">
        <v>720.68</v>
      </c>
      <c r="I111" s="195">
        <v>2882.72</v>
      </c>
      <c r="J111" s="195"/>
      <c r="K111" s="193"/>
      <c r="L111" s="196" t="str">
        <f t="shared" si="641"/>
        <v xml:space="preserve"> </v>
      </c>
      <c r="M111" s="193"/>
      <c r="N111" s="196" t="str">
        <f t="shared" si="641"/>
        <v xml:space="preserve"> </v>
      </c>
      <c r="O111" s="193"/>
      <c r="P111" s="196" t="str">
        <f t="shared" ref="P111" si="942">IFERROR(IF(O111=0," ",O111/$F111)," ")</f>
        <v xml:space="preserve"> </v>
      </c>
      <c r="Q111" s="193"/>
      <c r="R111" s="196" t="str">
        <f t="shared" ref="R111" si="943">IFERROR(IF(Q111=0," ",Q111/$F111)," ")</f>
        <v xml:space="preserve"> </v>
      </c>
      <c r="S111" s="193"/>
      <c r="T111" s="196" t="str">
        <f t="shared" ref="T111" si="944">IFERROR(IF(S111=0," ",S111/$F111)," ")</f>
        <v xml:space="preserve"> </v>
      </c>
      <c r="U111" s="193">
        <v>4</v>
      </c>
      <c r="V111" s="196">
        <f t="shared" ref="V111" si="945">IFERROR(IF(U111=0," ",U111/$F111)," ")</f>
        <v>1</v>
      </c>
      <c r="W111" s="193">
        <v>4</v>
      </c>
      <c r="X111" s="196">
        <f t="shared" ref="X111" si="946">IFERROR(IF(W111=0," ",W111/$F111)," ")</f>
        <v>1</v>
      </c>
      <c r="Y111" s="193">
        <v>4</v>
      </c>
      <c r="Z111" s="196">
        <f t="shared" ref="Z111" si="947">IFERROR(IF(Y111=0," ",Y111/$F111)," ")</f>
        <v>1</v>
      </c>
      <c r="AA111" s="193">
        <v>4</v>
      </c>
      <c r="AB111" s="196">
        <f t="shared" ref="AB111" si="948">IFERROR(IF(AA111=0," ",AA111/$F111)," ")</f>
        <v>1</v>
      </c>
      <c r="AC111" s="193">
        <v>4</v>
      </c>
      <c r="AD111" s="196">
        <f t="shared" ref="AD111" si="949">IFERROR(IF(AC111=0," ",AC111/$F111)," ")</f>
        <v>1</v>
      </c>
      <c r="AE111" s="193">
        <v>4</v>
      </c>
      <c r="AF111" s="196">
        <f t="shared" ref="AF111" si="950">IFERROR(IF(AE111=0," ",AE111/$F111)," ")</f>
        <v>1</v>
      </c>
      <c r="AG111" s="193">
        <v>4</v>
      </c>
      <c r="AH111" s="196">
        <f t="shared" ref="AH111" si="951">IFERROR(IF(AG111=0," ",AG111/$F111)," ")</f>
        <v>1</v>
      </c>
      <c r="AI111" s="197"/>
      <c r="AJ111" s="177">
        <v>0</v>
      </c>
      <c r="AK111" s="177">
        <v>0</v>
      </c>
      <c r="AL111" s="177">
        <v>0</v>
      </c>
      <c r="AM111" s="177">
        <v>0</v>
      </c>
      <c r="AN111" s="177">
        <v>0</v>
      </c>
      <c r="AO111" s="177">
        <v>2882.72</v>
      </c>
      <c r="AP111" s="177">
        <v>2882.72</v>
      </c>
      <c r="AQ111" s="177">
        <v>2882.72</v>
      </c>
      <c r="AR111" s="177">
        <v>2882.72</v>
      </c>
      <c r="AS111" s="177">
        <v>2882.72</v>
      </c>
      <c r="AT111" s="177">
        <v>2882.72</v>
      </c>
      <c r="AU111" s="177">
        <v>2882.72</v>
      </c>
    </row>
    <row r="112" spans="1:47" ht="30" x14ac:dyDescent="0.25">
      <c r="A112" s="190">
        <v>52</v>
      </c>
      <c r="B112" s="65">
        <v>9470.4</v>
      </c>
      <c r="C112" s="191" t="s">
        <v>246</v>
      </c>
      <c r="D112" s="65" t="s">
        <v>204</v>
      </c>
      <c r="E112" s="192">
        <f>IF(A112=" "," ",VLOOKUP(A112,Estimate!A:Q,17,FALSE))</f>
        <v>6240</v>
      </c>
      <c r="F112" s="193">
        <v>3</v>
      </c>
      <c r="G112" s="206">
        <v>2769.2313333333332</v>
      </c>
      <c r="H112" s="195">
        <v>3122.96</v>
      </c>
      <c r="I112" s="195">
        <v>9368.8799999999992</v>
      </c>
      <c r="J112" s="195"/>
      <c r="K112" s="193"/>
      <c r="L112" s="196" t="str">
        <f t="shared" si="641"/>
        <v xml:space="preserve"> </v>
      </c>
      <c r="M112" s="193"/>
      <c r="N112" s="196" t="str">
        <f t="shared" si="641"/>
        <v xml:space="preserve"> </v>
      </c>
      <c r="O112" s="193"/>
      <c r="P112" s="196" t="str">
        <f t="shared" ref="P112" si="952">IFERROR(IF(O112=0," ",O112/$F112)," ")</f>
        <v xml:space="preserve"> </v>
      </c>
      <c r="Q112" s="193"/>
      <c r="R112" s="196" t="str">
        <f t="shared" ref="R112" si="953">IFERROR(IF(Q112=0," ",Q112/$F112)," ")</f>
        <v xml:space="preserve"> </v>
      </c>
      <c r="S112" s="193"/>
      <c r="T112" s="196" t="str">
        <f t="shared" ref="T112" si="954">IFERROR(IF(S112=0," ",S112/$F112)," ")</f>
        <v xml:space="preserve"> </v>
      </c>
      <c r="U112" s="193">
        <v>3</v>
      </c>
      <c r="V112" s="196">
        <f t="shared" ref="V112" si="955">IFERROR(IF(U112=0," ",U112/$F112)," ")</f>
        <v>1</v>
      </c>
      <c r="W112" s="193">
        <v>3</v>
      </c>
      <c r="X112" s="196">
        <f t="shared" ref="X112" si="956">IFERROR(IF(W112=0," ",W112/$F112)," ")</f>
        <v>1</v>
      </c>
      <c r="Y112" s="193">
        <v>3</v>
      </c>
      <c r="Z112" s="196">
        <f t="shared" ref="Z112" si="957">IFERROR(IF(Y112=0," ",Y112/$F112)," ")</f>
        <v>1</v>
      </c>
      <c r="AA112" s="193">
        <v>3</v>
      </c>
      <c r="AB112" s="196">
        <f t="shared" ref="AB112" si="958">IFERROR(IF(AA112=0," ",AA112/$F112)," ")</f>
        <v>1</v>
      </c>
      <c r="AC112" s="193">
        <v>3</v>
      </c>
      <c r="AD112" s="196">
        <f t="shared" ref="AD112" si="959">IFERROR(IF(AC112=0," ",AC112/$F112)," ")</f>
        <v>1</v>
      </c>
      <c r="AE112" s="193">
        <v>3</v>
      </c>
      <c r="AF112" s="196">
        <f t="shared" ref="AF112" si="960">IFERROR(IF(AE112=0," ",AE112/$F112)," ")</f>
        <v>1</v>
      </c>
      <c r="AG112" s="193">
        <v>3</v>
      </c>
      <c r="AH112" s="196">
        <f t="shared" ref="AH112" si="961">IFERROR(IF(AG112=0," ",AG112/$F112)," ")</f>
        <v>1</v>
      </c>
      <c r="AI112" s="197"/>
      <c r="AJ112" s="177">
        <v>0</v>
      </c>
      <c r="AK112" s="177">
        <v>0</v>
      </c>
      <c r="AL112" s="177">
        <v>0</v>
      </c>
      <c r="AM112" s="177">
        <v>0</v>
      </c>
      <c r="AN112" s="177">
        <v>0</v>
      </c>
      <c r="AO112" s="177">
        <v>9368.8799999999992</v>
      </c>
      <c r="AP112" s="177">
        <v>9368.8799999999992</v>
      </c>
      <c r="AQ112" s="177">
        <v>9368.8799999999992</v>
      </c>
      <c r="AR112" s="177">
        <v>9368.8799999999992</v>
      </c>
      <c r="AS112" s="177">
        <v>9368.8799999999992</v>
      </c>
      <c r="AT112" s="177">
        <v>9368.8799999999992</v>
      </c>
      <c r="AU112" s="177">
        <v>9368.8799999999992</v>
      </c>
    </row>
    <row r="113" spans="1:47" ht="75" x14ac:dyDescent="0.25">
      <c r="A113" s="190" t="s">
        <v>642</v>
      </c>
      <c r="B113" s="65">
        <v>9523</v>
      </c>
      <c r="C113" s="191" t="s">
        <v>765</v>
      </c>
      <c r="D113" s="65" t="s">
        <v>747</v>
      </c>
      <c r="E113" s="192" t="str">
        <f>IF(A113=" "," ",VLOOKUP(A113,Estimate!A:Q,17,FALSE))</f>
        <v xml:space="preserve"> </v>
      </c>
      <c r="F113" s="193" t="s">
        <v>642</v>
      </c>
      <c r="G113" s="206" t="s">
        <v>642</v>
      </c>
      <c r="H113" s="195" t="s">
        <v>642</v>
      </c>
      <c r="I113" s="195" t="s">
        <v>642</v>
      </c>
      <c r="J113" s="195"/>
      <c r="K113" s="193" t="s">
        <v>642</v>
      </c>
      <c r="L113" s="196" t="str">
        <f t="shared" si="641"/>
        <v xml:space="preserve"> </v>
      </c>
      <c r="M113" s="193" t="s">
        <v>642</v>
      </c>
      <c r="N113" s="196" t="str">
        <f t="shared" si="641"/>
        <v xml:space="preserve"> </v>
      </c>
      <c r="O113" s="193" t="s">
        <v>642</v>
      </c>
      <c r="P113" s="196" t="str">
        <f t="shared" ref="P113" si="962">IFERROR(IF(O113=0," ",O113/$F113)," ")</f>
        <v xml:space="preserve"> </v>
      </c>
      <c r="Q113" s="193" t="s">
        <v>642</v>
      </c>
      <c r="R113" s="196" t="str">
        <f t="shared" ref="R113" si="963">IFERROR(IF(Q113=0," ",Q113/$F113)," ")</f>
        <v xml:space="preserve"> </v>
      </c>
      <c r="S113" s="193" t="s">
        <v>642</v>
      </c>
      <c r="T113" s="196" t="str">
        <f t="shared" ref="T113" si="964">IFERROR(IF(S113=0," ",S113/$F113)," ")</f>
        <v xml:space="preserve"> </v>
      </c>
      <c r="U113" s="193" t="s">
        <v>642</v>
      </c>
      <c r="V113" s="196" t="str">
        <f t="shared" ref="V113" si="965">IFERROR(IF(U113=0," ",U113/$F113)," ")</f>
        <v xml:space="preserve"> </v>
      </c>
      <c r="W113" s="193" t="s">
        <v>642</v>
      </c>
      <c r="X113" s="196" t="str">
        <f t="shared" ref="X113" si="966">IFERROR(IF(W113=0," ",W113/$F113)," ")</f>
        <v xml:space="preserve"> </v>
      </c>
      <c r="Y113" s="193" t="s">
        <v>642</v>
      </c>
      <c r="Z113" s="196" t="str">
        <f t="shared" ref="Z113" si="967">IFERROR(IF(Y113=0," ",Y113/$F113)," ")</f>
        <v xml:space="preserve"> </v>
      </c>
      <c r="AA113" s="193" t="s">
        <v>642</v>
      </c>
      <c r="AB113" s="196" t="str">
        <f t="shared" ref="AB113" si="968">IFERROR(IF(AA113=0," ",AA113/$F113)," ")</f>
        <v xml:space="preserve"> </v>
      </c>
      <c r="AC113" s="193" t="s">
        <v>642</v>
      </c>
      <c r="AD113" s="196" t="str">
        <f t="shared" ref="AD113" si="969">IFERROR(IF(AC113=0," ",AC113/$F113)," ")</f>
        <v xml:space="preserve"> </v>
      </c>
      <c r="AE113" s="193" t="s">
        <v>642</v>
      </c>
      <c r="AF113" s="196" t="str">
        <f t="shared" ref="AF113" si="970">IFERROR(IF(AE113=0," ",AE113/$F113)," ")</f>
        <v xml:space="preserve"> </v>
      </c>
      <c r="AG113" s="193" t="s">
        <v>642</v>
      </c>
      <c r="AH113" s="196" t="str">
        <f t="shared" ref="AH113" si="971">IFERROR(IF(AG113=0," ",AG113/$F113)," ")</f>
        <v xml:space="preserve"> </v>
      </c>
      <c r="AI113" s="197"/>
      <c r="AJ113" s="177" t="s">
        <v>642</v>
      </c>
      <c r="AK113" s="177" t="s">
        <v>642</v>
      </c>
      <c r="AL113" s="177" t="s">
        <v>642</v>
      </c>
      <c r="AM113" s="177" t="s">
        <v>642</v>
      </c>
      <c r="AN113" s="177" t="s">
        <v>642</v>
      </c>
      <c r="AO113" s="177" t="s">
        <v>642</v>
      </c>
      <c r="AP113" s="177" t="s">
        <v>642</v>
      </c>
      <c r="AQ113" s="177" t="s">
        <v>642</v>
      </c>
      <c r="AR113" s="177" t="s">
        <v>642</v>
      </c>
      <c r="AS113" s="177" t="s">
        <v>642</v>
      </c>
      <c r="AT113" s="177" t="s">
        <v>642</v>
      </c>
      <c r="AU113" s="177" t="s">
        <v>642</v>
      </c>
    </row>
    <row r="114" spans="1:47" x14ac:dyDescent="0.25">
      <c r="A114" s="190">
        <v>53</v>
      </c>
      <c r="B114" s="65">
        <v>9523.1</v>
      </c>
      <c r="C114" s="191" t="s">
        <v>200</v>
      </c>
      <c r="D114" s="65" t="s">
        <v>26</v>
      </c>
      <c r="E114" s="192">
        <f>IF(A114=" "," ",VLOOKUP(A114,Estimate!A:Q,17,FALSE))</f>
        <v>20240</v>
      </c>
      <c r="F114" s="193">
        <v>253</v>
      </c>
      <c r="G114" s="206">
        <v>106.5063557312253</v>
      </c>
      <c r="H114" s="195">
        <v>120.11</v>
      </c>
      <c r="I114" s="195">
        <v>30387.83</v>
      </c>
      <c r="J114" s="195"/>
      <c r="K114" s="193"/>
      <c r="L114" s="196" t="str">
        <f t="shared" si="641"/>
        <v xml:space="preserve"> </v>
      </c>
      <c r="M114" s="193"/>
      <c r="N114" s="196" t="str">
        <f t="shared" si="641"/>
        <v xml:space="preserve"> </v>
      </c>
      <c r="O114" s="193">
        <v>253</v>
      </c>
      <c r="P114" s="196">
        <f t="shared" ref="P114" si="972">IFERROR(IF(O114=0," ",O114/$F114)," ")</f>
        <v>1</v>
      </c>
      <c r="Q114" s="193">
        <v>253</v>
      </c>
      <c r="R114" s="196">
        <f t="shared" ref="R114" si="973">IFERROR(IF(Q114=0," ",Q114/$F114)," ")</f>
        <v>1</v>
      </c>
      <c r="S114" s="193">
        <v>253</v>
      </c>
      <c r="T114" s="196">
        <f t="shared" ref="T114" si="974">IFERROR(IF(S114=0," ",S114/$F114)," ")</f>
        <v>1</v>
      </c>
      <c r="U114" s="193">
        <v>253</v>
      </c>
      <c r="V114" s="196">
        <f t="shared" ref="V114" si="975">IFERROR(IF(U114=0," ",U114/$F114)," ")</f>
        <v>1</v>
      </c>
      <c r="W114" s="193">
        <v>253</v>
      </c>
      <c r="X114" s="196">
        <f t="shared" ref="X114" si="976">IFERROR(IF(W114=0," ",W114/$F114)," ")</f>
        <v>1</v>
      </c>
      <c r="Y114" s="193">
        <v>253</v>
      </c>
      <c r="Z114" s="196">
        <f t="shared" ref="Z114" si="977">IFERROR(IF(Y114=0," ",Y114/$F114)," ")</f>
        <v>1</v>
      </c>
      <c r="AA114" s="193">
        <v>253</v>
      </c>
      <c r="AB114" s="196">
        <f t="shared" ref="AB114" si="978">IFERROR(IF(AA114=0," ",AA114/$F114)," ")</f>
        <v>1</v>
      </c>
      <c r="AC114" s="193">
        <v>253</v>
      </c>
      <c r="AD114" s="196">
        <f t="shared" ref="AD114" si="979">IFERROR(IF(AC114=0," ",AC114/$F114)," ")</f>
        <v>1</v>
      </c>
      <c r="AE114" s="193">
        <v>253</v>
      </c>
      <c r="AF114" s="196">
        <f t="shared" ref="AF114" si="980">IFERROR(IF(AE114=0," ",AE114/$F114)," ")</f>
        <v>1</v>
      </c>
      <c r="AG114" s="193">
        <v>253</v>
      </c>
      <c r="AH114" s="196">
        <f t="shared" ref="AH114" si="981">IFERROR(IF(AG114=0," ",AG114/$F114)," ")</f>
        <v>1</v>
      </c>
      <c r="AI114" s="197"/>
      <c r="AJ114" s="177">
        <v>0</v>
      </c>
      <c r="AK114" s="177">
        <v>0</v>
      </c>
      <c r="AL114" s="177">
        <v>30387.83</v>
      </c>
      <c r="AM114" s="177">
        <v>30387.83</v>
      </c>
      <c r="AN114" s="177">
        <v>30387.83</v>
      </c>
      <c r="AO114" s="177">
        <v>30387.83</v>
      </c>
      <c r="AP114" s="177">
        <v>30387.83</v>
      </c>
      <c r="AQ114" s="177">
        <v>30387.83</v>
      </c>
      <c r="AR114" s="177">
        <v>30387.83</v>
      </c>
      <c r="AS114" s="177">
        <v>30387.83</v>
      </c>
      <c r="AT114" s="177">
        <v>30387.83</v>
      </c>
      <c r="AU114" s="177">
        <v>30387.83</v>
      </c>
    </row>
    <row r="115" spans="1:47" ht="30" x14ac:dyDescent="0.25">
      <c r="A115" s="190">
        <v>54</v>
      </c>
      <c r="B115" s="65" t="s">
        <v>745</v>
      </c>
      <c r="C115" s="191" t="s">
        <v>250</v>
      </c>
      <c r="D115" s="65" t="s">
        <v>54</v>
      </c>
      <c r="E115" s="192">
        <f>IF(A115=" "," ",VLOOKUP(A115,Estimate!A:Q,17,FALSE))</f>
        <v>9600</v>
      </c>
      <c r="F115" s="193">
        <v>1</v>
      </c>
      <c r="G115" s="206">
        <v>12781.08</v>
      </c>
      <c r="H115" s="195">
        <v>14413.68</v>
      </c>
      <c r="I115" s="195">
        <v>14413.68</v>
      </c>
      <c r="J115" s="195"/>
      <c r="K115" s="193"/>
      <c r="L115" s="196" t="str">
        <f t="shared" si="641"/>
        <v xml:space="preserve"> </v>
      </c>
      <c r="M115" s="193"/>
      <c r="N115" s="196" t="str">
        <f t="shared" si="641"/>
        <v xml:space="preserve"> </v>
      </c>
      <c r="O115" s="193"/>
      <c r="P115" s="196" t="str">
        <f t="shared" ref="P115" si="982">IFERROR(IF(O115=0," ",O115/$F115)," ")</f>
        <v xml:space="preserve"> </v>
      </c>
      <c r="Q115" s="193"/>
      <c r="R115" s="196" t="str">
        <f t="shared" ref="R115" si="983">IFERROR(IF(Q115=0," ",Q115/$F115)," ")</f>
        <v xml:space="preserve"> </v>
      </c>
      <c r="S115" s="193"/>
      <c r="T115" s="196" t="str">
        <f t="shared" ref="T115" si="984">IFERROR(IF(S115=0," ",S115/$F115)," ")</f>
        <v xml:space="preserve"> </v>
      </c>
      <c r="U115" s="193"/>
      <c r="V115" s="196" t="str">
        <f t="shared" ref="V115" si="985">IFERROR(IF(U115=0," ",U115/$F115)," ")</f>
        <v xml:space="preserve"> </v>
      </c>
      <c r="W115" s="193">
        <v>1</v>
      </c>
      <c r="X115" s="196">
        <f t="shared" ref="X115" si="986">IFERROR(IF(W115=0," ",W115/$F115)," ")</f>
        <v>1</v>
      </c>
      <c r="Y115" s="193">
        <v>1</v>
      </c>
      <c r="Z115" s="196">
        <f t="shared" ref="Z115" si="987">IFERROR(IF(Y115=0," ",Y115/$F115)," ")</f>
        <v>1</v>
      </c>
      <c r="AA115" s="193">
        <v>1</v>
      </c>
      <c r="AB115" s="196">
        <f t="shared" ref="AB115" si="988">IFERROR(IF(AA115=0," ",AA115/$F115)," ")</f>
        <v>1</v>
      </c>
      <c r="AC115" s="193">
        <v>1</v>
      </c>
      <c r="AD115" s="196">
        <f t="shared" ref="AD115" si="989">IFERROR(IF(AC115=0," ",AC115/$F115)," ")</f>
        <v>1</v>
      </c>
      <c r="AE115" s="193">
        <v>1</v>
      </c>
      <c r="AF115" s="196">
        <f t="shared" ref="AF115" si="990">IFERROR(IF(AE115=0," ",AE115/$F115)," ")</f>
        <v>1</v>
      </c>
      <c r="AG115" s="193">
        <v>1</v>
      </c>
      <c r="AH115" s="196">
        <f t="shared" ref="AH115" si="991">IFERROR(IF(AG115=0," ",AG115/$F115)," ")</f>
        <v>1</v>
      </c>
      <c r="AI115" s="197"/>
      <c r="AJ115" s="177">
        <v>0</v>
      </c>
      <c r="AK115" s="177">
        <v>0</v>
      </c>
      <c r="AL115" s="177">
        <v>0</v>
      </c>
      <c r="AM115" s="177">
        <v>0</v>
      </c>
      <c r="AN115" s="177">
        <v>0</v>
      </c>
      <c r="AO115" s="177">
        <v>0</v>
      </c>
      <c r="AP115" s="177">
        <v>14413.68</v>
      </c>
      <c r="AQ115" s="177">
        <v>14413.68</v>
      </c>
      <c r="AR115" s="177">
        <v>14413.68</v>
      </c>
      <c r="AS115" s="177">
        <v>14413.68</v>
      </c>
      <c r="AT115" s="177">
        <v>14413.68</v>
      </c>
      <c r="AU115" s="177">
        <v>14413.68</v>
      </c>
    </row>
    <row r="116" spans="1:47" x14ac:dyDescent="0.25">
      <c r="A116" s="190" t="s">
        <v>642</v>
      </c>
      <c r="B116" s="65">
        <v>9525</v>
      </c>
      <c r="C116" s="191" t="s">
        <v>252</v>
      </c>
      <c r="D116" s="65" t="s">
        <v>747</v>
      </c>
      <c r="E116" s="192" t="str">
        <f>IF(A116=" "," ",VLOOKUP(A116,Estimate!A:Q,17,FALSE))</f>
        <v xml:space="preserve"> </v>
      </c>
      <c r="F116" s="193" t="s">
        <v>642</v>
      </c>
      <c r="G116" s="206" t="s">
        <v>642</v>
      </c>
      <c r="H116" s="195" t="s">
        <v>642</v>
      </c>
      <c r="I116" s="195" t="s">
        <v>642</v>
      </c>
      <c r="J116" s="195"/>
      <c r="K116" s="193" t="s">
        <v>642</v>
      </c>
      <c r="L116" s="196" t="str">
        <f t="shared" si="641"/>
        <v xml:space="preserve"> </v>
      </c>
      <c r="M116" s="193" t="s">
        <v>642</v>
      </c>
      <c r="N116" s="196" t="str">
        <f t="shared" si="641"/>
        <v xml:space="preserve"> </v>
      </c>
      <c r="O116" s="193" t="s">
        <v>642</v>
      </c>
      <c r="P116" s="196" t="str">
        <f t="shared" ref="P116" si="992">IFERROR(IF(O116=0," ",O116/$F116)," ")</f>
        <v xml:space="preserve"> </v>
      </c>
      <c r="Q116" s="193" t="s">
        <v>642</v>
      </c>
      <c r="R116" s="196" t="str">
        <f t="shared" ref="R116" si="993">IFERROR(IF(Q116=0," ",Q116/$F116)," ")</f>
        <v xml:space="preserve"> </v>
      </c>
      <c r="S116" s="193" t="s">
        <v>642</v>
      </c>
      <c r="T116" s="196" t="str">
        <f t="shared" ref="T116" si="994">IFERROR(IF(S116=0," ",S116/$F116)," ")</f>
        <v xml:space="preserve"> </v>
      </c>
      <c r="U116" s="193" t="s">
        <v>642</v>
      </c>
      <c r="V116" s="196" t="str">
        <f t="shared" ref="V116" si="995">IFERROR(IF(U116=0," ",U116/$F116)," ")</f>
        <v xml:space="preserve"> </v>
      </c>
      <c r="W116" s="193" t="s">
        <v>642</v>
      </c>
      <c r="X116" s="196" t="str">
        <f t="shared" ref="X116" si="996">IFERROR(IF(W116=0," ",W116/$F116)," ")</f>
        <v xml:space="preserve"> </v>
      </c>
      <c r="Y116" s="193" t="s">
        <v>642</v>
      </c>
      <c r="Z116" s="196" t="str">
        <f t="shared" ref="Z116" si="997">IFERROR(IF(Y116=0," ",Y116/$F116)," ")</f>
        <v xml:space="preserve"> </v>
      </c>
      <c r="AA116" s="193" t="s">
        <v>642</v>
      </c>
      <c r="AB116" s="196" t="str">
        <f t="shared" ref="AB116" si="998">IFERROR(IF(AA116=0," ",AA116/$F116)," ")</f>
        <v xml:space="preserve"> </v>
      </c>
      <c r="AC116" s="193" t="s">
        <v>642</v>
      </c>
      <c r="AD116" s="196" t="str">
        <f t="shared" ref="AD116" si="999">IFERROR(IF(AC116=0," ",AC116/$F116)," ")</f>
        <v xml:space="preserve"> </v>
      </c>
      <c r="AE116" s="193" t="s">
        <v>642</v>
      </c>
      <c r="AF116" s="196" t="str">
        <f t="shared" ref="AF116" si="1000">IFERROR(IF(AE116=0," ",AE116/$F116)," ")</f>
        <v xml:space="preserve"> </v>
      </c>
      <c r="AG116" s="193" t="s">
        <v>642</v>
      </c>
      <c r="AH116" s="196" t="str">
        <f t="shared" ref="AH116" si="1001">IFERROR(IF(AG116=0," ",AG116/$F116)," ")</f>
        <v xml:space="preserve"> </v>
      </c>
      <c r="AI116" s="197"/>
      <c r="AJ116" s="177" t="s">
        <v>642</v>
      </c>
      <c r="AK116" s="177" t="s">
        <v>642</v>
      </c>
      <c r="AL116" s="177" t="s">
        <v>642</v>
      </c>
      <c r="AM116" s="177" t="s">
        <v>642</v>
      </c>
      <c r="AN116" s="177" t="s">
        <v>642</v>
      </c>
      <c r="AO116" s="177" t="s">
        <v>642</v>
      </c>
      <c r="AP116" s="177" t="s">
        <v>642</v>
      </c>
      <c r="AQ116" s="177" t="s">
        <v>642</v>
      </c>
      <c r="AR116" s="177" t="s">
        <v>642</v>
      </c>
      <c r="AS116" s="177" t="s">
        <v>642</v>
      </c>
      <c r="AT116" s="177" t="s">
        <v>642</v>
      </c>
      <c r="AU116" s="177" t="s">
        <v>642</v>
      </c>
    </row>
    <row r="117" spans="1:47" ht="30" x14ac:dyDescent="0.25">
      <c r="A117" s="190">
        <v>55</v>
      </c>
      <c r="B117" s="65">
        <v>9526</v>
      </c>
      <c r="C117" s="191" t="s">
        <v>254</v>
      </c>
      <c r="D117" s="65" t="s">
        <v>26</v>
      </c>
      <c r="E117" s="192">
        <f>IF(A117=" "," ",VLOOKUP(A117,Estimate!A:Q,17,FALSE))</f>
        <v>3795</v>
      </c>
      <c r="F117" s="193" t="s">
        <v>642</v>
      </c>
      <c r="G117" s="206" t="s">
        <v>642</v>
      </c>
      <c r="H117" s="195" t="s">
        <v>642</v>
      </c>
      <c r="I117" s="195" t="s">
        <v>642</v>
      </c>
      <c r="J117" s="195"/>
      <c r="K117" s="193" t="s">
        <v>642</v>
      </c>
      <c r="L117" s="196" t="str">
        <f t="shared" si="641"/>
        <v xml:space="preserve"> </v>
      </c>
      <c r="M117" s="193" t="s">
        <v>642</v>
      </c>
      <c r="N117" s="196" t="str">
        <f t="shared" si="641"/>
        <v xml:space="preserve"> </v>
      </c>
      <c r="O117" s="193" t="s">
        <v>642</v>
      </c>
      <c r="P117" s="196" t="str">
        <f t="shared" ref="P117" si="1002">IFERROR(IF(O117=0," ",O117/$F117)," ")</f>
        <v xml:space="preserve"> </v>
      </c>
      <c r="Q117" s="193" t="s">
        <v>642</v>
      </c>
      <c r="R117" s="196" t="str">
        <f t="shared" ref="R117" si="1003">IFERROR(IF(Q117=0," ",Q117/$F117)," ")</f>
        <v xml:space="preserve"> </v>
      </c>
      <c r="S117" s="193" t="s">
        <v>642</v>
      </c>
      <c r="T117" s="196" t="str">
        <f t="shared" ref="T117" si="1004">IFERROR(IF(S117=0," ",S117/$F117)," ")</f>
        <v xml:space="preserve"> </v>
      </c>
      <c r="U117" s="193" t="s">
        <v>642</v>
      </c>
      <c r="V117" s="196" t="str">
        <f t="shared" ref="V117" si="1005">IFERROR(IF(U117=0," ",U117/$F117)," ")</f>
        <v xml:space="preserve"> </v>
      </c>
      <c r="W117" s="193" t="s">
        <v>642</v>
      </c>
      <c r="X117" s="196" t="str">
        <f t="shared" ref="X117" si="1006">IFERROR(IF(W117=0," ",W117/$F117)," ")</f>
        <v xml:space="preserve"> </v>
      </c>
      <c r="Y117" s="193" t="s">
        <v>642</v>
      </c>
      <c r="Z117" s="196" t="str">
        <f t="shared" ref="Z117" si="1007">IFERROR(IF(Y117=0," ",Y117/$F117)," ")</f>
        <v xml:space="preserve"> </v>
      </c>
      <c r="AA117" s="193" t="s">
        <v>642</v>
      </c>
      <c r="AB117" s="196" t="str">
        <f t="shared" ref="AB117" si="1008">IFERROR(IF(AA117=0," ",AA117/$F117)," ")</f>
        <v xml:space="preserve"> </v>
      </c>
      <c r="AC117" s="193" t="s">
        <v>642</v>
      </c>
      <c r="AD117" s="196" t="str">
        <f t="shared" ref="AD117" si="1009">IFERROR(IF(AC117=0," ",AC117/$F117)," ")</f>
        <v xml:space="preserve"> </v>
      </c>
      <c r="AE117" s="193" t="s">
        <v>642</v>
      </c>
      <c r="AF117" s="196" t="str">
        <f t="shared" ref="AF117" si="1010">IFERROR(IF(AE117=0," ",AE117/$F117)," ")</f>
        <v xml:space="preserve"> </v>
      </c>
      <c r="AG117" s="193" t="s">
        <v>642</v>
      </c>
      <c r="AH117" s="196" t="str">
        <f t="shared" ref="AH117" si="1011">IFERROR(IF(AG117=0," ",AG117/$F117)," ")</f>
        <v xml:space="preserve"> </v>
      </c>
      <c r="AI117" s="197"/>
      <c r="AJ117" s="177" t="s">
        <v>642</v>
      </c>
      <c r="AK117" s="177" t="s">
        <v>642</v>
      </c>
      <c r="AL117" s="177" t="s">
        <v>642</v>
      </c>
      <c r="AM117" s="177" t="s">
        <v>642</v>
      </c>
      <c r="AN117" s="177" t="s">
        <v>642</v>
      </c>
      <c r="AO117" s="177" t="s">
        <v>642</v>
      </c>
      <c r="AP117" s="177" t="s">
        <v>642</v>
      </c>
      <c r="AQ117" s="177" t="s">
        <v>642</v>
      </c>
      <c r="AR117" s="177" t="s">
        <v>642</v>
      </c>
      <c r="AS117" s="177" t="s">
        <v>642</v>
      </c>
      <c r="AT117" s="177" t="s">
        <v>642</v>
      </c>
      <c r="AU117" s="177" t="s">
        <v>642</v>
      </c>
    </row>
    <row r="118" spans="1:47" ht="30" x14ac:dyDescent="0.25">
      <c r="A118" s="190">
        <v>56</v>
      </c>
      <c r="B118" s="65">
        <v>9527.1</v>
      </c>
      <c r="C118" s="191" t="s">
        <v>256</v>
      </c>
      <c r="D118" s="65" t="s">
        <v>61</v>
      </c>
      <c r="E118" s="192">
        <f>IF(A118=" "," ",VLOOKUP(A118,Estimate!A:Q,17,FALSE))</f>
        <v>1375</v>
      </c>
      <c r="F118" s="193">
        <v>25</v>
      </c>
      <c r="G118" s="206">
        <v>73.225999999999999</v>
      </c>
      <c r="H118" s="195">
        <v>82.58</v>
      </c>
      <c r="I118" s="195">
        <v>2064.5</v>
      </c>
      <c r="J118" s="195"/>
      <c r="K118" s="193"/>
      <c r="L118" s="196" t="str">
        <f t="shared" si="641"/>
        <v xml:space="preserve"> </v>
      </c>
      <c r="M118" s="193"/>
      <c r="N118" s="196" t="str">
        <f t="shared" si="641"/>
        <v xml:space="preserve"> </v>
      </c>
      <c r="O118" s="193"/>
      <c r="P118" s="196" t="str">
        <f t="shared" ref="P118" si="1012">IFERROR(IF(O118=0," ",O118/$F118)," ")</f>
        <v xml:space="preserve"> </v>
      </c>
      <c r="Q118" s="193"/>
      <c r="R118" s="196" t="str">
        <f t="shared" ref="R118" si="1013">IFERROR(IF(Q118=0," ",Q118/$F118)," ")</f>
        <v xml:space="preserve"> </v>
      </c>
      <c r="S118" s="193"/>
      <c r="T118" s="196" t="str">
        <f t="shared" ref="T118" si="1014">IFERROR(IF(S118=0," ",S118/$F118)," ")</f>
        <v xml:space="preserve"> </v>
      </c>
      <c r="U118" s="193"/>
      <c r="V118" s="196" t="str">
        <f t="shared" ref="V118" si="1015">IFERROR(IF(U118=0," ",U118/$F118)," ")</f>
        <v xml:space="preserve"> </v>
      </c>
      <c r="W118" s="193">
        <v>25</v>
      </c>
      <c r="X118" s="196">
        <f t="shared" ref="X118" si="1016">IFERROR(IF(W118=0," ",W118/$F118)," ")</f>
        <v>1</v>
      </c>
      <c r="Y118" s="193">
        <v>25</v>
      </c>
      <c r="Z118" s="196">
        <f t="shared" ref="Z118" si="1017">IFERROR(IF(Y118=0," ",Y118/$F118)," ")</f>
        <v>1</v>
      </c>
      <c r="AA118" s="193">
        <v>25</v>
      </c>
      <c r="AB118" s="196">
        <f t="shared" ref="AB118" si="1018">IFERROR(IF(AA118=0," ",AA118/$F118)," ")</f>
        <v>1</v>
      </c>
      <c r="AC118" s="193">
        <v>25</v>
      </c>
      <c r="AD118" s="196">
        <f t="shared" ref="AD118" si="1019">IFERROR(IF(AC118=0," ",AC118/$F118)," ")</f>
        <v>1</v>
      </c>
      <c r="AE118" s="193">
        <v>25</v>
      </c>
      <c r="AF118" s="196">
        <f t="shared" ref="AF118" si="1020">IFERROR(IF(AE118=0," ",AE118/$F118)," ")</f>
        <v>1</v>
      </c>
      <c r="AG118" s="193">
        <v>25</v>
      </c>
      <c r="AH118" s="196">
        <f t="shared" ref="AH118" si="1021">IFERROR(IF(AG118=0," ",AG118/$F118)," ")</f>
        <v>1</v>
      </c>
      <c r="AI118" s="197"/>
      <c r="AJ118" s="177">
        <v>0</v>
      </c>
      <c r="AK118" s="177">
        <v>0</v>
      </c>
      <c r="AL118" s="177">
        <v>0</v>
      </c>
      <c r="AM118" s="177">
        <v>0</v>
      </c>
      <c r="AN118" s="177">
        <v>0</v>
      </c>
      <c r="AO118" s="177">
        <v>0</v>
      </c>
      <c r="AP118" s="177">
        <v>2064.5</v>
      </c>
      <c r="AQ118" s="177">
        <v>2064.5</v>
      </c>
      <c r="AR118" s="177">
        <v>2064.5</v>
      </c>
      <c r="AS118" s="177">
        <v>2064.5</v>
      </c>
      <c r="AT118" s="177">
        <v>2064.5</v>
      </c>
      <c r="AU118" s="177">
        <v>2064.5</v>
      </c>
    </row>
    <row r="119" spans="1:47" ht="30" x14ac:dyDescent="0.25">
      <c r="A119" s="190">
        <v>57</v>
      </c>
      <c r="B119" s="65">
        <v>9529.1</v>
      </c>
      <c r="C119" s="191" t="s">
        <v>258</v>
      </c>
      <c r="D119" s="65" t="s">
        <v>204</v>
      </c>
      <c r="E119" s="192">
        <f>IF(A119=" "," ",VLOOKUP(A119,Estimate!A:Q,17,FALSE))</f>
        <v>17266.88</v>
      </c>
      <c r="F119" s="193">
        <v>1</v>
      </c>
      <c r="G119" s="206">
        <v>17266.88</v>
      </c>
      <c r="H119" s="195">
        <v>17266.88</v>
      </c>
      <c r="I119" s="195">
        <v>17266.88</v>
      </c>
      <c r="J119" s="195"/>
      <c r="K119" s="193"/>
      <c r="L119" s="196" t="str">
        <f t="shared" si="641"/>
        <v xml:space="preserve"> </v>
      </c>
      <c r="M119" s="193"/>
      <c r="N119" s="196" t="str">
        <f t="shared" si="641"/>
        <v xml:space="preserve"> </v>
      </c>
      <c r="O119" s="193"/>
      <c r="P119" s="196" t="str">
        <f t="shared" ref="P119" si="1022">IFERROR(IF(O119=0," ",O119/$F119)," ")</f>
        <v xml:space="preserve"> </v>
      </c>
      <c r="Q119" s="193"/>
      <c r="R119" s="196" t="str">
        <f t="shared" ref="R119" si="1023">IFERROR(IF(Q119=0," ",Q119/$F119)," ")</f>
        <v xml:space="preserve"> </v>
      </c>
      <c r="S119" s="193">
        <v>1</v>
      </c>
      <c r="T119" s="196">
        <f t="shared" ref="T119" si="1024">IFERROR(IF(S119=0," ",S119/$F119)," ")</f>
        <v>1</v>
      </c>
      <c r="U119" s="193">
        <v>1</v>
      </c>
      <c r="V119" s="196">
        <f t="shared" ref="V119" si="1025">IFERROR(IF(U119=0," ",U119/$F119)," ")</f>
        <v>1</v>
      </c>
      <c r="W119" s="193">
        <v>1</v>
      </c>
      <c r="X119" s="196">
        <f t="shared" ref="X119" si="1026">IFERROR(IF(W119=0," ",W119/$F119)," ")</f>
        <v>1</v>
      </c>
      <c r="Y119" s="193">
        <v>1</v>
      </c>
      <c r="Z119" s="196">
        <f t="shared" ref="Z119" si="1027">IFERROR(IF(Y119=0," ",Y119/$F119)," ")</f>
        <v>1</v>
      </c>
      <c r="AA119" s="193">
        <v>1</v>
      </c>
      <c r="AB119" s="196">
        <f t="shared" ref="AB119" si="1028">IFERROR(IF(AA119=0," ",AA119/$F119)," ")</f>
        <v>1</v>
      </c>
      <c r="AC119" s="193">
        <v>1</v>
      </c>
      <c r="AD119" s="196">
        <f t="shared" ref="AD119" si="1029">IFERROR(IF(AC119=0," ",AC119/$F119)," ")</f>
        <v>1</v>
      </c>
      <c r="AE119" s="193">
        <v>1</v>
      </c>
      <c r="AF119" s="196">
        <f t="shared" ref="AF119" si="1030">IFERROR(IF(AE119=0," ",AE119/$F119)," ")</f>
        <v>1</v>
      </c>
      <c r="AG119" s="193">
        <v>1</v>
      </c>
      <c r="AH119" s="196">
        <f t="shared" ref="AH119" si="1031">IFERROR(IF(AG119=0," ",AG119/$F119)," ")</f>
        <v>1</v>
      </c>
      <c r="AI119" s="197"/>
      <c r="AJ119" s="177">
        <v>0</v>
      </c>
      <c r="AK119" s="177">
        <v>0</v>
      </c>
      <c r="AL119" s="177">
        <v>0</v>
      </c>
      <c r="AM119" s="177">
        <v>0</v>
      </c>
      <c r="AN119" s="177">
        <v>17266.88</v>
      </c>
      <c r="AO119" s="177">
        <v>17266.88</v>
      </c>
      <c r="AP119" s="177">
        <v>17266.88</v>
      </c>
      <c r="AQ119" s="177">
        <v>17266.88</v>
      </c>
      <c r="AR119" s="177">
        <v>17266.88</v>
      </c>
      <c r="AS119" s="177">
        <v>17266.88</v>
      </c>
      <c r="AT119" s="177">
        <v>17266.88</v>
      </c>
      <c r="AU119" s="177">
        <v>17266.88</v>
      </c>
    </row>
    <row r="120" spans="1:47" x14ac:dyDescent="0.25">
      <c r="A120" s="190">
        <v>58</v>
      </c>
      <c r="B120" s="65">
        <v>9531.2000000000007</v>
      </c>
      <c r="C120" s="191" t="s">
        <v>260</v>
      </c>
      <c r="D120" s="65" t="s">
        <v>61</v>
      </c>
      <c r="E120" s="192">
        <f>IF(A120=" "," ",VLOOKUP(A120,Estimate!A:Q,17,FALSE))</f>
        <v>1750</v>
      </c>
      <c r="F120" s="193">
        <v>5</v>
      </c>
      <c r="G120" s="206">
        <v>465.9778</v>
      </c>
      <c r="H120" s="195">
        <v>525.5</v>
      </c>
      <c r="I120" s="195">
        <v>2627.5</v>
      </c>
      <c r="J120" s="195"/>
      <c r="K120" s="193"/>
      <c r="L120" s="196" t="str">
        <f t="shared" si="641"/>
        <v xml:space="preserve"> </v>
      </c>
      <c r="M120" s="193"/>
      <c r="N120" s="196" t="str">
        <f t="shared" si="641"/>
        <v xml:space="preserve"> </v>
      </c>
      <c r="O120" s="193"/>
      <c r="P120" s="196" t="str">
        <f t="shared" ref="P120" si="1032">IFERROR(IF(O120=0," ",O120/$F120)," ")</f>
        <v xml:space="preserve"> </v>
      </c>
      <c r="Q120" s="193"/>
      <c r="R120" s="196" t="str">
        <f t="shared" ref="R120" si="1033">IFERROR(IF(Q120=0," ",Q120/$F120)," ")</f>
        <v xml:space="preserve"> </v>
      </c>
      <c r="S120" s="193">
        <v>5</v>
      </c>
      <c r="T120" s="196">
        <f t="shared" ref="T120" si="1034">IFERROR(IF(S120=0," ",S120/$F120)," ")</f>
        <v>1</v>
      </c>
      <c r="U120" s="193">
        <v>5</v>
      </c>
      <c r="V120" s="196">
        <f t="shared" ref="V120" si="1035">IFERROR(IF(U120=0," ",U120/$F120)," ")</f>
        <v>1</v>
      </c>
      <c r="W120" s="193">
        <v>5</v>
      </c>
      <c r="X120" s="196">
        <f t="shared" ref="X120" si="1036">IFERROR(IF(W120=0," ",W120/$F120)," ")</f>
        <v>1</v>
      </c>
      <c r="Y120" s="193">
        <v>5</v>
      </c>
      <c r="Z120" s="196">
        <f t="shared" ref="Z120" si="1037">IFERROR(IF(Y120=0," ",Y120/$F120)," ")</f>
        <v>1</v>
      </c>
      <c r="AA120" s="193">
        <v>5</v>
      </c>
      <c r="AB120" s="196">
        <f t="shared" ref="AB120" si="1038">IFERROR(IF(AA120=0," ",AA120/$F120)," ")</f>
        <v>1</v>
      </c>
      <c r="AC120" s="193">
        <v>5</v>
      </c>
      <c r="AD120" s="196">
        <f t="shared" ref="AD120" si="1039">IFERROR(IF(AC120=0," ",AC120/$F120)," ")</f>
        <v>1</v>
      </c>
      <c r="AE120" s="193">
        <v>5</v>
      </c>
      <c r="AF120" s="196">
        <f t="shared" ref="AF120" si="1040">IFERROR(IF(AE120=0," ",AE120/$F120)," ")</f>
        <v>1</v>
      </c>
      <c r="AG120" s="193">
        <v>5</v>
      </c>
      <c r="AH120" s="196">
        <f t="shared" ref="AH120" si="1041">IFERROR(IF(AG120=0," ",AG120/$F120)," ")</f>
        <v>1</v>
      </c>
      <c r="AI120" s="197"/>
      <c r="AJ120" s="177">
        <v>0</v>
      </c>
      <c r="AK120" s="177">
        <v>0</v>
      </c>
      <c r="AL120" s="177">
        <v>0</v>
      </c>
      <c r="AM120" s="177">
        <v>0</v>
      </c>
      <c r="AN120" s="177">
        <v>2627.5</v>
      </c>
      <c r="AO120" s="177">
        <v>2627.5</v>
      </c>
      <c r="AP120" s="177">
        <v>2627.5</v>
      </c>
      <c r="AQ120" s="177">
        <v>2627.5</v>
      </c>
      <c r="AR120" s="177">
        <v>2627.5</v>
      </c>
      <c r="AS120" s="177">
        <v>2627.5</v>
      </c>
      <c r="AT120" s="177">
        <v>2627.5</v>
      </c>
      <c r="AU120" s="177">
        <v>2627.5</v>
      </c>
    </row>
    <row r="121" spans="1:47" x14ac:dyDescent="0.25">
      <c r="A121" s="190">
        <v>59</v>
      </c>
      <c r="B121" s="65">
        <v>9596</v>
      </c>
      <c r="C121" s="191" t="s">
        <v>262</v>
      </c>
      <c r="D121" s="65" t="s">
        <v>17</v>
      </c>
      <c r="E121" s="192">
        <f>IF(A121=" "," ",VLOOKUP(A121,Estimate!A:Q,17,FALSE))</f>
        <v>1000</v>
      </c>
      <c r="F121" s="193">
        <v>1</v>
      </c>
      <c r="G121" s="206">
        <v>1331.366</v>
      </c>
      <c r="H121" s="195">
        <v>1501.43</v>
      </c>
      <c r="I121" s="195">
        <v>1501.43</v>
      </c>
      <c r="J121" s="195"/>
      <c r="K121" s="193"/>
      <c r="L121" s="196" t="str">
        <f t="shared" si="641"/>
        <v xml:space="preserve"> </v>
      </c>
      <c r="M121" s="193"/>
      <c r="N121" s="196" t="str">
        <f t="shared" si="641"/>
        <v xml:space="preserve"> </v>
      </c>
      <c r="O121" s="193"/>
      <c r="P121" s="196" t="str">
        <f t="shared" ref="P121" si="1042">IFERROR(IF(O121=0," ",O121/$F121)," ")</f>
        <v xml:space="preserve"> </v>
      </c>
      <c r="Q121" s="193"/>
      <c r="R121" s="196" t="str">
        <f t="shared" ref="R121" si="1043">IFERROR(IF(Q121=0," ",Q121/$F121)," ")</f>
        <v xml:space="preserve"> </v>
      </c>
      <c r="S121" s="193"/>
      <c r="T121" s="196" t="str">
        <f t="shared" ref="T121" si="1044">IFERROR(IF(S121=0," ",S121/$F121)," ")</f>
        <v xml:space="preserve"> </v>
      </c>
      <c r="U121" s="193"/>
      <c r="V121" s="196" t="str">
        <f t="shared" ref="V121" si="1045">IFERROR(IF(U121=0," ",U121/$F121)," ")</f>
        <v xml:space="preserve"> </v>
      </c>
      <c r="W121" s="193">
        <v>1</v>
      </c>
      <c r="X121" s="196">
        <f t="shared" ref="X121" si="1046">IFERROR(IF(W121=0," ",W121/$F121)," ")</f>
        <v>1</v>
      </c>
      <c r="Y121" s="193">
        <v>1</v>
      </c>
      <c r="Z121" s="196">
        <f t="shared" ref="Z121" si="1047">IFERROR(IF(Y121=0," ",Y121/$F121)," ")</f>
        <v>1</v>
      </c>
      <c r="AA121" s="193">
        <v>1</v>
      </c>
      <c r="AB121" s="196">
        <f t="shared" ref="AB121" si="1048">IFERROR(IF(AA121=0," ",AA121/$F121)," ")</f>
        <v>1</v>
      </c>
      <c r="AC121" s="193">
        <v>1</v>
      </c>
      <c r="AD121" s="196">
        <f t="shared" ref="AD121" si="1049">IFERROR(IF(AC121=0," ",AC121/$F121)," ")</f>
        <v>1</v>
      </c>
      <c r="AE121" s="193">
        <v>1</v>
      </c>
      <c r="AF121" s="196">
        <f t="shared" ref="AF121" si="1050">IFERROR(IF(AE121=0," ",AE121/$F121)," ")</f>
        <v>1</v>
      </c>
      <c r="AG121" s="193">
        <v>1</v>
      </c>
      <c r="AH121" s="196">
        <f t="shared" ref="AH121" si="1051">IFERROR(IF(AG121=0," ",AG121/$F121)," ")</f>
        <v>1</v>
      </c>
      <c r="AI121" s="197"/>
      <c r="AJ121" s="177">
        <v>0</v>
      </c>
      <c r="AK121" s="177">
        <v>0</v>
      </c>
      <c r="AL121" s="177">
        <v>0</v>
      </c>
      <c r="AM121" s="177">
        <v>0</v>
      </c>
      <c r="AN121" s="177">
        <v>0</v>
      </c>
      <c r="AO121" s="177">
        <v>0</v>
      </c>
      <c r="AP121" s="177">
        <v>1501.43</v>
      </c>
      <c r="AQ121" s="177">
        <v>1501.43</v>
      </c>
      <c r="AR121" s="177">
        <v>1501.43</v>
      </c>
      <c r="AS121" s="177">
        <v>1501.43</v>
      </c>
      <c r="AT121" s="177">
        <v>1501.43</v>
      </c>
      <c r="AU121" s="177">
        <v>1501.43</v>
      </c>
    </row>
    <row r="122" spans="1:47" ht="30" x14ac:dyDescent="0.25">
      <c r="A122" s="190">
        <v>60</v>
      </c>
      <c r="B122" s="65">
        <v>9597</v>
      </c>
      <c r="C122" s="191" t="s">
        <v>264</v>
      </c>
      <c r="D122" s="65" t="s">
        <v>17</v>
      </c>
      <c r="E122" s="192">
        <f>IF(A122=" "," ",VLOOKUP(A122,Estimate!A:Q,17,FALSE))</f>
        <v>1500</v>
      </c>
      <c r="F122" s="193">
        <v>1</v>
      </c>
      <c r="G122" s="206">
        <v>1997.0450000000001</v>
      </c>
      <c r="H122" s="195">
        <v>2252.14</v>
      </c>
      <c r="I122" s="195">
        <v>2252.14</v>
      </c>
      <c r="J122" s="195"/>
      <c r="K122" s="193"/>
      <c r="L122" s="196" t="str">
        <f t="shared" si="641"/>
        <v xml:space="preserve"> </v>
      </c>
      <c r="M122" s="193"/>
      <c r="N122" s="196" t="str">
        <f t="shared" si="641"/>
        <v xml:space="preserve"> </v>
      </c>
      <c r="O122" s="193"/>
      <c r="P122" s="196" t="str">
        <f t="shared" ref="P122" si="1052">IFERROR(IF(O122=0," ",O122/$F122)," ")</f>
        <v xml:space="preserve"> </v>
      </c>
      <c r="Q122" s="193"/>
      <c r="R122" s="196" t="str">
        <f t="shared" ref="R122" si="1053">IFERROR(IF(Q122=0," ",Q122/$F122)," ")</f>
        <v xml:space="preserve"> </v>
      </c>
      <c r="S122" s="193"/>
      <c r="T122" s="196" t="str">
        <f t="shared" ref="T122" si="1054">IFERROR(IF(S122=0," ",S122/$F122)," ")</f>
        <v xml:space="preserve"> </v>
      </c>
      <c r="U122" s="193"/>
      <c r="V122" s="196" t="str">
        <f t="shared" ref="V122" si="1055">IFERROR(IF(U122=0," ",U122/$F122)," ")</f>
        <v xml:space="preserve"> </v>
      </c>
      <c r="W122" s="193">
        <v>1</v>
      </c>
      <c r="X122" s="196">
        <f t="shared" ref="X122" si="1056">IFERROR(IF(W122=0," ",W122/$F122)," ")</f>
        <v>1</v>
      </c>
      <c r="Y122" s="193">
        <v>1</v>
      </c>
      <c r="Z122" s="196">
        <f t="shared" ref="Z122" si="1057">IFERROR(IF(Y122=0," ",Y122/$F122)," ")</f>
        <v>1</v>
      </c>
      <c r="AA122" s="193">
        <v>1</v>
      </c>
      <c r="AB122" s="196">
        <f t="shared" ref="AB122" si="1058">IFERROR(IF(AA122=0," ",AA122/$F122)," ")</f>
        <v>1</v>
      </c>
      <c r="AC122" s="193">
        <v>1</v>
      </c>
      <c r="AD122" s="196">
        <f t="shared" ref="AD122" si="1059">IFERROR(IF(AC122=0," ",AC122/$F122)," ")</f>
        <v>1</v>
      </c>
      <c r="AE122" s="193">
        <v>1</v>
      </c>
      <c r="AF122" s="196">
        <f t="shared" ref="AF122" si="1060">IFERROR(IF(AE122=0," ",AE122/$F122)," ")</f>
        <v>1</v>
      </c>
      <c r="AG122" s="193">
        <v>1</v>
      </c>
      <c r="AH122" s="196">
        <f t="shared" ref="AH122" si="1061">IFERROR(IF(AG122=0," ",AG122/$F122)," ")</f>
        <v>1</v>
      </c>
      <c r="AI122" s="197"/>
      <c r="AJ122" s="177">
        <v>0</v>
      </c>
      <c r="AK122" s="177">
        <v>0</v>
      </c>
      <c r="AL122" s="177">
        <v>0</v>
      </c>
      <c r="AM122" s="177">
        <v>0</v>
      </c>
      <c r="AN122" s="177">
        <v>0</v>
      </c>
      <c r="AO122" s="177">
        <v>0</v>
      </c>
      <c r="AP122" s="177">
        <v>2252.14</v>
      </c>
      <c r="AQ122" s="177">
        <v>2252.14</v>
      </c>
      <c r="AR122" s="177">
        <v>2252.14</v>
      </c>
      <c r="AS122" s="177">
        <v>2252.14</v>
      </c>
      <c r="AT122" s="177">
        <v>2252.14</v>
      </c>
      <c r="AU122" s="177">
        <v>2252.14</v>
      </c>
    </row>
    <row r="123" spans="1:47" ht="30" x14ac:dyDescent="0.25">
      <c r="A123" s="190">
        <v>61</v>
      </c>
      <c r="B123" s="65">
        <v>9598.1</v>
      </c>
      <c r="C123" s="191" t="s">
        <v>266</v>
      </c>
      <c r="D123" s="65" t="s">
        <v>17</v>
      </c>
      <c r="E123" s="192">
        <f>IF(A123=" "," ",VLOOKUP(A123,Estimate!A:Q,17,FALSE))</f>
        <v>2000</v>
      </c>
      <c r="F123" s="193">
        <v>1</v>
      </c>
      <c r="G123" s="206">
        <v>2662.7249999999999</v>
      </c>
      <c r="H123" s="195">
        <v>3002.85</v>
      </c>
      <c r="I123" s="195">
        <v>3002.85</v>
      </c>
      <c r="J123" s="195"/>
      <c r="K123" s="193"/>
      <c r="L123" s="196" t="str">
        <f t="shared" si="641"/>
        <v xml:space="preserve"> </v>
      </c>
      <c r="M123" s="193"/>
      <c r="N123" s="196" t="str">
        <f t="shared" si="641"/>
        <v xml:space="preserve"> </v>
      </c>
      <c r="O123" s="193"/>
      <c r="P123" s="196" t="str">
        <f t="shared" ref="P123" si="1062">IFERROR(IF(O123=0," ",O123/$F123)," ")</f>
        <v xml:space="preserve"> </v>
      </c>
      <c r="Q123" s="193"/>
      <c r="R123" s="196" t="str">
        <f t="shared" ref="R123" si="1063">IFERROR(IF(Q123=0," ",Q123/$F123)," ")</f>
        <v xml:space="preserve"> </v>
      </c>
      <c r="S123" s="193"/>
      <c r="T123" s="196" t="str">
        <f t="shared" ref="T123" si="1064">IFERROR(IF(S123=0," ",S123/$F123)," ")</f>
        <v xml:space="preserve"> </v>
      </c>
      <c r="U123" s="193"/>
      <c r="V123" s="196" t="str">
        <f t="shared" ref="V123" si="1065">IFERROR(IF(U123=0," ",U123/$F123)," ")</f>
        <v xml:space="preserve"> </v>
      </c>
      <c r="W123" s="193">
        <v>1</v>
      </c>
      <c r="X123" s="196">
        <f t="shared" ref="X123" si="1066">IFERROR(IF(W123=0," ",W123/$F123)," ")</f>
        <v>1</v>
      </c>
      <c r="Y123" s="193">
        <v>1</v>
      </c>
      <c r="Z123" s="196">
        <f t="shared" ref="Z123" si="1067">IFERROR(IF(Y123=0," ",Y123/$F123)," ")</f>
        <v>1</v>
      </c>
      <c r="AA123" s="193">
        <v>1</v>
      </c>
      <c r="AB123" s="196">
        <f t="shared" ref="AB123" si="1068">IFERROR(IF(AA123=0," ",AA123/$F123)," ")</f>
        <v>1</v>
      </c>
      <c r="AC123" s="193">
        <v>1</v>
      </c>
      <c r="AD123" s="196">
        <f t="shared" ref="AD123" si="1069">IFERROR(IF(AC123=0," ",AC123/$F123)," ")</f>
        <v>1</v>
      </c>
      <c r="AE123" s="193">
        <v>1</v>
      </c>
      <c r="AF123" s="196">
        <f t="shared" ref="AF123" si="1070">IFERROR(IF(AE123=0," ",AE123/$F123)," ")</f>
        <v>1</v>
      </c>
      <c r="AG123" s="193">
        <v>1</v>
      </c>
      <c r="AH123" s="196">
        <f t="shared" ref="AH123" si="1071">IFERROR(IF(AG123=0," ",AG123/$F123)," ")</f>
        <v>1</v>
      </c>
      <c r="AI123" s="197"/>
      <c r="AJ123" s="177">
        <v>0</v>
      </c>
      <c r="AK123" s="177">
        <v>0</v>
      </c>
      <c r="AL123" s="177">
        <v>0</v>
      </c>
      <c r="AM123" s="177">
        <v>0</v>
      </c>
      <c r="AN123" s="177">
        <v>0</v>
      </c>
      <c r="AO123" s="177">
        <v>0</v>
      </c>
      <c r="AP123" s="177">
        <v>3002.85</v>
      </c>
      <c r="AQ123" s="177">
        <v>3002.85</v>
      </c>
      <c r="AR123" s="177">
        <v>3002.85</v>
      </c>
      <c r="AS123" s="177">
        <v>3002.85</v>
      </c>
      <c r="AT123" s="177">
        <v>3002.85</v>
      </c>
      <c r="AU123" s="177">
        <v>3002.85</v>
      </c>
    </row>
    <row r="124" spans="1:47" x14ac:dyDescent="0.25">
      <c r="A124" s="190" t="s">
        <v>642</v>
      </c>
      <c r="B124" s="65" t="s">
        <v>745</v>
      </c>
      <c r="C124" s="191" t="s">
        <v>642</v>
      </c>
      <c r="D124" s="65" t="s">
        <v>747</v>
      </c>
      <c r="E124" s="192" t="str">
        <f>IF(A124=" "," ",VLOOKUP(A124,Estimate!A:Q,17,FALSE))</f>
        <v xml:space="preserve"> </v>
      </c>
      <c r="F124" s="193" t="s">
        <v>642</v>
      </c>
      <c r="G124" s="206"/>
      <c r="H124" s="195" t="s">
        <v>642</v>
      </c>
      <c r="I124" s="195" t="s">
        <v>642</v>
      </c>
      <c r="J124" s="195"/>
      <c r="K124" s="193" t="s">
        <v>642</v>
      </c>
      <c r="L124" s="196" t="str">
        <f t="shared" si="641"/>
        <v xml:space="preserve"> </v>
      </c>
      <c r="M124" s="193" t="s">
        <v>642</v>
      </c>
      <c r="N124" s="196" t="str">
        <f t="shared" si="641"/>
        <v xml:space="preserve"> </v>
      </c>
      <c r="O124" s="193" t="s">
        <v>642</v>
      </c>
      <c r="P124" s="196" t="str">
        <f t="shared" ref="P124" si="1072">IFERROR(IF(O124=0," ",O124/$F124)," ")</f>
        <v xml:space="preserve"> </v>
      </c>
      <c r="Q124" s="193" t="s">
        <v>642</v>
      </c>
      <c r="R124" s="196" t="str">
        <f t="shared" ref="R124" si="1073">IFERROR(IF(Q124=0," ",Q124/$F124)," ")</f>
        <v xml:space="preserve"> </v>
      </c>
      <c r="S124" s="193" t="s">
        <v>642</v>
      </c>
      <c r="T124" s="196" t="str">
        <f t="shared" ref="T124" si="1074">IFERROR(IF(S124=0," ",S124/$F124)," ")</f>
        <v xml:space="preserve"> </v>
      </c>
      <c r="U124" s="193" t="s">
        <v>642</v>
      </c>
      <c r="V124" s="196" t="str">
        <f t="shared" ref="V124" si="1075">IFERROR(IF(U124=0," ",U124/$F124)," ")</f>
        <v xml:space="preserve"> </v>
      </c>
      <c r="W124" s="193" t="s">
        <v>642</v>
      </c>
      <c r="X124" s="196" t="str">
        <f t="shared" ref="X124" si="1076">IFERROR(IF(W124=0," ",W124/$F124)," ")</f>
        <v xml:space="preserve"> </v>
      </c>
      <c r="Y124" s="193" t="s">
        <v>642</v>
      </c>
      <c r="Z124" s="196" t="str">
        <f t="shared" ref="Z124" si="1077">IFERROR(IF(Y124=0," ",Y124/$F124)," ")</f>
        <v xml:space="preserve"> </v>
      </c>
      <c r="AA124" s="193" t="s">
        <v>642</v>
      </c>
      <c r="AB124" s="196" t="str">
        <f t="shared" ref="AB124" si="1078">IFERROR(IF(AA124=0," ",AA124/$F124)," ")</f>
        <v xml:space="preserve"> </v>
      </c>
      <c r="AC124" s="193" t="s">
        <v>642</v>
      </c>
      <c r="AD124" s="196" t="str">
        <f t="shared" ref="AD124" si="1079">IFERROR(IF(AC124=0," ",AC124/$F124)," ")</f>
        <v xml:space="preserve"> </v>
      </c>
      <c r="AE124" s="193" t="s">
        <v>642</v>
      </c>
      <c r="AF124" s="196" t="str">
        <f t="shared" ref="AF124" si="1080">IFERROR(IF(AE124=0," ",AE124/$F124)," ")</f>
        <v xml:space="preserve"> </v>
      </c>
      <c r="AG124" s="193" t="s">
        <v>642</v>
      </c>
      <c r="AH124" s="196" t="str">
        <f t="shared" ref="AH124" si="1081">IFERROR(IF(AG124=0," ",AG124/$F124)," ")</f>
        <v xml:space="preserve"> </v>
      </c>
      <c r="AI124" s="197"/>
      <c r="AJ124" s="177" t="s">
        <v>642</v>
      </c>
      <c r="AK124" s="177" t="s">
        <v>642</v>
      </c>
      <c r="AL124" s="177" t="s">
        <v>642</v>
      </c>
      <c r="AM124" s="177" t="s">
        <v>642</v>
      </c>
      <c r="AN124" s="177" t="s">
        <v>642</v>
      </c>
      <c r="AO124" s="177" t="s">
        <v>642</v>
      </c>
      <c r="AP124" s="177" t="s">
        <v>642</v>
      </c>
      <c r="AQ124" s="177" t="s">
        <v>642</v>
      </c>
      <c r="AR124" s="177" t="s">
        <v>642</v>
      </c>
      <c r="AS124" s="177" t="s">
        <v>642</v>
      </c>
      <c r="AT124" s="177" t="s">
        <v>642</v>
      </c>
      <c r="AU124" s="177" t="s">
        <v>642</v>
      </c>
    </row>
    <row r="125" spans="1:47" x14ac:dyDescent="0.25">
      <c r="A125" s="190" t="s">
        <v>642</v>
      </c>
      <c r="B125" s="65" t="s">
        <v>764</v>
      </c>
      <c r="C125" s="191" t="s">
        <v>268</v>
      </c>
      <c r="D125" s="65" t="s">
        <v>747</v>
      </c>
      <c r="E125" s="192" t="str">
        <f>IF(A125=" "," ",VLOOKUP(A125,Estimate!A:Q,17,FALSE))</f>
        <v xml:space="preserve"> </v>
      </c>
      <c r="F125" s="193" t="s">
        <v>642</v>
      </c>
      <c r="G125" s="206" t="s">
        <v>642</v>
      </c>
      <c r="H125" s="195" t="s">
        <v>642</v>
      </c>
      <c r="I125" s="195" t="s">
        <v>642</v>
      </c>
      <c r="J125" s="195"/>
      <c r="K125" s="193" t="s">
        <v>642</v>
      </c>
      <c r="L125" s="196" t="str">
        <f t="shared" si="641"/>
        <v xml:space="preserve"> </v>
      </c>
      <c r="M125" s="193" t="s">
        <v>642</v>
      </c>
      <c r="N125" s="196" t="str">
        <f t="shared" si="641"/>
        <v xml:space="preserve"> </v>
      </c>
      <c r="O125" s="193" t="s">
        <v>642</v>
      </c>
      <c r="P125" s="196" t="str">
        <f t="shared" ref="P125" si="1082">IFERROR(IF(O125=0," ",O125/$F125)," ")</f>
        <v xml:space="preserve"> </v>
      </c>
      <c r="Q125" s="193" t="s">
        <v>642</v>
      </c>
      <c r="R125" s="196" t="str">
        <f t="shared" ref="R125" si="1083">IFERROR(IF(Q125=0," ",Q125/$F125)," ")</f>
        <v xml:space="preserve"> </v>
      </c>
      <c r="S125" s="193" t="s">
        <v>642</v>
      </c>
      <c r="T125" s="196" t="str">
        <f t="shared" ref="T125" si="1084">IFERROR(IF(S125=0," ",S125/$F125)," ")</f>
        <v xml:space="preserve"> </v>
      </c>
      <c r="U125" s="193" t="s">
        <v>642</v>
      </c>
      <c r="V125" s="196" t="str">
        <f t="shared" ref="V125" si="1085">IFERROR(IF(U125=0," ",U125/$F125)," ")</f>
        <v xml:space="preserve"> </v>
      </c>
      <c r="W125" s="193" t="s">
        <v>642</v>
      </c>
      <c r="X125" s="196" t="str">
        <f t="shared" ref="X125" si="1086">IFERROR(IF(W125=0," ",W125/$F125)," ")</f>
        <v xml:space="preserve"> </v>
      </c>
      <c r="Y125" s="193" t="s">
        <v>642</v>
      </c>
      <c r="Z125" s="196" t="str">
        <f t="shared" ref="Z125" si="1087">IFERROR(IF(Y125=0," ",Y125/$F125)," ")</f>
        <v xml:space="preserve"> </v>
      </c>
      <c r="AA125" s="193" t="s">
        <v>642</v>
      </c>
      <c r="AB125" s="196" t="str">
        <f t="shared" ref="AB125" si="1088">IFERROR(IF(AA125=0," ",AA125/$F125)," ")</f>
        <v xml:space="preserve"> </v>
      </c>
      <c r="AC125" s="193" t="s">
        <v>642</v>
      </c>
      <c r="AD125" s="196" t="str">
        <f t="shared" ref="AD125" si="1089">IFERROR(IF(AC125=0," ",AC125/$F125)," ")</f>
        <v xml:space="preserve"> </v>
      </c>
      <c r="AE125" s="193" t="s">
        <v>642</v>
      </c>
      <c r="AF125" s="196" t="str">
        <f t="shared" ref="AF125" si="1090">IFERROR(IF(AE125=0," ",AE125/$F125)," ")</f>
        <v xml:space="preserve"> </v>
      </c>
      <c r="AG125" s="193" t="s">
        <v>642</v>
      </c>
      <c r="AH125" s="196" t="str">
        <f t="shared" ref="AH125" si="1091">IFERROR(IF(AG125=0," ",AG125/$F125)," ")</f>
        <v xml:space="preserve"> </v>
      </c>
      <c r="AI125" s="197"/>
      <c r="AJ125" s="177" t="s">
        <v>642</v>
      </c>
      <c r="AK125" s="177" t="s">
        <v>642</v>
      </c>
      <c r="AL125" s="177" t="s">
        <v>642</v>
      </c>
      <c r="AM125" s="177" t="s">
        <v>642</v>
      </c>
      <c r="AN125" s="177" t="s">
        <v>642</v>
      </c>
      <c r="AO125" s="177" t="s">
        <v>642</v>
      </c>
      <c r="AP125" s="177" t="s">
        <v>642</v>
      </c>
      <c r="AQ125" s="177" t="s">
        <v>642</v>
      </c>
      <c r="AR125" s="177" t="s">
        <v>642</v>
      </c>
      <c r="AS125" s="177" t="s">
        <v>642</v>
      </c>
      <c r="AT125" s="177" t="s">
        <v>642</v>
      </c>
      <c r="AU125" s="177" t="s">
        <v>642</v>
      </c>
    </row>
    <row r="126" spans="1:47" x14ac:dyDescent="0.25">
      <c r="A126" s="190" t="s">
        <v>642</v>
      </c>
      <c r="B126" s="65">
        <v>9600</v>
      </c>
      <c r="C126" s="191" t="s">
        <v>270</v>
      </c>
      <c r="D126" s="65" t="s">
        <v>747</v>
      </c>
      <c r="E126" s="192" t="str">
        <f>IF(A126=" "," ",VLOOKUP(A126,Estimate!A:Q,17,FALSE))</f>
        <v xml:space="preserve"> </v>
      </c>
      <c r="F126" s="193" t="s">
        <v>642</v>
      </c>
      <c r="G126" s="206" t="s">
        <v>642</v>
      </c>
      <c r="H126" s="195" t="s">
        <v>642</v>
      </c>
      <c r="I126" s="195" t="s">
        <v>642</v>
      </c>
      <c r="J126" s="195"/>
      <c r="K126" s="193" t="s">
        <v>642</v>
      </c>
      <c r="L126" s="196" t="str">
        <f t="shared" si="641"/>
        <v xml:space="preserve"> </v>
      </c>
      <c r="M126" s="193" t="s">
        <v>642</v>
      </c>
      <c r="N126" s="196" t="str">
        <f t="shared" si="641"/>
        <v xml:space="preserve"> </v>
      </c>
      <c r="O126" s="193" t="s">
        <v>642</v>
      </c>
      <c r="P126" s="196" t="str">
        <f t="shared" ref="P126" si="1092">IFERROR(IF(O126=0," ",O126/$F126)," ")</f>
        <v xml:space="preserve"> </v>
      </c>
      <c r="Q126" s="193" t="s">
        <v>642</v>
      </c>
      <c r="R126" s="196" t="str">
        <f t="shared" ref="R126" si="1093">IFERROR(IF(Q126=0," ",Q126/$F126)," ")</f>
        <v xml:space="preserve"> </v>
      </c>
      <c r="S126" s="193" t="s">
        <v>642</v>
      </c>
      <c r="T126" s="196" t="str">
        <f t="shared" ref="T126" si="1094">IFERROR(IF(S126=0," ",S126/$F126)," ")</f>
        <v xml:space="preserve"> </v>
      </c>
      <c r="U126" s="193" t="s">
        <v>642</v>
      </c>
      <c r="V126" s="196" t="str">
        <f t="shared" ref="V126" si="1095">IFERROR(IF(U126=0," ",U126/$F126)," ")</f>
        <v xml:space="preserve"> </v>
      </c>
      <c r="W126" s="193" t="s">
        <v>642</v>
      </c>
      <c r="X126" s="196" t="str">
        <f t="shared" ref="X126" si="1096">IFERROR(IF(W126=0," ",W126/$F126)," ")</f>
        <v xml:space="preserve"> </v>
      </c>
      <c r="Y126" s="193" t="s">
        <v>642</v>
      </c>
      <c r="Z126" s="196" t="str">
        <f t="shared" ref="Z126" si="1097">IFERROR(IF(Y126=0," ",Y126/$F126)," ")</f>
        <v xml:space="preserve"> </v>
      </c>
      <c r="AA126" s="193" t="s">
        <v>642</v>
      </c>
      <c r="AB126" s="196" t="str">
        <f t="shared" ref="AB126" si="1098">IFERROR(IF(AA126=0," ",AA126/$F126)," ")</f>
        <v xml:space="preserve"> </v>
      </c>
      <c r="AC126" s="193" t="s">
        <v>642</v>
      </c>
      <c r="AD126" s="196" t="str">
        <f t="shared" ref="AD126" si="1099">IFERROR(IF(AC126=0," ",AC126/$F126)," ")</f>
        <v xml:space="preserve"> </v>
      </c>
      <c r="AE126" s="193" t="s">
        <v>642</v>
      </c>
      <c r="AF126" s="196" t="str">
        <f t="shared" ref="AF126" si="1100">IFERROR(IF(AE126=0," ",AE126/$F126)," ")</f>
        <v xml:space="preserve"> </v>
      </c>
      <c r="AG126" s="193" t="s">
        <v>642</v>
      </c>
      <c r="AH126" s="196" t="str">
        <f t="shared" ref="AH126" si="1101">IFERROR(IF(AG126=0," ",AG126/$F126)," ")</f>
        <v xml:space="preserve"> </v>
      </c>
      <c r="AI126" s="197"/>
      <c r="AJ126" s="177" t="s">
        <v>642</v>
      </c>
      <c r="AK126" s="177" t="s">
        <v>642</v>
      </c>
      <c r="AL126" s="177" t="s">
        <v>642</v>
      </c>
      <c r="AM126" s="177" t="s">
        <v>642</v>
      </c>
      <c r="AN126" s="177" t="s">
        <v>642</v>
      </c>
      <c r="AO126" s="177" t="s">
        <v>642</v>
      </c>
      <c r="AP126" s="177" t="s">
        <v>642</v>
      </c>
      <c r="AQ126" s="177" t="s">
        <v>642</v>
      </c>
      <c r="AR126" s="177" t="s">
        <v>642</v>
      </c>
      <c r="AS126" s="177" t="s">
        <v>642</v>
      </c>
      <c r="AT126" s="177" t="s">
        <v>642</v>
      </c>
      <c r="AU126" s="177" t="s">
        <v>642</v>
      </c>
    </row>
    <row r="127" spans="1:47" ht="30" x14ac:dyDescent="0.25">
      <c r="A127" s="190" t="s">
        <v>642</v>
      </c>
      <c r="B127" s="65">
        <v>9601</v>
      </c>
      <c r="C127" s="191" t="s">
        <v>272</v>
      </c>
      <c r="D127" s="65" t="s">
        <v>747</v>
      </c>
      <c r="E127" s="192" t="str">
        <f>IF(A127=" "," ",VLOOKUP(A127,Estimate!A:Q,17,FALSE))</f>
        <v xml:space="preserve"> </v>
      </c>
      <c r="F127" s="193" t="s">
        <v>642</v>
      </c>
      <c r="G127" s="206" t="s">
        <v>642</v>
      </c>
      <c r="H127" s="195" t="s">
        <v>642</v>
      </c>
      <c r="I127" s="195" t="s">
        <v>642</v>
      </c>
      <c r="J127" s="195"/>
      <c r="K127" s="193" t="s">
        <v>642</v>
      </c>
      <c r="L127" s="196" t="str">
        <f t="shared" si="641"/>
        <v xml:space="preserve"> </v>
      </c>
      <c r="M127" s="193" t="s">
        <v>642</v>
      </c>
      <c r="N127" s="196" t="str">
        <f t="shared" si="641"/>
        <v xml:space="preserve"> </v>
      </c>
      <c r="O127" s="193" t="s">
        <v>642</v>
      </c>
      <c r="P127" s="196" t="str">
        <f t="shared" ref="P127" si="1102">IFERROR(IF(O127=0," ",O127/$F127)," ")</f>
        <v xml:space="preserve"> </v>
      </c>
      <c r="Q127" s="193" t="s">
        <v>642</v>
      </c>
      <c r="R127" s="196" t="str">
        <f t="shared" ref="R127" si="1103">IFERROR(IF(Q127=0," ",Q127/$F127)," ")</f>
        <v xml:space="preserve"> </v>
      </c>
      <c r="S127" s="193" t="s">
        <v>642</v>
      </c>
      <c r="T127" s="196" t="str">
        <f t="shared" ref="T127" si="1104">IFERROR(IF(S127=0," ",S127/$F127)," ")</f>
        <v xml:space="preserve"> </v>
      </c>
      <c r="U127" s="193" t="s">
        <v>642</v>
      </c>
      <c r="V127" s="196" t="str">
        <f t="shared" ref="V127" si="1105">IFERROR(IF(U127=0," ",U127/$F127)," ")</f>
        <v xml:space="preserve"> </v>
      </c>
      <c r="W127" s="193" t="s">
        <v>642</v>
      </c>
      <c r="X127" s="196" t="str">
        <f t="shared" ref="X127" si="1106">IFERROR(IF(W127=0," ",W127/$F127)," ")</f>
        <v xml:space="preserve"> </v>
      </c>
      <c r="Y127" s="193" t="s">
        <v>642</v>
      </c>
      <c r="Z127" s="196" t="str">
        <f t="shared" ref="Z127" si="1107">IFERROR(IF(Y127=0," ",Y127/$F127)," ")</f>
        <v xml:space="preserve"> </v>
      </c>
      <c r="AA127" s="193" t="s">
        <v>642</v>
      </c>
      <c r="AB127" s="196" t="str">
        <f t="shared" ref="AB127" si="1108">IFERROR(IF(AA127=0," ",AA127/$F127)," ")</f>
        <v xml:space="preserve"> </v>
      </c>
      <c r="AC127" s="193" t="s">
        <v>642</v>
      </c>
      <c r="AD127" s="196" t="str">
        <f t="shared" ref="AD127" si="1109">IFERROR(IF(AC127=0," ",AC127/$F127)," ")</f>
        <v xml:space="preserve"> </v>
      </c>
      <c r="AE127" s="193" t="s">
        <v>642</v>
      </c>
      <c r="AF127" s="196" t="str">
        <f t="shared" ref="AF127" si="1110">IFERROR(IF(AE127=0," ",AE127/$F127)," ")</f>
        <v xml:space="preserve"> </v>
      </c>
      <c r="AG127" s="193" t="s">
        <v>642</v>
      </c>
      <c r="AH127" s="196" t="str">
        <f t="shared" ref="AH127" si="1111">IFERROR(IF(AG127=0," ",AG127/$F127)," ")</f>
        <v xml:space="preserve"> </v>
      </c>
      <c r="AI127" s="197"/>
      <c r="AJ127" s="177" t="s">
        <v>642</v>
      </c>
      <c r="AK127" s="177" t="s">
        <v>642</v>
      </c>
      <c r="AL127" s="177" t="s">
        <v>642</v>
      </c>
      <c r="AM127" s="177" t="s">
        <v>642</v>
      </c>
      <c r="AN127" s="177" t="s">
        <v>642</v>
      </c>
      <c r="AO127" s="177" t="s">
        <v>642</v>
      </c>
      <c r="AP127" s="177" t="s">
        <v>642</v>
      </c>
      <c r="AQ127" s="177" t="s">
        <v>642</v>
      </c>
      <c r="AR127" s="177" t="s">
        <v>642</v>
      </c>
      <c r="AS127" s="177" t="s">
        <v>642</v>
      </c>
      <c r="AT127" s="177" t="s">
        <v>642</v>
      </c>
      <c r="AU127" s="177" t="s">
        <v>642</v>
      </c>
    </row>
    <row r="128" spans="1:47" x14ac:dyDescent="0.25">
      <c r="A128" s="190">
        <v>62</v>
      </c>
      <c r="B128" s="65">
        <v>9601.2000000000007</v>
      </c>
      <c r="C128" s="191" t="s">
        <v>274</v>
      </c>
      <c r="D128" s="65" t="s">
        <v>26</v>
      </c>
      <c r="E128" s="192">
        <f>IF(A128=" "," ",VLOOKUP(A128,Estimate!A:Q,17,FALSE))</f>
        <v>201.4</v>
      </c>
      <c r="F128" s="193">
        <v>5.3</v>
      </c>
      <c r="G128" s="206">
        <v>50.589622641509436</v>
      </c>
      <c r="H128" s="195">
        <v>57.05</v>
      </c>
      <c r="I128" s="195">
        <v>302.37</v>
      </c>
      <c r="J128" s="195"/>
      <c r="K128" s="193"/>
      <c r="L128" s="196" t="str">
        <f t="shared" si="641"/>
        <v xml:space="preserve"> </v>
      </c>
      <c r="M128" s="193">
        <v>5.3</v>
      </c>
      <c r="N128" s="196">
        <f t="shared" si="641"/>
        <v>1</v>
      </c>
      <c r="O128" s="193">
        <v>5.3</v>
      </c>
      <c r="P128" s="196">
        <f t="shared" ref="P128" si="1112">IFERROR(IF(O128=0," ",O128/$F128)," ")</f>
        <v>1</v>
      </c>
      <c r="Q128" s="193">
        <v>5.3</v>
      </c>
      <c r="R128" s="196">
        <f t="shared" ref="R128" si="1113">IFERROR(IF(Q128=0," ",Q128/$F128)," ")</f>
        <v>1</v>
      </c>
      <c r="S128" s="193">
        <v>5.3</v>
      </c>
      <c r="T128" s="196">
        <f t="shared" ref="T128" si="1114">IFERROR(IF(S128=0," ",S128/$F128)," ")</f>
        <v>1</v>
      </c>
      <c r="U128" s="193">
        <v>5.3</v>
      </c>
      <c r="V128" s="196">
        <f t="shared" ref="V128" si="1115">IFERROR(IF(U128=0," ",U128/$F128)," ")</f>
        <v>1</v>
      </c>
      <c r="W128" s="193">
        <v>5.3</v>
      </c>
      <c r="X128" s="196">
        <f t="shared" ref="X128" si="1116">IFERROR(IF(W128=0," ",W128/$F128)," ")</f>
        <v>1</v>
      </c>
      <c r="Y128" s="193">
        <v>5.3</v>
      </c>
      <c r="Z128" s="196">
        <f t="shared" ref="Z128" si="1117">IFERROR(IF(Y128=0," ",Y128/$F128)," ")</f>
        <v>1</v>
      </c>
      <c r="AA128" s="193">
        <v>5.3</v>
      </c>
      <c r="AB128" s="196">
        <f t="shared" ref="AB128" si="1118">IFERROR(IF(AA128=0," ",AA128/$F128)," ")</f>
        <v>1</v>
      </c>
      <c r="AC128" s="193">
        <v>5.3</v>
      </c>
      <c r="AD128" s="196">
        <f t="shared" ref="AD128" si="1119">IFERROR(IF(AC128=0," ",AC128/$F128)," ")</f>
        <v>1</v>
      </c>
      <c r="AE128" s="193">
        <v>5.3</v>
      </c>
      <c r="AF128" s="196">
        <f t="shared" ref="AF128" si="1120">IFERROR(IF(AE128=0," ",AE128/$F128)," ")</f>
        <v>1</v>
      </c>
      <c r="AG128" s="193">
        <v>5.3</v>
      </c>
      <c r="AH128" s="196">
        <f t="shared" ref="AH128" si="1121">IFERROR(IF(AG128=0," ",AG128/$F128)," ")</f>
        <v>1</v>
      </c>
      <c r="AI128" s="197"/>
      <c r="AJ128" s="177">
        <v>0</v>
      </c>
      <c r="AK128" s="177">
        <v>302.37</v>
      </c>
      <c r="AL128" s="177">
        <v>302.37</v>
      </c>
      <c r="AM128" s="177">
        <v>302.37</v>
      </c>
      <c r="AN128" s="177">
        <v>302.37</v>
      </c>
      <c r="AO128" s="177">
        <v>302.37</v>
      </c>
      <c r="AP128" s="177">
        <v>302.37</v>
      </c>
      <c r="AQ128" s="177">
        <v>302.37</v>
      </c>
      <c r="AR128" s="177">
        <v>302.37</v>
      </c>
      <c r="AS128" s="177">
        <v>302.37</v>
      </c>
      <c r="AT128" s="177">
        <v>302.37</v>
      </c>
      <c r="AU128" s="177">
        <v>302.37</v>
      </c>
    </row>
    <row r="129" spans="1:47" ht="45" x14ac:dyDescent="0.25">
      <c r="A129" s="190" t="s">
        <v>642</v>
      </c>
      <c r="B129" s="65">
        <v>9615</v>
      </c>
      <c r="C129" s="191" t="s">
        <v>276</v>
      </c>
      <c r="D129" s="65" t="s">
        <v>747</v>
      </c>
      <c r="E129" s="192" t="str">
        <f>IF(A129=" "," ",VLOOKUP(A129,Estimate!A:Q,17,FALSE))</f>
        <v xml:space="preserve"> </v>
      </c>
      <c r="F129" s="193" t="s">
        <v>642</v>
      </c>
      <c r="G129" s="206" t="s">
        <v>642</v>
      </c>
      <c r="H129" s="195" t="s">
        <v>642</v>
      </c>
      <c r="I129" s="195" t="s">
        <v>642</v>
      </c>
      <c r="J129" s="195"/>
      <c r="K129" s="193" t="s">
        <v>642</v>
      </c>
      <c r="L129" s="196" t="str">
        <f t="shared" si="641"/>
        <v xml:space="preserve"> </v>
      </c>
      <c r="M129" s="193" t="s">
        <v>642</v>
      </c>
      <c r="N129" s="196" t="str">
        <f t="shared" si="641"/>
        <v xml:space="preserve"> </v>
      </c>
      <c r="O129" s="193" t="s">
        <v>642</v>
      </c>
      <c r="P129" s="196" t="str">
        <f t="shared" ref="P129" si="1122">IFERROR(IF(O129=0," ",O129/$F129)," ")</f>
        <v xml:space="preserve"> </v>
      </c>
      <c r="Q129" s="193" t="s">
        <v>642</v>
      </c>
      <c r="R129" s="196" t="str">
        <f t="shared" ref="R129" si="1123">IFERROR(IF(Q129=0," ",Q129/$F129)," ")</f>
        <v xml:space="preserve"> </v>
      </c>
      <c r="S129" s="193" t="s">
        <v>642</v>
      </c>
      <c r="T129" s="196" t="str">
        <f t="shared" ref="T129" si="1124">IFERROR(IF(S129=0," ",S129/$F129)," ")</f>
        <v xml:space="preserve"> </v>
      </c>
      <c r="U129" s="193" t="s">
        <v>642</v>
      </c>
      <c r="V129" s="196" t="str">
        <f t="shared" ref="V129" si="1125">IFERROR(IF(U129=0," ",U129/$F129)," ")</f>
        <v xml:space="preserve"> </v>
      </c>
      <c r="W129" s="193" t="s">
        <v>642</v>
      </c>
      <c r="X129" s="196" t="str">
        <f t="shared" ref="X129" si="1126">IFERROR(IF(W129=0," ",W129/$F129)," ")</f>
        <v xml:space="preserve"> </v>
      </c>
      <c r="Y129" s="193" t="s">
        <v>642</v>
      </c>
      <c r="Z129" s="196" t="str">
        <f t="shared" ref="Z129" si="1127">IFERROR(IF(Y129=0," ",Y129/$F129)," ")</f>
        <v xml:space="preserve"> </v>
      </c>
      <c r="AA129" s="193" t="s">
        <v>642</v>
      </c>
      <c r="AB129" s="196" t="str">
        <f t="shared" ref="AB129" si="1128">IFERROR(IF(AA129=0," ",AA129/$F129)," ")</f>
        <v xml:space="preserve"> </v>
      </c>
      <c r="AC129" s="193" t="s">
        <v>642</v>
      </c>
      <c r="AD129" s="196" t="str">
        <f t="shared" ref="AD129" si="1129">IFERROR(IF(AC129=0," ",AC129/$F129)," ")</f>
        <v xml:space="preserve"> </v>
      </c>
      <c r="AE129" s="193" t="s">
        <v>642</v>
      </c>
      <c r="AF129" s="196" t="str">
        <f t="shared" ref="AF129" si="1130">IFERROR(IF(AE129=0," ",AE129/$F129)," ")</f>
        <v xml:space="preserve"> </v>
      </c>
      <c r="AG129" s="193" t="s">
        <v>642</v>
      </c>
      <c r="AH129" s="196" t="str">
        <f t="shared" ref="AH129" si="1131">IFERROR(IF(AG129=0," ",AG129/$F129)," ")</f>
        <v xml:space="preserve"> </v>
      </c>
      <c r="AI129" s="197"/>
      <c r="AJ129" s="177" t="s">
        <v>642</v>
      </c>
      <c r="AK129" s="177" t="s">
        <v>642</v>
      </c>
      <c r="AL129" s="177" t="s">
        <v>642</v>
      </c>
      <c r="AM129" s="177" t="s">
        <v>642</v>
      </c>
      <c r="AN129" s="177" t="s">
        <v>642</v>
      </c>
      <c r="AO129" s="177" t="s">
        <v>642</v>
      </c>
      <c r="AP129" s="177" t="s">
        <v>642</v>
      </c>
      <c r="AQ129" s="177" t="s">
        <v>642</v>
      </c>
      <c r="AR129" s="177" t="s">
        <v>642</v>
      </c>
      <c r="AS129" s="177" t="s">
        <v>642</v>
      </c>
      <c r="AT129" s="177" t="s">
        <v>642</v>
      </c>
      <c r="AU129" s="177" t="s">
        <v>642</v>
      </c>
    </row>
    <row r="130" spans="1:47" x14ac:dyDescent="0.25">
      <c r="A130" s="190">
        <v>63</v>
      </c>
      <c r="B130" s="65">
        <v>9615.1</v>
      </c>
      <c r="C130" s="191" t="s">
        <v>278</v>
      </c>
      <c r="D130" s="65" t="s">
        <v>26</v>
      </c>
      <c r="E130" s="192">
        <f>IF(A130=" "," ",VLOOKUP(A130,Estimate!A:Q,17,FALSE))</f>
        <v>265</v>
      </c>
      <c r="F130" s="193">
        <v>5.3</v>
      </c>
      <c r="G130" s="206">
        <v>66.567169811320753</v>
      </c>
      <c r="H130" s="195">
        <v>75.069999999999993</v>
      </c>
      <c r="I130" s="195">
        <v>397.87</v>
      </c>
      <c r="J130" s="195"/>
      <c r="K130" s="193"/>
      <c r="L130" s="196" t="str">
        <f t="shared" si="641"/>
        <v xml:space="preserve"> </v>
      </c>
      <c r="M130" s="193">
        <v>5.3</v>
      </c>
      <c r="N130" s="196">
        <f t="shared" si="641"/>
        <v>1</v>
      </c>
      <c r="O130" s="193">
        <v>5.3</v>
      </c>
      <c r="P130" s="196">
        <f t="shared" ref="P130" si="1132">IFERROR(IF(O130=0," ",O130/$F130)," ")</f>
        <v>1</v>
      </c>
      <c r="Q130" s="193">
        <v>5.3</v>
      </c>
      <c r="R130" s="196">
        <f t="shared" ref="R130" si="1133">IFERROR(IF(Q130=0," ",Q130/$F130)," ")</f>
        <v>1</v>
      </c>
      <c r="S130" s="193">
        <v>5.3</v>
      </c>
      <c r="T130" s="196">
        <f t="shared" ref="T130" si="1134">IFERROR(IF(S130=0," ",S130/$F130)," ")</f>
        <v>1</v>
      </c>
      <c r="U130" s="193">
        <v>5.3</v>
      </c>
      <c r="V130" s="196">
        <f t="shared" ref="V130" si="1135">IFERROR(IF(U130=0," ",U130/$F130)," ")</f>
        <v>1</v>
      </c>
      <c r="W130" s="193">
        <v>5.3</v>
      </c>
      <c r="X130" s="196">
        <f t="shared" ref="X130" si="1136">IFERROR(IF(W130=0," ",W130/$F130)," ")</f>
        <v>1</v>
      </c>
      <c r="Y130" s="193">
        <v>5.3</v>
      </c>
      <c r="Z130" s="196">
        <f t="shared" ref="Z130" si="1137">IFERROR(IF(Y130=0," ",Y130/$F130)," ")</f>
        <v>1</v>
      </c>
      <c r="AA130" s="193">
        <v>5.3</v>
      </c>
      <c r="AB130" s="196">
        <f t="shared" ref="AB130" si="1138">IFERROR(IF(AA130=0," ",AA130/$F130)," ")</f>
        <v>1</v>
      </c>
      <c r="AC130" s="193">
        <v>5.3</v>
      </c>
      <c r="AD130" s="196">
        <f t="shared" ref="AD130" si="1139">IFERROR(IF(AC130=0," ",AC130/$F130)," ")</f>
        <v>1</v>
      </c>
      <c r="AE130" s="193">
        <v>5.3</v>
      </c>
      <c r="AF130" s="196">
        <f t="shared" ref="AF130" si="1140">IFERROR(IF(AE130=0," ",AE130/$F130)," ")</f>
        <v>1</v>
      </c>
      <c r="AG130" s="193">
        <v>5.3</v>
      </c>
      <c r="AH130" s="196">
        <f t="shared" ref="AH130" si="1141">IFERROR(IF(AG130=0," ",AG130/$F130)," ")</f>
        <v>1</v>
      </c>
      <c r="AI130" s="197"/>
      <c r="AJ130" s="177">
        <v>0</v>
      </c>
      <c r="AK130" s="177">
        <v>397.87</v>
      </c>
      <c r="AL130" s="177">
        <v>397.87</v>
      </c>
      <c r="AM130" s="177">
        <v>397.87</v>
      </c>
      <c r="AN130" s="177">
        <v>397.87</v>
      </c>
      <c r="AO130" s="177">
        <v>397.87</v>
      </c>
      <c r="AP130" s="177">
        <v>397.87</v>
      </c>
      <c r="AQ130" s="177">
        <v>397.87</v>
      </c>
      <c r="AR130" s="177">
        <v>397.87</v>
      </c>
      <c r="AS130" s="177">
        <v>397.87</v>
      </c>
      <c r="AT130" s="177">
        <v>397.87</v>
      </c>
      <c r="AU130" s="177">
        <v>397.87</v>
      </c>
    </row>
    <row r="131" spans="1:47" ht="60" x14ac:dyDescent="0.25">
      <c r="A131" s="190" t="s">
        <v>642</v>
      </c>
      <c r="B131" s="65">
        <v>9620</v>
      </c>
      <c r="C131" s="191" t="s">
        <v>766</v>
      </c>
      <c r="D131" s="65" t="s">
        <v>747</v>
      </c>
      <c r="E131" s="192" t="str">
        <f>IF(A131=" "," ",VLOOKUP(A131,Estimate!A:Q,17,FALSE))</f>
        <v xml:space="preserve"> </v>
      </c>
      <c r="F131" s="193" t="s">
        <v>642</v>
      </c>
      <c r="G131" s="206" t="s">
        <v>642</v>
      </c>
      <c r="H131" s="195" t="s">
        <v>642</v>
      </c>
      <c r="I131" s="195" t="s">
        <v>642</v>
      </c>
      <c r="J131" s="195"/>
      <c r="K131" s="193" t="s">
        <v>642</v>
      </c>
      <c r="L131" s="196" t="str">
        <f t="shared" si="641"/>
        <v xml:space="preserve"> </v>
      </c>
      <c r="M131" s="193" t="s">
        <v>642</v>
      </c>
      <c r="N131" s="196" t="str">
        <f t="shared" si="641"/>
        <v xml:space="preserve"> </v>
      </c>
      <c r="O131" s="193" t="s">
        <v>642</v>
      </c>
      <c r="P131" s="196" t="str">
        <f t="shared" ref="P131" si="1142">IFERROR(IF(O131=0," ",O131/$F131)," ")</f>
        <v xml:space="preserve"> </v>
      </c>
      <c r="Q131" s="193" t="s">
        <v>642</v>
      </c>
      <c r="R131" s="196" t="str">
        <f t="shared" ref="R131" si="1143">IFERROR(IF(Q131=0," ",Q131/$F131)," ")</f>
        <v xml:space="preserve"> </v>
      </c>
      <c r="S131" s="193" t="s">
        <v>642</v>
      </c>
      <c r="T131" s="196" t="str">
        <f t="shared" ref="T131" si="1144">IFERROR(IF(S131=0," ",S131/$F131)," ")</f>
        <v xml:space="preserve"> </v>
      </c>
      <c r="U131" s="193" t="s">
        <v>642</v>
      </c>
      <c r="V131" s="196" t="str">
        <f t="shared" ref="V131" si="1145">IFERROR(IF(U131=0," ",U131/$F131)," ")</f>
        <v xml:space="preserve"> </v>
      </c>
      <c r="W131" s="193" t="s">
        <v>642</v>
      </c>
      <c r="X131" s="196" t="str">
        <f t="shared" ref="X131" si="1146">IFERROR(IF(W131=0," ",W131/$F131)," ")</f>
        <v xml:space="preserve"> </v>
      </c>
      <c r="Y131" s="193" t="s">
        <v>642</v>
      </c>
      <c r="Z131" s="196" t="str">
        <f t="shared" ref="Z131" si="1147">IFERROR(IF(Y131=0," ",Y131/$F131)," ")</f>
        <v xml:space="preserve"> </v>
      </c>
      <c r="AA131" s="193" t="s">
        <v>642</v>
      </c>
      <c r="AB131" s="196" t="str">
        <f t="shared" ref="AB131" si="1148">IFERROR(IF(AA131=0," ",AA131/$F131)," ")</f>
        <v xml:space="preserve"> </v>
      </c>
      <c r="AC131" s="193" t="s">
        <v>642</v>
      </c>
      <c r="AD131" s="196" t="str">
        <f t="shared" ref="AD131" si="1149">IFERROR(IF(AC131=0," ",AC131/$F131)," ")</f>
        <v xml:space="preserve"> </v>
      </c>
      <c r="AE131" s="193" t="s">
        <v>642</v>
      </c>
      <c r="AF131" s="196" t="str">
        <f t="shared" ref="AF131" si="1150">IFERROR(IF(AE131=0," ",AE131/$F131)," ")</f>
        <v xml:space="preserve"> </v>
      </c>
      <c r="AG131" s="193" t="s">
        <v>642</v>
      </c>
      <c r="AH131" s="196" t="str">
        <f t="shared" ref="AH131" si="1151">IFERROR(IF(AG131=0," ",AG131/$F131)," ")</f>
        <v xml:space="preserve"> </v>
      </c>
      <c r="AI131" s="197"/>
      <c r="AJ131" s="177" t="s">
        <v>642</v>
      </c>
      <c r="AK131" s="177" t="s">
        <v>642</v>
      </c>
      <c r="AL131" s="177" t="s">
        <v>642</v>
      </c>
      <c r="AM131" s="177" t="s">
        <v>642</v>
      </c>
      <c r="AN131" s="177" t="s">
        <v>642</v>
      </c>
      <c r="AO131" s="177" t="s">
        <v>642</v>
      </c>
      <c r="AP131" s="177" t="s">
        <v>642</v>
      </c>
      <c r="AQ131" s="177" t="s">
        <v>642</v>
      </c>
      <c r="AR131" s="177" t="s">
        <v>642</v>
      </c>
      <c r="AS131" s="177" t="s">
        <v>642</v>
      </c>
      <c r="AT131" s="177" t="s">
        <v>642</v>
      </c>
      <c r="AU131" s="177" t="s">
        <v>642</v>
      </c>
    </row>
    <row r="132" spans="1:47" x14ac:dyDescent="0.25">
      <c r="A132" s="190">
        <v>64</v>
      </c>
      <c r="B132" s="65">
        <v>9620.2000000000007</v>
      </c>
      <c r="C132" s="191" t="s">
        <v>274</v>
      </c>
      <c r="D132" s="65" t="s">
        <v>26</v>
      </c>
      <c r="E132" s="192">
        <f>IF(A132=" "," ",VLOOKUP(A132,Estimate!A:Q,17,FALSE))</f>
        <v>1325</v>
      </c>
      <c r="F132" s="193">
        <v>5.3</v>
      </c>
      <c r="G132" s="206">
        <v>332.84339622641511</v>
      </c>
      <c r="H132" s="195">
        <v>375.36</v>
      </c>
      <c r="I132" s="195">
        <v>1989.41</v>
      </c>
      <c r="J132" s="195"/>
      <c r="K132" s="193"/>
      <c r="L132" s="196" t="str">
        <f t="shared" si="641"/>
        <v xml:space="preserve"> </v>
      </c>
      <c r="M132" s="193">
        <v>5.3</v>
      </c>
      <c r="N132" s="196">
        <f t="shared" si="641"/>
        <v>1</v>
      </c>
      <c r="O132" s="193">
        <v>5.3</v>
      </c>
      <c r="P132" s="196">
        <f t="shared" ref="P132" si="1152">IFERROR(IF(O132=0," ",O132/$F132)," ")</f>
        <v>1</v>
      </c>
      <c r="Q132" s="193">
        <v>5.3</v>
      </c>
      <c r="R132" s="196">
        <f t="shared" ref="R132" si="1153">IFERROR(IF(Q132=0," ",Q132/$F132)," ")</f>
        <v>1</v>
      </c>
      <c r="S132" s="193">
        <v>5.3</v>
      </c>
      <c r="T132" s="196">
        <f t="shared" ref="T132" si="1154">IFERROR(IF(S132=0," ",S132/$F132)," ")</f>
        <v>1</v>
      </c>
      <c r="U132" s="193">
        <v>5.3</v>
      </c>
      <c r="V132" s="196">
        <f t="shared" ref="V132" si="1155">IFERROR(IF(U132=0," ",U132/$F132)," ")</f>
        <v>1</v>
      </c>
      <c r="W132" s="193">
        <v>5.3</v>
      </c>
      <c r="X132" s="196">
        <f t="shared" ref="X132" si="1156">IFERROR(IF(W132=0," ",W132/$F132)," ")</f>
        <v>1</v>
      </c>
      <c r="Y132" s="193">
        <v>5.3</v>
      </c>
      <c r="Z132" s="196">
        <f t="shared" ref="Z132" si="1157">IFERROR(IF(Y132=0," ",Y132/$F132)," ")</f>
        <v>1</v>
      </c>
      <c r="AA132" s="193">
        <v>5.3</v>
      </c>
      <c r="AB132" s="196">
        <f t="shared" ref="AB132" si="1158">IFERROR(IF(AA132=0," ",AA132/$F132)," ")</f>
        <v>1</v>
      </c>
      <c r="AC132" s="193">
        <v>5.3</v>
      </c>
      <c r="AD132" s="196">
        <f t="shared" ref="AD132" si="1159">IFERROR(IF(AC132=0," ",AC132/$F132)," ")</f>
        <v>1</v>
      </c>
      <c r="AE132" s="193">
        <v>5.3</v>
      </c>
      <c r="AF132" s="196">
        <f t="shared" ref="AF132" si="1160">IFERROR(IF(AE132=0," ",AE132/$F132)," ")</f>
        <v>1</v>
      </c>
      <c r="AG132" s="193">
        <v>5.3</v>
      </c>
      <c r="AH132" s="196">
        <f t="shared" ref="AH132" si="1161">IFERROR(IF(AG132=0," ",AG132/$F132)," ")</f>
        <v>1</v>
      </c>
      <c r="AI132" s="197"/>
      <c r="AJ132" s="177">
        <v>0</v>
      </c>
      <c r="AK132" s="177">
        <v>1989.41</v>
      </c>
      <c r="AL132" s="177">
        <v>1989.41</v>
      </c>
      <c r="AM132" s="177">
        <v>1989.41</v>
      </c>
      <c r="AN132" s="177">
        <v>1989.41</v>
      </c>
      <c r="AO132" s="177">
        <v>1989.41</v>
      </c>
      <c r="AP132" s="177">
        <v>1989.41</v>
      </c>
      <c r="AQ132" s="177">
        <v>1989.41</v>
      </c>
      <c r="AR132" s="177">
        <v>1989.41</v>
      </c>
      <c r="AS132" s="177">
        <v>1989.41</v>
      </c>
      <c r="AT132" s="177">
        <v>1989.41</v>
      </c>
      <c r="AU132" s="177">
        <v>1989.41</v>
      </c>
    </row>
    <row r="133" spans="1:47" ht="45" x14ac:dyDescent="0.25">
      <c r="A133" s="190">
        <v>65</v>
      </c>
      <c r="B133" s="65">
        <v>9640.1</v>
      </c>
      <c r="C133" s="191" t="s">
        <v>282</v>
      </c>
      <c r="D133" s="65" t="s">
        <v>61</v>
      </c>
      <c r="E133" s="192">
        <f>IF(A133=" "," ",VLOOKUP(A133,Estimate!A:Q,17,FALSE))</f>
        <v>1000</v>
      </c>
      <c r="F133" s="193">
        <v>2</v>
      </c>
      <c r="G133" s="206">
        <v>665.67949999999996</v>
      </c>
      <c r="H133" s="195">
        <v>750.71</v>
      </c>
      <c r="I133" s="195">
        <v>1501.42</v>
      </c>
      <c r="J133" s="195"/>
      <c r="K133" s="193"/>
      <c r="L133" s="196" t="str">
        <f t="shared" si="641"/>
        <v xml:space="preserve"> </v>
      </c>
      <c r="M133" s="193"/>
      <c r="N133" s="196" t="str">
        <f t="shared" si="641"/>
        <v xml:space="preserve"> </v>
      </c>
      <c r="O133" s="193"/>
      <c r="P133" s="196" t="str">
        <f t="shared" ref="P133" si="1162">IFERROR(IF(O133=0," ",O133/$F133)," ")</f>
        <v xml:space="preserve"> </v>
      </c>
      <c r="Q133" s="193"/>
      <c r="R133" s="196" t="str">
        <f t="shared" ref="R133" si="1163">IFERROR(IF(Q133=0," ",Q133/$F133)," ")</f>
        <v xml:space="preserve"> </v>
      </c>
      <c r="S133" s="193"/>
      <c r="T133" s="196" t="str">
        <f t="shared" ref="T133" si="1164">IFERROR(IF(S133=0," ",S133/$F133)," ")</f>
        <v xml:space="preserve"> </v>
      </c>
      <c r="U133" s="193"/>
      <c r="V133" s="196" t="str">
        <f t="shared" ref="V133" si="1165">IFERROR(IF(U133=0," ",U133/$F133)," ")</f>
        <v xml:space="preserve"> </v>
      </c>
      <c r="W133" s="193">
        <v>2</v>
      </c>
      <c r="X133" s="196">
        <f t="shared" ref="X133" si="1166">IFERROR(IF(W133=0," ",W133/$F133)," ")</f>
        <v>1</v>
      </c>
      <c r="Y133" s="193">
        <v>2</v>
      </c>
      <c r="Z133" s="196">
        <f t="shared" ref="Z133" si="1167">IFERROR(IF(Y133=0," ",Y133/$F133)," ")</f>
        <v>1</v>
      </c>
      <c r="AA133" s="193">
        <v>2</v>
      </c>
      <c r="AB133" s="196">
        <f t="shared" ref="AB133" si="1168">IFERROR(IF(AA133=0," ",AA133/$F133)," ")</f>
        <v>1</v>
      </c>
      <c r="AC133" s="193">
        <v>2</v>
      </c>
      <c r="AD133" s="196">
        <f t="shared" ref="AD133" si="1169">IFERROR(IF(AC133=0," ",AC133/$F133)," ")</f>
        <v>1</v>
      </c>
      <c r="AE133" s="193">
        <v>2</v>
      </c>
      <c r="AF133" s="196">
        <f t="shared" ref="AF133" si="1170">IFERROR(IF(AE133=0," ",AE133/$F133)," ")</f>
        <v>1</v>
      </c>
      <c r="AG133" s="193">
        <v>2</v>
      </c>
      <c r="AH133" s="196">
        <f t="shared" ref="AH133" si="1171">IFERROR(IF(AG133=0," ",AG133/$F133)," ")</f>
        <v>1</v>
      </c>
      <c r="AI133" s="197"/>
      <c r="AJ133" s="177">
        <v>0</v>
      </c>
      <c r="AK133" s="177">
        <v>0</v>
      </c>
      <c r="AL133" s="177">
        <v>0</v>
      </c>
      <c r="AM133" s="177">
        <v>0</v>
      </c>
      <c r="AN133" s="177">
        <v>0</v>
      </c>
      <c r="AO133" s="177">
        <v>0</v>
      </c>
      <c r="AP133" s="177">
        <v>1501.42</v>
      </c>
      <c r="AQ133" s="177">
        <v>1501.42</v>
      </c>
      <c r="AR133" s="177">
        <v>1501.42</v>
      </c>
      <c r="AS133" s="177">
        <v>1501.42</v>
      </c>
      <c r="AT133" s="177">
        <v>1501.42</v>
      </c>
      <c r="AU133" s="177">
        <v>1501.42</v>
      </c>
    </row>
    <row r="134" spans="1:47" ht="30" x14ac:dyDescent="0.25">
      <c r="A134" s="190">
        <v>66</v>
      </c>
      <c r="B134" s="65">
        <v>9650.1</v>
      </c>
      <c r="C134" s="191" t="s">
        <v>284</v>
      </c>
      <c r="D134" s="65" t="s">
        <v>61</v>
      </c>
      <c r="E134" s="192">
        <f>IF(A134=" "," ",VLOOKUP(A134,Estimate!A:Q,17,FALSE))</f>
        <v>1100</v>
      </c>
      <c r="F134" s="193">
        <v>20</v>
      </c>
      <c r="G134" s="206">
        <v>73.225999999999999</v>
      </c>
      <c r="H134" s="195">
        <v>82.58</v>
      </c>
      <c r="I134" s="195">
        <v>1651.6</v>
      </c>
      <c r="J134" s="195"/>
      <c r="K134" s="193"/>
      <c r="L134" s="196" t="str">
        <f t="shared" si="641"/>
        <v xml:space="preserve"> </v>
      </c>
      <c r="M134" s="193"/>
      <c r="N134" s="196" t="str">
        <f t="shared" si="641"/>
        <v xml:space="preserve"> </v>
      </c>
      <c r="O134" s="193"/>
      <c r="P134" s="196" t="str">
        <f t="shared" ref="P134" si="1172">IFERROR(IF(O134=0," ",O134/$F134)," ")</f>
        <v xml:space="preserve"> </v>
      </c>
      <c r="Q134" s="193"/>
      <c r="R134" s="196" t="str">
        <f t="shared" ref="R134" si="1173">IFERROR(IF(Q134=0," ",Q134/$F134)," ")</f>
        <v xml:space="preserve"> </v>
      </c>
      <c r="S134" s="193"/>
      <c r="T134" s="196" t="str">
        <f t="shared" ref="T134" si="1174">IFERROR(IF(S134=0," ",S134/$F134)," ")</f>
        <v xml:space="preserve"> </v>
      </c>
      <c r="U134" s="193"/>
      <c r="V134" s="196" t="str">
        <f t="shared" ref="V134" si="1175">IFERROR(IF(U134=0," ",U134/$F134)," ")</f>
        <v xml:space="preserve"> </v>
      </c>
      <c r="W134" s="193">
        <v>20</v>
      </c>
      <c r="X134" s="196">
        <f t="shared" ref="X134" si="1176">IFERROR(IF(W134=0," ",W134/$F134)," ")</f>
        <v>1</v>
      </c>
      <c r="Y134" s="193">
        <v>20</v>
      </c>
      <c r="Z134" s="196">
        <f t="shared" ref="Z134" si="1177">IFERROR(IF(Y134=0," ",Y134/$F134)," ")</f>
        <v>1</v>
      </c>
      <c r="AA134" s="193">
        <v>20</v>
      </c>
      <c r="AB134" s="196">
        <f t="shared" ref="AB134" si="1178">IFERROR(IF(AA134=0," ",AA134/$F134)," ")</f>
        <v>1</v>
      </c>
      <c r="AC134" s="193">
        <v>20</v>
      </c>
      <c r="AD134" s="196">
        <f t="shared" ref="AD134" si="1179">IFERROR(IF(AC134=0," ",AC134/$F134)," ")</f>
        <v>1</v>
      </c>
      <c r="AE134" s="193">
        <v>20</v>
      </c>
      <c r="AF134" s="196">
        <f t="shared" ref="AF134" si="1180">IFERROR(IF(AE134=0," ",AE134/$F134)," ")</f>
        <v>1</v>
      </c>
      <c r="AG134" s="193">
        <v>20</v>
      </c>
      <c r="AH134" s="196">
        <f t="shared" ref="AH134" si="1181">IFERROR(IF(AG134=0," ",AG134/$F134)," ")</f>
        <v>1</v>
      </c>
      <c r="AI134" s="197"/>
      <c r="AJ134" s="177">
        <v>0</v>
      </c>
      <c r="AK134" s="177">
        <v>0</v>
      </c>
      <c r="AL134" s="177">
        <v>0</v>
      </c>
      <c r="AM134" s="177">
        <v>0</v>
      </c>
      <c r="AN134" s="177">
        <v>0</v>
      </c>
      <c r="AO134" s="177">
        <v>0</v>
      </c>
      <c r="AP134" s="177">
        <v>1651.6</v>
      </c>
      <c r="AQ134" s="177">
        <v>1651.6</v>
      </c>
      <c r="AR134" s="177">
        <v>1651.6</v>
      </c>
      <c r="AS134" s="177">
        <v>1651.6</v>
      </c>
      <c r="AT134" s="177">
        <v>1651.6</v>
      </c>
      <c r="AU134" s="177">
        <v>1651.6</v>
      </c>
    </row>
    <row r="135" spans="1:47" x14ac:dyDescent="0.25">
      <c r="A135" s="190" t="s">
        <v>642</v>
      </c>
      <c r="B135" s="65">
        <v>9700</v>
      </c>
      <c r="C135" s="191" t="s">
        <v>286</v>
      </c>
      <c r="D135" s="65" t="s">
        <v>747</v>
      </c>
      <c r="E135" s="192" t="str">
        <f>IF(A135=" "," ",VLOOKUP(A135,Estimate!A:Q,17,FALSE))</f>
        <v xml:space="preserve"> </v>
      </c>
      <c r="F135" s="193" t="s">
        <v>642</v>
      </c>
      <c r="G135" s="206" t="s">
        <v>642</v>
      </c>
      <c r="H135" s="195" t="s">
        <v>642</v>
      </c>
      <c r="I135" s="195" t="s">
        <v>642</v>
      </c>
      <c r="J135" s="195"/>
      <c r="K135" s="193" t="s">
        <v>642</v>
      </c>
      <c r="L135" s="196" t="str">
        <f t="shared" si="641"/>
        <v xml:space="preserve"> </v>
      </c>
      <c r="M135" s="193" t="s">
        <v>642</v>
      </c>
      <c r="N135" s="196" t="str">
        <f t="shared" si="641"/>
        <v xml:space="preserve"> </v>
      </c>
      <c r="O135" s="193" t="s">
        <v>642</v>
      </c>
      <c r="P135" s="196" t="str">
        <f t="shared" ref="P135" si="1182">IFERROR(IF(O135=0," ",O135/$F135)," ")</f>
        <v xml:space="preserve"> </v>
      </c>
      <c r="Q135" s="193" t="s">
        <v>642</v>
      </c>
      <c r="R135" s="196" t="str">
        <f t="shared" ref="R135" si="1183">IFERROR(IF(Q135=0," ",Q135/$F135)," ")</f>
        <v xml:space="preserve"> </v>
      </c>
      <c r="S135" s="193" t="s">
        <v>642</v>
      </c>
      <c r="T135" s="196" t="str">
        <f t="shared" ref="T135" si="1184">IFERROR(IF(S135=0," ",S135/$F135)," ")</f>
        <v xml:space="preserve"> </v>
      </c>
      <c r="U135" s="193" t="s">
        <v>642</v>
      </c>
      <c r="V135" s="196" t="str">
        <f t="shared" ref="V135" si="1185">IFERROR(IF(U135=0," ",U135/$F135)," ")</f>
        <v xml:space="preserve"> </v>
      </c>
      <c r="W135" s="193" t="s">
        <v>642</v>
      </c>
      <c r="X135" s="196" t="str">
        <f t="shared" ref="X135" si="1186">IFERROR(IF(W135=0," ",W135/$F135)," ")</f>
        <v xml:space="preserve"> </v>
      </c>
      <c r="Y135" s="193" t="s">
        <v>642</v>
      </c>
      <c r="Z135" s="196" t="str">
        <f t="shared" ref="Z135" si="1187">IFERROR(IF(Y135=0," ",Y135/$F135)," ")</f>
        <v xml:space="preserve"> </v>
      </c>
      <c r="AA135" s="193" t="s">
        <v>642</v>
      </c>
      <c r="AB135" s="196" t="str">
        <f t="shared" ref="AB135" si="1188">IFERROR(IF(AA135=0," ",AA135/$F135)," ")</f>
        <v xml:space="preserve"> </v>
      </c>
      <c r="AC135" s="193" t="s">
        <v>642</v>
      </c>
      <c r="AD135" s="196" t="str">
        <f t="shared" ref="AD135" si="1189">IFERROR(IF(AC135=0," ",AC135/$F135)," ")</f>
        <v xml:space="preserve"> </v>
      </c>
      <c r="AE135" s="193" t="s">
        <v>642</v>
      </c>
      <c r="AF135" s="196" t="str">
        <f t="shared" ref="AF135" si="1190">IFERROR(IF(AE135=0," ",AE135/$F135)," ")</f>
        <v xml:space="preserve"> </v>
      </c>
      <c r="AG135" s="193" t="s">
        <v>642</v>
      </c>
      <c r="AH135" s="196" t="str">
        <f t="shared" ref="AH135" si="1191">IFERROR(IF(AG135=0," ",AG135/$F135)," ")</f>
        <v xml:space="preserve"> </v>
      </c>
      <c r="AI135" s="197"/>
      <c r="AJ135" s="177" t="s">
        <v>642</v>
      </c>
      <c r="AK135" s="177" t="s">
        <v>642</v>
      </c>
      <c r="AL135" s="177" t="s">
        <v>642</v>
      </c>
      <c r="AM135" s="177" t="s">
        <v>642</v>
      </c>
      <c r="AN135" s="177" t="s">
        <v>642</v>
      </c>
      <c r="AO135" s="177" t="s">
        <v>642</v>
      </c>
      <c r="AP135" s="177" t="s">
        <v>642</v>
      </c>
      <c r="AQ135" s="177" t="s">
        <v>642</v>
      </c>
      <c r="AR135" s="177" t="s">
        <v>642</v>
      </c>
      <c r="AS135" s="177" t="s">
        <v>642</v>
      </c>
      <c r="AT135" s="177" t="s">
        <v>642</v>
      </c>
      <c r="AU135" s="177" t="s">
        <v>642</v>
      </c>
    </row>
    <row r="136" spans="1:47" ht="30" x14ac:dyDescent="0.25">
      <c r="A136" s="190">
        <v>67</v>
      </c>
      <c r="B136" s="65">
        <v>9700.2999999999993</v>
      </c>
      <c r="C136" s="191" t="s">
        <v>288</v>
      </c>
      <c r="D136" s="65" t="s">
        <v>26</v>
      </c>
      <c r="E136" s="192">
        <f>IF(A136=" "," ",VLOOKUP(A136,Estimate!A:Q,17,FALSE))</f>
        <v>1500</v>
      </c>
      <c r="F136" s="193">
        <v>6</v>
      </c>
      <c r="G136" s="206">
        <v>332.84316666666666</v>
      </c>
      <c r="H136" s="195">
        <v>375.36</v>
      </c>
      <c r="I136" s="195">
        <v>2252.16</v>
      </c>
      <c r="J136" s="195"/>
      <c r="K136" s="193"/>
      <c r="L136" s="196" t="str">
        <f t="shared" si="641"/>
        <v xml:space="preserve"> </v>
      </c>
      <c r="M136" s="193"/>
      <c r="N136" s="196" t="str">
        <f t="shared" si="641"/>
        <v xml:space="preserve"> </v>
      </c>
      <c r="O136" s="193"/>
      <c r="P136" s="196" t="str">
        <f t="shared" ref="P136" si="1192">IFERROR(IF(O136=0," ",O136/$F136)," ")</f>
        <v xml:space="preserve"> </v>
      </c>
      <c r="Q136" s="193"/>
      <c r="R136" s="196" t="str">
        <f t="shared" ref="R136" si="1193">IFERROR(IF(Q136=0," ",Q136/$F136)," ")</f>
        <v xml:space="preserve"> </v>
      </c>
      <c r="S136" s="193"/>
      <c r="T136" s="196" t="str">
        <f t="shared" ref="T136" si="1194">IFERROR(IF(S136=0," ",S136/$F136)," ")</f>
        <v xml:space="preserve"> </v>
      </c>
      <c r="U136" s="193"/>
      <c r="V136" s="196" t="str">
        <f t="shared" ref="V136" si="1195">IFERROR(IF(U136=0," ",U136/$F136)," ")</f>
        <v xml:space="preserve"> </v>
      </c>
      <c r="W136" s="193">
        <v>6</v>
      </c>
      <c r="X136" s="196">
        <f t="shared" ref="X136" si="1196">IFERROR(IF(W136=0," ",W136/$F136)," ")</f>
        <v>1</v>
      </c>
      <c r="Y136" s="193">
        <v>6</v>
      </c>
      <c r="Z136" s="196">
        <f t="shared" ref="Z136" si="1197">IFERROR(IF(Y136=0," ",Y136/$F136)," ")</f>
        <v>1</v>
      </c>
      <c r="AA136" s="193">
        <v>6</v>
      </c>
      <c r="AB136" s="196">
        <f t="shared" ref="AB136" si="1198">IFERROR(IF(AA136=0," ",AA136/$F136)," ")</f>
        <v>1</v>
      </c>
      <c r="AC136" s="193">
        <v>6</v>
      </c>
      <c r="AD136" s="196">
        <f t="shared" ref="AD136" si="1199">IFERROR(IF(AC136=0," ",AC136/$F136)," ")</f>
        <v>1</v>
      </c>
      <c r="AE136" s="193">
        <v>6</v>
      </c>
      <c r="AF136" s="196">
        <f t="shared" ref="AF136" si="1200">IFERROR(IF(AE136=0," ",AE136/$F136)," ")</f>
        <v>1</v>
      </c>
      <c r="AG136" s="193">
        <v>6</v>
      </c>
      <c r="AH136" s="196">
        <f t="shared" ref="AH136" si="1201">IFERROR(IF(AG136=0," ",AG136/$F136)," ")</f>
        <v>1</v>
      </c>
      <c r="AI136" s="197"/>
      <c r="AJ136" s="177">
        <v>0</v>
      </c>
      <c r="AK136" s="177">
        <v>0</v>
      </c>
      <c r="AL136" s="177">
        <v>0</v>
      </c>
      <c r="AM136" s="177">
        <v>0</v>
      </c>
      <c r="AN136" s="177">
        <v>0</v>
      </c>
      <c r="AO136" s="177">
        <v>0</v>
      </c>
      <c r="AP136" s="177">
        <v>2252.16</v>
      </c>
      <c r="AQ136" s="177">
        <v>2252.16</v>
      </c>
      <c r="AR136" s="177">
        <v>2252.16</v>
      </c>
      <c r="AS136" s="177">
        <v>2252.16</v>
      </c>
      <c r="AT136" s="177">
        <v>2252.16</v>
      </c>
      <c r="AU136" s="177">
        <v>2252.16</v>
      </c>
    </row>
    <row r="137" spans="1:47" x14ac:dyDescent="0.25">
      <c r="A137" s="190" t="s">
        <v>642</v>
      </c>
      <c r="B137" s="65">
        <v>9720</v>
      </c>
      <c r="C137" s="191" t="s">
        <v>290</v>
      </c>
      <c r="D137" s="65" t="s">
        <v>747</v>
      </c>
      <c r="E137" s="192" t="str">
        <f>IF(A137=" "," ",VLOOKUP(A137,Estimate!A:Q,17,FALSE))</f>
        <v xml:space="preserve"> </v>
      </c>
      <c r="F137" s="193" t="s">
        <v>642</v>
      </c>
      <c r="G137" s="206" t="s">
        <v>642</v>
      </c>
      <c r="H137" s="195" t="s">
        <v>642</v>
      </c>
      <c r="I137" s="195" t="s">
        <v>642</v>
      </c>
      <c r="J137" s="195"/>
      <c r="K137" s="193" t="s">
        <v>642</v>
      </c>
      <c r="L137" s="196" t="str">
        <f t="shared" si="641"/>
        <v xml:space="preserve"> </v>
      </c>
      <c r="M137" s="193" t="s">
        <v>642</v>
      </c>
      <c r="N137" s="196" t="str">
        <f t="shared" si="641"/>
        <v xml:space="preserve"> </v>
      </c>
      <c r="O137" s="193" t="s">
        <v>642</v>
      </c>
      <c r="P137" s="196" t="str">
        <f t="shared" ref="P137" si="1202">IFERROR(IF(O137=0," ",O137/$F137)," ")</f>
        <v xml:space="preserve"> </v>
      </c>
      <c r="Q137" s="193" t="s">
        <v>642</v>
      </c>
      <c r="R137" s="196" t="str">
        <f t="shared" ref="R137" si="1203">IFERROR(IF(Q137=0," ",Q137/$F137)," ")</f>
        <v xml:space="preserve"> </v>
      </c>
      <c r="S137" s="193" t="s">
        <v>642</v>
      </c>
      <c r="T137" s="196" t="str">
        <f t="shared" ref="T137" si="1204">IFERROR(IF(S137=0," ",S137/$F137)," ")</f>
        <v xml:space="preserve"> </v>
      </c>
      <c r="U137" s="193" t="s">
        <v>642</v>
      </c>
      <c r="V137" s="196" t="str">
        <f t="shared" ref="V137" si="1205">IFERROR(IF(U137=0," ",U137/$F137)," ")</f>
        <v xml:space="preserve"> </v>
      </c>
      <c r="W137" s="193" t="s">
        <v>642</v>
      </c>
      <c r="X137" s="196" t="str">
        <f t="shared" ref="X137" si="1206">IFERROR(IF(W137=0," ",W137/$F137)," ")</f>
        <v xml:space="preserve"> </v>
      </c>
      <c r="Y137" s="193" t="s">
        <v>642</v>
      </c>
      <c r="Z137" s="196" t="str">
        <f t="shared" ref="Z137" si="1207">IFERROR(IF(Y137=0," ",Y137/$F137)," ")</f>
        <v xml:space="preserve"> </v>
      </c>
      <c r="AA137" s="193" t="s">
        <v>642</v>
      </c>
      <c r="AB137" s="196" t="str">
        <f t="shared" ref="AB137" si="1208">IFERROR(IF(AA137=0," ",AA137/$F137)," ")</f>
        <v xml:space="preserve"> </v>
      </c>
      <c r="AC137" s="193" t="s">
        <v>642</v>
      </c>
      <c r="AD137" s="196" t="str">
        <f t="shared" ref="AD137" si="1209">IFERROR(IF(AC137=0," ",AC137/$F137)," ")</f>
        <v xml:space="preserve"> </v>
      </c>
      <c r="AE137" s="193" t="s">
        <v>642</v>
      </c>
      <c r="AF137" s="196" t="str">
        <f t="shared" ref="AF137" si="1210">IFERROR(IF(AE137=0," ",AE137/$F137)," ")</f>
        <v xml:space="preserve"> </v>
      </c>
      <c r="AG137" s="193" t="s">
        <v>642</v>
      </c>
      <c r="AH137" s="196" t="str">
        <f t="shared" ref="AH137" si="1211">IFERROR(IF(AG137=0," ",AG137/$F137)," ")</f>
        <v xml:space="preserve"> </v>
      </c>
      <c r="AI137" s="197"/>
      <c r="AJ137" s="177" t="s">
        <v>642</v>
      </c>
      <c r="AK137" s="177" t="s">
        <v>642</v>
      </c>
      <c r="AL137" s="177" t="s">
        <v>642</v>
      </c>
      <c r="AM137" s="177" t="s">
        <v>642</v>
      </c>
      <c r="AN137" s="177" t="s">
        <v>642</v>
      </c>
      <c r="AO137" s="177" t="s">
        <v>642</v>
      </c>
      <c r="AP137" s="177" t="s">
        <v>642</v>
      </c>
      <c r="AQ137" s="177" t="s">
        <v>642</v>
      </c>
      <c r="AR137" s="177" t="s">
        <v>642</v>
      </c>
      <c r="AS137" s="177" t="s">
        <v>642</v>
      </c>
      <c r="AT137" s="177" t="s">
        <v>642</v>
      </c>
      <c r="AU137" s="177" t="s">
        <v>642</v>
      </c>
    </row>
    <row r="138" spans="1:47" ht="45" x14ac:dyDescent="0.25">
      <c r="A138" s="190">
        <v>68</v>
      </c>
      <c r="B138" s="65">
        <v>9720.1</v>
      </c>
      <c r="C138" s="191" t="s">
        <v>292</v>
      </c>
      <c r="D138" s="65" t="s">
        <v>204</v>
      </c>
      <c r="E138" s="192">
        <f>IF(A138=" "," ",VLOOKUP(A138,Estimate!A:Q,17,FALSE))</f>
        <v>4400</v>
      </c>
      <c r="F138" s="193">
        <v>1</v>
      </c>
      <c r="G138" s="206">
        <v>5857.9949999999999</v>
      </c>
      <c r="H138" s="195">
        <v>6606.27</v>
      </c>
      <c r="I138" s="195">
        <v>6606.27</v>
      </c>
      <c r="J138" s="195"/>
      <c r="K138" s="193"/>
      <c r="L138" s="196" t="str">
        <f t="shared" si="641"/>
        <v xml:space="preserve"> </v>
      </c>
      <c r="M138" s="193"/>
      <c r="N138" s="196" t="str">
        <f t="shared" si="641"/>
        <v xml:space="preserve"> </v>
      </c>
      <c r="O138" s="193"/>
      <c r="P138" s="196" t="str">
        <f t="shared" ref="P138" si="1212">IFERROR(IF(O138=0," ",O138/$F138)," ")</f>
        <v xml:space="preserve"> </v>
      </c>
      <c r="Q138" s="193"/>
      <c r="R138" s="196" t="str">
        <f t="shared" ref="R138" si="1213">IFERROR(IF(Q138=0," ",Q138/$F138)," ")</f>
        <v xml:space="preserve"> </v>
      </c>
      <c r="S138" s="193"/>
      <c r="T138" s="196" t="str">
        <f t="shared" ref="T138" si="1214">IFERROR(IF(S138=0," ",S138/$F138)," ")</f>
        <v xml:space="preserve"> </v>
      </c>
      <c r="U138" s="193">
        <v>1</v>
      </c>
      <c r="V138" s="196">
        <f t="shared" ref="V138" si="1215">IFERROR(IF(U138=0," ",U138/$F138)," ")</f>
        <v>1</v>
      </c>
      <c r="W138" s="193">
        <v>1</v>
      </c>
      <c r="X138" s="196">
        <f t="shared" ref="X138" si="1216">IFERROR(IF(W138=0," ",W138/$F138)," ")</f>
        <v>1</v>
      </c>
      <c r="Y138" s="193">
        <v>1</v>
      </c>
      <c r="Z138" s="196">
        <f t="shared" ref="Z138" si="1217">IFERROR(IF(Y138=0," ",Y138/$F138)," ")</f>
        <v>1</v>
      </c>
      <c r="AA138" s="193">
        <v>1</v>
      </c>
      <c r="AB138" s="196">
        <f t="shared" ref="AB138" si="1218">IFERROR(IF(AA138=0," ",AA138/$F138)," ")</f>
        <v>1</v>
      </c>
      <c r="AC138" s="193">
        <v>1</v>
      </c>
      <c r="AD138" s="196">
        <f t="shared" ref="AD138" si="1219">IFERROR(IF(AC138=0," ",AC138/$F138)," ")</f>
        <v>1</v>
      </c>
      <c r="AE138" s="193">
        <v>1</v>
      </c>
      <c r="AF138" s="196">
        <f t="shared" ref="AF138" si="1220">IFERROR(IF(AE138=0," ",AE138/$F138)," ")</f>
        <v>1</v>
      </c>
      <c r="AG138" s="193">
        <v>1</v>
      </c>
      <c r="AH138" s="196">
        <f t="shared" ref="AH138" si="1221">IFERROR(IF(AG138=0," ",AG138/$F138)," ")</f>
        <v>1</v>
      </c>
      <c r="AI138" s="197"/>
      <c r="AJ138" s="177">
        <v>0</v>
      </c>
      <c r="AK138" s="177">
        <v>0</v>
      </c>
      <c r="AL138" s="177">
        <v>0</v>
      </c>
      <c r="AM138" s="177">
        <v>0</v>
      </c>
      <c r="AN138" s="177">
        <v>0</v>
      </c>
      <c r="AO138" s="177">
        <v>6606.27</v>
      </c>
      <c r="AP138" s="177">
        <v>6606.27</v>
      </c>
      <c r="AQ138" s="177">
        <v>6606.27</v>
      </c>
      <c r="AR138" s="177">
        <v>6606.27</v>
      </c>
      <c r="AS138" s="177">
        <v>6606.27</v>
      </c>
      <c r="AT138" s="177">
        <v>6606.27</v>
      </c>
      <c r="AU138" s="177">
        <v>6606.27</v>
      </c>
    </row>
    <row r="139" spans="1:47" ht="30" x14ac:dyDescent="0.25">
      <c r="A139" s="190" t="s">
        <v>642</v>
      </c>
      <c r="B139" s="65">
        <v>9740</v>
      </c>
      <c r="C139" s="191" t="s">
        <v>294</v>
      </c>
      <c r="D139" s="65" t="s">
        <v>747</v>
      </c>
      <c r="E139" s="192" t="str">
        <f>IF(A139=" "," ",VLOOKUP(A139,Estimate!A:Q,17,FALSE))</f>
        <v xml:space="preserve"> </v>
      </c>
      <c r="F139" s="193" t="s">
        <v>642</v>
      </c>
      <c r="G139" s="206" t="s">
        <v>642</v>
      </c>
      <c r="H139" s="195" t="s">
        <v>642</v>
      </c>
      <c r="I139" s="195" t="s">
        <v>642</v>
      </c>
      <c r="J139" s="195"/>
      <c r="K139" s="193" t="s">
        <v>642</v>
      </c>
      <c r="L139" s="196" t="str">
        <f t="shared" si="641"/>
        <v xml:space="preserve"> </v>
      </c>
      <c r="M139" s="193" t="s">
        <v>642</v>
      </c>
      <c r="N139" s="196" t="str">
        <f t="shared" si="641"/>
        <v xml:space="preserve"> </v>
      </c>
      <c r="O139" s="193" t="s">
        <v>642</v>
      </c>
      <c r="P139" s="196" t="str">
        <f t="shared" ref="P139" si="1222">IFERROR(IF(O139=0," ",O139/$F139)," ")</f>
        <v xml:space="preserve"> </v>
      </c>
      <c r="Q139" s="193" t="s">
        <v>642</v>
      </c>
      <c r="R139" s="196" t="str">
        <f t="shared" ref="R139" si="1223">IFERROR(IF(Q139=0," ",Q139/$F139)," ")</f>
        <v xml:space="preserve"> </v>
      </c>
      <c r="S139" s="193" t="s">
        <v>642</v>
      </c>
      <c r="T139" s="196" t="str">
        <f t="shared" ref="T139" si="1224">IFERROR(IF(S139=0," ",S139/$F139)," ")</f>
        <v xml:space="preserve"> </v>
      </c>
      <c r="U139" s="193" t="s">
        <v>642</v>
      </c>
      <c r="V139" s="196" t="str">
        <f t="shared" ref="V139" si="1225">IFERROR(IF(U139=0," ",U139/$F139)," ")</f>
        <v xml:space="preserve"> </v>
      </c>
      <c r="W139" s="193" t="s">
        <v>642</v>
      </c>
      <c r="X139" s="196" t="str">
        <f t="shared" ref="X139" si="1226">IFERROR(IF(W139=0," ",W139/$F139)," ")</f>
        <v xml:space="preserve"> </v>
      </c>
      <c r="Y139" s="193" t="s">
        <v>642</v>
      </c>
      <c r="Z139" s="196" t="str">
        <f t="shared" ref="Z139" si="1227">IFERROR(IF(Y139=0," ",Y139/$F139)," ")</f>
        <v xml:space="preserve"> </v>
      </c>
      <c r="AA139" s="193" t="s">
        <v>642</v>
      </c>
      <c r="AB139" s="196" t="str">
        <f t="shared" ref="AB139" si="1228">IFERROR(IF(AA139=0," ",AA139/$F139)," ")</f>
        <v xml:space="preserve"> </v>
      </c>
      <c r="AC139" s="193" t="s">
        <v>642</v>
      </c>
      <c r="AD139" s="196" t="str">
        <f t="shared" ref="AD139" si="1229">IFERROR(IF(AC139=0," ",AC139/$F139)," ")</f>
        <v xml:space="preserve"> </v>
      </c>
      <c r="AE139" s="193" t="s">
        <v>642</v>
      </c>
      <c r="AF139" s="196" t="str">
        <f t="shared" ref="AF139" si="1230">IFERROR(IF(AE139=0," ",AE139/$F139)," ")</f>
        <v xml:space="preserve"> </v>
      </c>
      <c r="AG139" s="193" t="s">
        <v>642</v>
      </c>
      <c r="AH139" s="196" t="str">
        <f t="shared" ref="AH139" si="1231">IFERROR(IF(AG139=0," ",AG139/$F139)," ")</f>
        <v xml:space="preserve"> </v>
      </c>
      <c r="AI139" s="197"/>
      <c r="AJ139" s="177" t="s">
        <v>642</v>
      </c>
      <c r="AK139" s="177" t="s">
        <v>642</v>
      </c>
      <c r="AL139" s="177" t="s">
        <v>642</v>
      </c>
      <c r="AM139" s="177" t="s">
        <v>642</v>
      </c>
      <c r="AN139" s="177" t="s">
        <v>642</v>
      </c>
      <c r="AO139" s="177" t="s">
        <v>642</v>
      </c>
      <c r="AP139" s="177" t="s">
        <v>642</v>
      </c>
      <c r="AQ139" s="177" t="s">
        <v>642</v>
      </c>
      <c r="AR139" s="177" t="s">
        <v>642</v>
      </c>
      <c r="AS139" s="177" t="s">
        <v>642</v>
      </c>
      <c r="AT139" s="177" t="s">
        <v>642</v>
      </c>
      <c r="AU139" s="177" t="s">
        <v>642</v>
      </c>
    </row>
    <row r="140" spans="1:47" x14ac:dyDescent="0.25">
      <c r="A140" s="190">
        <v>69</v>
      </c>
      <c r="B140" s="65">
        <v>9740.1</v>
      </c>
      <c r="C140" s="191" t="s">
        <v>296</v>
      </c>
      <c r="D140" s="65" t="s">
        <v>26</v>
      </c>
      <c r="E140" s="192">
        <f>IF(A140=" "," ",VLOOKUP(A140,Estimate!A:Q,17,FALSE))</f>
        <v>1197</v>
      </c>
      <c r="F140" s="193">
        <v>133</v>
      </c>
      <c r="G140" s="206">
        <v>11.980398496240602</v>
      </c>
      <c r="H140" s="195">
        <v>13.51</v>
      </c>
      <c r="I140" s="195">
        <v>1796.83</v>
      </c>
      <c r="J140" s="195"/>
      <c r="K140" s="193"/>
      <c r="L140" s="196" t="str">
        <f t="shared" si="641"/>
        <v xml:space="preserve"> </v>
      </c>
      <c r="M140" s="193">
        <v>50</v>
      </c>
      <c r="N140" s="196">
        <f t="shared" si="641"/>
        <v>0.37593984962406013</v>
      </c>
      <c r="O140" s="193">
        <v>50</v>
      </c>
      <c r="P140" s="196">
        <f t="shared" ref="P140" si="1232">IFERROR(IF(O140=0," ",O140/$F140)," ")</f>
        <v>0.37593984962406013</v>
      </c>
      <c r="Q140" s="193">
        <v>50</v>
      </c>
      <c r="R140" s="196">
        <f t="shared" ref="R140" si="1233">IFERROR(IF(Q140=0," ",Q140/$F140)," ")</f>
        <v>0.37593984962406013</v>
      </c>
      <c r="S140" s="193">
        <v>133</v>
      </c>
      <c r="T140" s="196">
        <f t="shared" ref="T140" si="1234">IFERROR(IF(S140=0," ",S140/$F140)," ")</f>
        <v>1</v>
      </c>
      <c r="U140" s="193">
        <v>133</v>
      </c>
      <c r="V140" s="196">
        <f t="shared" ref="V140" si="1235">IFERROR(IF(U140=0," ",U140/$F140)," ")</f>
        <v>1</v>
      </c>
      <c r="W140" s="193">
        <v>133</v>
      </c>
      <c r="X140" s="196">
        <f t="shared" ref="X140" si="1236">IFERROR(IF(W140=0," ",W140/$F140)," ")</f>
        <v>1</v>
      </c>
      <c r="Y140" s="193">
        <v>133</v>
      </c>
      <c r="Z140" s="196">
        <f t="shared" ref="Z140" si="1237">IFERROR(IF(Y140=0," ",Y140/$F140)," ")</f>
        <v>1</v>
      </c>
      <c r="AA140" s="193">
        <v>133</v>
      </c>
      <c r="AB140" s="196">
        <f t="shared" ref="AB140" si="1238">IFERROR(IF(AA140=0," ",AA140/$F140)," ")</f>
        <v>1</v>
      </c>
      <c r="AC140" s="193">
        <v>133</v>
      </c>
      <c r="AD140" s="196">
        <f t="shared" ref="AD140" si="1239">IFERROR(IF(AC140=0," ",AC140/$F140)," ")</f>
        <v>1</v>
      </c>
      <c r="AE140" s="193">
        <v>133</v>
      </c>
      <c r="AF140" s="196">
        <f t="shared" ref="AF140" si="1240">IFERROR(IF(AE140=0," ",AE140/$F140)," ")</f>
        <v>1</v>
      </c>
      <c r="AG140" s="193">
        <v>133</v>
      </c>
      <c r="AH140" s="196">
        <f t="shared" ref="AH140" si="1241">IFERROR(IF(AG140=0," ",AG140/$F140)," ")</f>
        <v>1</v>
      </c>
      <c r="AI140" s="197"/>
      <c r="AJ140" s="177">
        <v>0</v>
      </c>
      <c r="AK140" s="177">
        <v>675.49999999999989</v>
      </c>
      <c r="AL140" s="177">
        <v>675.49999999999989</v>
      </c>
      <c r="AM140" s="177">
        <v>675.49999999999989</v>
      </c>
      <c r="AN140" s="177">
        <v>1796.83</v>
      </c>
      <c r="AO140" s="177">
        <v>1796.83</v>
      </c>
      <c r="AP140" s="177">
        <v>1796.83</v>
      </c>
      <c r="AQ140" s="177">
        <v>1796.83</v>
      </c>
      <c r="AR140" s="177">
        <v>1796.83</v>
      </c>
      <c r="AS140" s="177">
        <v>1796.83</v>
      </c>
      <c r="AT140" s="177">
        <v>1796.83</v>
      </c>
      <c r="AU140" s="177">
        <v>1796.83</v>
      </c>
    </row>
    <row r="141" spans="1:47" x14ac:dyDescent="0.25">
      <c r="A141" s="190">
        <v>70</v>
      </c>
      <c r="B141" s="65">
        <v>9740.2000000000007</v>
      </c>
      <c r="C141" s="191" t="s">
        <v>298</v>
      </c>
      <c r="D141" s="65" t="s">
        <v>26</v>
      </c>
      <c r="E141" s="192">
        <f>IF(A141=" "," ",VLOOKUP(A141,Estimate!A:Q,17,FALSE))</f>
        <v>2251.5</v>
      </c>
      <c r="F141" s="193">
        <v>237</v>
      </c>
      <c r="G141" s="206">
        <v>12.64560759493671</v>
      </c>
      <c r="H141" s="195">
        <v>14.26</v>
      </c>
      <c r="I141" s="195">
        <v>3379.62</v>
      </c>
      <c r="J141" s="195"/>
      <c r="K141" s="193"/>
      <c r="L141" s="196" t="str">
        <f t="shared" si="641"/>
        <v xml:space="preserve"> </v>
      </c>
      <c r="M141" s="193">
        <v>100</v>
      </c>
      <c r="N141" s="196">
        <f t="shared" si="641"/>
        <v>0.4219409282700422</v>
      </c>
      <c r="O141" s="193">
        <v>100</v>
      </c>
      <c r="P141" s="196">
        <f t="shared" ref="P141" si="1242">IFERROR(IF(O141=0," ",O141/$F141)," ")</f>
        <v>0.4219409282700422</v>
      </c>
      <c r="Q141" s="193">
        <v>100</v>
      </c>
      <c r="R141" s="196">
        <f t="shared" ref="R141" si="1243">IFERROR(IF(Q141=0," ",Q141/$F141)," ")</f>
        <v>0.4219409282700422</v>
      </c>
      <c r="S141" s="193">
        <v>237</v>
      </c>
      <c r="T141" s="196">
        <f t="shared" ref="T141" si="1244">IFERROR(IF(S141=0," ",S141/$F141)," ")</f>
        <v>1</v>
      </c>
      <c r="U141" s="193">
        <v>237</v>
      </c>
      <c r="V141" s="196">
        <f t="shared" ref="V141" si="1245">IFERROR(IF(U141=0," ",U141/$F141)," ")</f>
        <v>1</v>
      </c>
      <c r="W141" s="193">
        <v>237</v>
      </c>
      <c r="X141" s="196">
        <f t="shared" ref="X141" si="1246">IFERROR(IF(W141=0," ",W141/$F141)," ")</f>
        <v>1</v>
      </c>
      <c r="Y141" s="193">
        <v>237</v>
      </c>
      <c r="Z141" s="196">
        <f t="shared" ref="Z141" si="1247">IFERROR(IF(Y141=0," ",Y141/$F141)," ")</f>
        <v>1</v>
      </c>
      <c r="AA141" s="193">
        <v>237</v>
      </c>
      <c r="AB141" s="196">
        <f t="shared" ref="AB141" si="1248">IFERROR(IF(AA141=0," ",AA141/$F141)," ")</f>
        <v>1</v>
      </c>
      <c r="AC141" s="193">
        <v>237</v>
      </c>
      <c r="AD141" s="196">
        <f t="shared" ref="AD141" si="1249">IFERROR(IF(AC141=0," ",AC141/$F141)," ")</f>
        <v>1</v>
      </c>
      <c r="AE141" s="193">
        <v>237</v>
      </c>
      <c r="AF141" s="196">
        <f t="shared" ref="AF141" si="1250">IFERROR(IF(AE141=0," ",AE141/$F141)," ")</f>
        <v>1</v>
      </c>
      <c r="AG141" s="193">
        <v>237</v>
      </c>
      <c r="AH141" s="196">
        <f t="shared" ref="AH141" si="1251">IFERROR(IF(AG141=0," ",AG141/$F141)," ")</f>
        <v>1</v>
      </c>
      <c r="AI141" s="197"/>
      <c r="AJ141" s="177">
        <v>0</v>
      </c>
      <c r="AK141" s="177">
        <v>1426</v>
      </c>
      <c r="AL141" s="177">
        <v>1426</v>
      </c>
      <c r="AM141" s="177">
        <v>1426</v>
      </c>
      <c r="AN141" s="177">
        <v>3379.62</v>
      </c>
      <c r="AO141" s="177">
        <v>3379.62</v>
      </c>
      <c r="AP141" s="177">
        <v>3379.62</v>
      </c>
      <c r="AQ141" s="177">
        <v>3379.62</v>
      </c>
      <c r="AR141" s="177">
        <v>3379.62</v>
      </c>
      <c r="AS141" s="177">
        <v>3379.62</v>
      </c>
      <c r="AT141" s="177">
        <v>3379.62</v>
      </c>
      <c r="AU141" s="177">
        <v>3379.62</v>
      </c>
    </row>
    <row r="142" spans="1:47" ht="90" x14ac:dyDescent="0.25">
      <c r="A142" s="190" t="s">
        <v>642</v>
      </c>
      <c r="B142" s="65">
        <v>9741</v>
      </c>
      <c r="C142" s="191" t="s">
        <v>300</v>
      </c>
      <c r="D142" s="65" t="s">
        <v>747</v>
      </c>
      <c r="E142" s="192" t="str">
        <f>IF(A142=" "," ",VLOOKUP(A142,Estimate!A:Q,17,FALSE))</f>
        <v xml:space="preserve"> </v>
      </c>
      <c r="F142" s="193" t="s">
        <v>642</v>
      </c>
      <c r="G142" s="206" t="s">
        <v>642</v>
      </c>
      <c r="H142" s="195" t="s">
        <v>642</v>
      </c>
      <c r="I142" s="195" t="s">
        <v>642</v>
      </c>
      <c r="J142" s="195"/>
      <c r="K142" s="193" t="s">
        <v>642</v>
      </c>
      <c r="L142" s="196" t="str">
        <f t="shared" si="641"/>
        <v xml:space="preserve"> </v>
      </c>
      <c r="M142" s="193" t="s">
        <v>642</v>
      </c>
      <c r="N142" s="196" t="str">
        <f t="shared" si="641"/>
        <v xml:space="preserve"> </v>
      </c>
      <c r="O142" s="193" t="s">
        <v>642</v>
      </c>
      <c r="P142" s="196" t="str">
        <f t="shared" ref="P142" si="1252">IFERROR(IF(O142=0," ",O142/$F142)," ")</f>
        <v xml:space="preserve"> </v>
      </c>
      <c r="Q142" s="193" t="s">
        <v>642</v>
      </c>
      <c r="R142" s="196" t="str">
        <f t="shared" ref="R142" si="1253">IFERROR(IF(Q142=0," ",Q142/$F142)," ")</f>
        <v xml:space="preserve"> </v>
      </c>
      <c r="S142" s="193" t="s">
        <v>642</v>
      </c>
      <c r="T142" s="196" t="str">
        <f t="shared" ref="T142" si="1254">IFERROR(IF(S142=0," ",S142/$F142)," ")</f>
        <v xml:space="preserve"> </v>
      </c>
      <c r="U142" s="193" t="s">
        <v>642</v>
      </c>
      <c r="V142" s="196" t="str">
        <f t="shared" ref="V142" si="1255">IFERROR(IF(U142=0," ",U142/$F142)," ")</f>
        <v xml:space="preserve"> </v>
      </c>
      <c r="W142" s="193" t="s">
        <v>642</v>
      </c>
      <c r="X142" s="196" t="str">
        <f t="shared" ref="X142" si="1256">IFERROR(IF(W142=0," ",W142/$F142)," ")</f>
        <v xml:space="preserve"> </v>
      </c>
      <c r="Y142" s="193" t="s">
        <v>642</v>
      </c>
      <c r="Z142" s="196" t="str">
        <f t="shared" ref="Z142" si="1257">IFERROR(IF(Y142=0," ",Y142/$F142)," ")</f>
        <v xml:space="preserve"> </v>
      </c>
      <c r="AA142" s="193" t="s">
        <v>642</v>
      </c>
      <c r="AB142" s="196" t="str">
        <f t="shared" ref="AB142" si="1258">IFERROR(IF(AA142=0," ",AA142/$F142)," ")</f>
        <v xml:space="preserve"> </v>
      </c>
      <c r="AC142" s="193" t="s">
        <v>642</v>
      </c>
      <c r="AD142" s="196" t="str">
        <f t="shared" ref="AD142" si="1259">IFERROR(IF(AC142=0," ",AC142/$F142)," ")</f>
        <v xml:space="preserve"> </v>
      </c>
      <c r="AE142" s="193" t="s">
        <v>642</v>
      </c>
      <c r="AF142" s="196" t="str">
        <f t="shared" ref="AF142" si="1260">IFERROR(IF(AE142=0," ",AE142/$F142)," ")</f>
        <v xml:space="preserve"> </v>
      </c>
      <c r="AG142" s="193" t="s">
        <v>642</v>
      </c>
      <c r="AH142" s="196" t="str">
        <f t="shared" ref="AH142" si="1261">IFERROR(IF(AG142=0," ",AG142/$F142)," ")</f>
        <v xml:space="preserve"> </v>
      </c>
      <c r="AI142" s="197"/>
      <c r="AJ142" s="177" t="s">
        <v>642</v>
      </c>
      <c r="AK142" s="177" t="s">
        <v>642</v>
      </c>
      <c r="AL142" s="177" t="s">
        <v>642</v>
      </c>
      <c r="AM142" s="177" t="s">
        <v>642</v>
      </c>
      <c r="AN142" s="177" t="s">
        <v>642</v>
      </c>
      <c r="AO142" s="177" t="s">
        <v>642</v>
      </c>
      <c r="AP142" s="177" t="s">
        <v>642</v>
      </c>
      <c r="AQ142" s="177" t="s">
        <v>642</v>
      </c>
      <c r="AR142" s="177" t="s">
        <v>642</v>
      </c>
      <c r="AS142" s="177" t="s">
        <v>642</v>
      </c>
      <c r="AT142" s="177" t="s">
        <v>642</v>
      </c>
      <c r="AU142" s="177" t="s">
        <v>642</v>
      </c>
    </row>
    <row r="143" spans="1:47" x14ac:dyDescent="0.25">
      <c r="A143" s="190">
        <v>71</v>
      </c>
      <c r="B143" s="65">
        <v>9741.1</v>
      </c>
      <c r="C143" s="191" t="s">
        <v>296</v>
      </c>
      <c r="D143" s="65" t="s">
        <v>26</v>
      </c>
      <c r="E143" s="192">
        <f>IF(A143=" "," ",VLOOKUP(A143,Estimate!A:Q,17,FALSE))</f>
        <v>7315</v>
      </c>
      <c r="F143" s="193">
        <v>133</v>
      </c>
      <c r="G143" s="206">
        <v>73.226015037593982</v>
      </c>
      <c r="H143" s="195">
        <v>82.58</v>
      </c>
      <c r="I143" s="195">
        <v>10983.14</v>
      </c>
      <c r="J143" s="195"/>
      <c r="K143" s="193"/>
      <c r="L143" s="196" t="str">
        <f t="shared" si="641"/>
        <v xml:space="preserve"> </v>
      </c>
      <c r="M143" s="193">
        <v>50</v>
      </c>
      <c r="N143" s="196">
        <f t="shared" si="641"/>
        <v>0.37593984962406013</v>
      </c>
      <c r="O143" s="193">
        <v>133</v>
      </c>
      <c r="P143" s="196">
        <f t="shared" ref="P143" si="1262">IFERROR(IF(O143=0," ",O143/$F143)," ")</f>
        <v>1</v>
      </c>
      <c r="Q143" s="193">
        <v>133</v>
      </c>
      <c r="R143" s="196">
        <f t="shared" ref="R143" si="1263">IFERROR(IF(Q143=0," ",Q143/$F143)," ")</f>
        <v>1</v>
      </c>
      <c r="S143" s="193">
        <v>133</v>
      </c>
      <c r="T143" s="196">
        <f t="shared" ref="T143" si="1264">IFERROR(IF(S143=0," ",S143/$F143)," ")</f>
        <v>1</v>
      </c>
      <c r="U143" s="193">
        <v>133</v>
      </c>
      <c r="V143" s="196">
        <f t="shared" ref="V143" si="1265">IFERROR(IF(U143=0," ",U143/$F143)," ")</f>
        <v>1</v>
      </c>
      <c r="W143" s="193">
        <v>133</v>
      </c>
      <c r="X143" s="196">
        <f t="shared" ref="X143" si="1266">IFERROR(IF(W143=0," ",W143/$F143)," ")</f>
        <v>1</v>
      </c>
      <c r="Y143" s="193">
        <v>133</v>
      </c>
      <c r="Z143" s="196">
        <f t="shared" ref="Z143" si="1267">IFERROR(IF(Y143=0," ",Y143/$F143)," ")</f>
        <v>1</v>
      </c>
      <c r="AA143" s="193">
        <v>133</v>
      </c>
      <c r="AB143" s="196">
        <f t="shared" ref="AB143" si="1268">IFERROR(IF(AA143=0," ",AA143/$F143)," ")</f>
        <v>1</v>
      </c>
      <c r="AC143" s="193">
        <v>133</v>
      </c>
      <c r="AD143" s="196">
        <f t="shared" ref="AD143" si="1269">IFERROR(IF(AC143=0," ",AC143/$F143)," ")</f>
        <v>1</v>
      </c>
      <c r="AE143" s="193">
        <v>133</v>
      </c>
      <c r="AF143" s="196">
        <f t="shared" ref="AF143" si="1270">IFERROR(IF(AE143=0," ",AE143/$F143)," ")</f>
        <v>1</v>
      </c>
      <c r="AG143" s="193">
        <v>133</v>
      </c>
      <c r="AH143" s="196">
        <f t="shared" ref="AH143" si="1271">IFERROR(IF(AG143=0," ",AG143/$F143)," ")</f>
        <v>1</v>
      </c>
      <c r="AI143" s="197"/>
      <c r="AJ143" s="177">
        <v>0</v>
      </c>
      <c r="AK143" s="177">
        <v>4129</v>
      </c>
      <c r="AL143" s="177">
        <v>10983.14</v>
      </c>
      <c r="AM143" s="177">
        <v>10983.14</v>
      </c>
      <c r="AN143" s="177">
        <v>10983.14</v>
      </c>
      <c r="AO143" s="177">
        <v>10983.14</v>
      </c>
      <c r="AP143" s="177">
        <v>10983.14</v>
      </c>
      <c r="AQ143" s="177">
        <v>10983.14</v>
      </c>
      <c r="AR143" s="177">
        <v>10983.14</v>
      </c>
      <c r="AS143" s="177">
        <v>10983.14</v>
      </c>
      <c r="AT143" s="177">
        <v>10983.14</v>
      </c>
      <c r="AU143" s="177">
        <v>10983.14</v>
      </c>
    </row>
    <row r="144" spans="1:47" x14ac:dyDescent="0.25">
      <c r="A144" s="190">
        <v>72</v>
      </c>
      <c r="B144" s="65">
        <v>9741.2000000000007</v>
      </c>
      <c r="C144" s="191" t="s">
        <v>298</v>
      </c>
      <c r="D144" s="65" t="s">
        <v>26</v>
      </c>
      <c r="E144" s="192">
        <f>IF(A144=" "," ",VLOOKUP(A144,Estimate!A:Q,17,FALSE))</f>
        <v>13983</v>
      </c>
      <c r="F144" s="193">
        <v>237</v>
      </c>
      <c r="G144" s="206">
        <v>78.54769620253164</v>
      </c>
      <c r="H144" s="195">
        <v>88.58</v>
      </c>
      <c r="I144" s="195">
        <v>20993.46</v>
      </c>
      <c r="J144" s="195"/>
      <c r="K144" s="193"/>
      <c r="L144" s="196" t="str">
        <f t="shared" si="641"/>
        <v xml:space="preserve"> </v>
      </c>
      <c r="M144" s="193">
        <v>100</v>
      </c>
      <c r="N144" s="196">
        <f t="shared" si="641"/>
        <v>0.4219409282700422</v>
      </c>
      <c r="O144" s="193">
        <v>237</v>
      </c>
      <c r="P144" s="196">
        <f t="shared" ref="P144" si="1272">IFERROR(IF(O144=0," ",O144/$F144)," ")</f>
        <v>1</v>
      </c>
      <c r="Q144" s="193">
        <v>237</v>
      </c>
      <c r="R144" s="196">
        <f t="shared" ref="R144" si="1273">IFERROR(IF(Q144=0," ",Q144/$F144)," ")</f>
        <v>1</v>
      </c>
      <c r="S144" s="193">
        <v>237</v>
      </c>
      <c r="T144" s="196">
        <f t="shared" ref="T144" si="1274">IFERROR(IF(S144=0," ",S144/$F144)," ")</f>
        <v>1</v>
      </c>
      <c r="U144" s="193">
        <v>237</v>
      </c>
      <c r="V144" s="196">
        <f t="shared" ref="V144" si="1275">IFERROR(IF(U144=0," ",U144/$F144)," ")</f>
        <v>1</v>
      </c>
      <c r="W144" s="193">
        <v>237</v>
      </c>
      <c r="X144" s="196">
        <f t="shared" ref="X144" si="1276">IFERROR(IF(W144=0," ",W144/$F144)," ")</f>
        <v>1</v>
      </c>
      <c r="Y144" s="193">
        <v>237</v>
      </c>
      <c r="Z144" s="196">
        <f t="shared" ref="Z144" si="1277">IFERROR(IF(Y144=0," ",Y144/$F144)," ")</f>
        <v>1</v>
      </c>
      <c r="AA144" s="193">
        <v>237</v>
      </c>
      <c r="AB144" s="196">
        <f t="shared" ref="AB144" si="1278">IFERROR(IF(AA144=0," ",AA144/$F144)," ")</f>
        <v>1</v>
      </c>
      <c r="AC144" s="193">
        <v>237</v>
      </c>
      <c r="AD144" s="196">
        <f t="shared" ref="AD144" si="1279">IFERROR(IF(AC144=0," ",AC144/$F144)," ")</f>
        <v>1</v>
      </c>
      <c r="AE144" s="193">
        <v>237</v>
      </c>
      <c r="AF144" s="196">
        <f t="shared" ref="AF144" si="1280">IFERROR(IF(AE144=0," ",AE144/$F144)," ")</f>
        <v>1</v>
      </c>
      <c r="AG144" s="193">
        <v>237</v>
      </c>
      <c r="AH144" s="196">
        <f t="shared" ref="AH144" si="1281">IFERROR(IF(AG144=0," ",AG144/$F144)," ")</f>
        <v>1</v>
      </c>
      <c r="AI144" s="197"/>
      <c r="AJ144" s="177">
        <v>0</v>
      </c>
      <c r="AK144" s="177">
        <v>8858</v>
      </c>
      <c r="AL144" s="177">
        <v>20993.46</v>
      </c>
      <c r="AM144" s="177">
        <v>20993.46</v>
      </c>
      <c r="AN144" s="177">
        <v>20993.46</v>
      </c>
      <c r="AO144" s="177">
        <v>20993.46</v>
      </c>
      <c r="AP144" s="177">
        <v>20993.46</v>
      </c>
      <c r="AQ144" s="177">
        <v>20993.46</v>
      </c>
      <c r="AR144" s="177">
        <v>20993.46</v>
      </c>
      <c r="AS144" s="177">
        <v>20993.46</v>
      </c>
      <c r="AT144" s="177">
        <v>20993.46</v>
      </c>
      <c r="AU144" s="177">
        <v>20993.46</v>
      </c>
    </row>
    <row r="145" spans="1:47" x14ac:dyDescent="0.25">
      <c r="A145" s="190">
        <v>73</v>
      </c>
      <c r="B145" s="65">
        <v>9742.1</v>
      </c>
      <c r="C145" s="191" t="s">
        <v>304</v>
      </c>
      <c r="D145" s="65" t="s">
        <v>204</v>
      </c>
      <c r="E145" s="192">
        <f>IF(A145=" "," ",VLOOKUP(A145,Estimate!A:Q,17,FALSE))</f>
        <v>19800</v>
      </c>
      <c r="F145" s="193">
        <v>22</v>
      </c>
      <c r="G145" s="206">
        <v>1198.2245909090909</v>
      </c>
      <c r="H145" s="195">
        <v>1351.28</v>
      </c>
      <c r="I145" s="195">
        <v>29728.16</v>
      </c>
      <c r="J145" s="195"/>
      <c r="K145" s="193"/>
      <c r="L145" s="196" t="str">
        <f t="shared" ref="L145:N208" si="1282">IFERROR(IF(K145=0," ",K145/$F145)," ")</f>
        <v xml:space="preserve"> </v>
      </c>
      <c r="M145" s="193"/>
      <c r="N145" s="196" t="str">
        <f t="shared" si="1282"/>
        <v xml:space="preserve"> </v>
      </c>
      <c r="O145" s="193">
        <v>22</v>
      </c>
      <c r="P145" s="196">
        <f t="shared" ref="P145" si="1283">IFERROR(IF(O145=0," ",O145/$F145)," ")</f>
        <v>1</v>
      </c>
      <c r="Q145" s="193">
        <v>22</v>
      </c>
      <c r="R145" s="196">
        <f t="shared" ref="R145" si="1284">IFERROR(IF(Q145=0," ",Q145/$F145)," ")</f>
        <v>1</v>
      </c>
      <c r="S145" s="193">
        <v>22</v>
      </c>
      <c r="T145" s="196">
        <f t="shared" ref="T145" si="1285">IFERROR(IF(S145=0," ",S145/$F145)," ")</f>
        <v>1</v>
      </c>
      <c r="U145" s="193">
        <v>22</v>
      </c>
      <c r="V145" s="196">
        <f t="shared" ref="V145" si="1286">IFERROR(IF(U145=0," ",U145/$F145)," ")</f>
        <v>1</v>
      </c>
      <c r="W145" s="193">
        <v>22</v>
      </c>
      <c r="X145" s="196">
        <f t="shared" ref="X145" si="1287">IFERROR(IF(W145=0," ",W145/$F145)," ")</f>
        <v>1</v>
      </c>
      <c r="Y145" s="193">
        <v>22</v>
      </c>
      <c r="Z145" s="196">
        <f t="shared" ref="Z145" si="1288">IFERROR(IF(Y145=0," ",Y145/$F145)," ")</f>
        <v>1</v>
      </c>
      <c r="AA145" s="193">
        <v>22</v>
      </c>
      <c r="AB145" s="196">
        <f t="shared" ref="AB145" si="1289">IFERROR(IF(AA145=0," ",AA145/$F145)," ")</f>
        <v>1</v>
      </c>
      <c r="AC145" s="193">
        <v>22</v>
      </c>
      <c r="AD145" s="196">
        <f t="shared" ref="AD145" si="1290">IFERROR(IF(AC145=0," ",AC145/$F145)," ")</f>
        <v>1</v>
      </c>
      <c r="AE145" s="193">
        <v>22</v>
      </c>
      <c r="AF145" s="196">
        <f t="shared" ref="AF145" si="1291">IFERROR(IF(AE145=0," ",AE145/$F145)," ")</f>
        <v>1</v>
      </c>
      <c r="AG145" s="193">
        <v>22</v>
      </c>
      <c r="AH145" s="196">
        <f t="shared" ref="AH145" si="1292">IFERROR(IF(AG145=0," ",AG145/$F145)," ")</f>
        <v>1</v>
      </c>
      <c r="AI145" s="197"/>
      <c r="AJ145" s="177">
        <v>0</v>
      </c>
      <c r="AK145" s="177">
        <v>0</v>
      </c>
      <c r="AL145" s="177">
        <v>29728.16</v>
      </c>
      <c r="AM145" s="177">
        <v>29728.16</v>
      </c>
      <c r="AN145" s="177">
        <v>29728.16</v>
      </c>
      <c r="AO145" s="177">
        <v>29728.16</v>
      </c>
      <c r="AP145" s="177">
        <v>29728.16</v>
      </c>
      <c r="AQ145" s="177">
        <v>29728.16</v>
      </c>
      <c r="AR145" s="177">
        <v>29728.16</v>
      </c>
      <c r="AS145" s="177">
        <v>29728.16</v>
      </c>
      <c r="AT145" s="177">
        <v>29728.16</v>
      </c>
      <c r="AU145" s="177">
        <v>29728.16</v>
      </c>
    </row>
    <row r="146" spans="1:47" x14ac:dyDescent="0.25">
      <c r="A146" s="190">
        <v>74</v>
      </c>
      <c r="B146" s="65">
        <v>9742.2000000000007</v>
      </c>
      <c r="C146" s="191" t="s">
        <v>306</v>
      </c>
      <c r="D146" s="65" t="s">
        <v>204</v>
      </c>
      <c r="E146" s="192">
        <f>IF(A146=" "," ",VLOOKUP(A146,Estimate!A:Q,17,FALSE))</f>
        <v>1780</v>
      </c>
      <c r="F146" s="193">
        <v>1</v>
      </c>
      <c r="G146" s="206">
        <v>2369.828</v>
      </c>
      <c r="H146" s="195">
        <v>2672.54</v>
      </c>
      <c r="I146" s="195">
        <v>2672.54</v>
      </c>
      <c r="J146" s="195"/>
      <c r="K146" s="193"/>
      <c r="L146" s="196" t="str">
        <f t="shared" si="1282"/>
        <v xml:space="preserve"> </v>
      </c>
      <c r="M146" s="193"/>
      <c r="N146" s="196" t="str">
        <f t="shared" si="1282"/>
        <v xml:space="preserve"> </v>
      </c>
      <c r="O146" s="193">
        <v>1</v>
      </c>
      <c r="P146" s="196">
        <f t="shared" ref="P146" si="1293">IFERROR(IF(O146=0," ",O146/$F146)," ")</f>
        <v>1</v>
      </c>
      <c r="Q146" s="193">
        <v>1</v>
      </c>
      <c r="R146" s="196">
        <f t="shared" ref="R146" si="1294">IFERROR(IF(Q146=0," ",Q146/$F146)," ")</f>
        <v>1</v>
      </c>
      <c r="S146" s="193">
        <v>1</v>
      </c>
      <c r="T146" s="196">
        <f t="shared" ref="T146" si="1295">IFERROR(IF(S146=0," ",S146/$F146)," ")</f>
        <v>1</v>
      </c>
      <c r="U146" s="193">
        <v>1</v>
      </c>
      <c r="V146" s="196">
        <f t="shared" ref="V146" si="1296">IFERROR(IF(U146=0," ",U146/$F146)," ")</f>
        <v>1</v>
      </c>
      <c r="W146" s="193">
        <v>1</v>
      </c>
      <c r="X146" s="196">
        <f t="shared" ref="X146" si="1297">IFERROR(IF(W146=0," ",W146/$F146)," ")</f>
        <v>1</v>
      </c>
      <c r="Y146" s="193">
        <v>1</v>
      </c>
      <c r="Z146" s="196">
        <f t="shared" ref="Z146" si="1298">IFERROR(IF(Y146=0," ",Y146/$F146)," ")</f>
        <v>1</v>
      </c>
      <c r="AA146" s="193">
        <v>1</v>
      </c>
      <c r="AB146" s="196">
        <f t="shared" ref="AB146" si="1299">IFERROR(IF(AA146=0," ",AA146/$F146)," ")</f>
        <v>1</v>
      </c>
      <c r="AC146" s="193">
        <v>1</v>
      </c>
      <c r="AD146" s="196">
        <f t="shared" ref="AD146" si="1300">IFERROR(IF(AC146=0," ",AC146/$F146)," ")</f>
        <v>1</v>
      </c>
      <c r="AE146" s="193">
        <v>1</v>
      </c>
      <c r="AF146" s="196">
        <f t="shared" ref="AF146" si="1301">IFERROR(IF(AE146=0," ",AE146/$F146)," ")</f>
        <v>1</v>
      </c>
      <c r="AG146" s="193">
        <v>1</v>
      </c>
      <c r="AH146" s="196">
        <f t="shared" ref="AH146" si="1302">IFERROR(IF(AG146=0," ",AG146/$F146)," ")</f>
        <v>1</v>
      </c>
      <c r="AI146" s="197"/>
      <c r="AJ146" s="177">
        <v>0</v>
      </c>
      <c r="AK146" s="177">
        <v>0</v>
      </c>
      <c r="AL146" s="177">
        <v>2672.54</v>
      </c>
      <c r="AM146" s="177">
        <v>2672.54</v>
      </c>
      <c r="AN146" s="177">
        <v>2672.54</v>
      </c>
      <c r="AO146" s="177">
        <v>2672.54</v>
      </c>
      <c r="AP146" s="177">
        <v>2672.54</v>
      </c>
      <c r="AQ146" s="177">
        <v>2672.54</v>
      </c>
      <c r="AR146" s="177">
        <v>2672.54</v>
      </c>
      <c r="AS146" s="177">
        <v>2672.54</v>
      </c>
      <c r="AT146" s="177">
        <v>2672.54</v>
      </c>
      <c r="AU146" s="177">
        <v>2672.54</v>
      </c>
    </row>
    <row r="147" spans="1:47" x14ac:dyDescent="0.25">
      <c r="A147" s="190">
        <v>75</v>
      </c>
      <c r="B147" s="65">
        <v>9742.2999999999993</v>
      </c>
      <c r="C147" s="191" t="s">
        <v>308</v>
      </c>
      <c r="D147" s="65" t="s">
        <v>204</v>
      </c>
      <c r="E147" s="192">
        <f>IF(A147=" "," ",VLOOKUP(A147,Estimate!A:Q,17,FALSE))</f>
        <v>3700</v>
      </c>
      <c r="F147" s="193">
        <v>2</v>
      </c>
      <c r="G147" s="206">
        <v>2463.0230000000001</v>
      </c>
      <c r="H147" s="195">
        <v>2777.64</v>
      </c>
      <c r="I147" s="195">
        <v>5555.28</v>
      </c>
      <c r="J147" s="195"/>
      <c r="K147" s="193"/>
      <c r="L147" s="196" t="str">
        <f t="shared" si="1282"/>
        <v xml:space="preserve"> </v>
      </c>
      <c r="M147" s="193"/>
      <c r="N147" s="196" t="str">
        <f t="shared" si="1282"/>
        <v xml:space="preserve"> </v>
      </c>
      <c r="O147" s="193">
        <v>2</v>
      </c>
      <c r="P147" s="196">
        <f t="shared" ref="P147" si="1303">IFERROR(IF(O147=0," ",O147/$F147)," ")</f>
        <v>1</v>
      </c>
      <c r="Q147" s="193">
        <v>2</v>
      </c>
      <c r="R147" s="196">
        <f t="shared" ref="R147" si="1304">IFERROR(IF(Q147=0," ",Q147/$F147)," ")</f>
        <v>1</v>
      </c>
      <c r="S147" s="193">
        <v>2</v>
      </c>
      <c r="T147" s="196">
        <f t="shared" ref="T147" si="1305">IFERROR(IF(S147=0," ",S147/$F147)," ")</f>
        <v>1</v>
      </c>
      <c r="U147" s="193">
        <v>2</v>
      </c>
      <c r="V147" s="196">
        <f t="shared" ref="V147" si="1306">IFERROR(IF(U147=0," ",U147/$F147)," ")</f>
        <v>1</v>
      </c>
      <c r="W147" s="193">
        <v>2</v>
      </c>
      <c r="X147" s="196">
        <f t="shared" ref="X147" si="1307">IFERROR(IF(W147=0," ",W147/$F147)," ")</f>
        <v>1</v>
      </c>
      <c r="Y147" s="193">
        <v>2</v>
      </c>
      <c r="Z147" s="196">
        <f t="shared" ref="Z147" si="1308">IFERROR(IF(Y147=0," ",Y147/$F147)," ")</f>
        <v>1</v>
      </c>
      <c r="AA147" s="193">
        <v>2</v>
      </c>
      <c r="AB147" s="196">
        <f t="shared" ref="AB147" si="1309">IFERROR(IF(AA147=0," ",AA147/$F147)," ")</f>
        <v>1</v>
      </c>
      <c r="AC147" s="193">
        <v>2</v>
      </c>
      <c r="AD147" s="196">
        <f t="shared" ref="AD147" si="1310">IFERROR(IF(AC147=0," ",AC147/$F147)," ")</f>
        <v>1</v>
      </c>
      <c r="AE147" s="193">
        <v>2</v>
      </c>
      <c r="AF147" s="196">
        <f t="shared" ref="AF147" si="1311">IFERROR(IF(AE147=0," ",AE147/$F147)," ")</f>
        <v>1</v>
      </c>
      <c r="AG147" s="193">
        <v>2</v>
      </c>
      <c r="AH147" s="196">
        <f t="shared" ref="AH147" si="1312">IFERROR(IF(AG147=0," ",AG147/$F147)," ")</f>
        <v>1</v>
      </c>
      <c r="AI147" s="197"/>
      <c r="AJ147" s="177">
        <v>0</v>
      </c>
      <c r="AK147" s="177">
        <v>0</v>
      </c>
      <c r="AL147" s="177">
        <v>5555.28</v>
      </c>
      <c r="AM147" s="177">
        <v>5555.28</v>
      </c>
      <c r="AN147" s="177">
        <v>5555.28</v>
      </c>
      <c r="AO147" s="177">
        <v>5555.28</v>
      </c>
      <c r="AP147" s="177">
        <v>5555.28</v>
      </c>
      <c r="AQ147" s="177">
        <v>5555.28</v>
      </c>
      <c r="AR147" s="177">
        <v>5555.28</v>
      </c>
      <c r="AS147" s="177">
        <v>5555.28</v>
      </c>
      <c r="AT147" s="177">
        <v>5555.28</v>
      </c>
      <c r="AU147" s="177">
        <v>5555.28</v>
      </c>
    </row>
    <row r="148" spans="1:47" ht="30" x14ac:dyDescent="0.25">
      <c r="A148" s="190">
        <v>76</v>
      </c>
      <c r="B148" s="65">
        <v>9745.2000000000007</v>
      </c>
      <c r="C148" s="191" t="s">
        <v>310</v>
      </c>
      <c r="D148" s="65" t="s">
        <v>26</v>
      </c>
      <c r="E148" s="192">
        <f>IF(A148=" "," ",VLOOKUP(A148,Estimate!A:Q,17,FALSE))</f>
        <v>5550</v>
      </c>
      <c r="F148" s="193" t="s">
        <v>642</v>
      </c>
      <c r="G148" s="206" t="s">
        <v>642</v>
      </c>
      <c r="H148" s="195" t="s">
        <v>642</v>
      </c>
      <c r="I148" s="195" t="s">
        <v>642</v>
      </c>
      <c r="J148" s="195"/>
      <c r="K148" s="193" t="s">
        <v>642</v>
      </c>
      <c r="L148" s="196" t="str">
        <f t="shared" si="1282"/>
        <v xml:space="preserve"> </v>
      </c>
      <c r="M148" s="193" t="s">
        <v>642</v>
      </c>
      <c r="N148" s="196" t="str">
        <f t="shared" si="1282"/>
        <v xml:space="preserve"> </v>
      </c>
      <c r="O148" s="193" t="s">
        <v>642</v>
      </c>
      <c r="P148" s="196" t="str">
        <f t="shared" ref="P148" si="1313">IFERROR(IF(O148=0," ",O148/$F148)," ")</f>
        <v xml:space="preserve"> </v>
      </c>
      <c r="Q148" s="193" t="s">
        <v>642</v>
      </c>
      <c r="R148" s="196" t="str">
        <f t="shared" ref="R148" si="1314">IFERROR(IF(Q148=0," ",Q148/$F148)," ")</f>
        <v xml:space="preserve"> </v>
      </c>
      <c r="S148" s="193" t="s">
        <v>642</v>
      </c>
      <c r="T148" s="196" t="str">
        <f t="shared" ref="T148" si="1315">IFERROR(IF(S148=0," ",S148/$F148)," ")</f>
        <v xml:space="preserve"> </v>
      </c>
      <c r="U148" s="193" t="s">
        <v>642</v>
      </c>
      <c r="V148" s="196" t="str">
        <f t="shared" ref="V148" si="1316">IFERROR(IF(U148=0," ",U148/$F148)," ")</f>
        <v xml:space="preserve"> </v>
      </c>
      <c r="W148" s="193" t="s">
        <v>642</v>
      </c>
      <c r="X148" s="196" t="str">
        <f t="shared" ref="X148" si="1317">IFERROR(IF(W148=0," ",W148/$F148)," ")</f>
        <v xml:space="preserve"> </v>
      </c>
      <c r="Y148" s="193" t="s">
        <v>642</v>
      </c>
      <c r="Z148" s="196" t="str">
        <f t="shared" ref="Z148" si="1318">IFERROR(IF(Y148=0," ",Y148/$F148)," ")</f>
        <v xml:space="preserve"> </v>
      </c>
      <c r="AA148" s="193" t="s">
        <v>642</v>
      </c>
      <c r="AB148" s="196" t="str">
        <f t="shared" ref="AB148" si="1319">IFERROR(IF(AA148=0," ",AA148/$F148)," ")</f>
        <v xml:space="preserve"> </v>
      </c>
      <c r="AC148" s="193" t="s">
        <v>642</v>
      </c>
      <c r="AD148" s="196" t="str">
        <f t="shared" ref="AD148" si="1320">IFERROR(IF(AC148=0," ",AC148/$F148)," ")</f>
        <v xml:space="preserve"> </v>
      </c>
      <c r="AE148" s="193" t="s">
        <v>642</v>
      </c>
      <c r="AF148" s="196" t="str">
        <f t="shared" ref="AF148" si="1321">IFERROR(IF(AE148=0," ",AE148/$F148)," ")</f>
        <v xml:space="preserve"> </v>
      </c>
      <c r="AG148" s="193" t="s">
        <v>642</v>
      </c>
      <c r="AH148" s="196" t="str">
        <f t="shared" ref="AH148" si="1322">IFERROR(IF(AG148=0," ",AG148/$F148)," ")</f>
        <v xml:space="preserve"> </v>
      </c>
      <c r="AI148" s="197"/>
      <c r="AJ148" s="177" t="s">
        <v>642</v>
      </c>
      <c r="AK148" s="177" t="s">
        <v>642</v>
      </c>
      <c r="AL148" s="177" t="s">
        <v>642</v>
      </c>
      <c r="AM148" s="177" t="s">
        <v>642</v>
      </c>
      <c r="AN148" s="177" t="s">
        <v>642</v>
      </c>
      <c r="AO148" s="177" t="s">
        <v>642</v>
      </c>
      <c r="AP148" s="177" t="s">
        <v>642</v>
      </c>
      <c r="AQ148" s="177" t="s">
        <v>642</v>
      </c>
      <c r="AR148" s="177" t="s">
        <v>642</v>
      </c>
      <c r="AS148" s="177" t="s">
        <v>642</v>
      </c>
      <c r="AT148" s="177" t="s">
        <v>642</v>
      </c>
      <c r="AU148" s="177" t="s">
        <v>642</v>
      </c>
    </row>
    <row r="149" spans="1:47" ht="60" x14ac:dyDescent="0.25">
      <c r="A149" s="190">
        <v>77</v>
      </c>
      <c r="B149" s="65">
        <v>9745.2999999999993</v>
      </c>
      <c r="C149" s="191" t="s">
        <v>312</v>
      </c>
      <c r="D149" s="65" t="s">
        <v>61</v>
      </c>
      <c r="E149" s="192">
        <f>IF(A149=" "," ",VLOOKUP(A149,Estimate!A:Q,17,FALSE))</f>
        <v>500</v>
      </c>
      <c r="F149" s="193" t="s">
        <v>642</v>
      </c>
      <c r="G149" s="206" t="s">
        <v>642</v>
      </c>
      <c r="H149" s="195" t="s">
        <v>642</v>
      </c>
      <c r="I149" s="195" t="s">
        <v>642</v>
      </c>
      <c r="J149" s="195"/>
      <c r="K149" s="193" t="s">
        <v>642</v>
      </c>
      <c r="L149" s="196" t="str">
        <f t="shared" si="1282"/>
        <v xml:space="preserve"> </v>
      </c>
      <c r="M149" s="193" t="s">
        <v>642</v>
      </c>
      <c r="N149" s="196" t="str">
        <f t="shared" si="1282"/>
        <v xml:space="preserve"> </v>
      </c>
      <c r="O149" s="193" t="s">
        <v>642</v>
      </c>
      <c r="P149" s="196" t="str">
        <f t="shared" ref="P149" si="1323">IFERROR(IF(O149=0," ",O149/$F149)," ")</f>
        <v xml:space="preserve"> </v>
      </c>
      <c r="Q149" s="193" t="s">
        <v>642</v>
      </c>
      <c r="R149" s="196" t="str">
        <f t="shared" ref="R149" si="1324">IFERROR(IF(Q149=0," ",Q149/$F149)," ")</f>
        <v xml:space="preserve"> </v>
      </c>
      <c r="S149" s="193" t="s">
        <v>642</v>
      </c>
      <c r="T149" s="196" t="str">
        <f t="shared" ref="T149" si="1325">IFERROR(IF(S149=0," ",S149/$F149)," ")</f>
        <v xml:space="preserve"> </v>
      </c>
      <c r="U149" s="193" t="s">
        <v>642</v>
      </c>
      <c r="V149" s="196" t="str">
        <f t="shared" ref="V149" si="1326">IFERROR(IF(U149=0," ",U149/$F149)," ")</f>
        <v xml:space="preserve"> </v>
      </c>
      <c r="W149" s="193" t="s">
        <v>642</v>
      </c>
      <c r="X149" s="196" t="str">
        <f t="shared" ref="X149" si="1327">IFERROR(IF(W149=0," ",W149/$F149)," ")</f>
        <v xml:space="preserve"> </v>
      </c>
      <c r="Y149" s="193" t="s">
        <v>642</v>
      </c>
      <c r="Z149" s="196" t="str">
        <f t="shared" ref="Z149" si="1328">IFERROR(IF(Y149=0," ",Y149/$F149)," ")</f>
        <v xml:space="preserve"> </v>
      </c>
      <c r="AA149" s="193" t="s">
        <v>642</v>
      </c>
      <c r="AB149" s="196" t="str">
        <f t="shared" ref="AB149" si="1329">IFERROR(IF(AA149=0," ",AA149/$F149)," ")</f>
        <v xml:space="preserve"> </v>
      </c>
      <c r="AC149" s="193" t="s">
        <v>642</v>
      </c>
      <c r="AD149" s="196" t="str">
        <f t="shared" ref="AD149" si="1330">IFERROR(IF(AC149=0," ",AC149/$F149)," ")</f>
        <v xml:space="preserve"> </v>
      </c>
      <c r="AE149" s="193" t="s">
        <v>642</v>
      </c>
      <c r="AF149" s="196" t="str">
        <f t="shared" ref="AF149" si="1331">IFERROR(IF(AE149=0," ",AE149/$F149)," ")</f>
        <v xml:space="preserve"> </v>
      </c>
      <c r="AG149" s="193" t="s">
        <v>642</v>
      </c>
      <c r="AH149" s="196" t="str">
        <f t="shared" ref="AH149" si="1332">IFERROR(IF(AG149=0," ",AG149/$F149)," ")</f>
        <v xml:space="preserve"> </v>
      </c>
      <c r="AI149" s="197"/>
      <c r="AJ149" s="177" t="s">
        <v>642</v>
      </c>
      <c r="AK149" s="177" t="s">
        <v>642</v>
      </c>
      <c r="AL149" s="177" t="s">
        <v>642</v>
      </c>
      <c r="AM149" s="177" t="s">
        <v>642</v>
      </c>
      <c r="AN149" s="177" t="s">
        <v>642</v>
      </c>
      <c r="AO149" s="177" t="s">
        <v>642</v>
      </c>
      <c r="AP149" s="177" t="s">
        <v>642</v>
      </c>
      <c r="AQ149" s="177" t="s">
        <v>642</v>
      </c>
      <c r="AR149" s="177" t="s">
        <v>642</v>
      </c>
      <c r="AS149" s="177" t="s">
        <v>642</v>
      </c>
      <c r="AT149" s="177" t="s">
        <v>642</v>
      </c>
      <c r="AU149" s="177" t="s">
        <v>642</v>
      </c>
    </row>
    <row r="150" spans="1:47" ht="45" x14ac:dyDescent="0.25">
      <c r="A150" s="190">
        <v>78</v>
      </c>
      <c r="B150" s="65">
        <v>9750.1</v>
      </c>
      <c r="C150" s="191" t="s">
        <v>314</v>
      </c>
      <c r="D150" s="65" t="s">
        <v>17</v>
      </c>
      <c r="E150" s="192">
        <f>IF(A150=" "," ",VLOOKUP(A150,Estimate!A:Q,17,FALSE))</f>
        <v>1500</v>
      </c>
      <c r="F150" s="193">
        <v>1</v>
      </c>
      <c r="G150" s="206">
        <v>1997.0450000000001</v>
      </c>
      <c r="H150" s="195">
        <v>2252.14</v>
      </c>
      <c r="I150" s="195">
        <v>2252.14</v>
      </c>
      <c r="J150" s="195"/>
      <c r="K150" s="193"/>
      <c r="L150" s="196" t="str">
        <f t="shared" si="1282"/>
        <v xml:space="preserve"> </v>
      </c>
      <c r="M150" s="193">
        <v>1</v>
      </c>
      <c r="N150" s="196">
        <f t="shared" si="1282"/>
        <v>1</v>
      </c>
      <c r="O150" s="193">
        <v>1</v>
      </c>
      <c r="P150" s="196">
        <f t="shared" ref="P150" si="1333">IFERROR(IF(O150=0," ",O150/$F150)," ")</f>
        <v>1</v>
      </c>
      <c r="Q150" s="193">
        <v>1</v>
      </c>
      <c r="R150" s="196">
        <f t="shared" ref="R150" si="1334">IFERROR(IF(Q150=0," ",Q150/$F150)," ")</f>
        <v>1</v>
      </c>
      <c r="S150" s="193">
        <v>1</v>
      </c>
      <c r="T150" s="196">
        <f t="shared" ref="T150" si="1335">IFERROR(IF(S150=0," ",S150/$F150)," ")</f>
        <v>1</v>
      </c>
      <c r="U150" s="193">
        <v>1</v>
      </c>
      <c r="V150" s="196">
        <f t="shared" ref="V150" si="1336">IFERROR(IF(U150=0," ",U150/$F150)," ")</f>
        <v>1</v>
      </c>
      <c r="W150" s="193">
        <v>1</v>
      </c>
      <c r="X150" s="196">
        <f t="shared" ref="X150" si="1337">IFERROR(IF(W150=0," ",W150/$F150)," ")</f>
        <v>1</v>
      </c>
      <c r="Y150" s="193">
        <v>1</v>
      </c>
      <c r="Z150" s="196">
        <f t="shared" ref="Z150" si="1338">IFERROR(IF(Y150=0," ",Y150/$F150)," ")</f>
        <v>1</v>
      </c>
      <c r="AA150" s="193">
        <v>1</v>
      </c>
      <c r="AB150" s="196">
        <f t="shared" ref="AB150" si="1339">IFERROR(IF(AA150=0," ",AA150/$F150)," ")</f>
        <v>1</v>
      </c>
      <c r="AC150" s="193">
        <v>1</v>
      </c>
      <c r="AD150" s="196">
        <f t="shared" ref="AD150" si="1340">IFERROR(IF(AC150=0," ",AC150/$F150)," ")</f>
        <v>1</v>
      </c>
      <c r="AE150" s="193">
        <v>1</v>
      </c>
      <c r="AF150" s="196">
        <f t="shared" ref="AF150" si="1341">IFERROR(IF(AE150=0," ",AE150/$F150)," ")</f>
        <v>1</v>
      </c>
      <c r="AG150" s="193">
        <v>1</v>
      </c>
      <c r="AH150" s="196">
        <f t="shared" ref="AH150" si="1342">IFERROR(IF(AG150=0," ",AG150/$F150)," ")</f>
        <v>1</v>
      </c>
      <c r="AI150" s="197"/>
      <c r="AJ150" s="177">
        <v>0</v>
      </c>
      <c r="AK150" s="177">
        <v>2252.14</v>
      </c>
      <c r="AL150" s="177">
        <v>2252.14</v>
      </c>
      <c r="AM150" s="177">
        <v>2252.14</v>
      </c>
      <c r="AN150" s="177">
        <v>2252.14</v>
      </c>
      <c r="AO150" s="177">
        <v>2252.14</v>
      </c>
      <c r="AP150" s="177">
        <v>2252.14</v>
      </c>
      <c r="AQ150" s="177">
        <v>2252.14</v>
      </c>
      <c r="AR150" s="177">
        <v>2252.14</v>
      </c>
      <c r="AS150" s="177">
        <v>2252.14</v>
      </c>
      <c r="AT150" s="177">
        <v>2252.14</v>
      </c>
      <c r="AU150" s="177">
        <v>2252.14</v>
      </c>
    </row>
    <row r="151" spans="1:47" ht="30" x14ac:dyDescent="0.25">
      <c r="A151" s="190">
        <v>79</v>
      </c>
      <c r="B151" s="65">
        <v>9751.1</v>
      </c>
      <c r="C151" s="191" t="s">
        <v>316</v>
      </c>
      <c r="D151" s="65" t="s">
        <v>17</v>
      </c>
      <c r="E151" s="192">
        <f>IF(A151=" "," ",VLOOKUP(A151,Estimate!A:Q,17,FALSE))</f>
        <v>2500</v>
      </c>
      <c r="F151" s="193">
        <v>1</v>
      </c>
      <c r="G151" s="206">
        <v>3328.4049999999997</v>
      </c>
      <c r="H151" s="195">
        <v>3753.56</v>
      </c>
      <c r="I151" s="195">
        <v>3753.56</v>
      </c>
      <c r="J151" s="195"/>
      <c r="K151" s="193"/>
      <c r="L151" s="196" t="str">
        <f t="shared" si="1282"/>
        <v xml:space="preserve"> </v>
      </c>
      <c r="M151" s="193">
        <v>0.8</v>
      </c>
      <c r="N151" s="196">
        <f t="shared" si="1282"/>
        <v>0.8</v>
      </c>
      <c r="O151" s="193">
        <v>0.8</v>
      </c>
      <c r="P151" s="196">
        <f t="shared" ref="P151" si="1343">IFERROR(IF(O151=0," ",O151/$F151)," ")</f>
        <v>0.8</v>
      </c>
      <c r="Q151" s="193">
        <v>0.8</v>
      </c>
      <c r="R151" s="196">
        <f t="shared" ref="R151" si="1344">IFERROR(IF(Q151=0," ",Q151/$F151)," ")</f>
        <v>0.8</v>
      </c>
      <c r="S151" s="193">
        <v>0.8</v>
      </c>
      <c r="T151" s="196">
        <f t="shared" ref="T151" si="1345">IFERROR(IF(S151=0," ",S151/$F151)," ")</f>
        <v>0.8</v>
      </c>
      <c r="U151" s="193">
        <v>0.8</v>
      </c>
      <c r="V151" s="196">
        <f t="shared" ref="V151" si="1346">IFERROR(IF(U151=0," ",U151/$F151)," ")</f>
        <v>0.8</v>
      </c>
      <c r="W151" s="193">
        <v>0.8</v>
      </c>
      <c r="X151" s="196">
        <f t="shared" ref="X151" si="1347">IFERROR(IF(W151=0," ",W151/$F151)," ")</f>
        <v>0.8</v>
      </c>
      <c r="Y151" s="193">
        <v>1</v>
      </c>
      <c r="Z151" s="196">
        <f t="shared" ref="Z151" si="1348">IFERROR(IF(Y151=0," ",Y151/$F151)," ")</f>
        <v>1</v>
      </c>
      <c r="AA151" s="193">
        <v>1</v>
      </c>
      <c r="AB151" s="196">
        <f t="shared" ref="AB151" si="1349">IFERROR(IF(AA151=0," ",AA151/$F151)," ")</f>
        <v>1</v>
      </c>
      <c r="AC151" s="193">
        <v>1</v>
      </c>
      <c r="AD151" s="196">
        <f t="shared" ref="AD151" si="1350">IFERROR(IF(AC151=0," ",AC151/$F151)," ")</f>
        <v>1</v>
      </c>
      <c r="AE151" s="193">
        <v>1</v>
      </c>
      <c r="AF151" s="196">
        <f t="shared" ref="AF151" si="1351">IFERROR(IF(AE151=0," ",AE151/$F151)," ")</f>
        <v>1</v>
      </c>
      <c r="AG151" s="193">
        <v>1</v>
      </c>
      <c r="AH151" s="196">
        <f t="shared" ref="AH151" si="1352">IFERROR(IF(AG151=0," ",AG151/$F151)," ")</f>
        <v>1</v>
      </c>
      <c r="AI151" s="197"/>
      <c r="AJ151" s="177">
        <v>0</v>
      </c>
      <c r="AK151" s="177">
        <v>3002.848</v>
      </c>
      <c r="AL151" s="177">
        <v>3002.848</v>
      </c>
      <c r="AM151" s="177">
        <v>3002.848</v>
      </c>
      <c r="AN151" s="177">
        <v>3002.848</v>
      </c>
      <c r="AO151" s="177">
        <v>3002.848</v>
      </c>
      <c r="AP151" s="177">
        <v>3002.848</v>
      </c>
      <c r="AQ151" s="177">
        <v>3753.56</v>
      </c>
      <c r="AR151" s="177">
        <v>3753.56</v>
      </c>
      <c r="AS151" s="177">
        <v>3753.56</v>
      </c>
      <c r="AT151" s="177">
        <v>3753.56</v>
      </c>
      <c r="AU151" s="177">
        <v>3753.56</v>
      </c>
    </row>
    <row r="152" spans="1:47" x14ac:dyDescent="0.25">
      <c r="A152" s="190" t="s">
        <v>642</v>
      </c>
      <c r="B152" s="65" t="s">
        <v>745</v>
      </c>
      <c r="C152" s="191" t="s">
        <v>642</v>
      </c>
      <c r="D152" s="65" t="s">
        <v>747</v>
      </c>
      <c r="E152" s="192" t="str">
        <f>IF(A152=" "," ",VLOOKUP(A152,Estimate!A:Q,17,FALSE))</f>
        <v xml:space="preserve"> </v>
      </c>
      <c r="F152" s="193" t="s">
        <v>642</v>
      </c>
      <c r="G152" s="206"/>
      <c r="H152" s="195" t="s">
        <v>642</v>
      </c>
      <c r="I152" s="195" t="s">
        <v>642</v>
      </c>
      <c r="J152" s="195"/>
      <c r="K152" s="193" t="s">
        <v>642</v>
      </c>
      <c r="L152" s="196" t="str">
        <f t="shared" si="1282"/>
        <v xml:space="preserve"> </v>
      </c>
      <c r="M152" s="193" t="s">
        <v>642</v>
      </c>
      <c r="N152" s="196" t="str">
        <f t="shared" si="1282"/>
        <v xml:space="preserve"> </v>
      </c>
      <c r="O152" s="193" t="s">
        <v>642</v>
      </c>
      <c r="P152" s="196" t="str">
        <f t="shared" ref="P152" si="1353">IFERROR(IF(O152=0," ",O152/$F152)," ")</f>
        <v xml:space="preserve"> </v>
      </c>
      <c r="Q152" s="193" t="s">
        <v>642</v>
      </c>
      <c r="R152" s="196" t="str">
        <f t="shared" ref="R152" si="1354">IFERROR(IF(Q152=0," ",Q152/$F152)," ")</f>
        <v xml:space="preserve"> </v>
      </c>
      <c r="S152" s="193" t="s">
        <v>642</v>
      </c>
      <c r="T152" s="196" t="str">
        <f t="shared" ref="T152" si="1355">IFERROR(IF(S152=0," ",S152/$F152)," ")</f>
        <v xml:space="preserve"> </v>
      </c>
      <c r="U152" s="193" t="s">
        <v>642</v>
      </c>
      <c r="V152" s="196" t="str">
        <f t="shared" ref="V152" si="1356">IFERROR(IF(U152=0," ",U152/$F152)," ")</f>
        <v xml:space="preserve"> </v>
      </c>
      <c r="W152" s="193" t="s">
        <v>642</v>
      </c>
      <c r="X152" s="196" t="str">
        <f t="shared" ref="X152" si="1357">IFERROR(IF(W152=0," ",W152/$F152)," ")</f>
        <v xml:space="preserve"> </v>
      </c>
      <c r="Y152" s="193" t="s">
        <v>642</v>
      </c>
      <c r="Z152" s="196" t="str">
        <f t="shared" ref="Z152" si="1358">IFERROR(IF(Y152=0," ",Y152/$F152)," ")</f>
        <v xml:space="preserve"> </v>
      </c>
      <c r="AA152" s="193" t="s">
        <v>642</v>
      </c>
      <c r="AB152" s="196" t="str">
        <f t="shared" ref="AB152" si="1359">IFERROR(IF(AA152=0," ",AA152/$F152)," ")</f>
        <v xml:space="preserve"> </v>
      </c>
      <c r="AC152" s="193" t="s">
        <v>642</v>
      </c>
      <c r="AD152" s="196" t="str">
        <f t="shared" ref="AD152" si="1360">IFERROR(IF(AC152=0," ",AC152/$F152)," ")</f>
        <v xml:space="preserve"> </v>
      </c>
      <c r="AE152" s="193" t="s">
        <v>642</v>
      </c>
      <c r="AF152" s="196" t="str">
        <f t="shared" ref="AF152" si="1361">IFERROR(IF(AE152=0," ",AE152/$F152)," ")</f>
        <v xml:space="preserve"> </v>
      </c>
      <c r="AG152" s="193" t="s">
        <v>642</v>
      </c>
      <c r="AH152" s="196" t="str">
        <f t="shared" ref="AH152" si="1362">IFERROR(IF(AG152=0," ",AG152/$F152)," ")</f>
        <v xml:space="preserve"> </v>
      </c>
      <c r="AI152" s="197"/>
      <c r="AJ152" s="177" t="s">
        <v>642</v>
      </c>
      <c r="AK152" s="177" t="s">
        <v>642</v>
      </c>
      <c r="AL152" s="177" t="s">
        <v>642</v>
      </c>
      <c r="AM152" s="177" t="s">
        <v>642</v>
      </c>
      <c r="AN152" s="177" t="s">
        <v>642</v>
      </c>
      <c r="AO152" s="177" t="s">
        <v>642</v>
      </c>
      <c r="AP152" s="177" t="s">
        <v>642</v>
      </c>
      <c r="AQ152" s="177" t="s">
        <v>642</v>
      </c>
      <c r="AR152" s="177" t="s">
        <v>642</v>
      </c>
      <c r="AS152" s="177" t="s">
        <v>642</v>
      </c>
      <c r="AT152" s="177" t="s">
        <v>642</v>
      </c>
      <c r="AU152" s="177" t="s">
        <v>642</v>
      </c>
    </row>
    <row r="153" spans="1:47" x14ac:dyDescent="0.25">
      <c r="A153" s="190" t="s">
        <v>642</v>
      </c>
      <c r="B153" s="65" t="s">
        <v>764</v>
      </c>
      <c r="C153" s="191" t="s">
        <v>318</v>
      </c>
      <c r="D153" s="65" t="s">
        <v>747</v>
      </c>
      <c r="E153" s="192" t="str">
        <f>IF(A153=" "," ",VLOOKUP(A153,Estimate!A:Q,17,FALSE))</f>
        <v xml:space="preserve"> </v>
      </c>
      <c r="F153" s="193" t="s">
        <v>642</v>
      </c>
      <c r="G153" s="206" t="s">
        <v>642</v>
      </c>
      <c r="H153" s="195" t="s">
        <v>642</v>
      </c>
      <c r="I153" s="195" t="s">
        <v>642</v>
      </c>
      <c r="J153" s="195"/>
      <c r="K153" s="193" t="s">
        <v>642</v>
      </c>
      <c r="L153" s="196" t="str">
        <f t="shared" si="1282"/>
        <v xml:space="preserve"> </v>
      </c>
      <c r="M153" s="193" t="s">
        <v>642</v>
      </c>
      <c r="N153" s="196" t="str">
        <f t="shared" si="1282"/>
        <v xml:space="preserve"> </v>
      </c>
      <c r="O153" s="193" t="s">
        <v>642</v>
      </c>
      <c r="P153" s="196" t="str">
        <f t="shared" ref="P153" si="1363">IFERROR(IF(O153=0," ",O153/$F153)," ")</f>
        <v xml:space="preserve"> </v>
      </c>
      <c r="Q153" s="193" t="s">
        <v>642</v>
      </c>
      <c r="R153" s="196" t="str">
        <f t="shared" ref="R153" si="1364">IFERROR(IF(Q153=0," ",Q153/$F153)," ")</f>
        <v xml:space="preserve"> </v>
      </c>
      <c r="S153" s="193" t="s">
        <v>642</v>
      </c>
      <c r="T153" s="196" t="str">
        <f t="shared" ref="T153" si="1365">IFERROR(IF(S153=0," ",S153/$F153)," ")</f>
        <v xml:space="preserve"> </v>
      </c>
      <c r="U153" s="193" t="s">
        <v>642</v>
      </c>
      <c r="V153" s="196" t="str">
        <f t="shared" ref="V153" si="1366">IFERROR(IF(U153=0," ",U153/$F153)," ")</f>
        <v xml:space="preserve"> </v>
      </c>
      <c r="W153" s="193" t="s">
        <v>642</v>
      </c>
      <c r="X153" s="196" t="str">
        <f t="shared" ref="X153" si="1367">IFERROR(IF(W153=0," ",W153/$F153)," ")</f>
        <v xml:space="preserve"> </v>
      </c>
      <c r="Y153" s="193" t="s">
        <v>642</v>
      </c>
      <c r="Z153" s="196" t="str">
        <f t="shared" ref="Z153" si="1368">IFERROR(IF(Y153=0," ",Y153/$F153)," ")</f>
        <v xml:space="preserve"> </v>
      </c>
      <c r="AA153" s="193" t="s">
        <v>642</v>
      </c>
      <c r="AB153" s="196" t="str">
        <f t="shared" ref="AB153" si="1369">IFERROR(IF(AA153=0," ",AA153/$F153)," ")</f>
        <v xml:space="preserve"> </v>
      </c>
      <c r="AC153" s="193" t="s">
        <v>642</v>
      </c>
      <c r="AD153" s="196" t="str">
        <f t="shared" ref="AD153" si="1370">IFERROR(IF(AC153=0," ",AC153/$F153)," ")</f>
        <v xml:space="preserve"> </v>
      </c>
      <c r="AE153" s="193" t="s">
        <v>642</v>
      </c>
      <c r="AF153" s="196" t="str">
        <f t="shared" ref="AF153" si="1371">IFERROR(IF(AE153=0," ",AE153/$F153)," ")</f>
        <v xml:space="preserve"> </v>
      </c>
      <c r="AG153" s="193" t="s">
        <v>642</v>
      </c>
      <c r="AH153" s="196" t="str">
        <f t="shared" ref="AH153" si="1372">IFERROR(IF(AG153=0," ",AG153/$F153)," ")</f>
        <v xml:space="preserve"> </v>
      </c>
      <c r="AI153" s="197"/>
      <c r="AJ153" s="177" t="s">
        <v>642</v>
      </c>
      <c r="AK153" s="177" t="s">
        <v>642</v>
      </c>
      <c r="AL153" s="177" t="s">
        <v>642</v>
      </c>
      <c r="AM153" s="177" t="s">
        <v>642</v>
      </c>
      <c r="AN153" s="177" t="s">
        <v>642</v>
      </c>
      <c r="AO153" s="177" t="s">
        <v>642</v>
      </c>
      <c r="AP153" s="177" t="s">
        <v>642</v>
      </c>
      <c r="AQ153" s="177" t="s">
        <v>642</v>
      </c>
      <c r="AR153" s="177" t="s">
        <v>642</v>
      </c>
      <c r="AS153" s="177" t="s">
        <v>642</v>
      </c>
      <c r="AT153" s="177" t="s">
        <v>642</v>
      </c>
      <c r="AU153" s="177" t="s">
        <v>642</v>
      </c>
    </row>
    <row r="154" spans="1:47" x14ac:dyDescent="0.25">
      <c r="A154" s="190" t="s">
        <v>642</v>
      </c>
      <c r="B154" s="65">
        <v>9100</v>
      </c>
      <c r="C154" s="191" t="s">
        <v>767</v>
      </c>
      <c r="D154" s="65" t="s">
        <v>747</v>
      </c>
      <c r="E154" s="192" t="str">
        <f>IF(A154=" "," ",VLOOKUP(A154,Estimate!A:Q,17,FALSE))</f>
        <v xml:space="preserve"> </v>
      </c>
      <c r="F154" s="193" t="s">
        <v>642</v>
      </c>
      <c r="G154" s="206" t="s">
        <v>642</v>
      </c>
      <c r="H154" s="195" t="s">
        <v>642</v>
      </c>
      <c r="I154" s="195" t="s">
        <v>642</v>
      </c>
      <c r="J154" s="195"/>
      <c r="K154" s="193" t="s">
        <v>642</v>
      </c>
      <c r="L154" s="196" t="str">
        <f t="shared" si="1282"/>
        <v xml:space="preserve"> </v>
      </c>
      <c r="M154" s="193" t="s">
        <v>642</v>
      </c>
      <c r="N154" s="196" t="str">
        <f t="shared" si="1282"/>
        <v xml:space="preserve"> </v>
      </c>
      <c r="O154" s="193" t="s">
        <v>642</v>
      </c>
      <c r="P154" s="196" t="str">
        <f t="shared" ref="P154" si="1373">IFERROR(IF(O154=0," ",O154/$F154)," ")</f>
        <v xml:space="preserve"> </v>
      </c>
      <c r="Q154" s="193" t="s">
        <v>642</v>
      </c>
      <c r="R154" s="196" t="str">
        <f t="shared" ref="R154" si="1374">IFERROR(IF(Q154=0," ",Q154/$F154)," ")</f>
        <v xml:space="preserve"> </v>
      </c>
      <c r="S154" s="193" t="s">
        <v>642</v>
      </c>
      <c r="T154" s="196" t="str">
        <f t="shared" ref="T154" si="1375">IFERROR(IF(S154=0," ",S154/$F154)," ")</f>
        <v xml:space="preserve"> </v>
      </c>
      <c r="U154" s="193" t="s">
        <v>642</v>
      </c>
      <c r="V154" s="196" t="str">
        <f t="shared" ref="V154" si="1376">IFERROR(IF(U154=0," ",U154/$F154)," ")</f>
        <v xml:space="preserve"> </v>
      </c>
      <c r="W154" s="193" t="s">
        <v>642</v>
      </c>
      <c r="X154" s="196" t="str">
        <f t="shared" ref="X154" si="1377">IFERROR(IF(W154=0," ",W154/$F154)," ")</f>
        <v xml:space="preserve"> </v>
      </c>
      <c r="Y154" s="193" t="s">
        <v>642</v>
      </c>
      <c r="Z154" s="196" t="str">
        <f t="shared" ref="Z154" si="1378">IFERROR(IF(Y154=0," ",Y154/$F154)," ")</f>
        <v xml:space="preserve"> </v>
      </c>
      <c r="AA154" s="193" t="s">
        <v>642</v>
      </c>
      <c r="AB154" s="196" t="str">
        <f t="shared" ref="AB154" si="1379">IFERROR(IF(AA154=0," ",AA154/$F154)," ")</f>
        <v xml:space="preserve"> </v>
      </c>
      <c r="AC154" s="193" t="s">
        <v>642</v>
      </c>
      <c r="AD154" s="196" t="str">
        <f t="shared" ref="AD154" si="1380">IFERROR(IF(AC154=0," ",AC154/$F154)," ")</f>
        <v xml:space="preserve"> </v>
      </c>
      <c r="AE154" s="193" t="s">
        <v>642</v>
      </c>
      <c r="AF154" s="196" t="str">
        <f t="shared" ref="AF154" si="1381">IFERROR(IF(AE154=0," ",AE154/$F154)," ")</f>
        <v xml:space="preserve"> </v>
      </c>
      <c r="AG154" s="193" t="s">
        <v>642</v>
      </c>
      <c r="AH154" s="196" t="str">
        <f t="shared" ref="AH154" si="1382">IFERROR(IF(AG154=0," ",AG154/$F154)," ")</f>
        <v xml:space="preserve"> </v>
      </c>
      <c r="AI154" s="197"/>
      <c r="AJ154" s="177" t="s">
        <v>642</v>
      </c>
      <c r="AK154" s="177" t="s">
        <v>642</v>
      </c>
      <c r="AL154" s="177" t="s">
        <v>642</v>
      </c>
      <c r="AM154" s="177" t="s">
        <v>642</v>
      </c>
      <c r="AN154" s="177" t="s">
        <v>642</v>
      </c>
      <c r="AO154" s="177" t="s">
        <v>642</v>
      </c>
      <c r="AP154" s="177" t="s">
        <v>642</v>
      </c>
      <c r="AQ154" s="177" t="s">
        <v>642</v>
      </c>
      <c r="AR154" s="177" t="s">
        <v>642</v>
      </c>
      <c r="AS154" s="177" t="s">
        <v>642</v>
      </c>
      <c r="AT154" s="177" t="s">
        <v>642</v>
      </c>
      <c r="AU154" s="177" t="s">
        <v>642</v>
      </c>
    </row>
    <row r="155" spans="1:47" ht="30" x14ac:dyDescent="0.25">
      <c r="A155" s="190">
        <v>80</v>
      </c>
      <c r="B155" s="65">
        <v>9100.1</v>
      </c>
      <c r="C155" s="191" t="s">
        <v>320</v>
      </c>
      <c r="D155" s="65" t="s">
        <v>26</v>
      </c>
      <c r="E155" s="192">
        <f>IF(A155=" "," ",VLOOKUP(A155,Estimate!A:Q,17,FALSE))</f>
        <v>22474.870038000587</v>
      </c>
      <c r="F155" s="193">
        <v>445</v>
      </c>
      <c r="G155" s="206">
        <v>67.240695955056182</v>
      </c>
      <c r="H155" s="195">
        <v>75.83</v>
      </c>
      <c r="I155" s="195">
        <v>33744.35</v>
      </c>
      <c r="J155" s="195"/>
      <c r="K155" s="193"/>
      <c r="L155" s="196" t="str">
        <f t="shared" si="1282"/>
        <v xml:space="preserve"> </v>
      </c>
      <c r="M155" s="193"/>
      <c r="N155" s="196" t="str">
        <f t="shared" si="1282"/>
        <v xml:space="preserve"> </v>
      </c>
      <c r="O155" s="193"/>
      <c r="P155" s="196" t="str">
        <f t="shared" ref="P155" si="1383">IFERROR(IF(O155=0," ",O155/$F155)," ")</f>
        <v xml:space="preserve"> </v>
      </c>
      <c r="Q155" s="193"/>
      <c r="R155" s="196" t="str">
        <f t="shared" ref="R155" si="1384">IFERROR(IF(Q155=0," ",Q155/$F155)," ")</f>
        <v xml:space="preserve"> </v>
      </c>
      <c r="S155" s="193"/>
      <c r="T155" s="196" t="str">
        <f t="shared" ref="T155" si="1385">IFERROR(IF(S155=0," ",S155/$F155)," ")</f>
        <v xml:space="preserve"> </v>
      </c>
      <c r="U155" s="193">
        <v>445</v>
      </c>
      <c r="V155" s="196">
        <f t="shared" ref="V155" si="1386">IFERROR(IF(U155=0," ",U155/$F155)," ")</f>
        <v>1</v>
      </c>
      <c r="W155" s="193">
        <v>445</v>
      </c>
      <c r="X155" s="196">
        <f t="shared" ref="X155" si="1387">IFERROR(IF(W155=0," ",W155/$F155)," ")</f>
        <v>1</v>
      </c>
      <c r="Y155" s="193">
        <v>445</v>
      </c>
      <c r="Z155" s="196">
        <f t="shared" ref="Z155" si="1388">IFERROR(IF(Y155=0," ",Y155/$F155)," ")</f>
        <v>1</v>
      </c>
      <c r="AA155" s="193">
        <v>445</v>
      </c>
      <c r="AB155" s="196">
        <f t="shared" ref="AB155" si="1389">IFERROR(IF(AA155=0," ",AA155/$F155)," ")</f>
        <v>1</v>
      </c>
      <c r="AC155" s="193">
        <v>445</v>
      </c>
      <c r="AD155" s="196">
        <f t="shared" ref="AD155" si="1390">IFERROR(IF(AC155=0," ",AC155/$F155)," ")</f>
        <v>1</v>
      </c>
      <c r="AE155" s="193">
        <v>445</v>
      </c>
      <c r="AF155" s="196">
        <f t="shared" ref="AF155" si="1391">IFERROR(IF(AE155=0," ",AE155/$F155)," ")</f>
        <v>1</v>
      </c>
      <c r="AG155" s="193">
        <v>445</v>
      </c>
      <c r="AH155" s="196">
        <f t="shared" ref="AH155" si="1392">IFERROR(IF(AG155=0," ",AG155/$F155)," ")</f>
        <v>1</v>
      </c>
      <c r="AI155" s="197"/>
      <c r="AJ155" s="177">
        <v>0</v>
      </c>
      <c r="AK155" s="177">
        <v>0</v>
      </c>
      <c r="AL155" s="177">
        <v>0</v>
      </c>
      <c r="AM155" s="177">
        <v>0</v>
      </c>
      <c r="AN155" s="177">
        <v>0</v>
      </c>
      <c r="AO155" s="177">
        <v>33744.35</v>
      </c>
      <c r="AP155" s="177">
        <v>33744.35</v>
      </c>
      <c r="AQ155" s="177">
        <v>33744.35</v>
      </c>
      <c r="AR155" s="177">
        <v>33744.35</v>
      </c>
      <c r="AS155" s="177">
        <v>33744.35</v>
      </c>
      <c r="AT155" s="177">
        <v>33744.35</v>
      </c>
      <c r="AU155" s="177">
        <v>33744.35</v>
      </c>
    </row>
    <row r="156" spans="1:47" ht="45" x14ac:dyDescent="0.25">
      <c r="A156" s="190" t="s">
        <v>642</v>
      </c>
      <c r="B156" s="65">
        <v>9110</v>
      </c>
      <c r="C156" s="191" t="s">
        <v>324</v>
      </c>
      <c r="D156" s="65" t="s">
        <v>747</v>
      </c>
      <c r="E156" s="192" t="str">
        <f>IF(A156=" "," ",VLOOKUP(A156,Estimate!A:Q,17,FALSE))</f>
        <v xml:space="preserve"> </v>
      </c>
      <c r="F156" s="193" t="s">
        <v>642</v>
      </c>
      <c r="G156" s="206" t="s">
        <v>642</v>
      </c>
      <c r="H156" s="195" t="s">
        <v>642</v>
      </c>
      <c r="I156" s="195" t="s">
        <v>642</v>
      </c>
      <c r="J156" s="195"/>
      <c r="K156" s="193" t="s">
        <v>642</v>
      </c>
      <c r="L156" s="196" t="str">
        <f t="shared" si="1282"/>
        <v xml:space="preserve"> </v>
      </c>
      <c r="M156" s="193" t="s">
        <v>642</v>
      </c>
      <c r="N156" s="196" t="str">
        <f t="shared" si="1282"/>
        <v xml:space="preserve"> </v>
      </c>
      <c r="O156" s="193" t="s">
        <v>642</v>
      </c>
      <c r="P156" s="196" t="str">
        <f t="shared" ref="P156" si="1393">IFERROR(IF(O156=0," ",O156/$F156)," ")</f>
        <v xml:space="preserve"> </v>
      </c>
      <c r="Q156" s="193" t="s">
        <v>642</v>
      </c>
      <c r="R156" s="196" t="str">
        <f t="shared" ref="R156" si="1394">IFERROR(IF(Q156=0," ",Q156/$F156)," ")</f>
        <v xml:space="preserve"> </v>
      </c>
      <c r="S156" s="193" t="s">
        <v>642</v>
      </c>
      <c r="T156" s="196" t="str">
        <f t="shared" ref="T156" si="1395">IFERROR(IF(S156=0," ",S156/$F156)," ")</f>
        <v xml:space="preserve"> </v>
      </c>
      <c r="U156" s="193" t="s">
        <v>642</v>
      </c>
      <c r="V156" s="196" t="str">
        <f t="shared" ref="V156" si="1396">IFERROR(IF(U156=0," ",U156/$F156)," ")</f>
        <v xml:space="preserve"> </v>
      </c>
      <c r="W156" s="193" t="s">
        <v>642</v>
      </c>
      <c r="X156" s="196" t="str">
        <f t="shared" ref="X156" si="1397">IFERROR(IF(W156=0," ",W156/$F156)," ")</f>
        <v xml:space="preserve"> </v>
      </c>
      <c r="Y156" s="193" t="s">
        <v>642</v>
      </c>
      <c r="Z156" s="196" t="str">
        <f t="shared" ref="Z156" si="1398">IFERROR(IF(Y156=0," ",Y156/$F156)," ")</f>
        <v xml:space="preserve"> </v>
      </c>
      <c r="AA156" s="193" t="s">
        <v>642</v>
      </c>
      <c r="AB156" s="196" t="str">
        <f t="shared" ref="AB156" si="1399">IFERROR(IF(AA156=0," ",AA156/$F156)," ")</f>
        <v xml:space="preserve"> </v>
      </c>
      <c r="AC156" s="193" t="s">
        <v>642</v>
      </c>
      <c r="AD156" s="196" t="str">
        <f t="shared" ref="AD156" si="1400">IFERROR(IF(AC156=0," ",AC156/$F156)," ")</f>
        <v xml:space="preserve"> </v>
      </c>
      <c r="AE156" s="193" t="s">
        <v>642</v>
      </c>
      <c r="AF156" s="196" t="str">
        <f t="shared" ref="AF156" si="1401">IFERROR(IF(AE156=0," ",AE156/$F156)," ")</f>
        <v xml:space="preserve"> </v>
      </c>
      <c r="AG156" s="193" t="s">
        <v>642</v>
      </c>
      <c r="AH156" s="196" t="str">
        <f t="shared" ref="AH156" si="1402">IFERROR(IF(AG156=0," ",AG156/$F156)," ")</f>
        <v xml:space="preserve"> </v>
      </c>
      <c r="AI156" s="197"/>
      <c r="AJ156" s="177" t="s">
        <v>642</v>
      </c>
      <c r="AK156" s="177" t="s">
        <v>642</v>
      </c>
      <c r="AL156" s="177" t="s">
        <v>642</v>
      </c>
      <c r="AM156" s="177" t="s">
        <v>642</v>
      </c>
      <c r="AN156" s="177" t="s">
        <v>642</v>
      </c>
      <c r="AO156" s="177" t="s">
        <v>642</v>
      </c>
      <c r="AP156" s="177" t="s">
        <v>642</v>
      </c>
      <c r="AQ156" s="177" t="s">
        <v>642</v>
      </c>
      <c r="AR156" s="177" t="s">
        <v>642</v>
      </c>
      <c r="AS156" s="177" t="s">
        <v>642</v>
      </c>
      <c r="AT156" s="177" t="s">
        <v>642</v>
      </c>
      <c r="AU156" s="177" t="s">
        <v>642</v>
      </c>
    </row>
    <row r="157" spans="1:47" x14ac:dyDescent="0.25">
      <c r="A157" s="190">
        <v>81</v>
      </c>
      <c r="B157" s="65">
        <v>9110.1</v>
      </c>
      <c r="C157" s="191" t="s">
        <v>326</v>
      </c>
      <c r="D157" s="65" t="s">
        <v>26</v>
      </c>
      <c r="E157" s="192">
        <f>IF(A157=" "," ",VLOOKUP(A157,Estimate!A:Q,17,FALSE))</f>
        <v>2664.518</v>
      </c>
      <c r="F157" s="193">
        <v>79</v>
      </c>
      <c r="G157" s="206">
        <v>44.904177215189875</v>
      </c>
      <c r="H157" s="195">
        <v>50.64</v>
      </c>
      <c r="I157" s="195">
        <v>4000.56</v>
      </c>
      <c r="J157" s="195"/>
      <c r="K157" s="193"/>
      <c r="L157" s="196" t="str">
        <f t="shared" si="1282"/>
        <v xml:space="preserve"> </v>
      </c>
      <c r="M157" s="193"/>
      <c r="N157" s="196" t="str">
        <f t="shared" si="1282"/>
        <v xml:space="preserve"> </v>
      </c>
      <c r="O157" s="193"/>
      <c r="P157" s="196" t="str">
        <f t="shared" ref="P157" si="1403">IFERROR(IF(O157=0," ",O157/$F157)," ")</f>
        <v xml:space="preserve"> </v>
      </c>
      <c r="Q157" s="193"/>
      <c r="R157" s="196" t="str">
        <f t="shared" ref="R157" si="1404">IFERROR(IF(Q157=0," ",Q157/$F157)," ")</f>
        <v xml:space="preserve"> </v>
      </c>
      <c r="S157" s="193"/>
      <c r="T157" s="196" t="str">
        <f t="shared" ref="T157" si="1405">IFERROR(IF(S157=0," ",S157/$F157)," ")</f>
        <v xml:space="preserve"> </v>
      </c>
      <c r="U157" s="193">
        <v>79</v>
      </c>
      <c r="V157" s="196">
        <f t="shared" ref="V157" si="1406">IFERROR(IF(U157=0," ",U157/$F157)," ")</f>
        <v>1</v>
      </c>
      <c r="W157" s="193">
        <v>79</v>
      </c>
      <c r="X157" s="196">
        <f t="shared" ref="X157" si="1407">IFERROR(IF(W157=0," ",W157/$F157)," ")</f>
        <v>1</v>
      </c>
      <c r="Y157" s="193">
        <v>79</v>
      </c>
      <c r="Z157" s="196">
        <f t="shared" ref="Z157" si="1408">IFERROR(IF(Y157=0," ",Y157/$F157)," ")</f>
        <v>1</v>
      </c>
      <c r="AA157" s="193">
        <v>79</v>
      </c>
      <c r="AB157" s="196">
        <f t="shared" ref="AB157" si="1409">IFERROR(IF(AA157=0," ",AA157/$F157)," ")</f>
        <v>1</v>
      </c>
      <c r="AC157" s="193">
        <v>79</v>
      </c>
      <c r="AD157" s="196">
        <f t="shared" ref="AD157" si="1410">IFERROR(IF(AC157=0," ",AC157/$F157)," ")</f>
        <v>1</v>
      </c>
      <c r="AE157" s="193">
        <v>79</v>
      </c>
      <c r="AF157" s="196">
        <f t="shared" ref="AF157" si="1411">IFERROR(IF(AE157=0," ",AE157/$F157)," ")</f>
        <v>1</v>
      </c>
      <c r="AG157" s="193">
        <v>79</v>
      </c>
      <c r="AH157" s="196">
        <f t="shared" ref="AH157" si="1412">IFERROR(IF(AG157=0," ",AG157/$F157)," ")</f>
        <v>1</v>
      </c>
      <c r="AI157" s="197"/>
      <c r="AJ157" s="177">
        <v>0</v>
      </c>
      <c r="AK157" s="177">
        <v>0</v>
      </c>
      <c r="AL157" s="177">
        <v>0</v>
      </c>
      <c r="AM157" s="177">
        <v>0</v>
      </c>
      <c r="AN157" s="177">
        <v>0</v>
      </c>
      <c r="AO157" s="177">
        <v>4000.56</v>
      </c>
      <c r="AP157" s="177">
        <v>4000.56</v>
      </c>
      <c r="AQ157" s="177">
        <v>4000.56</v>
      </c>
      <c r="AR157" s="177">
        <v>4000.56</v>
      </c>
      <c r="AS157" s="177">
        <v>4000.56</v>
      </c>
      <c r="AT157" s="177">
        <v>4000.56</v>
      </c>
      <c r="AU157" s="177">
        <v>4000.56</v>
      </c>
    </row>
    <row r="158" spans="1:47" x14ac:dyDescent="0.25">
      <c r="A158" s="190">
        <v>82</v>
      </c>
      <c r="B158" s="65">
        <v>9110.2000000000007</v>
      </c>
      <c r="C158" s="191" t="s">
        <v>331</v>
      </c>
      <c r="D158" s="65" t="s">
        <v>26</v>
      </c>
      <c r="E158" s="192">
        <f>IF(A158=" "," ",VLOOKUP(A158,Estimate!A:Q,17,FALSE))</f>
        <v>466.30400000000003</v>
      </c>
      <c r="F158" s="193">
        <v>16</v>
      </c>
      <c r="G158" s="206">
        <v>38.802875</v>
      </c>
      <c r="H158" s="195">
        <v>43.76</v>
      </c>
      <c r="I158" s="195">
        <v>700.16</v>
      </c>
      <c r="J158" s="195"/>
      <c r="K158" s="193"/>
      <c r="L158" s="196" t="str">
        <f t="shared" si="1282"/>
        <v xml:space="preserve"> </v>
      </c>
      <c r="M158" s="193"/>
      <c r="N158" s="196" t="str">
        <f t="shared" si="1282"/>
        <v xml:space="preserve"> </v>
      </c>
      <c r="O158" s="193"/>
      <c r="P158" s="196" t="str">
        <f t="shared" ref="P158" si="1413">IFERROR(IF(O158=0," ",O158/$F158)," ")</f>
        <v xml:space="preserve"> </v>
      </c>
      <c r="Q158" s="193"/>
      <c r="R158" s="196" t="str">
        <f t="shared" ref="R158" si="1414">IFERROR(IF(Q158=0," ",Q158/$F158)," ")</f>
        <v xml:space="preserve"> </v>
      </c>
      <c r="S158" s="193"/>
      <c r="T158" s="196" t="str">
        <f t="shared" ref="T158" si="1415">IFERROR(IF(S158=0," ",S158/$F158)," ")</f>
        <v xml:space="preserve"> </v>
      </c>
      <c r="U158" s="193">
        <v>16</v>
      </c>
      <c r="V158" s="196">
        <f t="shared" ref="V158" si="1416">IFERROR(IF(U158=0," ",U158/$F158)," ")</f>
        <v>1</v>
      </c>
      <c r="W158" s="193">
        <v>16</v>
      </c>
      <c r="X158" s="196">
        <f t="shared" ref="X158" si="1417">IFERROR(IF(W158=0," ",W158/$F158)," ")</f>
        <v>1</v>
      </c>
      <c r="Y158" s="193">
        <v>16</v>
      </c>
      <c r="Z158" s="196">
        <f t="shared" ref="Z158" si="1418">IFERROR(IF(Y158=0," ",Y158/$F158)," ")</f>
        <v>1</v>
      </c>
      <c r="AA158" s="193">
        <v>16</v>
      </c>
      <c r="AB158" s="196">
        <f t="shared" ref="AB158" si="1419">IFERROR(IF(AA158=0," ",AA158/$F158)," ")</f>
        <v>1</v>
      </c>
      <c r="AC158" s="193">
        <v>16</v>
      </c>
      <c r="AD158" s="196">
        <f t="shared" ref="AD158" si="1420">IFERROR(IF(AC158=0," ",AC158/$F158)," ")</f>
        <v>1</v>
      </c>
      <c r="AE158" s="193">
        <v>16</v>
      </c>
      <c r="AF158" s="196">
        <f t="shared" ref="AF158" si="1421">IFERROR(IF(AE158=0," ",AE158/$F158)," ")</f>
        <v>1</v>
      </c>
      <c r="AG158" s="193">
        <v>16</v>
      </c>
      <c r="AH158" s="196">
        <f t="shared" ref="AH158" si="1422">IFERROR(IF(AG158=0," ",AG158/$F158)," ")</f>
        <v>1</v>
      </c>
      <c r="AI158" s="197"/>
      <c r="AJ158" s="177">
        <v>0</v>
      </c>
      <c r="AK158" s="177">
        <v>0</v>
      </c>
      <c r="AL158" s="177">
        <v>0</v>
      </c>
      <c r="AM158" s="177">
        <v>0</v>
      </c>
      <c r="AN158" s="177">
        <v>0</v>
      </c>
      <c r="AO158" s="177">
        <v>700.16</v>
      </c>
      <c r="AP158" s="177">
        <v>700.16</v>
      </c>
      <c r="AQ158" s="177">
        <v>700.16</v>
      </c>
      <c r="AR158" s="177">
        <v>700.16</v>
      </c>
      <c r="AS158" s="177">
        <v>700.16</v>
      </c>
      <c r="AT158" s="177">
        <v>700.16</v>
      </c>
      <c r="AU158" s="177">
        <v>700.16</v>
      </c>
    </row>
    <row r="159" spans="1:47" x14ac:dyDescent="0.25">
      <c r="A159" s="190">
        <v>83</v>
      </c>
      <c r="B159" s="65">
        <v>9110.2999999999993</v>
      </c>
      <c r="C159" s="191" t="s">
        <v>333</v>
      </c>
      <c r="D159" s="65" t="s">
        <v>26</v>
      </c>
      <c r="E159" s="192">
        <f>IF(A159=" "," ",VLOOKUP(A159,Estimate!A:Q,17,FALSE))</f>
        <v>5078.8</v>
      </c>
      <c r="F159" s="193">
        <v>300</v>
      </c>
      <c r="G159" s="206">
        <v>22.540320000000001</v>
      </c>
      <c r="H159" s="195">
        <v>25.42</v>
      </c>
      <c r="I159" s="195">
        <v>7626</v>
      </c>
      <c r="J159" s="195"/>
      <c r="K159" s="193"/>
      <c r="L159" s="196" t="str">
        <f t="shared" si="1282"/>
        <v xml:space="preserve"> </v>
      </c>
      <c r="M159" s="193"/>
      <c r="N159" s="196" t="str">
        <f t="shared" si="1282"/>
        <v xml:space="preserve"> </v>
      </c>
      <c r="O159" s="193"/>
      <c r="P159" s="196" t="str">
        <f t="shared" ref="P159" si="1423">IFERROR(IF(O159=0," ",O159/$F159)," ")</f>
        <v xml:space="preserve"> </v>
      </c>
      <c r="Q159" s="193"/>
      <c r="R159" s="196" t="str">
        <f t="shared" ref="R159" si="1424">IFERROR(IF(Q159=0," ",Q159/$F159)," ")</f>
        <v xml:space="preserve"> </v>
      </c>
      <c r="S159" s="193"/>
      <c r="T159" s="196" t="str">
        <f t="shared" ref="T159" si="1425">IFERROR(IF(S159=0," ",S159/$F159)," ")</f>
        <v xml:space="preserve"> </v>
      </c>
      <c r="U159" s="193">
        <v>300</v>
      </c>
      <c r="V159" s="196">
        <f t="shared" ref="V159" si="1426">IFERROR(IF(U159=0," ",U159/$F159)," ")</f>
        <v>1</v>
      </c>
      <c r="W159" s="193">
        <v>300</v>
      </c>
      <c r="X159" s="196">
        <f t="shared" ref="X159" si="1427">IFERROR(IF(W159=0," ",W159/$F159)," ")</f>
        <v>1</v>
      </c>
      <c r="Y159" s="193">
        <v>300</v>
      </c>
      <c r="Z159" s="196">
        <f t="shared" ref="Z159" si="1428">IFERROR(IF(Y159=0," ",Y159/$F159)," ")</f>
        <v>1</v>
      </c>
      <c r="AA159" s="193">
        <v>300</v>
      </c>
      <c r="AB159" s="196">
        <f t="shared" ref="AB159" si="1429">IFERROR(IF(AA159=0," ",AA159/$F159)," ")</f>
        <v>1</v>
      </c>
      <c r="AC159" s="193">
        <v>300</v>
      </c>
      <c r="AD159" s="196">
        <f t="shared" ref="AD159" si="1430">IFERROR(IF(AC159=0," ",AC159/$F159)," ")</f>
        <v>1</v>
      </c>
      <c r="AE159" s="193">
        <v>300</v>
      </c>
      <c r="AF159" s="196">
        <f t="shared" ref="AF159" si="1431">IFERROR(IF(AE159=0," ",AE159/$F159)," ")</f>
        <v>1</v>
      </c>
      <c r="AG159" s="193">
        <v>300</v>
      </c>
      <c r="AH159" s="196">
        <f t="shared" ref="AH159" si="1432">IFERROR(IF(AG159=0," ",AG159/$F159)," ")</f>
        <v>1</v>
      </c>
      <c r="AI159" s="197"/>
      <c r="AJ159" s="177">
        <v>0</v>
      </c>
      <c r="AK159" s="177">
        <v>0</v>
      </c>
      <c r="AL159" s="177">
        <v>0</v>
      </c>
      <c r="AM159" s="177">
        <v>0</v>
      </c>
      <c r="AN159" s="177">
        <v>0</v>
      </c>
      <c r="AO159" s="177">
        <v>7626</v>
      </c>
      <c r="AP159" s="177">
        <v>7626</v>
      </c>
      <c r="AQ159" s="177">
        <v>7626</v>
      </c>
      <c r="AR159" s="177">
        <v>7626</v>
      </c>
      <c r="AS159" s="177">
        <v>7626</v>
      </c>
      <c r="AT159" s="177">
        <v>7626</v>
      </c>
      <c r="AU159" s="177">
        <v>7626</v>
      </c>
    </row>
    <row r="160" spans="1:47" x14ac:dyDescent="0.25">
      <c r="A160" s="190">
        <v>84</v>
      </c>
      <c r="B160" s="65">
        <v>9110.4</v>
      </c>
      <c r="C160" s="191" t="s">
        <v>335</v>
      </c>
      <c r="D160" s="65" t="s">
        <v>26</v>
      </c>
      <c r="E160" s="192">
        <f>IF(A160=" "," ",VLOOKUP(A160,Estimate!A:Q,17,FALSE))</f>
        <v>371.80500000000001</v>
      </c>
      <c r="F160" s="193">
        <v>35</v>
      </c>
      <c r="G160" s="206">
        <v>14.143314285714286</v>
      </c>
      <c r="H160" s="195">
        <v>15.95</v>
      </c>
      <c r="I160" s="195">
        <v>558.25</v>
      </c>
      <c r="J160" s="195"/>
      <c r="K160" s="193"/>
      <c r="L160" s="196" t="str">
        <f t="shared" si="1282"/>
        <v xml:space="preserve"> </v>
      </c>
      <c r="M160" s="193"/>
      <c r="N160" s="196" t="str">
        <f t="shared" si="1282"/>
        <v xml:space="preserve"> </v>
      </c>
      <c r="O160" s="193"/>
      <c r="P160" s="196" t="str">
        <f t="shared" ref="P160" si="1433">IFERROR(IF(O160=0," ",O160/$F160)," ")</f>
        <v xml:space="preserve"> </v>
      </c>
      <c r="Q160" s="193"/>
      <c r="R160" s="196" t="str">
        <f t="shared" ref="R160" si="1434">IFERROR(IF(Q160=0," ",Q160/$F160)," ")</f>
        <v xml:space="preserve"> </v>
      </c>
      <c r="S160" s="193"/>
      <c r="T160" s="196" t="str">
        <f t="shared" ref="T160" si="1435">IFERROR(IF(S160=0," ",S160/$F160)," ")</f>
        <v xml:space="preserve"> </v>
      </c>
      <c r="U160" s="193">
        <v>35</v>
      </c>
      <c r="V160" s="196">
        <f t="shared" ref="V160" si="1436">IFERROR(IF(U160=0," ",U160/$F160)," ")</f>
        <v>1</v>
      </c>
      <c r="W160" s="193">
        <v>35</v>
      </c>
      <c r="X160" s="196">
        <f t="shared" ref="X160" si="1437">IFERROR(IF(W160=0," ",W160/$F160)," ")</f>
        <v>1</v>
      </c>
      <c r="Y160" s="193">
        <v>35</v>
      </c>
      <c r="Z160" s="196">
        <f t="shared" ref="Z160" si="1438">IFERROR(IF(Y160=0," ",Y160/$F160)," ")</f>
        <v>1</v>
      </c>
      <c r="AA160" s="193">
        <v>35</v>
      </c>
      <c r="AB160" s="196">
        <f t="shared" ref="AB160" si="1439">IFERROR(IF(AA160=0," ",AA160/$F160)," ")</f>
        <v>1</v>
      </c>
      <c r="AC160" s="193">
        <v>35</v>
      </c>
      <c r="AD160" s="196">
        <f t="shared" ref="AD160" si="1440">IFERROR(IF(AC160=0," ",AC160/$F160)," ")</f>
        <v>1</v>
      </c>
      <c r="AE160" s="193">
        <v>35</v>
      </c>
      <c r="AF160" s="196">
        <f t="shared" ref="AF160" si="1441">IFERROR(IF(AE160=0," ",AE160/$F160)," ")</f>
        <v>1</v>
      </c>
      <c r="AG160" s="193">
        <v>35</v>
      </c>
      <c r="AH160" s="196">
        <f t="shared" ref="AH160" si="1442">IFERROR(IF(AG160=0," ",AG160/$F160)," ")</f>
        <v>1</v>
      </c>
      <c r="AI160" s="197"/>
      <c r="AJ160" s="177">
        <v>0</v>
      </c>
      <c r="AK160" s="177">
        <v>0</v>
      </c>
      <c r="AL160" s="177">
        <v>0</v>
      </c>
      <c r="AM160" s="177">
        <v>0</v>
      </c>
      <c r="AN160" s="177">
        <v>0</v>
      </c>
      <c r="AO160" s="177">
        <v>558.25</v>
      </c>
      <c r="AP160" s="177">
        <v>558.25</v>
      </c>
      <c r="AQ160" s="177">
        <v>558.25</v>
      </c>
      <c r="AR160" s="177">
        <v>558.25</v>
      </c>
      <c r="AS160" s="177">
        <v>558.25</v>
      </c>
      <c r="AT160" s="177">
        <v>558.25</v>
      </c>
      <c r="AU160" s="177">
        <v>558.25</v>
      </c>
    </row>
    <row r="161" spans="1:47" x14ac:dyDescent="0.25">
      <c r="A161" s="190">
        <v>85</v>
      </c>
      <c r="B161" s="65" t="s">
        <v>745</v>
      </c>
      <c r="C161" s="191" t="s">
        <v>337</v>
      </c>
      <c r="D161" s="65" t="s">
        <v>338</v>
      </c>
      <c r="E161" s="192">
        <f>IF(A161=" "," ",VLOOKUP(A161,Estimate!A:Q,17,FALSE))</f>
        <v>10450</v>
      </c>
      <c r="F161" s="193">
        <v>11</v>
      </c>
      <c r="G161" s="206">
        <v>1264.791909090909</v>
      </c>
      <c r="H161" s="195">
        <v>1426.35</v>
      </c>
      <c r="I161" s="195">
        <v>15689.85</v>
      </c>
      <c r="J161" s="195"/>
      <c r="K161" s="193"/>
      <c r="L161" s="196" t="str">
        <f t="shared" si="1282"/>
        <v xml:space="preserve"> </v>
      </c>
      <c r="M161" s="193"/>
      <c r="N161" s="196" t="str">
        <f t="shared" si="1282"/>
        <v xml:space="preserve"> </v>
      </c>
      <c r="O161" s="193"/>
      <c r="P161" s="196" t="str">
        <f t="shared" ref="P161" si="1443">IFERROR(IF(O161=0," ",O161/$F161)," ")</f>
        <v xml:space="preserve"> </v>
      </c>
      <c r="Q161" s="193"/>
      <c r="R161" s="196" t="str">
        <f t="shared" ref="R161" si="1444">IFERROR(IF(Q161=0," ",Q161/$F161)," ")</f>
        <v xml:space="preserve"> </v>
      </c>
      <c r="S161" s="193"/>
      <c r="T161" s="196" t="str">
        <f t="shared" ref="T161" si="1445">IFERROR(IF(S161=0," ",S161/$F161)," ")</f>
        <v xml:space="preserve"> </v>
      </c>
      <c r="U161" s="193">
        <v>11</v>
      </c>
      <c r="V161" s="196">
        <f t="shared" ref="V161" si="1446">IFERROR(IF(U161=0," ",U161/$F161)," ")</f>
        <v>1</v>
      </c>
      <c r="W161" s="193">
        <v>11</v>
      </c>
      <c r="X161" s="196">
        <f t="shared" ref="X161" si="1447">IFERROR(IF(W161=0," ",W161/$F161)," ")</f>
        <v>1</v>
      </c>
      <c r="Y161" s="193">
        <v>11</v>
      </c>
      <c r="Z161" s="196">
        <f t="shared" ref="Z161" si="1448">IFERROR(IF(Y161=0," ",Y161/$F161)," ")</f>
        <v>1</v>
      </c>
      <c r="AA161" s="193">
        <v>11</v>
      </c>
      <c r="AB161" s="196">
        <f t="shared" ref="AB161" si="1449">IFERROR(IF(AA161=0," ",AA161/$F161)," ")</f>
        <v>1</v>
      </c>
      <c r="AC161" s="193">
        <v>11</v>
      </c>
      <c r="AD161" s="196">
        <f t="shared" ref="AD161" si="1450">IFERROR(IF(AC161=0," ",AC161/$F161)," ")</f>
        <v>1</v>
      </c>
      <c r="AE161" s="193">
        <v>11</v>
      </c>
      <c r="AF161" s="196">
        <f t="shared" ref="AF161" si="1451">IFERROR(IF(AE161=0," ",AE161/$F161)," ")</f>
        <v>1</v>
      </c>
      <c r="AG161" s="193">
        <v>11</v>
      </c>
      <c r="AH161" s="196">
        <f t="shared" ref="AH161" si="1452">IFERROR(IF(AG161=0," ",AG161/$F161)," ")</f>
        <v>1</v>
      </c>
      <c r="AI161" s="197"/>
      <c r="AJ161" s="177">
        <v>0</v>
      </c>
      <c r="AK161" s="177">
        <v>0</v>
      </c>
      <c r="AL161" s="177">
        <v>0</v>
      </c>
      <c r="AM161" s="177">
        <v>0</v>
      </c>
      <c r="AN161" s="177">
        <v>0</v>
      </c>
      <c r="AO161" s="177">
        <v>15689.85</v>
      </c>
      <c r="AP161" s="177">
        <v>15689.85</v>
      </c>
      <c r="AQ161" s="177">
        <v>15689.85</v>
      </c>
      <c r="AR161" s="177">
        <v>15689.85</v>
      </c>
      <c r="AS161" s="177">
        <v>15689.85</v>
      </c>
      <c r="AT161" s="177">
        <v>15689.85</v>
      </c>
      <c r="AU161" s="177">
        <v>15689.85</v>
      </c>
    </row>
    <row r="162" spans="1:47" ht="60" x14ac:dyDescent="0.25">
      <c r="A162" s="190">
        <v>86</v>
      </c>
      <c r="B162" s="65" t="s">
        <v>745</v>
      </c>
      <c r="C162" s="191" t="s">
        <v>340</v>
      </c>
      <c r="D162" s="65" t="s">
        <v>19</v>
      </c>
      <c r="E162" s="192">
        <f>IF(A162=" "," ",VLOOKUP(A162,Estimate!A:Q,17,FALSE))</f>
        <v>42965</v>
      </c>
      <c r="F162" s="193">
        <v>1</v>
      </c>
      <c r="G162" s="206">
        <v>57201.993000000002</v>
      </c>
      <c r="H162" s="195">
        <v>64508.73</v>
      </c>
      <c r="I162" s="195">
        <v>64508.73</v>
      </c>
      <c r="J162" s="195"/>
      <c r="K162" s="193"/>
      <c r="L162" s="196" t="str">
        <f t="shared" si="1282"/>
        <v xml:space="preserve"> </v>
      </c>
      <c r="M162" s="193"/>
      <c r="N162" s="196" t="str">
        <f t="shared" si="1282"/>
        <v xml:space="preserve"> </v>
      </c>
      <c r="O162" s="193"/>
      <c r="P162" s="196" t="str">
        <f t="shared" ref="P162" si="1453">IFERROR(IF(O162=0," ",O162/$F162)," ")</f>
        <v xml:space="preserve"> </v>
      </c>
      <c r="Q162" s="193"/>
      <c r="R162" s="196" t="str">
        <f t="shared" ref="R162" si="1454">IFERROR(IF(Q162=0," ",Q162/$F162)," ")</f>
        <v xml:space="preserve"> </v>
      </c>
      <c r="S162" s="193"/>
      <c r="T162" s="196" t="str">
        <f t="shared" ref="T162" si="1455">IFERROR(IF(S162=0," ",S162/$F162)," ")</f>
        <v xml:space="preserve"> </v>
      </c>
      <c r="U162" s="193"/>
      <c r="V162" s="196" t="str">
        <f t="shared" ref="V162" si="1456">IFERROR(IF(U162=0," ",U162/$F162)," ")</f>
        <v xml:space="preserve"> </v>
      </c>
      <c r="W162" s="193">
        <v>1</v>
      </c>
      <c r="X162" s="196">
        <f t="shared" ref="X162" si="1457">IFERROR(IF(W162=0," ",W162/$F162)," ")</f>
        <v>1</v>
      </c>
      <c r="Y162" s="193">
        <v>1</v>
      </c>
      <c r="Z162" s="196">
        <f t="shared" ref="Z162" si="1458">IFERROR(IF(Y162=0," ",Y162/$F162)," ")</f>
        <v>1</v>
      </c>
      <c r="AA162" s="193">
        <v>1</v>
      </c>
      <c r="AB162" s="196">
        <f t="shared" ref="AB162" si="1459">IFERROR(IF(AA162=0," ",AA162/$F162)," ")</f>
        <v>1</v>
      </c>
      <c r="AC162" s="193">
        <v>1</v>
      </c>
      <c r="AD162" s="196">
        <f t="shared" ref="AD162" si="1460">IFERROR(IF(AC162=0," ",AC162/$F162)," ")</f>
        <v>1</v>
      </c>
      <c r="AE162" s="193">
        <v>1</v>
      </c>
      <c r="AF162" s="196">
        <f t="shared" ref="AF162" si="1461">IFERROR(IF(AE162=0," ",AE162/$F162)," ")</f>
        <v>1</v>
      </c>
      <c r="AG162" s="193">
        <v>1</v>
      </c>
      <c r="AH162" s="196">
        <f t="shared" ref="AH162" si="1462">IFERROR(IF(AG162=0," ",AG162/$F162)," ")</f>
        <v>1</v>
      </c>
      <c r="AI162" s="197"/>
      <c r="AJ162" s="177">
        <v>0</v>
      </c>
      <c r="AK162" s="177">
        <v>0</v>
      </c>
      <c r="AL162" s="177">
        <v>0</v>
      </c>
      <c r="AM162" s="177">
        <v>0</v>
      </c>
      <c r="AN162" s="177">
        <v>0</v>
      </c>
      <c r="AO162" s="177">
        <v>0</v>
      </c>
      <c r="AP162" s="177">
        <v>64508.73</v>
      </c>
      <c r="AQ162" s="177">
        <v>64508.73</v>
      </c>
      <c r="AR162" s="177">
        <v>64508.73</v>
      </c>
      <c r="AS162" s="177">
        <v>64508.73</v>
      </c>
      <c r="AT162" s="177">
        <v>64508.73</v>
      </c>
      <c r="AU162" s="177">
        <v>64508.73</v>
      </c>
    </row>
    <row r="163" spans="1:47" ht="30" x14ac:dyDescent="0.25">
      <c r="A163" s="190">
        <v>87</v>
      </c>
      <c r="B163" s="65" t="s">
        <v>745</v>
      </c>
      <c r="C163" s="191" t="s">
        <v>343</v>
      </c>
      <c r="D163" s="65" t="s">
        <v>19</v>
      </c>
      <c r="E163" s="192">
        <f>IF(A163=" "," ",VLOOKUP(A163,Estimate!A:Q,17,FALSE))</f>
        <v>21740</v>
      </c>
      <c r="F163" s="193">
        <v>1</v>
      </c>
      <c r="G163" s="206">
        <v>21740</v>
      </c>
      <c r="H163" s="195">
        <v>21740</v>
      </c>
      <c r="I163" s="195">
        <v>21740</v>
      </c>
      <c r="J163" s="195"/>
      <c r="K163" s="193"/>
      <c r="L163" s="196" t="str">
        <f t="shared" si="1282"/>
        <v xml:space="preserve"> </v>
      </c>
      <c r="M163" s="193"/>
      <c r="N163" s="196" t="str">
        <f t="shared" si="1282"/>
        <v xml:space="preserve"> </v>
      </c>
      <c r="O163" s="193"/>
      <c r="P163" s="196" t="str">
        <f t="shared" ref="P163" si="1463">IFERROR(IF(O163=0," ",O163/$F163)," ")</f>
        <v xml:space="preserve"> </v>
      </c>
      <c r="Q163" s="193"/>
      <c r="R163" s="196" t="str">
        <f t="shared" ref="R163" si="1464">IFERROR(IF(Q163=0," ",Q163/$F163)," ")</f>
        <v xml:space="preserve"> </v>
      </c>
      <c r="S163" s="193"/>
      <c r="T163" s="196" t="str">
        <f t="shared" ref="T163" si="1465">IFERROR(IF(S163=0," ",S163/$F163)," ")</f>
        <v xml:space="preserve"> </v>
      </c>
      <c r="U163" s="193"/>
      <c r="V163" s="196" t="str">
        <f t="shared" ref="V163" si="1466">IFERROR(IF(U163=0," ",U163/$F163)," ")</f>
        <v xml:space="preserve"> </v>
      </c>
      <c r="W163" s="193">
        <v>1</v>
      </c>
      <c r="X163" s="196">
        <f t="shared" ref="X163" si="1467">IFERROR(IF(W163=0," ",W163/$F163)," ")</f>
        <v>1</v>
      </c>
      <c r="Y163" s="193">
        <v>1</v>
      </c>
      <c r="Z163" s="196">
        <f t="shared" ref="Z163" si="1468">IFERROR(IF(Y163=0," ",Y163/$F163)," ")</f>
        <v>1</v>
      </c>
      <c r="AA163" s="193">
        <v>1</v>
      </c>
      <c r="AB163" s="196">
        <f t="shared" ref="AB163" si="1469">IFERROR(IF(AA163=0," ",AA163/$F163)," ")</f>
        <v>1</v>
      </c>
      <c r="AC163" s="193">
        <v>1</v>
      </c>
      <c r="AD163" s="196">
        <f t="shared" ref="AD163" si="1470">IFERROR(IF(AC163=0," ",AC163/$F163)," ")</f>
        <v>1</v>
      </c>
      <c r="AE163" s="193">
        <v>1</v>
      </c>
      <c r="AF163" s="196">
        <f t="shared" ref="AF163" si="1471">IFERROR(IF(AE163=0," ",AE163/$F163)," ")</f>
        <v>1</v>
      </c>
      <c r="AG163" s="193">
        <v>1</v>
      </c>
      <c r="AH163" s="196">
        <f t="shared" ref="AH163" si="1472">IFERROR(IF(AG163=0," ",AG163/$F163)," ")</f>
        <v>1</v>
      </c>
      <c r="AI163" s="197"/>
      <c r="AJ163" s="177">
        <v>0</v>
      </c>
      <c r="AK163" s="177">
        <v>0</v>
      </c>
      <c r="AL163" s="177">
        <v>0</v>
      </c>
      <c r="AM163" s="177">
        <v>0</v>
      </c>
      <c r="AN163" s="177">
        <v>0</v>
      </c>
      <c r="AO163" s="177">
        <v>0</v>
      </c>
      <c r="AP163" s="177">
        <v>21740</v>
      </c>
      <c r="AQ163" s="177">
        <v>21740</v>
      </c>
      <c r="AR163" s="177">
        <v>21740</v>
      </c>
      <c r="AS163" s="177">
        <v>21740</v>
      </c>
      <c r="AT163" s="177">
        <v>21740</v>
      </c>
      <c r="AU163" s="177">
        <v>21740</v>
      </c>
    </row>
    <row r="164" spans="1:47" x14ac:dyDescent="0.25">
      <c r="A164" s="190">
        <v>88</v>
      </c>
      <c r="B164" s="65" t="s">
        <v>745</v>
      </c>
      <c r="C164" s="191" t="s">
        <v>345</v>
      </c>
      <c r="D164" s="65" t="s">
        <v>19</v>
      </c>
      <c r="E164" s="192">
        <f>IF(A164=" "," ",VLOOKUP(A164,Estimate!A:Q,17,FALSE))</f>
        <v>18085</v>
      </c>
      <c r="F164" s="193">
        <v>1</v>
      </c>
      <c r="G164" s="206">
        <v>18085</v>
      </c>
      <c r="H164" s="195">
        <v>18085</v>
      </c>
      <c r="I164" s="195">
        <v>18085</v>
      </c>
      <c r="J164" s="195"/>
      <c r="K164" s="193"/>
      <c r="L164" s="196" t="str">
        <f t="shared" si="1282"/>
        <v xml:space="preserve"> </v>
      </c>
      <c r="M164" s="193"/>
      <c r="N164" s="196" t="str">
        <f t="shared" si="1282"/>
        <v xml:space="preserve"> </v>
      </c>
      <c r="O164" s="193"/>
      <c r="P164" s="196" t="str">
        <f t="shared" ref="P164" si="1473">IFERROR(IF(O164=0," ",O164/$F164)," ")</f>
        <v xml:space="preserve"> </v>
      </c>
      <c r="Q164" s="193"/>
      <c r="R164" s="196" t="str">
        <f t="shared" ref="R164" si="1474">IFERROR(IF(Q164=0," ",Q164/$F164)," ")</f>
        <v xml:space="preserve"> </v>
      </c>
      <c r="S164" s="193"/>
      <c r="T164" s="196" t="str">
        <f t="shared" ref="T164" si="1475">IFERROR(IF(S164=0," ",S164/$F164)," ")</f>
        <v xml:space="preserve"> </v>
      </c>
      <c r="U164" s="193"/>
      <c r="V164" s="196" t="str">
        <f t="shared" ref="V164" si="1476">IFERROR(IF(U164=0," ",U164/$F164)," ")</f>
        <v xml:space="preserve"> </v>
      </c>
      <c r="W164" s="193">
        <v>1</v>
      </c>
      <c r="X164" s="196">
        <f t="shared" ref="X164" si="1477">IFERROR(IF(W164=0," ",W164/$F164)," ")</f>
        <v>1</v>
      </c>
      <c r="Y164" s="193">
        <v>1</v>
      </c>
      <c r="Z164" s="196">
        <f t="shared" ref="Z164" si="1478">IFERROR(IF(Y164=0," ",Y164/$F164)," ")</f>
        <v>1</v>
      </c>
      <c r="AA164" s="193">
        <v>1</v>
      </c>
      <c r="AB164" s="196">
        <f t="shared" ref="AB164" si="1479">IFERROR(IF(AA164=0," ",AA164/$F164)," ")</f>
        <v>1</v>
      </c>
      <c r="AC164" s="193">
        <v>1</v>
      </c>
      <c r="AD164" s="196">
        <f t="shared" ref="AD164" si="1480">IFERROR(IF(AC164=0," ",AC164/$F164)," ")</f>
        <v>1</v>
      </c>
      <c r="AE164" s="193">
        <v>1</v>
      </c>
      <c r="AF164" s="196">
        <f t="shared" ref="AF164" si="1481">IFERROR(IF(AE164=0," ",AE164/$F164)," ")</f>
        <v>1</v>
      </c>
      <c r="AG164" s="193">
        <v>1</v>
      </c>
      <c r="AH164" s="196">
        <f t="shared" ref="AH164" si="1482">IFERROR(IF(AG164=0," ",AG164/$F164)," ")</f>
        <v>1</v>
      </c>
      <c r="AI164" s="197"/>
      <c r="AJ164" s="177">
        <v>0</v>
      </c>
      <c r="AK164" s="177">
        <v>0</v>
      </c>
      <c r="AL164" s="177">
        <v>0</v>
      </c>
      <c r="AM164" s="177">
        <v>0</v>
      </c>
      <c r="AN164" s="177">
        <v>0</v>
      </c>
      <c r="AO164" s="177">
        <v>0</v>
      </c>
      <c r="AP164" s="177">
        <v>18085</v>
      </c>
      <c r="AQ164" s="177">
        <v>18085</v>
      </c>
      <c r="AR164" s="177">
        <v>18085</v>
      </c>
      <c r="AS164" s="177">
        <v>18085</v>
      </c>
      <c r="AT164" s="177">
        <v>18085</v>
      </c>
      <c r="AU164" s="177">
        <v>18085</v>
      </c>
    </row>
    <row r="165" spans="1:47" ht="30" x14ac:dyDescent="0.25">
      <c r="A165" s="190">
        <v>89</v>
      </c>
      <c r="B165" s="65" t="s">
        <v>745</v>
      </c>
      <c r="C165" s="191" t="s">
        <v>347</v>
      </c>
      <c r="D165" s="65" t="s">
        <v>19</v>
      </c>
      <c r="E165" s="192">
        <f>IF(A165=" "," ",VLOOKUP(A165,Estimate!A:Q,17,FALSE))</f>
        <v>7650</v>
      </c>
      <c r="F165" s="193">
        <v>1</v>
      </c>
      <c r="G165" s="206">
        <v>7650</v>
      </c>
      <c r="H165" s="195">
        <v>7650</v>
      </c>
      <c r="I165" s="195">
        <v>7650</v>
      </c>
      <c r="J165" s="195"/>
      <c r="K165" s="193"/>
      <c r="L165" s="196" t="str">
        <f t="shared" si="1282"/>
        <v xml:space="preserve"> </v>
      </c>
      <c r="M165" s="193"/>
      <c r="N165" s="196" t="str">
        <f t="shared" si="1282"/>
        <v xml:space="preserve"> </v>
      </c>
      <c r="O165" s="193"/>
      <c r="P165" s="196" t="str">
        <f t="shared" ref="P165" si="1483">IFERROR(IF(O165=0," ",O165/$F165)," ")</f>
        <v xml:space="preserve"> </v>
      </c>
      <c r="Q165" s="193"/>
      <c r="R165" s="196" t="str">
        <f t="shared" ref="R165" si="1484">IFERROR(IF(Q165=0," ",Q165/$F165)," ")</f>
        <v xml:space="preserve"> </v>
      </c>
      <c r="S165" s="193"/>
      <c r="T165" s="196" t="str">
        <f t="shared" ref="T165" si="1485">IFERROR(IF(S165=0," ",S165/$F165)," ")</f>
        <v xml:space="preserve"> </v>
      </c>
      <c r="U165" s="193"/>
      <c r="V165" s="196" t="str">
        <f t="shared" ref="V165" si="1486">IFERROR(IF(U165=0," ",U165/$F165)," ")</f>
        <v xml:space="preserve"> </v>
      </c>
      <c r="W165" s="193">
        <v>1</v>
      </c>
      <c r="X165" s="196">
        <f t="shared" ref="X165" si="1487">IFERROR(IF(W165=0," ",W165/$F165)," ")</f>
        <v>1</v>
      </c>
      <c r="Y165" s="193">
        <v>1</v>
      </c>
      <c r="Z165" s="196">
        <f t="shared" ref="Z165" si="1488">IFERROR(IF(Y165=0," ",Y165/$F165)," ")</f>
        <v>1</v>
      </c>
      <c r="AA165" s="193">
        <v>1</v>
      </c>
      <c r="AB165" s="196">
        <f t="shared" ref="AB165" si="1489">IFERROR(IF(AA165=0," ",AA165/$F165)," ")</f>
        <v>1</v>
      </c>
      <c r="AC165" s="193">
        <v>1</v>
      </c>
      <c r="AD165" s="196">
        <f t="shared" ref="AD165" si="1490">IFERROR(IF(AC165=0," ",AC165/$F165)," ")</f>
        <v>1</v>
      </c>
      <c r="AE165" s="193">
        <v>1</v>
      </c>
      <c r="AF165" s="196">
        <f t="shared" ref="AF165" si="1491">IFERROR(IF(AE165=0," ",AE165/$F165)," ")</f>
        <v>1</v>
      </c>
      <c r="AG165" s="193">
        <v>1</v>
      </c>
      <c r="AH165" s="196">
        <f t="shared" ref="AH165" si="1492">IFERROR(IF(AG165=0," ",AG165/$F165)," ")</f>
        <v>1</v>
      </c>
      <c r="AI165" s="197"/>
      <c r="AJ165" s="177">
        <v>0</v>
      </c>
      <c r="AK165" s="177">
        <v>0</v>
      </c>
      <c r="AL165" s="177">
        <v>0</v>
      </c>
      <c r="AM165" s="177">
        <v>0</v>
      </c>
      <c r="AN165" s="177">
        <v>0</v>
      </c>
      <c r="AO165" s="177">
        <v>0</v>
      </c>
      <c r="AP165" s="177">
        <v>7650</v>
      </c>
      <c r="AQ165" s="177">
        <v>7650</v>
      </c>
      <c r="AR165" s="177">
        <v>7650</v>
      </c>
      <c r="AS165" s="177">
        <v>7650</v>
      </c>
      <c r="AT165" s="177">
        <v>7650</v>
      </c>
      <c r="AU165" s="177">
        <v>7650</v>
      </c>
    </row>
    <row r="166" spans="1:47" x14ac:dyDescent="0.25">
      <c r="A166" s="190" t="s">
        <v>642</v>
      </c>
      <c r="B166" s="65" t="s">
        <v>745</v>
      </c>
      <c r="C166" s="191" t="s">
        <v>349</v>
      </c>
      <c r="D166" s="65" t="s">
        <v>747</v>
      </c>
      <c r="E166" s="192" t="str">
        <f>IF(A166=" "," ",VLOOKUP(A166,Estimate!A:Q,17,FALSE))</f>
        <v xml:space="preserve"> </v>
      </c>
      <c r="F166" s="193" t="s">
        <v>642</v>
      </c>
      <c r="G166" s="206" t="s">
        <v>642</v>
      </c>
      <c r="H166" s="195" t="s">
        <v>642</v>
      </c>
      <c r="I166" s="195" t="s">
        <v>642</v>
      </c>
      <c r="J166" s="195"/>
      <c r="K166" s="193" t="s">
        <v>642</v>
      </c>
      <c r="L166" s="196" t="str">
        <f t="shared" si="1282"/>
        <v xml:space="preserve"> </v>
      </c>
      <c r="M166" s="193" t="s">
        <v>642</v>
      </c>
      <c r="N166" s="196" t="str">
        <f t="shared" si="1282"/>
        <v xml:space="preserve"> </v>
      </c>
      <c r="O166" s="193" t="s">
        <v>642</v>
      </c>
      <c r="P166" s="196" t="str">
        <f t="shared" ref="P166" si="1493">IFERROR(IF(O166=0," ",O166/$F166)," ")</f>
        <v xml:space="preserve"> </v>
      </c>
      <c r="Q166" s="193" t="s">
        <v>642</v>
      </c>
      <c r="R166" s="196" t="str">
        <f t="shared" ref="R166" si="1494">IFERROR(IF(Q166=0," ",Q166/$F166)," ")</f>
        <v xml:space="preserve"> </v>
      </c>
      <c r="S166" s="193" t="s">
        <v>642</v>
      </c>
      <c r="T166" s="196" t="str">
        <f t="shared" ref="T166" si="1495">IFERROR(IF(S166=0," ",S166/$F166)," ")</f>
        <v xml:space="preserve"> </v>
      </c>
      <c r="U166" s="193" t="s">
        <v>642</v>
      </c>
      <c r="V166" s="196" t="str">
        <f t="shared" ref="V166" si="1496">IFERROR(IF(U166=0," ",U166/$F166)," ")</f>
        <v xml:space="preserve"> </v>
      </c>
      <c r="W166" s="193" t="s">
        <v>642</v>
      </c>
      <c r="X166" s="196" t="str">
        <f t="shared" ref="X166" si="1497">IFERROR(IF(W166=0," ",W166/$F166)," ")</f>
        <v xml:space="preserve"> </v>
      </c>
      <c r="Y166" s="193" t="s">
        <v>642</v>
      </c>
      <c r="Z166" s="196" t="str">
        <f t="shared" ref="Z166" si="1498">IFERROR(IF(Y166=0," ",Y166/$F166)," ")</f>
        <v xml:space="preserve"> </v>
      </c>
      <c r="AA166" s="193" t="s">
        <v>642</v>
      </c>
      <c r="AB166" s="196" t="str">
        <f t="shared" ref="AB166" si="1499">IFERROR(IF(AA166=0," ",AA166/$F166)," ")</f>
        <v xml:space="preserve"> </v>
      </c>
      <c r="AC166" s="193" t="s">
        <v>642</v>
      </c>
      <c r="AD166" s="196" t="str">
        <f t="shared" ref="AD166" si="1500">IFERROR(IF(AC166=0," ",AC166/$F166)," ")</f>
        <v xml:space="preserve"> </v>
      </c>
      <c r="AE166" s="193" t="s">
        <v>642</v>
      </c>
      <c r="AF166" s="196" t="str">
        <f t="shared" ref="AF166" si="1501">IFERROR(IF(AE166=0," ",AE166/$F166)," ")</f>
        <v xml:space="preserve"> </v>
      </c>
      <c r="AG166" s="193" t="s">
        <v>642</v>
      </c>
      <c r="AH166" s="196" t="str">
        <f t="shared" ref="AH166" si="1502">IFERROR(IF(AG166=0," ",AG166/$F166)," ")</f>
        <v xml:space="preserve"> </v>
      </c>
      <c r="AI166" s="197"/>
      <c r="AJ166" s="177"/>
      <c r="AK166" s="177"/>
      <c r="AL166" s="177"/>
      <c r="AM166" s="177"/>
      <c r="AN166" s="177"/>
      <c r="AO166" s="177" t="s">
        <v>642</v>
      </c>
      <c r="AP166" s="177" t="s">
        <v>642</v>
      </c>
      <c r="AQ166" s="177" t="s">
        <v>642</v>
      </c>
      <c r="AR166" s="177" t="s">
        <v>642</v>
      </c>
      <c r="AS166" s="177" t="s">
        <v>642</v>
      </c>
      <c r="AT166" s="177" t="s">
        <v>642</v>
      </c>
      <c r="AU166" s="177" t="s">
        <v>642</v>
      </c>
    </row>
    <row r="167" spans="1:47" ht="90" x14ac:dyDescent="0.25">
      <c r="A167" s="190" t="s">
        <v>642</v>
      </c>
      <c r="B167" s="65">
        <v>9120</v>
      </c>
      <c r="C167" s="191" t="s">
        <v>351</v>
      </c>
      <c r="D167" s="65" t="s">
        <v>747</v>
      </c>
      <c r="E167" s="192" t="str">
        <f>IF(A167=" "," ",VLOOKUP(A167,Estimate!A:Q,17,FALSE))</f>
        <v xml:space="preserve"> </v>
      </c>
      <c r="F167" s="193" t="s">
        <v>642</v>
      </c>
      <c r="G167" s="206" t="s">
        <v>642</v>
      </c>
      <c r="H167" s="195" t="s">
        <v>642</v>
      </c>
      <c r="I167" s="195" t="s">
        <v>642</v>
      </c>
      <c r="J167" s="195"/>
      <c r="K167" s="193" t="s">
        <v>642</v>
      </c>
      <c r="L167" s="196" t="str">
        <f t="shared" si="1282"/>
        <v xml:space="preserve"> </v>
      </c>
      <c r="M167" s="193" t="s">
        <v>642</v>
      </c>
      <c r="N167" s="196" t="str">
        <f t="shared" si="1282"/>
        <v xml:space="preserve"> </v>
      </c>
      <c r="O167" s="193" t="s">
        <v>642</v>
      </c>
      <c r="P167" s="196" t="str">
        <f t="shared" ref="P167" si="1503">IFERROR(IF(O167=0," ",O167/$F167)," ")</f>
        <v xml:space="preserve"> </v>
      </c>
      <c r="Q167" s="193" t="s">
        <v>642</v>
      </c>
      <c r="R167" s="196" t="str">
        <f t="shared" ref="R167" si="1504">IFERROR(IF(Q167=0," ",Q167/$F167)," ")</f>
        <v xml:space="preserve"> </v>
      </c>
      <c r="S167" s="193" t="s">
        <v>642</v>
      </c>
      <c r="T167" s="196" t="str">
        <f t="shared" ref="T167" si="1505">IFERROR(IF(S167=0," ",S167/$F167)," ")</f>
        <v xml:space="preserve"> </v>
      </c>
      <c r="U167" s="193" t="s">
        <v>642</v>
      </c>
      <c r="V167" s="196" t="str">
        <f t="shared" ref="V167" si="1506">IFERROR(IF(U167=0," ",U167/$F167)," ")</f>
        <v xml:space="preserve"> </v>
      </c>
      <c r="W167" s="193" t="s">
        <v>642</v>
      </c>
      <c r="X167" s="196" t="str">
        <f t="shared" ref="X167" si="1507">IFERROR(IF(W167=0," ",W167/$F167)," ")</f>
        <v xml:space="preserve"> </v>
      </c>
      <c r="Y167" s="193" t="s">
        <v>642</v>
      </c>
      <c r="Z167" s="196" t="str">
        <f t="shared" ref="Z167" si="1508">IFERROR(IF(Y167=0," ",Y167/$F167)," ")</f>
        <v xml:space="preserve"> </v>
      </c>
      <c r="AA167" s="193" t="s">
        <v>642</v>
      </c>
      <c r="AB167" s="196" t="str">
        <f t="shared" ref="AB167" si="1509">IFERROR(IF(AA167=0," ",AA167/$F167)," ")</f>
        <v xml:space="preserve"> </v>
      </c>
      <c r="AC167" s="193" t="s">
        <v>642</v>
      </c>
      <c r="AD167" s="196" t="str">
        <f t="shared" ref="AD167" si="1510">IFERROR(IF(AC167=0," ",AC167/$F167)," ")</f>
        <v xml:space="preserve"> </v>
      </c>
      <c r="AE167" s="193" t="s">
        <v>642</v>
      </c>
      <c r="AF167" s="196" t="str">
        <f t="shared" ref="AF167" si="1511">IFERROR(IF(AE167=0," ",AE167/$F167)," ")</f>
        <v xml:space="preserve"> </v>
      </c>
      <c r="AG167" s="193" t="s">
        <v>642</v>
      </c>
      <c r="AH167" s="196" t="str">
        <f t="shared" ref="AH167" si="1512">IFERROR(IF(AG167=0," ",AG167/$F167)," ")</f>
        <v xml:space="preserve"> </v>
      </c>
      <c r="AI167" s="197"/>
      <c r="AJ167" s="177" t="s">
        <v>642</v>
      </c>
      <c r="AK167" s="177" t="s">
        <v>642</v>
      </c>
      <c r="AL167" s="177" t="s">
        <v>642</v>
      </c>
      <c r="AM167" s="177" t="s">
        <v>642</v>
      </c>
      <c r="AN167" s="177" t="s">
        <v>642</v>
      </c>
      <c r="AO167" s="177" t="s">
        <v>642</v>
      </c>
      <c r="AP167" s="177" t="s">
        <v>642</v>
      </c>
      <c r="AQ167" s="177" t="s">
        <v>642</v>
      </c>
      <c r="AR167" s="177" t="s">
        <v>642</v>
      </c>
      <c r="AS167" s="177" t="s">
        <v>642</v>
      </c>
      <c r="AT167" s="177" t="s">
        <v>642</v>
      </c>
      <c r="AU167" s="177" t="s">
        <v>642</v>
      </c>
    </row>
    <row r="168" spans="1:47" x14ac:dyDescent="0.25">
      <c r="A168" s="190">
        <v>90</v>
      </c>
      <c r="B168" s="65">
        <v>9120.2000000000007</v>
      </c>
      <c r="C168" s="191" t="s">
        <v>353</v>
      </c>
      <c r="D168" s="65" t="s">
        <v>26</v>
      </c>
      <c r="E168" s="192">
        <f>IF(A168=" "," ",VLOOKUP(A168,Estimate!A:Q,17,FALSE))</f>
        <v>562.63000000000011</v>
      </c>
      <c r="F168" s="193">
        <v>15</v>
      </c>
      <c r="G168" s="206">
        <v>49.940000000000005</v>
      </c>
      <c r="H168" s="195">
        <v>56.32</v>
      </c>
      <c r="I168" s="195">
        <v>844.8</v>
      </c>
      <c r="J168" s="195"/>
      <c r="K168" s="193"/>
      <c r="L168" s="196" t="str">
        <f t="shared" si="1282"/>
        <v xml:space="preserve"> </v>
      </c>
      <c r="M168" s="193"/>
      <c r="N168" s="196" t="str">
        <f t="shared" si="1282"/>
        <v xml:space="preserve"> </v>
      </c>
      <c r="O168" s="193"/>
      <c r="P168" s="196" t="str">
        <f t="shared" ref="P168" si="1513">IFERROR(IF(O168=0," ",O168/$F168)," ")</f>
        <v xml:space="preserve"> </v>
      </c>
      <c r="Q168" s="193"/>
      <c r="R168" s="196" t="str">
        <f t="shared" ref="R168" si="1514">IFERROR(IF(Q168=0," ",Q168/$F168)," ")</f>
        <v xml:space="preserve"> </v>
      </c>
      <c r="S168" s="193"/>
      <c r="T168" s="196" t="str">
        <f t="shared" ref="T168" si="1515">IFERROR(IF(S168=0," ",S168/$F168)," ")</f>
        <v xml:space="preserve"> </v>
      </c>
      <c r="U168" s="193">
        <v>15</v>
      </c>
      <c r="V168" s="196">
        <f t="shared" ref="V168" si="1516">IFERROR(IF(U168=0," ",U168/$F168)," ")</f>
        <v>1</v>
      </c>
      <c r="W168" s="193">
        <v>15</v>
      </c>
      <c r="X168" s="196">
        <f t="shared" ref="X168" si="1517">IFERROR(IF(W168=0," ",W168/$F168)," ")</f>
        <v>1</v>
      </c>
      <c r="Y168" s="193">
        <v>15</v>
      </c>
      <c r="Z168" s="196">
        <f t="shared" ref="Z168" si="1518">IFERROR(IF(Y168=0," ",Y168/$F168)," ")</f>
        <v>1</v>
      </c>
      <c r="AA168" s="193">
        <v>15</v>
      </c>
      <c r="AB168" s="196">
        <f t="shared" ref="AB168" si="1519">IFERROR(IF(AA168=0," ",AA168/$F168)," ")</f>
        <v>1</v>
      </c>
      <c r="AC168" s="193">
        <v>15</v>
      </c>
      <c r="AD168" s="196">
        <f t="shared" ref="AD168" si="1520">IFERROR(IF(AC168=0," ",AC168/$F168)," ")</f>
        <v>1</v>
      </c>
      <c r="AE168" s="193">
        <v>15</v>
      </c>
      <c r="AF168" s="196">
        <f t="shared" ref="AF168" si="1521">IFERROR(IF(AE168=0," ",AE168/$F168)," ")</f>
        <v>1</v>
      </c>
      <c r="AG168" s="193">
        <v>15</v>
      </c>
      <c r="AH168" s="196">
        <f t="shared" ref="AH168" si="1522">IFERROR(IF(AG168=0," ",AG168/$F168)," ")</f>
        <v>1</v>
      </c>
      <c r="AI168" s="197"/>
      <c r="AJ168" s="177">
        <v>0</v>
      </c>
      <c r="AK168" s="177">
        <v>0</v>
      </c>
      <c r="AL168" s="177">
        <v>0</v>
      </c>
      <c r="AM168" s="177">
        <v>0</v>
      </c>
      <c r="AN168" s="177">
        <v>0</v>
      </c>
      <c r="AO168" s="177">
        <v>844.8</v>
      </c>
      <c r="AP168" s="177">
        <v>844.8</v>
      </c>
      <c r="AQ168" s="177">
        <v>844.8</v>
      </c>
      <c r="AR168" s="177">
        <v>844.8</v>
      </c>
      <c r="AS168" s="177">
        <v>844.8</v>
      </c>
      <c r="AT168" s="177">
        <v>844.8</v>
      </c>
      <c r="AU168" s="177">
        <v>844.8</v>
      </c>
    </row>
    <row r="169" spans="1:47" x14ac:dyDescent="0.25">
      <c r="A169" s="190">
        <v>91</v>
      </c>
      <c r="B169" s="65">
        <v>9125.1</v>
      </c>
      <c r="C169" s="191" t="s">
        <v>355</v>
      </c>
      <c r="D169" s="65" t="s">
        <v>26</v>
      </c>
      <c r="E169" s="192">
        <f>IF(A169=" "," ",VLOOKUP(A169,Estimate!A:Q,17,FALSE))</f>
        <v>13500</v>
      </c>
      <c r="F169" s="193">
        <v>12</v>
      </c>
      <c r="G169" s="206">
        <v>1497.7807499999999</v>
      </c>
      <c r="H169" s="195">
        <v>1689.1</v>
      </c>
      <c r="I169" s="195">
        <v>20269.2</v>
      </c>
      <c r="J169" s="195"/>
      <c r="K169" s="193"/>
      <c r="L169" s="196" t="str">
        <f t="shared" si="1282"/>
        <v xml:space="preserve"> </v>
      </c>
      <c r="M169" s="193"/>
      <c r="N169" s="196" t="str">
        <f t="shared" si="1282"/>
        <v xml:space="preserve"> </v>
      </c>
      <c r="O169" s="193"/>
      <c r="P169" s="196" t="str">
        <f t="shared" ref="P169" si="1523">IFERROR(IF(O169=0," ",O169/$F169)," ")</f>
        <v xml:space="preserve"> </v>
      </c>
      <c r="Q169" s="193"/>
      <c r="R169" s="196" t="str">
        <f t="shared" ref="R169" si="1524">IFERROR(IF(Q169=0," ",Q169/$F169)," ")</f>
        <v xml:space="preserve"> </v>
      </c>
      <c r="S169" s="193"/>
      <c r="T169" s="196" t="str">
        <f t="shared" ref="T169" si="1525">IFERROR(IF(S169=0," ",S169/$F169)," ")</f>
        <v xml:space="preserve"> </v>
      </c>
      <c r="U169" s="193">
        <v>12</v>
      </c>
      <c r="V169" s="196">
        <f t="shared" ref="V169" si="1526">IFERROR(IF(U169=0," ",U169/$F169)," ")</f>
        <v>1</v>
      </c>
      <c r="W169" s="193">
        <v>12</v>
      </c>
      <c r="X169" s="196">
        <f t="shared" ref="X169" si="1527">IFERROR(IF(W169=0," ",W169/$F169)," ")</f>
        <v>1</v>
      </c>
      <c r="Y169" s="193">
        <v>12</v>
      </c>
      <c r="Z169" s="196">
        <f t="shared" ref="Z169" si="1528">IFERROR(IF(Y169=0," ",Y169/$F169)," ")</f>
        <v>1</v>
      </c>
      <c r="AA169" s="193">
        <v>12</v>
      </c>
      <c r="AB169" s="196">
        <f t="shared" ref="AB169" si="1529">IFERROR(IF(AA169=0," ",AA169/$F169)," ")</f>
        <v>1</v>
      </c>
      <c r="AC169" s="193">
        <v>12</v>
      </c>
      <c r="AD169" s="196">
        <f t="shared" ref="AD169" si="1530">IFERROR(IF(AC169=0," ",AC169/$F169)," ")</f>
        <v>1</v>
      </c>
      <c r="AE169" s="193">
        <v>12</v>
      </c>
      <c r="AF169" s="196">
        <f t="shared" ref="AF169" si="1531">IFERROR(IF(AE169=0," ",AE169/$F169)," ")</f>
        <v>1</v>
      </c>
      <c r="AG169" s="193">
        <v>12</v>
      </c>
      <c r="AH169" s="196">
        <f t="shared" ref="AH169" si="1532">IFERROR(IF(AG169=0," ",AG169/$F169)," ")</f>
        <v>1</v>
      </c>
      <c r="AI169" s="197"/>
      <c r="AJ169" s="177">
        <v>0</v>
      </c>
      <c r="AK169" s="177">
        <v>0</v>
      </c>
      <c r="AL169" s="177">
        <v>0</v>
      </c>
      <c r="AM169" s="177">
        <v>0</v>
      </c>
      <c r="AN169" s="177">
        <v>0</v>
      </c>
      <c r="AO169" s="177">
        <v>20269.2</v>
      </c>
      <c r="AP169" s="177">
        <v>20269.2</v>
      </c>
      <c r="AQ169" s="177">
        <v>20269.2</v>
      </c>
      <c r="AR169" s="177">
        <v>20269.2</v>
      </c>
      <c r="AS169" s="177">
        <v>20269.2</v>
      </c>
      <c r="AT169" s="177">
        <v>20269.2</v>
      </c>
      <c r="AU169" s="177">
        <v>20269.2</v>
      </c>
    </row>
    <row r="170" spans="1:47" ht="75" x14ac:dyDescent="0.25">
      <c r="A170" s="190">
        <v>92</v>
      </c>
      <c r="B170" s="65">
        <v>9130.1</v>
      </c>
      <c r="C170" s="191" t="s">
        <v>358</v>
      </c>
      <c r="D170" s="65" t="s">
        <v>359</v>
      </c>
      <c r="E170" s="192">
        <f>IF(A170=" "," ",VLOOKUP(A170,Estimate!A:Q,17,FALSE))</f>
        <v>4500</v>
      </c>
      <c r="F170" s="193">
        <v>12</v>
      </c>
      <c r="G170" s="206">
        <v>499.25808333333333</v>
      </c>
      <c r="H170" s="195">
        <v>563.03</v>
      </c>
      <c r="I170" s="195">
        <v>6756.36</v>
      </c>
      <c r="J170" s="195"/>
      <c r="K170" s="193"/>
      <c r="L170" s="196" t="str">
        <f t="shared" si="1282"/>
        <v xml:space="preserve"> </v>
      </c>
      <c r="M170" s="193"/>
      <c r="N170" s="196" t="str">
        <f t="shared" si="1282"/>
        <v xml:space="preserve"> </v>
      </c>
      <c r="O170" s="193"/>
      <c r="P170" s="196" t="str">
        <f t="shared" ref="P170" si="1533">IFERROR(IF(O170=0," ",O170/$F170)," ")</f>
        <v xml:space="preserve"> </v>
      </c>
      <c r="Q170" s="193"/>
      <c r="R170" s="196" t="str">
        <f t="shared" ref="R170" si="1534">IFERROR(IF(Q170=0," ",Q170/$F170)," ")</f>
        <v xml:space="preserve"> </v>
      </c>
      <c r="S170" s="193"/>
      <c r="T170" s="196" t="str">
        <f t="shared" ref="T170" si="1535">IFERROR(IF(S170=0," ",S170/$F170)," ")</f>
        <v xml:space="preserve"> </v>
      </c>
      <c r="U170" s="193">
        <v>12</v>
      </c>
      <c r="V170" s="196">
        <f t="shared" ref="V170" si="1536">IFERROR(IF(U170=0," ",U170/$F170)," ")</f>
        <v>1</v>
      </c>
      <c r="W170" s="193">
        <v>12</v>
      </c>
      <c r="X170" s="196">
        <f t="shared" ref="X170" si="1537">IFERROR(IF(W170=0," ",W170/$F170)," ")</f>
        <v>1</v>
      </c>
      <c r="Y170" s="193">
        <v>12</v>
      </c>
      <c r="Z170" s="196">
        <f t="shared" ref="Z170" si="1538">IFERROR(IF(Y170=0," ",Y170/$F170)," ")</f>
        <v>1</v>
      </c>
      <c r="AA170" s="193">
        <v>12</v>
      </c>
      <c r="AB170" s="196">
        <f t="shared" ref="AB170" si="1539">IFERROR(IF(AA170=0," ",AA170/$F170)," ")</f>
        <v>1</v>
      </c>
      <c r="AC170" s="193">
        <v>12</v>
      </c>
      <c r="AD170" s="196">
        <f t="shared" ref="AD170" si="1540">IFERROR(IF(AC170=0," ",AC170/$F170)," ")</f>
        <v>1</v>
      </c>
      <c r="AE170" s="193">
        <v>12</v>
      </c>
      <c r="AF170" s="196">
        <f t="shared" ref="AF170" si="1541">IFERROR(IF(AE170=0," ",AE170/$F170)," ")</f>
        <v>1</v>
      </c>
      <c r="AG170" s="193">
        <v>12</v>
      </c>
      <c r="AH170" s="196">
        <f t="shared" ref="AH170" si="1542">IFERROR(IF(AG170=0," ",AG170/$F170)," ")</f>
        <v>1</v>
      </c>
      <c r="AI170" s="197"/>
      <c r="AJ170" s="177">
        <v>0</v>
      </c>
      <c r="AK170" s="177">
        <v>0</v>
      </c>
      <c r="AL170" s="177">
        <v>0</v>
      </c>
      <c r="AM170" s="177">
        <v>0</v>
      </c>
      <c r="AN170" s="177">
        <v>0</v>
      </c>
      <c r="AO170" s="177">
        <v>6756.36</v>
      </c>
      <c r="AP170" s="177">
        <v>6756.36</v>
      </c>
      <c r="AQ170" s="177">
        <v>6756.36</v>
      </c>
      <c r="AR170" s="177">
        <v>6756.36</v>
      </c>
      <c r="AS170" s="177">
        <v>6756.36</v>
      </c>
      <c r="AT170" s="177">
        <v>6756.36</v>
      </c>
      <c r="AU170" s="177">
        <v>6756.36</v>
      </c>
    </row>
    <row r="171" spans="1:47" ht="45" x14ac:dyDescent="0.25">
      <c r="A171" s="190">
        <v>92.5</v>
      </c>
      <c r="B171" s="65" t="s">
        <v>745</v>
      </c>
      <c r="C171" s="191" t="s">
        <v>361</v>
      </c>
      <c r="D171" s="65" t="s">
        <v>26</v>
      </c>
      <c r="E171" s="192">
        <f>IF(A171=" "," ",VLOOKUP(A171,Estimate!A:Q,17,FALSE))</f>
        <v>32350</v>
      </c>
      <c r="F171" s="193">
        <v>445</v>
      </c>
      <c r="G171" s="206">
        <v>96.786534831460685</v>
      </c>
      <c r="H171" s="195">
        <v>109.15</v>
      </c>
      <c r="I171" s="195">
        <v>48571.75</v>
      </c>
      <c r="J171" s="195"/>
      <c r="K171" s="193"/>
      <c r="L171" s="196" t="str">
        <f t="shared" si="1282"/>
        <v xml:space="preserve"> </v>
      </c>
      <c r="M171" s="193"/>
      <c r="N171" s="196" t="str">
        <f t="shared" si="1282"/>
        <v xml:space="preserve"> </v>
      </c>
      <c r="O171" s="193"/>
      <c r="P171" s="196" t="str">
        <f t="shared" ref="P171" si="1543">IFERROR(IF(O171=0," ",O171/$F171)," ")</f>
        <v xml:space="preserve"> </v>
      </c>
      <c r="Q171" s="193"/>
      <c r="R171" s="196" t="str">
        <f t="shared" ref="R171" si="1544">IFERROR(IF(Q171=0," ",Q171/$F171)," ")</f>
        <v xml:space="preserve"> </v>
      </c>
      <c r="S171" s="193"/>
      <c r="T171" s="196" t="str">
        <f t="shared" ref="T171" si="1545">IFERROR(IF(S171=0," ",S171/$F171)," ")</f>
        <v xml:space="preserve"> </v>
      </c>
      <c r="U171" s="193">
        <v>445</v>
      </c>
      <c r="V171" s="196">
        <f t="shared" ref="V171" si="1546">IFERROR(IF(U171=0," ",U171/$F171)," ")</f>
        <v>1</v>
      </c>
      <c r="W171" s="193">
        <v>445</v>
      </c>
      <c r="X171" s="196">
        <f t="shared" ref="X171" si="1547">IFERROR(IF(W171=0," ",W171/$F171)," ")</f>
        <v>1</v>
      </c>
      <c r="Y171" s="193">
        <v>445</v>
      </c>
      <c r="Z171" s="196">
        <f t="shared" ref="Z171" si="1548">IFERROR(IF(Y171=0," ",Y171/$F171)," ")</f>
        <v>1</v>
      </c>
      <c r="AA171" s="193">
        <v>445</v>
      </c>
      <c r="AB171" s="196">
        <f t="shared" ref="AB171" si="1549">IFERROR(IF(AA171=0," ",AA171/$F171)," ")</f>
        <v>1</v>
      </c>
      <c r="AC171" s="193">
        <v>445</v>
      </c>
      <c r="AD171" s="196">
        <f t="shared" ref="AD171" si="1550">IFERROR(IF(AC171=0," ",AC171/$F171)," ")</f>
        <v>1</v>
      </c>
      <c r="AE171" s="193">
        <v>445</v>
      </c>
      <c r="AF171" s="196">
        <f t="shared" ref="AF171" si="1551">IFERROR(IF(AE171=0," ",AE171/$F171)," ")</f>
        <v>1</v>
      </c>
      <c r="AG171" s="193">
        <v>445</v>
      </c>
      <c r="AH171" s="196">
        <f t="shared" ref="AH171" si="1552">IFERROR(IF(AG171=0," ",AG171/$F171)," ")</f>
        <v>1</v>
      </c>
      <c r="AI171" s="197"/>
      <c r="AJ171" s="177">
        <v>0</v>
      </c>
      <c r="AK171" s="177">
        <v>0</v>
      </c>
      <c r="AL171" s="177">
        <v>0</v>
      </c>
      <c r="AM171" s="177">
        <v>0</v>
      </c>
      <c r="AN171" s="177">
        <v>0</v>
      </c>
      <c r="AO171" s="177">
        <v>48571.75</v>
      </c>
      <c r="AP171" s="177">
        <v>48571.75</v>
      </c>
      <c r="AQ171" s="177">
        <v>48571.75</v>
      </c>
      <c r="AR171" s="177">
        <v>48571.75</v>
      </c>
      <c r="AS171" s="177">
        <v>48571.75</v>
      </c>
      <c r="AT171" s="177">
        <v>48571.75</v>
      </c>
      <c r="AU171" s="177">
        <v>48571.75</v>
      </c>
    </row>
    <row r="172" spans="1:47" x14ac:dyDescent="0.25">
      <c r="A172" s="190" t="s">
        <v>642</v>
      </c>
      <c r="B172" s="65" t="s">
        <v>745</v>
      </c>
      <c r="C172" s="191" t="s">
        <v>363</v>
      </c>
      <c r="D172" s="65" t="s">
        <v>364</v>
      </c>
      <c r="E172" s="192" t="str">
        <f>IF(A172=" "," ",VLOOKUP(A172,Estimate!A:Q,17,FALSE))</f>
        <v xml:space="preserve"> </v>
      </c>
      <c r="F172" s="193">
        <v>1</v>
      </c>
      <c r="G172" s="206" t="s">
        <v>642</v>
      </c>
      <c r="H172" s="195"/>
      <c r="I172" s="195"/>
      <c r="J172" s="195"/>
      <c r="K172" s="193"/>
      <c r="L172" s="196" t="str">
        <f t="shared" si="1282"/>
        <v xml:space="preserve"> </v>
      </c>
      <c r="M172" s="193"/>
      <c r="N172" s="196" t="str">
        <f t="shared" si="1282"/>
        <v xml:space="preserve"> </v>
      </c>
      <c r="O172" s="193"/>
      <c r="P172" s="196" t="str">
        <f t="shared" ref="P172" si="1553">IFERROR(IF(O172=0," ",O172/$F172)," ")</f>
        <v xml:space="preserve"> </v>
      </c>
      <c r="Q172" s="193"/>
      <c r="R172" s="196" t="str">
        <f t="shared" ref="R172" si="1554">IFERROR(IF(Q172=0," ",Q172/$F172)," ")</f>
        <v xml:space="preserve"> </v>
      </c>
      <c r="S172" s="193"/>
      <c r="T172" s="196" t="str">
        <f t="shared" ref="T172" si="1555">IFERROR(IF(S172=0," ",S172/$F172)," ")</f>
        <v xml:space="preserve"> </v>
      </c>
      <c r="U172" s="193"/>
      <c r="V172" s="196" t="str">
        <f t="shared" ref="V172" si="1556">IFERROR(IF(U172=0," ",U172/$F172)," ")</f>
        <v xml:space="preserve"> </v>
      </c>
      <c r="W172" s="193"/>
      <c r="X172" s="196" t="str">
        <f t="shared" ref="X172" si="1557">IFERROR(IF(W172=0," ",W172/$F172)," ")</f>
        <v xml:space="preserve"> </v>
      </c>
      <c r="Y172" s="193"/>
      <c r="Z172" s="196" t="str">
        <f t="shared" ref="Z172" si="1558">IFERROR(IF(Y172=0," ",Y172/$F172)," ")</f>
        <v xml:space="preserve"> </v>
      </c>
      <c r="AA172" s="193"/>
      <c r="AB172" s="196" t="str">
        <f t="shared" ref="AB172" si="1559">IFERROR(IF(AA172=0," ",AA172/$F172)," ")</f>
        <v xml:space="preserve"> </v>
      </c>
      <c r="AC172" s="193"/>
      <c r="AD172" s="196" t="str">
        <f t="shared" ref="AD172" si="1560">IFERROR(IF(AC172=0," ",AC172/$F172)," ")</f>
        <v xml:space="preserve"> </v>
      </c>
      <c r="AE172" s="193"/>
      <c r="AF172" s="196" t="str">
        <f t="shared" ref="AF172" si="1561">IFERROR(IF(AE172=0," ",AE172/$F172)," ")</f>
        <v xml:space="preserve"> </v>
      </c>
      <c r="AG172" s="193"/>
      <c r="AH172" s="196" t="str">
        <f t="shared" ref="AH172" si="1562">IFERROR(IF(AG172=0," ",AG172/$F172)," ")</f>
        <v xml:space="preserve"> </v>
      </c>
      <c r="AI172" s="197"/>
      <c r="AJ172" s="177" t="s">
        <v>642</v>
      </c>
      <c r="AK172" s="177" t="s">
        <v>642</v>
      </c>
      <c r="AL172" s="177" t="s">
        <v>642</v>
      </c>
      <c r="AM172" s="177" t="s">
        <v>642</v>
      </c>
      <c r="AN172" s="177" t="s">
        <v>642</v>
      </c>
      <c r="AO172" s="177" t="s">
        <v>642</v>
      </c>
      <c r="AP172" s="177" t="s">
        <v>642</v>
      </c>
      <c r="AQ172" s="177" t="s">
        <v>642</v>
      </c>
      <c r="AR172" s="177" t="s">
        <v>642</v>
      </c>
      <c r="AS172" s="177" t="s">
        <v>642</v>
      </c>
      <c r="AT172" s="177" t="s">
        <v>642</v>
      </c>
      <c r="AU172" s="177" t="s">
        <v>642</v>
      </c>
    </row>
    <row r="173" spans="1:47" ht="45" x14ac:dyDescent="0.25">
      <c r="A173" s="190">
        <v>93</v>
      </c>
      <c r="B173" s="65">
        <v>9150.2000000000007</v>
      </c>
      <c r="C173" s="191" t="s">
        <v>367</v>
      </c>
      <c r="D173" s="65" t="s">
        <v>359</v>
      </c>
      <c r="E173" s="192">
        <f>IF(A173=" "," ",VLOOKUP(A173,Estimate!A:Q,17,FALSE))</f>
        <v>30766.265432098764</v>
      </c>
      <c r="F173" s="193">
        <v>10</v>
      </c>
      <c r="G173" s="206">
        <v>4096.2088999999996</v>
      </c>
      <c r="H173" s="195">
        <v>4619.4399999999996</v>
      </c>
      <c r="I173" s="195">
        <v>46194.400000000001</v>
      </c>
      <c r="J173" s="195"/>
      <c r="K173" s="193"/>
      <c r="L173" s="196" t="str">
        <f t="shared" si="1282"/>
        <v xml:space="preserve"> </v>
      </c>
      <c r="M173" s="193"/>
      <c r="N173" s="196" t="str">
        <f t="shared" si="1282"/>
        <v xml:space="preserve"> </v>
      </c>
      <c r="O173" s="193"/>
      <c r="P173" s="196" t="str">
        <f t="shared" ref="P173" si="1563">IFERROR(IF(O173=0," ",O173/$F173)," ")</f>
        <v xml:space="preserve"> </v>
      </c>
      <c r="Q173" s="193"/>
      <c r="R173" s="196" t="str">
        <f t="shared" ref="R173" si="1564">IFERROR(IF(Q173=0," ",Q173/$F173)," ")</f>
        <v xml:space="preserve"> </v>
      </c>
      <c r="S173" s="193"/>
      <c r="T173" s="196" t="str">
        <f t="shared" ref="T173" si="1565">IFERROR(IF(S173=0," ",S173/$F173)," ")</f>
        <v xml:space="preserve"> </v>
      </c>
      <c r="U173" s="193">
        <v>5</v>
      </c>
      <c r="V173" s="196">
        <f t="shared" ref="V173" si="1566">IFERROR(IF(U173=0," ",U173/$F173)," ")</f>
        <v>0.5</v>
      </c>
      <c r="W173" s="193">
        <v>10</v>
      </c>
      <c r="X173" s="196">
        <f t="shared" ref="X173" si="1567">IFERROR(IF(W173=0," ",W173/$F173)," ")</f>
        <v>1</v>
      </c>
      <c r="Y173" s="193">
        <v>10</v>
      </c>
      <c r="Z173" s="196">
        <f t="shared" ref="Z173" si="1568">IFERROR(IF(Y173=0," ",Y173/$F173)," ")</f>
        <v>1</v>
      </c>
      <c r="AA173" s="193">
        <v>10</v>
      </c>
      <c r="AB173" s="196">
        <f t="shared" ref="AB173" si="1569">IFERROR(IF(AA173=0," ",AA173/$F173)," ")</f>
        <v>1</v>
      </c>
      <c r="AC173" s="193">
        <v>10</v>
      </c>
      <c r="AD173" s="196">
        <f t="shared" ref="AD173" si="1570">IFERROR(IF(AC173=0," ",AC173/$F173)," ")</f>
        <v>1</v>
      </c>
      <c r="AE173" s="193">
        <v>10</v>
      </c>
      <c r="AF173" s="196">
        <f t="shared" ref="AF173" si="1571">IFERROR(IF(AE173=0," ",AE173/$F173)," ")</f>
        <v>1</v>
      </c>
      <c r="AG173" s="193">
        <v>10</v>
      </c>
      <c r="AH173" s="196">
        <f t="shared" ref="AH173" si="1572">IFERROR(IF(AG173=0," ",AG173/$F173)," ")</f>
        <v>1</v>
      </c>
      <c r="AI173" s="197"/>
      <c r="AJ173" s="177">
        <v>0</v>
      </c>
      <c r="AK173" s="177">
        <v>0</v>
      </c>
      <c r="AL173" s="177">
        <v>0</v>
      </c>
      <c r="AM173" s="177">
        <v>0</v>
      </c>
      <c r="AN173" s="177">
        <v>0</v>
      </c>
      <c r="AO173" s="177">
        <v>23097.200000000001</v>
      </c>
      <c r="AP173" s="177">
        <v>46194.400000000001</v>
      </c>
      <c r="AQ173" s="177">
        <v>46194.400000000001</v>
      </c>
      <c r="AR173" s="177">
        <v>46194.400000000001</v>
      </c>
      <c r="AS173" s="177">
        <v>46194.400000000001</v>
      </c>
      <c r="AT173" s="177">
        <v>46194.400000000001</v>
      </c>
      <c r="AU173" s="177">
        <v>46194.400000000001</v>
      </c>
    </row>
    <row r="174" spans="1:47" ht="45" x14ac:dyDescent="0.25">
      <c r="A174" s="190">
        <v>94</v>
      </c>
      <c r="B174" s="65">
        <v>9180.2000000000007</v>
      </c>
      <c r="C174" s="191" t="s">
        <v>377</v>
      </c>
      <c r="D174" s="65" t="s">
        <v>359</v>
      </c>
      <c r="E174" s="192">
        <f>IF(A174=" "," ",VLOOKUP(A174,Estimate!A:Q,17,FALSE))</f>
        <v>8250</v>
      </c>
      <c r="F174" s="193">
        <v>22</v>
      </c>
      <c r="G174" s="206">
        <v>499.25804545454542</v>
      </c>
      <c r="H174" s="195">
        <v>563.03</v>
      </c>
      <c r="I174" s="195">
        <v>12386.66</v>
      </c>
      <c r="J174" s="195"/>
      <c r="K174" s="193"/>
      <c r="L174" s="196" t="str">
        <f t="shared" si="1282"/>
        <v xml:space="preserve"> </v>
      </c>
      <c r="M174" s="193"/>
      <c r="N174" s="196" t="str">
        <f t="shared" si="1282"/>
        <v xml:space="preserve"> </v>
      </c>
      <c r="O174" s="193"/>
      <c r="P174" s="196" t="str">
        <f t="shared" ref="P174" si="1573">IFERROR(IF(O174=0," ",O174/$F174)," ")</f>
        <v xml:space="preserve"> </v>
      </c>
      <c r="Q174" s="193"/>
      <c r="R174" s="196" t="str">
        <f t="shared" ref="R174" si="1574">IFERROR(IF(Q174=0," ",Q174/$F174)," ")</f>
        <v xml:space="preserve"> </v>
      </c>
      <c r="S174" s="193"/>
      <c r="T174" s="196" t="str">
        <f t="shared" ref="T174" si="1575">IFERROR(IF(S174=0," ",S174/$F174)," ")</f>
        <v xml:space="preserve"> </v>
      </c>
      <c r="U174" s="193"/>
      <c r="V174" s="196" t="str">
        <f t="shared" ref="V174" si="1576">IFERROR(IF(U174=0," ",U174/$F174)," ")</f>
        <v xml:space="preserve"> </v>
      </c>
      <c r="W174" s="193">
        <v>22</v>
      </c>
      <c r="X174" s="196">
        <f t="shared" ref="X174" si="1577">IFERROR(IF(W174=0," ",W174/$F174)," ")</f>
        <v>1</v>
      </c>
      <c r="Y174" s="193">
        <v>22</v>
      </c>
      <c r="Z174" s="196">
        <f t="shared" ref="Z174" si="1578">IFERROR(IF(Y174=0," ",Y174/$F174)," ")</f>
        <v>1</v>
      </c>
      <c r="AA174" s="193">
        <v>22</v>
      </c>
      <c r="AB174" s="196">
        <f t="shared" ref="AB174" si="1579">IFERROR(IF(AA174=0," ",AA174/$F174)," ")</f>
        <v>1</v>
      </c>
      <c r="AC174" s="193">
        <v>22</v>
      </c>
      <c r="AD174" s="196">
        <f t="shared" ref="AD174" si="1580">IFERROR(IF(AC174=0," ",AC174/$F174)," ")</f>
        <v>1</v>
      </c>
      <c r="AE174" s="193">
        <v>22</v>
      </c>
      <c r="AF174" s="196">
        <f t="shared" ref="AF174" si="1581">IFERROR(IF(AE174=0," ",AE174/$F174)," ")</f>
        <v>1</v>
      </c>
      <c r="AG174" s="193">
        <v>22</v>
      </c>
      <c r="AH174" s="196">
        <f t="shared" ref="AH174" si="1582">IFERROR(IF(AG174=0," ",AG174/$F174)," ")</f>
        <v>1</v>
      </c>
      <c r="AI174" s="197"/>
      <c r="AJ174" s="177">
        <v>0</v>
      </c>
      <c r="AK174" s="177">
        <v>0</v>
      </c>
      <c r="AL174" s="177">
        <v>0</v>
      </c>
      <c r="AM174" s="177">
        <v>0</v>
      </c>
      <c r="AN174" s="177">
        <v>0</v>
      </c>
      <c r="AO174" s="177">
        <v>0</v>
      </c>
      <c r="AP174" s="177">
        <v>12386.66</v>
      </c>
      <c r="AQ174" s="177">
        <v>12386.66</v>
      </c>
      <c r="AR174" s="177">
        <v>12386.66</v>
      </c>
      <c r="AS174" s="177">
        <v>12386.66</v>
      </c>
      <c r="AT174" s="177">
        <v>12386.66</v>
      </c>
      <c r="AU174" s="177">
        <v>12386.66</v>
      </c>
    </row>
    <row r="175" spans="1:47" x14ac:dyDescent="0.25">
      <c r="A175" s="190" t="s">
        <v>642</v>
      </c>
      <c r="B175" s="65" t="s">
        <v>745</v>
      </c>
      <c r="C175" s="191" t="s">
        <v>642</v>
      </c>
      <c r="D175" s="65" t="s">
        <v>747</v>
      </c>
      <c r="E175" s="192" t="str">
        <f>IF(A175=" "," ",VLOOKUP(A175,Estimate!A:Q,17,FALSE))</f>
        <v xml:space="preserve"> </v>
      </c>
      <c r="F175" s="193" t="s">
        <v>642</v>
      </c>
      <c r="G175" s="206"/>
      <c r="H175" s="195" t="s">
        <v>642</v>
      </c>
      <c r="I175" s="195" t="s">
        <v>642</v>
      </c>
      <c r="J175" s="195"/>
      <c r="K175" s="193" t="s">
        <v>642</v>
      </c>
      <c r="L175" s="196" t="str">
        <f t="shared" si="1282"/>
        <v xml:space="preserve"> </v>
      </c>
      <c r="M175" s="193" t="s">
        <v>642</v>
      </c>
      <c r="N175" s="196" t="str">
        <f t="shared" si="1282"/>
        <v xml:space="preserve"> </v>
      </c>
      <c r="O175" s="193" t="s">
        <v>642</v>
      </c>
      <c r="P175" s="196" t="str">
        <f t="shared" ref="P175" si="1583">IFERROR(IF(O175=0," ",O175/$F175)," ")</f>
        <v xml:space="preserve"> </v>
      </c>
      <c r="Q175" s="193" t="s">
        <v>642</v>
      </c>
      <c r="R175" s="196" t="str">
        <f t="shared" ref="R175" si="1584">IFERROR(IF(Q175=0," ",Q175/$F175)," ")</f>
        <v xml:space="preserve"> </v>
      </c>
      <c r="S175" s="193" t="s">
        <v>642</v>
      </c>
      <c r="T175" s="196" t="str">
        <f t="shared" ref="T175" si="1585">IFERROR(IF(S175=0," ",S175/$F175)," ")</f>
        <v xml:space="preserve"> </v>
      </c>
      <c r="U175" s="193" t="s">
        <v>642</v>
      </c>
      <c r="V175" s="196" t="str">
        <f t="shared" ref="V175" si="1586">IFERROR(IF(U175=0," ",U175/$F175)," ")</f>
        <v xml:space="preserve"> </v>
      </c>
      <c r="W175" s="193" t="s">
        <v>642</v>
      </c>
      <c r="X175" s="196" t="str">
        <f t="shared" ref="X175" si="1587">IFERROR(IF(W175=0," ",W175/$F175)," ")</f>
        <v xml:space="preserve"> </v>
      </c>
      <c r="Y175" s="193" t="s">
        <v>642</v>
      </c>
      <c r="Z175" s="196" t="str">
        <f t="shared" ref="Z175" si="1588">IFERROR(IF(Y175=0," ",Y175/$F175)," ")</f>
        <v xml:space="preserve"> </v>
      </c>
      <c r="AA175" s="193" t="s">
        <v>642</v>
      </c>
      <c r="AB175" s="196" t="str">
        <f t="shared" ref="AB175" si="1589">IFERROR(IF(AA175=0," ",AA175/$F175)," ")</f>
        <v xml:space="preserve"> </v>
      </c>
      <c r="AC175" s="193" t="s">
        <v>642</v>
      </c>
      <c r="AD175" s="196" t="str">
        <f t="shared" ref="AD175" si="1590">IFERROR(IF(AC175=0," ",AC175/$F175)," ")</f>
        <v xml:space="preserve"> </v>
      </c>
      <c r="AE175" s="193" t="s">
        <v>642</v>
      </c>
      <c r="AF175" s="196" t="str">
        <f t="shared" ref="AF175" si="1591">IFERROR(IF(AE175=0," ",AE175/$F175)," ")</f>
        <v xml:space="preserve"> </v>
      </c>
      <c r="AG175" s="193" t="s">
        <v>642</v>
      </c>
      <c r="AH175" s="196" t="str">
        <f t="shared" ref="AH175" si="1592">IFERROR(IF(AG175=0," ",AG175/$F175)," ")</f>
        <v xml:space="preserve"> </v>
      </c>
      <c r="AI175" s="197"/>
      <c r="AJ175" s="177" t="s">
        <v>642</v>
      </c>
      <c r="AK175" s="177" t="s">
        <v>642</v>
      </c>
      <c r="AL175" s="177" t="s">
        <v>642</v>
      </c>
      <c r="AM175" s="177" t="s">
        <v>642</v>
      </c>
      <c r="AN175" s="177" t="s">
        <v>642</v>
      </c>
      <c r="AO175" s="177" t="s">
        <v>642</v>
      </c>
      <c r="AP175" s="177" t="s">
        <v>642</v>
      </c>
      <c r="AQ175" s="177" t="s">
        <v>642</v>
      </c>
      <c r="AR175" s="177" t="s">
        <v>642</v>
      </c>
      <c r="AS175" s="177" t="s">
        <v>642</v>
      </c>
      <c r="AT175" s="177" t="s">
        <v>642</v>
      </c>
      <c r="AU175" s="177" t="s">
        <v>642</v>
      </c>
    </row>
    <row r="176" spans="1:47" x14ac:dyDescent="0.25">
      <c r="A176" s="190" t="s">
        <v>642</v>
      </c>
      <c r="B176" s="65" t="s">
        <v>745</v>
      </c>
      <c r="C176" s="191" t="s">
        <v>768</v>
      </c>
      <c r="D176" s="65" t="s">
        <v>747</v>
      </c>
      <c r="E176" s="192" t="str">
        <f>IF(A176=" "," ",VLOOKUP(A176,Estimate!A:Q,17,FALSE))</f>
        <v xml:space="preserve"> </v>
      </c>
      <c r="F176" s="193" t="s">
        <v>642</v>
      </c>
      <c r="G176" s="206" t="s">
        <v>642</v>
      </c>
      <c r="H176" s="195" t="s">
        <v>642</v>
      </c>
      <c r="I176" s="195" t="s">
        <v>642</v>
      </c>
      <c r="J176" s="195"/>
      <c r="K176" s="193" t="s">
        <v>642</v>
      </c>
      <c r="L176" s="196" t="str">
        <f t="shared" si="1282"/>
        <v xml:space="preserve"> </v>
      </c>
      <c r="M176" s="193" t="s">
        <v>642</v>
      </c>
      <c r="N176" s="196" t="str">
        <f t="shared" si="1282"/>
        <v xml:space="preserve"> </v>
      </c>
      <c r="O176" s="193" t="s">
        <v>642</v>
      </c>
      <c r="P176" s="196" t="str">
        <f t="shared" ref="P176" si="1593">IFERROR(IF(O176=0," ",O176/$F176)," ")</f>
        <v xml:space="preserve"> </v>
      </c>
      <c r="Q176" s="193" t="s">
        <v>642</v>
      </c>
      <c r="R176" s="196" t="str">
        <f t="shared" ref="R176" si="1594">IFERROR(IF(Q176=0," ",Q176/$F176)," ")</f>
        <v xml:space="preserve"> </v>
      </c>
      <c r="S176" s="193" t="s">
        <v>642</v>
      </c>
      <c r="T176" s="196" t="str">
        <f t="shared" ref="T176" si="1595">IFERROR(IF(S176=0," ",S176/$F176)," ")</f>
        <v xml:space="preserve"> </v>
      </c>
      <c r="U176" s="193" t="s">
        <v>642</v>
      </c>
      <c r="V176" s="196" t="str">
        <f t="shared" ref="V176" si="1596">IFERROR(IF(U176=0," ",U176/$F176)," ")</f>
        <v xml:space="preserve"> </v>
      </c>
      <c r="W176" s="193" t="s">
        <v>642</v>
      </c>
      <c r="X176" s="196" t="str">
        <f t="shared" ref="X176" si="1597">IFERROR(IF(W176=0," ",W176/$F176)," ")</f>
        <v xml:space="preserve"> </v>
      </c>
      <c r="Y176" s="193" t="s">
        <v>642</v>
      </c>
      <c r="Z176" s="196" t="str">
        <f t="shared" ref="Z176" si="1598">IFERROR(IF(Y176=0," ",Y176/$F176)," ")</f>
        <v xml:space="preserve"> </v>
      </c>
      <c r="AA176" s="193" t="s">
        <v>642</v>
      </c>
      <c r="AB176" s="196" t="str">
        <f t="shared" ref="AB176" si="1599">IFERROR(IF(AA176=0," ",AA176/$F176)," ")</f>
        <v xml:space="preserve"> </v>
      </c>
      <c r="AC176" s="193" t="s">
        <v>642</v>
      </c>
      <c r="AD176" s="196" t="str">
        <f t="shared" ref="AD176" si="1600">IFERROR(IF(AC176=0," ",AC176/$F176)," ")</f>
        <v xml:space="preserve"> </v>
      </c>
      <c r="AE176" s="193" t="s">
        <v>642</v>
      </c>
      <c r="AF176" s="196" t="str">
        <f t="shared" ref="AF176" si="1601">IFERROR(IF(AE176=0," ",AE176/$F176)," ")</f>
        <v xml:space="preserve"> </v>
      </c>
      <c r="AG176" s="193" t="s">
        <v>642</v>
      </c>
      <c r="AH176" s="196" t="str">
        <f t="shared" ref="AH176" si="1602">IFERROR(IF(AG176=0," ",AG176/$F176)," ")</f>
        <v xml:space="preserve"> </v>
      </c>
      <c r="AI176" s="197"/>
      <c r="AJ176" s="177" t="s">
        <v>642</v>
      </c>
      <c r="AK176" s="177" t="s">
        <v>642</v>
      </c>
      <c r="AL176" s="177" t="s">
        <v>642</v>
      </c>
      <c r="AM176" s="177" t="s">
        <v>642</v>
      </c>
      <c r="AN176" s="177" t="s">
        <v>642</v>
      </c>
      <c r="AO176" s="177" t="s">
        <v>642</v>
      </c>
      <c r="AP176" s="177" t="s">
        <v>642</v>
      </c>
      <c r="AQ176" s="177" t="s">
        <v>642</v>
      </c>
      <c r="AR176" s="177" t="s">
        <v>642</v>
      </c>
      <c r="AS176" s="177" t="s">
        <v>642</v>
      </c>
      <c r="AT176" s="177" t="s">
        <v>642</v>
      </c>
      <c r="AU176" s="177" t="s">
        <v>642</v>
      </c>
    </row>
    <row r="177" spans="1:47" x14ac:dyDescent="0.25">
      <c r="A177" s="190" t="s">
        <v>642</v>
      </c>
      <c r="B177" s="65" t="s">
        <v>745</v>
      </c>
      <c r="C177" s="191" t="s">
        <v>642</v>
      </c>
      <c r="D177" s="65" t="s">
        <v>747</v>
      </c>
      <c r="E177" s="192" t="str">
        <f>IF(A177=" "," ",VLOOKUP(A177,Estimate!A:Q,17,FALSE))</f>
        <v xml:space="preserve"> </v>
      </c>
      <c r="F177" s="193" t="s">
        <v>642</v>
      </c>
      <c r="G177" s="206" t="s">
        <v>642</v>
      </c>
      <c r="H177" s="195" t="s">
        <v>642</v>
      </c>
      <c r="I177" s="195" t="s">
        <v>642</v>
      </c>
      <c r="J177" s="195"/>
      <c r="K177" s="193" t="s">
        <v>642</v>
      </c>
      <c r="L177" s="196" t="str">
        <f t="shared" si="1282"/>
        <v xml:space="preserve"> </v>
      </c>
      <c r="M177" s="193" t="s">
        <v>642</v>
      </c>
      <c r="N177" s="196" t="str">
        <f t="shared" si="1282"/>
        <v xml:space="preserve"> </v>
      </c>
      <c r="O177" s="193" t="s">
        <v>642</v>
      </c>
      <c r="P177" s="196" t="str">
        <f t="shared" ref="P177" si="1603">IFERROR(IF(O177=0," ",O177/$F177)," ")</f>
        <v xml:space="preserve"> </v>
      </c>
      <c r="Q177" s="193" t="s">
        <v>642</v>
      </c>
      <c r="R177" s="196" t="str">
        <f t="shared" ref="R177" si="1604">IFERROR(IF(Q177=0," ",Q177/$F177)," ")</f>
        <v xml:space="preserve"> </v>
      </c>
      <c r="S177" s="193" t="s">
        <v>642</v>
      </c>
      <c r="T177" s="196" t="str">
        <f t="shared" ref="T177" si="1605">IFERROR(IF(S177=0," ",S177/$F177)," ")</f>
        <v xml:space="preserve"> </v>
      </c>
      <c r="U177" s="193" t="s">
        <v>642</v>
      </c>
      <c r="V177" s="196" t="str">
        <f t="shared" ref="V177" si="1606">IFERROR(IF(U177=0," ",U177/$F177)," ")</f>
        <v xml:space="preserve"> </v>
      </c>
      <c r="W177" s="193" t="s">
        <v>642</v>
      </c>
      <c r="X177" s="196" t="str">
        <f t="shared" ref="X177" si="1607">IFERROR(IF(W177=0," ",W177/$F177)," ")</f>
        <v xml:space="preserve"> </v>
      </c>
      <c r="Y177" s="193" t="s">
        <v>642</v>
      </c>
      <c r="Z177" s="196" t="str">
        <f t="shared" ref="Z177" si="1608">IFERROR(IF(Y177=0," ",Y177/$F177)," ")</f>
        <v xml:space="preserve"> </v>
      </c>
      <c r="AA177" s="193" t="s">
        <v>642</v>
      </c>
      <c r="AB177" s="196" t="str">
        <f t="shared" ref="AB177" si="1609">IFERROR(IF(AA177=0," ",AA177/$F177)," ")</f>
        <v xml:space="preserve"> </v>
      </c>
      <c r="AC177" s="193" t="s">
        <v>642</v>
      </c>
      <c r="AD177" s="196" t="str">
        <f t="shared" ref="AD177" si="1610">IFERROR(IF(AC177=0," ",AC177/$F177)," ")</f>
        <v xml:space="preserve"> </v>
      </c>
      <c r="AE177" s="193" t="s">
        <v>642</v>
      </c>
      <c r="AF177" s="196" t="str">
        <f t="shared" ref="AF177" si="1611">IFERROR(IF(AE177=0," ",AE177/$F177)," ")</f>
        <v xml:space="preserve"> </v>
      </c>
      <c r="AG177" s="193" t="s">
        <v>642</v>
      </c>
      <c r="AH177" s="196" t="str">
        <f t="shared" ref="AH177" si="1612">IFERROR(IF(AG177=0," ",AG177/$F177)," ")</f>
        <v xml:space="preserve"> </v>
      </c>
      <c r="AI177" s="197"/>
      <c r="AJ177" s="177" t="s">
        <v>642</v>
      </c>
      <c r="AK177" s="177" t="s">
        <v>642</v>
      </c>
      <c r="AL177" s="177" t="s">
        <v>642</v>
      </c>
      <c r="AM177" s="177" t="s">
        <v>642</v>
      </c>
      <c r="AN177" s="177" t="s">
        <v>642</v>
      </c>
      <c r="AO177" s="177" t="s">
        <v>642</v>
      </c>
      <c r="AP177" s="177" t="s">
        <v>642</v>
      </c>
      <c r="AQ177" s="177" t="s">
        <v>642</v>
      </c>
      <c r="AR177" s="177" t="s">
        <v>642</v>
      </c>
      <c r="AS177" s="177" t="s">
        <v>642</v>
      </c>
      <c r="AT177" s="177" t="s">
        <v>642</v>
      </c>
      <c r="AU177" s="177" t="s">
        <v>642</v>
      </c>
    </row>
    <row r="178" spans="1:47" x14ac:dyDescent="0.25">
      <c r="A178" s="190" t="s">
        <v>642</v>
      </c>
      <c r="B178" s="65" t="s">
        <v>745</v>
      </c>
      <c r="C178" s="191" t="s">
        <v>379</v>
      </c>
      <c r="D178" s="65" t="s">
        <v>747</v>
      </c>
      <c r="E178" s="192" t="str">
        <f>IF(A178=" "," ",VLOOKUP(A178,Estimate!A:Q,17,FALSE))</f>
        <v xml:space="preserve"> </v>
      </c>
      <c r="F178" s="193" t="s">
        <v>642</v>
      </c>
      <c r="G178" s="206" t="s">
        <v>642</v>
      </c>
      <c r="H178" s="195" t="s">
        <v>642</v>
      </c>
      <c r="I178" s="195" t="s">
        <v>642</v>
      </c>
      <c r="J178" s="195"/>
      <c r="K178" s="193" t="s">
        <v>642</v>
      </c>
      <c r="L178" s="196" t="str">
        <f t="shared" si="1282"/>
        <v xml:space="preserve"> </v>
      </c>
      <c r="M178" s="193" t="s">
        <v>642</v>
      </c>
      <c r="N178" s="196" t="str">
        <f t="shared" si="1282"/>
        <v xml:space="preserve"> </v>
      </c>
      <c r="O178" s="193" t="s">
        <v>642</v>
      </c>
      <c r="P178" s="196" t="str">
        <f t="shared" ref="P178" si="1613">IFERROR(IF(O178=0," ",O178/$F178)," ")</f>
        <v xml:space="preserve"> </v>
      </c>
      <c r="Q178" s="193" t="s">
        <v>642</v>
      </c>
      <c r="R178" s="196" t="str">
        <f t="shared" ref="R178" si="1614">IFERROR(IF(Q178=0," ",Q178/$F178)," ")</f>
        <v xml:space="preserve"> </v>
      </c>
      <c r="S178" s="193" t="s">
        <v>642</v>
      </c>
      <c r="T178" s="196" t="str">
        <f t="shared" ref="T178" si="1615">IFERROR(IF(S178=0," ",S178/$F178)," ")</f>
        <v xml:space="preserve"> </v>
      </c>
      <c r="U178" s="193" t="s">
        <v>642</v>
      </c>
      <c r="V178" s="196" t="str">
        <f t="shared" ref="V178" si="1616">IFERROR(IF(U178=0," ",U178/$F178)," ")</f>
        <v xml:space="preserve"> </v>
      </c>
      <c r="W178" s="193" t="s">
        <v>642</v>
      </c>
      <c r="X178" s="196" t="str">
        <f t="shared" ref="X178" si="1617">IFERROR(IF(W178=0," ",W178/$F178)," ")</f>
        <v xml:space="preserve"> </v>
      </c>
      <c r="Y178" s="193" t="s">
        <v>642</v>
      </c>
      <c r="Z178" s="196" t="str">
        <f t="shared" ref="Z178" si="1618">IFERROR(IF(Y178=0," ",Y178/$F178)," ")</f>
        <v xml:space="preserve"> </v>
      </c>
      <c r="AA178" s="193" t="s">
        <v>642</v>
      </c>
      <c r="AB178" s="196" t="str">
        <f t="shared" ref="AB178" si="1619">IFERROR(IF(AA178=0," ",AA178/$F178)," ")</f>
        <v xml:space="preserve"> </v>
      </c>
      <c r="AC178" s="193" t="s">
        <v>642</v>
      </c>
      <c r="AD178" s="196" t="str">
        <f t="shared" ref="AD178" si="1620">IFERROR(IF(AC178=0," ",AC178/$F178)," ")</f>
        <v xml:space="preserve"> </v>
      </c>
      <c r="AE178" s="193" t="s">
        <v>642</v>
      </c>
      <c r="AF178" s="196" t="str">
        <f t="shared" ref="AF178" si="1621">IFERROR(IF(AE178=0," ",AE178/$F178)," ")</f>
        <v xml:space="preserve"> </v>
      </c>
      <c r="AG178" s="193" t="s">
        <v>642</v>
      </c>
      <c r="AH178" s="196" t="str">
        <f t="shared" ref="AH178" si="1622">IFERROR(IF(AG178=0," ",AG178/$F178)," ")</f>
        <v xml:space="preserve"> </v>
      </c>
      <c r="AI178" s="197"/>
      <c r="AJ178" s="177" t="s">
        <v>642</v>
      </c>
      <c r="AK178" s="177" t="s">
        <v>642</v>
      </c>
      <c r="AL178" s="177" t="s">
        <v>642</v>
      </c>
      <c r="AM178" s="177" t="s">
        <v>642</v>
      </c>
      <c r="AN178" s="177" t="s">
        <v>642</v>
      </c>
      <c r="AO178" s="177" t="s">
        <v>642</v>
      </c>
      <c r="AP178" s="177" t="s">
        <v>642</v>
      </c>
      <c r="AQ178" s="177" t="s">
        <v>642</v>
      </c>
      <c r="AR178" s="177" t="s">
        <v>642</v>
      </c>
      <c r="AS178" s="177" t="s">
        <v>642</v>
      </c>
      <c r="AT178" s="177" t="s">
        <v>642</v>
      </c>
      <c r="AU178" s="177" t="s">
        <v>642</v>
      </c>
    </row>
    <row r="179" spans="1:47" ht="30" x14ac:dyDescent="0.25">
      <c r="A179" s="190">
        <v>95</v>
      </c>
      <c r="B179" s="65" t="s">
        <v>745</v>
      </c>
      <c r="C179" s="191" t="s">
        <v>381</v>
      </c>
      <c r="D179" s="65" t="s">
        <v>382</v>
      </c>
      <c r="E179" s="192">
        <f>IF(A179=" "," ",VLOOKUP(A179,Estimate!A:Q,17,FALSE))</f>
        <v>189402.18</v>
      </c>
      <c r="F179" s="193">
        <v>1</v>
      </c>
      <c r="G179" s="206">
        <v>189402.18</v>
      </c>
      <c r="H179" s="195">
        <v>189402.18</v>
      </c>
      <c r="I179" s="195">
        <v>189402.18</v>
      </c>
      <c r="J179" s="195"/>
      <c r="K179" s="193"/>
      <c r="L179" s="196" t="str">
        <f t="shared" si="1282"/>
        <v xml:space="preserve"> </v>
      </c>
      <c r="M179" s="193"/>
      <c r="N179" s="196" t="str">
        <f t="shared" si="1282"/>
        <v xml:space="preserve"> </v>
      </c>
      <c r="O179" s="193">
        <v>0.04</v>
      </c>
      <c r="P179" s="196">
        <f t="shared" ref="P179" si="1623">IFERROR(IF(O179=0," ",O179/$F179)," ")</f>
        <v>0.04</v>
      </c>
      <c r="Q179" s="193">
        <v>0.04</v>
      </c>
      <c r="R179" s="196">
        <f t="shared" ref="R179" si="1624">IFERROR(IF(Q179=0," ",Q179/$F179)," ")</f>
        <v>0.04</v>
      </c>
      <c r="S179" s="193">
        <v>0.04</v>
      </c>
      <c r="T179" s="196">
        <f t="shared" ref="T179" si="1625">IFERROR(IF(S179=0," ",S179/$F179)," ")</f>
        <v>0.04</v>
      </c>
      <c r="U179" s="193">
        <v>0.04</v>
      </c>
      <c r="V179" s="196">
        <f t="shared" ref="V179" si="1626">IFERROR(IF(U179=0," ",U179/$F179)," ")</f>
        <v>0.04</v>
      </c>
      <c r="W179" s="193">
        <v>0.04</v>
      </c>
      <c r="X179" s="196">
        <f t="shared" ref="X179" si="1627">IFERROR(IF(W179=0," ",W179/$F179)," ")</f>
        <v>0.04</v>
      </c>
      <c r="Y179" s="193">
        <v>0.8</v>
      </c>
      <c r="Z179" s="196">
        <f t="shared" ref="Z179" si="1628">IFERROR(IF(Y179=0," ",Y179/$F179)," ")</f>
        <v>0.8</v>
      </c>
      <c r="AA179" s="193">
        <v>0.95</v>
      </c>
      <c r="AB179" s="196">
        <f t="shared" ref="AB179" si="1629">IFERROR(IF(AA179=0," ",AA179/$F179)," ")</f>
        <v>0.95</v>
      </c>
      <c r="AC179" s="193">
        <v>1</v>
      </c>
      <c r="AD179" s="196">
        <f t="shared" ref="AD179" si="1630">IFERROR(IF(AC179=0," ",AC179/$F179)," ")</f>
        <v>1</v>
      </c>
      <c r="AE179" s="193">
        <v>1</v>
      </c>
      <c r="AF179" s="196">
        <f t="shared" ref="AF179" si="1631">IFERROR(IF(AE179=0," ",AE179/$F179)," ")</f>
        <v>1</v>
      </c>
      <c r="AG179" s="193">
        <v>1</v>
      </c>
      <c r="AH179" s="196">
        <f t="shared" ref="AH179" si="1632">IFERROR(IF(AG179=0," ",AG179/$F179)," ")</f>
        <v>1</v>
      </c>
      <c r="AI179" s="197"/>
      <c r="AJ179" s="177">
        <v>0</v>
      </c>
      <c r="AK179" s="177">
        <v>0</v>
      </c>
      <c r="AL179" s="177">
        <v>7576.0871999999999</v>
      </c>
      <c r="AM179" s="177">
        <v>7576.0871999999999</v>
      </c>
      <c r="AN179" s="177">
        <v>7576.0871999999999</v>
      </c>
      <c r="AO179" s="177">
        <v>7576.0871999999999</v>
      </c>
      <c r="AP179" s="177">
        <v>7576.0871999999999</v>
      </c>
      <c r="AQ179" s="177">
        <v>151521.74400000001</v>
      </c>
      <c r="AR179" s="177">
        <v>179932.071</v>
      </c>
      <c r="AS179" s="177">
        <v>189402.18</v>
      </c>
      <c r="AT179" s="177">
        <v>189402.18</v>
      </c>
      <c r="AU179" s="177">
        <v>189402.18</v>
      </c>
    </row>
    <row r="180" spans="1:47" ht="30" x14ac:dyDescent="0.25">
      <c r="A180" s="190">
        <v>96</v>
      </c>
      <c r="B180" s="65" t="s">
        <v>745</v>
      </c>
      <c r="C180" s="191" t="s">
        <v>385</v>
      </c>
      <c r="D180" s="65" t="s">
        <v>382</v>
      </c>
      <c r="E180" s="192">
        <f>IF(A180=" "," ",VLOOKUP(A180,Estimate!A:Q,17,FALSE))</f>
        <v>7105</v>
      </c>
      <c r="F180" s="193">
        <v>1</v>
      </c>
      <c r="G180" s="206">
        <v>9459.3339999999989</v>
      </c>
      <c r="H180" s="195">
        <v>10667.63</v>
      </c>
      <c r="I180" s="195">
        <v>10667.63</v>
      </c>
      <c r="J180" s="195"/>
      <c r="K180" s="193"/>
      <c r="L180" s="196" t="str">
        <f t="shared" si="1282"/>
        <v xml:space="preserve"> </v>
      </c>
      <c r="M180" s="193"/>
      <c r="N180" s="196" t="str">
        <f t="shared" si="1282"/>
        <v xml:space="preserve"> </v>
      </c>
      <c r="O180" s="193"/>
      <c r="P180" s="196" t="str">
        <f t="shared" ref="P180" si="1633">IFERROR(IF(O180=0," ",O180/$F180)," ")</f>
        <v xml:space="preserve"> </v>
      </c>
      <c r="Q180" s="193"/>
      <c r="R180" s="196" t="str">
        <f t="shared" ref="R180" si="1634">IFERROR(IF(Q180=0," ",Q180/$F180)," ")</f>
        <v xml:space="preserve"> </v>
      </c>
      <c r="S180" s="193"/>
      <c r="T180" s="196" t="str">
        <f t="shared" ref="T180" si="1635">IFERROR(IF(S180=0," ",S180/$F180)," ")</f>
        <v xml:space="preserve"> </v>
      </c>
      <c r="U180" s="193">
        <v>0.25</v>
      </c>
      <c r="V180" s="196">
        <f t="shared" ref="V180" si="1636">IFERROR(IF(U180=0," ",U180/$F180)," ")</f>
        <v>0.25</v>
      </c>
      <c r="W180" s="193">
        <v>1</v>
      </c>
      <c r="X180" s="196">
        <f t="shared" ref="X180" si="1637">IFERROR(IF(W180=0," ",W180/$F180)," ")</f>
        <v>1</v>
      </c>
      <c r="Y180" s="193">
        <v>1</v>
      </c>
      <c r="Z180" s="196">
        <f t="shared" ref="Z180" si="1638">IFERROR(IF(Y180=0," ",Y180/$F180)," ")</f>
        <v>1</v>
      </c>
      <c r="AA180" s="193">
        <v>1</v>
      </c>
      <c r="AB180" s="196">
        <f t="shared" ref="AB180" si="1639">IFERROR(IF(AA180=0," ",AA180/$F180)," ")</f>
        <v>1</v>
      </c>
      <c r="AC180" s="193">
        <v>1</v>
      </c>
      <c r="AD180" s="196">
        <f t="shared" ref="AD180" si="1640">IFERROR(IF(AC180=0," ",AC180/$F180)," ")</f>
        <v>1</v>
      </c>
      <c r="AE180" s="193">
        <v>1</v>
      </c>
      <c r="AF180" s="196">
        <f t="shared" ref="AF180" si="1641">IFERROR(IF(AE180=0," ",AE180/$F180)," ")</f>
        <v>1</v>
      </c>
      <c r="AG180" s="193">
        <v>1</v>
      </c>
      <c r="AH180" s="196">
        <f t="shared" ref="AH180" si="1642">IFERROR(IF(AG180=0," ",AG180/$F180)," ")</f>
        <v>1</v>
      </c>
      <c r="AI180" s="197"/>
      <c r="AJ180" s="177">
        <v>0</v>
      </c>
      <c r="AK180" s="177">
        <v>0</v>
      </c>
      <c r="AL180" s="177">
        <v>0</v>
      </c>
      <c r="AM180" s="177">
        <v>0</v>
      </c>
      <c r="AN180" s="177">
        <v>0</v>
      </c>
      <c r="AO180" s="177">
        <v>2666.9074999999998</v>
      </c>
      <c r="AP180" s="177">
        <v>10667.63</v>
      </c>
      <c r="AQ180" s="177">
        <v>10667.63</v>
      </c>
      <c r="AR180" s="177">
        <v>10667.63</v>
      </c>
      <c r="AS180" s="177">
        <v>10667.63</v>
      </c>
      <c r="AT180" s="177">
        <v>10667.63</v>
      </c>
      <c r="AU180" s="177">
        <v>10667.63</v>
      </c>
    </row>
    <row r="181" spans="1:47" x14ac:dyDescent="0.25">
      <c r="A181" s="190" t="s">
        <v>642</v>
      </c>
      <c r="B181" s="65" t="s">
        <v>745</v>
      </c>
      <c r="C181" s="191" t="s">
        <v>769</v>
      </c>
      <c r="D181" s="65" t="s">
        <v>382</v>
      </c>
      <c r="E181" s="192" t="str">
        <f>IF(A181=" "," ",VLOOKUP(A181,Estimate!A:Q,17,FALSE))</f>
        <v xml:space="preserve"> </v>
      </c>
      <c r="F181" s="193">
        <v>1</v>
      </c>
      <c r="G181" s="206" t="s">
        <v>642</v>
      </c>
      <c r="H181" s="195">
        <v>15000</v>
      </c>
      <c r="I181" s="195">
        <v>15000</v>
      </c>
      <c r="J181" s="195"/>
      <c r="K181" s="193"/>
      <c r="L181" s="196" t="str">
        <f t="shared" si="1282"/>
        <v xml:space="preserve"> </v>
      </c>
      <c r="M181" s="193"/>
      <c r="N181" s="196" t="str">
        <f t="shared" si="1282"/>
        <v xml:space="preserve"> </v>
      </c>
      <c r="O181" s="193"/>
      <c r="P181" s="196" t="str">
        <f t="shared" ref="P181" si="1643">IFERROR(IF(O181=0," ",O181/$F181)," ")</f>
        <v xml:space="preserve"> </v>
      </c>
      <c r="Q181" s="193"/>
      <c r="R181" s="196" t="str">
        <f t="shared" ref="R181" si="1644">IFERROR(IF(Q181=0," ",Q181/$F181)," ")</f>
        <v xml:space="preserve"> </v>
      </c>
      <c r="S181" s="193"/>
      <c r="T181" s="196" t="str">
        <f t="shared" ref="T181" si="1645">IFERROR(IF(S181=0," ",S181/$F181)," ")</f>
        <v xml:space="preserve"> </v>
      </c>
      <c r="U181" s="193">
        <v>1</v>
      </c>
      <c r="V181" s="196">
        <f t="shared" ref="V181" si="1646">IFERROR(IF(U181=0," ",U181/$F181)," ")</f>
        <v>1</v>
      </c>
      <c r="W181" s="193">
        <v>1</v>
      </c>
      <c r="X181" s="196">
        <f t="shared" ref="X181" si="1647">IFERROR(IF(W181=0," ",W181/$F181)," ")</f>
        <v>1</v>
      </c>
      <c r="Y181" s="193">
        <v>1</v>
      </c>
      <c r="Z181" s="196">
        <f t="shared" ref="Z181" si="1648">IFERROR(IF(Y181=0," ",Y181/$F181)," ")</f>
        <v>1</v>
      </c>
      <c r="AA181" s="193">
        <v>1</v>
      </c>
      <c r="AB181" s="196">
        <f t="shared" ref="AB181" si="1649">IFERROR(IF(AA181=0," ",AA181/$F181)," ")</f>
        <v>1</v>
      </c>
      <c r="AC181" s="193">
        <v>1</v>
      </c>
      <c r="AD181" s="196">
        <f t="shared" ref="AD181" si="1650">IFERROR(IF(AC181=0," ",AC181/$F181)," ")</f>
        <v>1</v>
      </c>
      <c r="AE181" s="193">
        <v>1</v>
      </c>
      <c r="AF181" s="196">
        <f t="shared" ref="AF181" si="1651">IFERROR(IF(AE181=0," ",AE181/$F181)," ")</f>
        <v>1</v>
      </c>
      <c r="AG181" s="193">
        <v>1</v>
      </c>
      <c r="AH181" s="196">
        <f t="shared" ref="AH181" si="1652">IFERROR(IF(AG181=0," ",AG181/$F181)," ")</f>
        <v>1</v>
      </c>
      <c r="AI181" s="197"/>
      <c r="AJ181" s="177">
        <v>0</v>
      </c>
      <c r="AK181" s="177">
        <v>0</v>
      </c>
      <c r="AL181" s="177">
        <v>0</v>
      </c>
      <c r="AM181" s="177">
        <v>0</v>
      </c>
      <c r="AN181" s="177">
        <v>0</v>
      </c>
      <c r="AO181" s="177">
        <v>15000</v>
      </c>
      <c r="AP181" s="177">
        <v>15000</v>
      </c>
      <c r="AQ181" s="177">
        <v>15000</v>
      </c>
      <c r="AR181" s="177">
        <v>15000</v>
      </c>
      <c r="AS181" s="177">
        <v>15000</v>
      </c>
      <c r="AT181" s="177">
        <v>15000</v>
      </c>
      <c r="AU181" s="177">
        <v>15000</v>
      </c>
    </row>
    <row r="182" spans="1:47" x14ac:dyDescent="0.25">
      <c r="A182" s="190" t="s">
        <v>642</v>
      </c>
      <c r="B182" s="65" t="s">
        <v>745</v>
      </c>
      <c r="C182" s="191" t="s">
        <v>642</v>
      </c>
      <c r="D182" s="65" t="s">
        <v>747</v>
      </c>
      <c r="E182" s="192" t="str">
        <f>IF(A182=" "," ",VLOOKUP(A182,Estimate!A:Q,17,FALSE))</f>
        <v xml:space="preserve"> </v>
      </c>
      <c r="F182" s="193" t="s">
        <v>642</v>
      </c>
      <c r="G182" s="206"/>
      <c r="H182" s="195" t="s">
        <v>642</v>
      </c>
      <c r="I182" s="195" t="s">
        <v>642</v>
      </c>
      <c r="J182" s="195"/>
      <c r="K182" s="193" t="s">
        <v>642</v>
      </c>
      <c r="L182" s="196" t="str">
        <f t="shared" si="1282"/>
        <v xml:space="preserve"> </v>
      </c>
      <c r="M182" s="193" t="s">
        <v>642</v>
      </c>
      <c r="N182" s="196" t="str">
        <f t="shared" si="1282"/>
        <v xml:space="preserve"> </v>
      </c>
      <c r="O182" s="193" t="s">
        <v>642</v>
      </c>
      <c r="P182" s="196" t="str">
        <f t="shared" ref="P182" si="1653">IFERROR(IF(O182=0," ",O182/$F182)," ")</f>
        <v xml:space="preserve"> </v>
      </c>
      <c r="Q182" s="193" t="s">
        <v>642</v>
      </c>
      <c r="R182" s="196" t="str">
        <f t="shared" ref="R182" si="1654">IFERROR(IF(Q182=0," ",Q182/$F182)," ")</f>
        <v xml:space="preserve"> </v>
      </c>
      <c r="S182" s="193" t="s">
        <v>642</v>
      </c>
      <c r="T182" s="196" t="str">
        <f t="shared" ref="T182" si="1655">IFERROR(IF(S182=0," ",S182/$F182)," ")</f>
        <v xml:space="preserve"> </v>
      </c>
      <c r="U182" s="193" t="s">
        <v>642</v>
      </c>
      <c r="V182" s="196" t="str">
        <f t="shared" ref="V182" si="1656">IFERROR(IF(U182=0," ",U182/$F182)," ")</f>
        <v xml:space="preserve"> </v>
      </c>
      <c r="W182" s="193" t="s">
        <v>642</v>
      </c>
      <c r="X182" s="196" t="str">
        <f t="shared" ref="X182" si="1657">IFERROR(IF(W182=0," ",W182/$F182)," ")</f>
        <v xml:space="preserve"> </v>
      </c>
      <c r="Y182" s="193" t="s">
        <v>642</v>
      </c>
      <c r="Z182" s="196" t="str">
        <f t="shared" ref="Z182" si="1658">IFERROR(IF(Y182=0," ",Y182/$F182)," ")</f>
        <v xml:space="preserve"> </v>
      </c>
      <c r="AA182" s="193" t="s">
        <v>642</v>
      </c>
      <c r="AB182" s="196" t="str">
        <f t="shared" ref="AB182" si="1659">IFERROR(IF(AA182=0," ",AA182/$F182)," ")</f>
        <v xml:space="preserve"> </v>
      </c>
      <c r="AC182" s="193" t="s">
        <v>642</v>
      </c>
      <c r="AD182" s="196" t="str">
        <f t="shared" ref="AD182" si="1660">IFERROR(IF(AC182=0," ",AC182/$F182)," ")</f>
        <v xml:space="preserve"> </v>
      </c>
      <c r="AE182" s="193" t="s">
        <v>642</v>
      </c>
      <c r="AF182" s="196" t="str">
        <f t="shared" ref="AF182" si="1661">IFERROR(IF(AE182=0," ",AE182/$F182)," ")</f>
        <v xml:space="preserve"> </v>
      </c>
      <c r="AG182" s="193" t="s">
        <v>642</v>
      </c>
      <c r="AH182" s="196" t="str">
        <f t="shared" ref="AH182" si="1662">IFERROR(IF(AG182=0," ",AG182/$F182)," ")</f>
        <v xml:space="preserve"> </v>
      </c>
      <c r="AI182" s="197"/>
      <c r="AJ182" s="177" t="s">
        <v>642</v>
      </c>
      <c r="AK182" s="177" t="s">
        <v>642</v>
      </c>
      <c r="AL182" s="177" t="s">
        <v>642</v>
      </c>
      <c r="AM182" s="177" t="s">
        <v>642</v>
      </c>
      <c r="AN182" s="177" t="s">
        <v>642</v>
      </c>
      <c r="AO182" s="177" t="s">
        <v>642</v>
      </c>
      <c r="AP182" s="177" t="s">
        <v>642</v>
      </c>
      <c r="AQ182" s="177" t="s">
        <v>642</v>
      </c>
      <c r="AR182" s="177" t="s">
        <v>642</v>
      </c>
      <c r="AS182" s="177" t="s">
        <v>642</v>
      </c>
      <c r="AT182" s="177" t="s">
        <v>642</v>
      </c>
      <c r="AU182" s="177" t="s">
        <v>642</v>
      </c>
    </row>
    <row r="183" spans="1:47" x14ac:dyDescent="0.25">
      <c r="A183" s="190" t="s">
        <v>642</v>
      </c>
      <c r="B183" s="65" t="s">
        <v>745</v>
      </c>
      <c r="C183" s="191" t="s">
        <v>389</v>
      </c>
      <c r="D183" s="65" t="s">
        <v>747</v>
      </c>
      <c r="E183" s="192" t="str">
        <f>IF(A183=" "," ",VLOOKUP(A183,Estimate!A:Q,17,FALSE))</f>
        <v xml:space="preserve"> </v>
      </c>
      <c r="F183" s="193" t="s">
        <v>642</v>
      </c>
      <c r="G183" s="206" t="s">
        <v>642</v>
      </c>
      <c r="H183" s="195" t="s">
        <v>642</v>
      </c>
      <c r="I183" s="195" t="s">
        <v>642</v>
      </c>
      <c r="J183" s="195"/>
      <c r="K183" s="193" t="s">
        <v>642</v>
      </c>
      <c r="L183" s="196" t="str">
        <f t="shared" si="1282"/>
        <v xml:space="preserve"> </v>
      </c>
      <c r="M183" s="193" t="s">
        <v>642</v>
      </c>
      <c r="N183" s="196" t="str">
        <f t="shared" si="1282"/>
        <v xml:space="preserve"> </v>
      </c>
      <c r="O183" s="193" t="s">
        <v>642</v>
      </c>
      <c r="P183" s="196" t="str">
        <f t="shared" ref="P183" si="1663">IFERROR(IF(O183=0," ",O183/$F183)," ")</f>
        <v xml:space="preserve"> </v>
      </c>
      <c r="Q183" s="193" t="s">
        <v>642</v>
      </c>
      <c r="R183" s="196" t="str">
        <f t="shared" ref="R183" si="1664">IFERROR(IF(Q183=0," ",Q183/$F183)," ")</f>
        <v xml:space="preserve"> </v>
      </c>
      <c r="S183" s="193" t="s">
        <v>642</v>
      </c>
      <c r="T183" s="196" t="str">
        <f t="shared" ref="T183" si="1665">IFERROR(IF(S183=0," ",S183/$F183)," ")</f>
        <v xml:space="preserve"> </v>
      </c>
      <c r="U183" s="193" t="s">
        <v>642</v>
      </c>
      <c r="V183" s="196" t="str">
        <f t="shared" ref="V183" si="1666">IFERROR(IF(U183=0," ",U183/$F183)," ")</f>
        <v xml:space="preserve"> </v>
      </c>
      <c r="W183" s="193" t="s">
        <v>642</v>
      </c>
      <c r="X183" s="196" t="str">
        <f t="shared" ref="X183" si="1667">IFERROR(IF(W183=0," ",W183/$F183)," ")</f>
        <v xml:space="preserve"> </v>
      </c>
      <c r="Y183" s="193" t="s">
        <v>642</v>
      </c>
      <c r="Z183" s="196" t="str">
        <f t="shared" ref="Z183" si="1668">IFERROR(IF(Y183=0," ",Y183/$F183)," ")</f>
        <v xml:space="preserve"> </v>
      </c>
      <c r="AA183" s="193" t="s">
        <v>642</v>
      </c>
      <c r="AB183" s="196" t="str">
        <f t="shared" ref="AB183" si="1669">IFERROR(IF(AA183=0," ",AA183/$F183)," ")</f>
        <v xml:space="preserve"> </v>
      </c>
      <c r="AC183" s="193" t="s">
        <v>642</v>
      </c>
      <c r="AD183" s="196" t="str">
        <f t="shared" ref="AD183" si="1670">IFERROR(IF(AC183=0," ",AC183/$F183)," ")</f>
        <v xml:space="preserve"> </v>
      </c>
      <c r="AE183" s="193" t="s">
        <v>642</v>
      </c>
      <c r="AF183" s="196" t="str">
        <f t="shared" ref="AF183" si="1671">IFERROR(IF(AE183=0," ",AE183/$F183)," ")</f>
        <v xml:space="preserve"> </v>
      </c>
      <c r="AG183" s="193" t="s">
        <v>642</v>
      </c>
      <c r="AH183" s="196" t="str">
        <f t="shared" ref="AH183" si="1672">IFERROR(IF(AG183=0," ",AG183/$F183)," ")</f>
        <v xml:space="preserve"> </v>
      </c>
      <c r="AI183" s="197"/>
      <c r="AJ183" s="177" t="s">
        <v>642</v>
      </c>
      <c r="AK183" s="177" t="s">
        <v>642</v>
      </c>
      <c r="AL183" s="177" t="s">
        <v>642</v>
      </c>
      <c r="AM183" s="177" t="s">
        <v>642</v>
      </c>
      <c r="AN183" s="177" t="s">
        <v>642</v>
      </c>
      <c r="AO183" s="177" t="s">
        <v>642</v>
      </c>
      <c r="AP183" s="177" t="s">
        <v>642</v>
      </c>
      <c r="AQ183" s="177" t="s">
        <v>642</v>
      </c>
      <c r="AR183" s="177" t="s">
        <v>642</v>
      </c>
      <c r="AS183" s="177" t="s">
        <v>642</v>
      </c>
      <c r="AT183" s="177" t="s">
        <v>642</v>
      </c>
      <c r="AU183" s="177" t="s">
        <v>642</v>
      </c>
    </row>
    <row r="184" spans="1:47" ht="30" x14ac:dyDescent="0.25">
      <c r="A184" s="190">
        <v>97</v>
      </c>
      <c r="B184" s="65" t="s">
        <v>745</v>
      </c>
      <c r="C184" s="191" t="s">
        <v>391</v>
      </c>
      <c r="D184" s="65" t="s">
        <v>382</v>
      </c>
      <c r="E184" s="192">
        <f>IF(A184=" "," ",VLOOKUP(A184,Estimate!A:Q,17,FALSE))</f>
        <v>10227.27</v>
      </c>
      <c r="F184" s="193">
        <v>1</v>
      </c>
      <c r="G184" s="206">
        <v>10227.27</v>
      </c>
      <c r="H184" s="195">
        <v>10227.27</v>
      </c>
      <c r="I184" s="195">
        <v>10227.27</v>
      </c>
      <c r="J184" s="195"/>
      <c r="K184" s="193"/>
      <c r="L184" s="196" t="str">
        <f t="shared" si="1282"/>
        <v xml:space="preserve"> </v>
      </c>
      <c r="M184" s="193"/>
      <c r="N184" s="196" t="str">
        <f t="shared" si="1282"/>
        <v xml:space="preserve"> </v>
      </c>
      <c r="O184" s="193">
        <v>0.04</v>
      </c>
      <c r="P184" s="196">
        <f t="shared" ref="P184" si="1673">IFERROR(IF(O184=0," ",O184/$F184)," ")</f>
        <v>0.04</v>
      </c>
      <c r="Q184" s="193">
        <v>0.04</v>
      </c>
      <c r="R184" s="196">
        <f t="shared" ref="R184" si="1674">IFERROR(IF(Q184=0," ",Q184/$F184)," ")</f>
        <v>0.04</v>
      </c>
      <c r="S184" s="193">
        <v>0.04</v>
      </c>
      <c r="T184" s="196">
        <f t="shared" ref="T184" si="1675">IFERROR(IF(S184=0," ",S184/$F184)," ")</f>
        <v>0.04</v>
      </c>
      <c r="U184" s="193">
        <v>0.04</v>
      </c>
      <c r="V184" s="196">
        <f t="shared" ref="V184" si="1676">IFERROR(IF(U184=0," ",U184/$F184)," ")</f>
        <v>0.04</v>
      </c>
      <c r="W184" s="193">
        <v>0.04</v>
      </c>
      <c r="X184" s="196">
        <f t="shared" ref="X184" si="1677">IFERROR(IF(W184=0," ",W184/$F184)," ")</f>
        <v>0.04</v>
      </c>
      <c r="Y184" s="193">
        <v>0.6</v>
      </c>
      <c r="Z184" s="196">
        <f t="shared" ref="Z184" si="1678">IFERROR(IF(Y184=0," ",Y184/$F184)," ")</f>
        <v>0.6</v>
      </c>
      <c r="AA184" s="193">
        <v>0.8</v>
      </c>
      <c r="AB184" s="196">
        <f t="shared" ref="AB184" si="1679">IFERROR(IF(AA184=0," ",AA184/$F184)," ")</f>
        <v>0.8</v>
      </c>
      <c r="AC184" s="193">
        <v>1</v>
      </c>
      <c r="AD184" s="196">
        <f t="shared" ref="AD184" si="1680">IFERROR(IF(AC184=0," ",AC184/$F184)," ")</f>
        <v>1</v>
      </c>
      <c r="AE184" s="193">
        <v>1</v>
      </c>
      <c r="AF184" s="196">
        <f t="shared" ref="AF184" si="1681">IFERROR(IF(AE184=0," ",AE184/$F184)," ")</f>
        <v>1</v>
      </c>
      <c r="AG184" s="193">
        <v>1</v>
      </c>
      <c r="AH184" s="196">
        <f t="shared" ref="AH184" si="1682">IFERROR(IF(AG184=0," ",AG184/$F184)," ")</f>
        <v>1</v>
      </c>
      <c r="AI184" s="197"/>
      <c r="AJ184" s="177">
        <v>0</v>
      </c>
      <c r="AK184" s="177">
        <v>0</v>
      </c>
      <c r="AL184" s="177">
        <v>409.0908</v>
      </c>
      <c r="AM184" s="177">
        <v>409.0908</v>
      </c>
      <c r="AN184" s="177">
        <v>409.0908</v>
      </c>
      <c r="AO184" s="177">
        <v>409.0908</v>
      </c>
      <c r="AP184" s="177">
        <v>409.0908</v>
      </c>
      <c r="AQ184" s="177">
        <v>6136.3620000000001</v>
      </c>
      <c r="AR184" s="177">
        <v>8181.8160000000007</v>
      </c>
      <c r="AS184" s="177">
        <v>10227.27</v>
      </c>
      <c r="AT184" s="177">
        <v>10227.27</v>
      </c>
      <c r="AU184" s="177">
        <v>10227.27</v>
      </c>
    </row>
    <row r="185" spans="1:47" ht="30" x14ac:dyDescent="0.25">
      <c r="A185" s="190">
        <v>98</v>
      </c>
      <c r="B185" s="65" t="s">
        <v>745</v>
      </c>
      <c r="C185" s="191" t="s">
        <v>393</v>
      </c>
      <c r="D185" s="65" t="s">
        <v>382</v>
      </c>
      <c r="E185" s="192">
        <f>IF(A185=" "," ",VLOOKUP(A185,Estimate!A:Q,17,FALSE))</f>
        <v>22088.41</v>
      </c>
      <c r="F185" s="193">
        <v>1</v>
      </c>
      <c r="G185" s="206">
        <v>22088.41</v>
      </c>
      <c r="H185" s="195">
        <v>22088.41</v>
      </c>
      <c r="I185" s="195">
        <v>22088.41</v>
      </c>
      <c r="J185" s="195"/>
      <c r="K185" s="193"/>
      <c r="L185" s="196" t="str">
        <f t="shared" si="1282"/>
        <v xml:space="preserve"> </v>
      </c>
      <c r="M185" s="193"/>
      <c r="N185" s="196" t="str">
        <f t="shared" si="1282"/>
        <v xml:space="preserve"> </v>
      </c>
      <c r="O185" s="193">
        <v>0.04</v>
      </c>
      <c r="P185" s="196">
        <f t="shared" ref="P185" si="1683">IFERROR(IF(O185=0," ",O185/$F185)," ")</f>
        <v>0.04</v>
      </c>
      <c r="Q185" s="193">
        <v>0.04</v>
      </c>
      <c r="R185" s="196">
        <f t="shared" ref="R185" si="1684">IFERROR(IF(Q185=0," ",Q185/$F185)," ")</f>
        <v>0.04</v>
      </c>
      <c r="S185" s="193">
        <v>0.04</v>
      </c>
      <c r="T185" s="196">
        <f t="shared" ref="T185" si="1685">IFERROR(IF(S185=0," ",S185/$F185)," ")</f>
        <v>0.04</v>
      </c>
      <c r="U185" s="193">
        <v>0.04</v>
      </c>
      <c r="V185" s="196">
        <f t="shared" ref="V185" si="1686">IFERROR(IF(U185=0," ",U185/$F185)," ")</f>
        <v>0.04</v>
      </c>
      <c r="W185" s="193">
        <v>0.04</v>
      </c>
      <c r="X185" s="196">
        <f t="shared" ref="X185" si="1687">IFERROR(IF(W185=0," ",W185/$F185)," ")</f>
        <v>0.04</v>
      </c>
      <c r="Y185" s="193">
        <v>0.6</v>
      </c>
      <c r="Z185" s="196">
        <f t="shared" ref="Z185" si="1688">IFERROR(IF(Y185=0," ",Y185/$F185)," ")</f>
        <v>0.6</v>
      </c>
      <c r="AA185" s="193">
        <v>0.75</v>
      </c>
      <c r="AB185" s="196">
        <f t="shared" ref="AB185" si="1689">IFERROR(IF(AA185=0," ",AA185/$F185)," ")</f>
        <v>0.75</v>
      </c>
      <c r="AC185" s="193">
        <v>1</v>
      </c>
      <c r="AD185" s="196">
        <f t="shared" ref="AD185" si="1690">IFERROR(IF(AC185=0," ",AC185/$F185)," ")</f>
        <v>1</v>
      </c>
      <c r="AE185" s="193">
        <v>1</v>
      </c>
      <c r="AF185" s="196">
        <f t="shared" ref="AF185" si="1691">IFERROR(IF(AE185=0," ",AE185/$F185)," ")</f>
        <v>1</v>
      </c>
      <c r="AG185" s="193">
        <v>1</v>
      </c>
      <c r="AH185" s="196">
        <f t="shared" ref="AH185" si="1692">IFERROR(IF(AG185=0," ",AG185/$F185)," ")</f>
        <v>1</v>
      </c>
      <c r="AI185" s="197"/>
      <c r="AJ185" s="177">
        <v>0</v>
      </c>
      <c r="AK185" s="177">
        <v>0</v>
      </c>
      <c r="AL185" s="177">
        <v>883.53639999999996</v>
      </c>
      <c r="AM185" s="177">
        <v>883.53639999999996</v>
      </c>
      <c r="AN185" s="177">
        <v>883.53639999999996</v>
      </c>
      <c r="AO185" s="177">
        <v>883.53639999999996</v>
      </c>
      <c r="AP185" s="177">
        <v>883.53639999999996</v>
      </c>
      <c r="AQ185" s="177">
        <v>13253.046</v>
      </c>
      <c r="AR185" s="177">
        <v>16566.307499999999</v>
      </c>
      <c r="AS185" s="177">
        <v>22088.41</v>
      </c>
      <c r="AT185" s="177">
        <v>22088.41</v>
      </c>
      <c r="AU185" s="177">
        <v>22088.41</v>
      </c>
    </row>
    <row r="186" spans="1:47" x14ac:dyDescent="0.25">
      <c r="A186" s="190" t="s">
        <v>642</v>
      </c>
      <c r="B186" s="65" t="s">
        <v>745</v>
      </c>
      <c r="C186" s="191" t="s">
        <v>770</v>
      </c>
      <c r="D186" s="65" t="s">
        <v>747</v>
      </c>
      <c r="E186" s="192" t="str">
        <f>IF(A186=" "," ",VLOOKUP(A186,Estimate!A:Q,17,FALSE))</f>
        <v xml:space="preserve"> </v>
      </c>
      <c r="F186" s="193" t="s">
        <v>642</v>
      </c>
      <c r="G186" s="206" t="s">
        <v>642</v>
      </c>
      <c r="H186" s="195" t="s">
        <v>642</v>
      </c>
      <c r="I186" s="195" t="s">
        <v>642</v>
      </c>
      <c r="J186" s="195"/>
      <c r="K186" s="193" t="s">
        <v>642</v>
      </c>
      <c r="L186" s="196" t="str">
        <f t="shared" si="1282"/>
        <v xml:space="preserve"> </v>
      </c>
      <c r="M186" s="193" t="s">
        <v>642</v>
      </c>
      <c r="N186" s="196" t="str">
        <f t="shared" si="1282"/>
        <v xml:space="preserve"> </v>
      </c>
      <c r="O186" s="193" t="s">
        <v>642</v>
      </c>
      <c r="P186" s="196" t="str">
        <f t="shared" ref="P186" si="1693">IFERROR(IF(O186=0," ",O186/$F186)," ")</f>
        <v xml:space="preserve"> </v>
      </c>
      <c r="Q186" s="193" t="s">
        <v>642</v>
      </c>
      <c r="R186" s="196" t="str">
        <f t="shared" ref="R186" si="1694">IFERROR(IF(Q186=0," ",Q186/$F186)," ")</f>
        <v xml:space="preserve"> </v>
      </c>
      <c r="S186" s="193" t="s">
        <v>642</v>
      </c>
      <c r="T186" s="196" t="str">
        <f t="shared" ref="T186" si="1695">IFERROR(IF(S186=0," ",S186/$F186)," ")</f>
        <v xml:space="preserve"> </v>
      </c>
      <c r="U186" s="193" t="s">
        <v>642</v>
      </c>
      <c r="V186" s="196" t="str">
        <f t="shared" ref="V186" si="1696">IFERROR(IF(U186=0," ",U186/$F186)," ")</f>
        <v xml:space="preserve"> </v>
      </c>
      <c r="W186" s="193" t="s">
        <v>642</v>
      </c>
      <c r="X186" s="196" t="str">
        <f t="shared" ref="X186" si="1697">IFERROR(IF(W186=0," ",W186/$F186)," ")</f>
        <v xml:space="preserve"> </v>
      </c>
      <c r="Y186" s="193" t="s">
        <v>642</v>
      </c>
      <c r="Z186" s="196" t="str">
        <f t="shared" ref="Z186" si="1698">IFERROR(IF(Y186=0," ",Y186/$F186)," ")</f>
        <v xml:space="preserve"> </v>
      </c>
      <c r="AA186" s="193" t="s">
        <v>642</v>
      </c>
      <c r="AB186" s="196" t="str">
        <f t="shared" ref="AB186" si="1699">IFERROR(IF(AA186=0," ",AA186/$F186)," ")</f>
        <v xml:space="preserve"> </v>
      </c>
      <c r="AC186" s="193" t="s">
        <v>642</v>
      </c>
      <c r="AD186" s="196" t="str">
        <f t="shared" ref="AD186" si="1700">IFERROR(IF(AC186=0," ",AC186/$F186)," ")</f>
        <v xml:space="preserve"> </v>
      </c>
      <c r="AE186" s="193" t="s">
        <v>642</v>
      </c>
      <c r="AF186" s="196" t="str">
        <f t="shared" ref="AF186" si="1701">IFERROR(IF(AE186=0," ",AE186/$F186)," ")</f>
        <v xml:space="preserve"> </v>
      </c>
      <c r="AG186" s="193" t="s">
        <v>642</v>
      </c>
      <c r="AH186" s="196" t="str">
        <f t="shared" ref="AH186" si="1702">IFERROR(IF(AG186=0," ",AG186/$F186)," ")</f>
        <v xml:space="preserve"> </v>
      </c>
      <c r="AI186" s="197"/>
      <c r="AJ186" s="177" t="s">
        <v>642</v>
      </c>
      <c r="AK186" s="177" t="s">
        <v>642</v>
      </c>
      <c r="AL186" s="177" t="s">
        <v>642</v>
      </c>
      <c r="AM186" s="177" t="s">
        <v>642</v>
      </c>
      <c r="AN186" s="177" t="s">
        <v>642</v>
      </c>
      <c r="AO186" s="177" t="s">
        <v>642</v>
      </c>
      <c r="AP186" s="177" t="s">
        <v>642</v>
      </c>
      <c r="AQ186" s="177" t="s">
        <v>642</v>
      </c>
      <c r="AR186" s="177" t="s">
        <v>642</v>
      </c>
      <c r="AS186" s="177" t="s">
        <v>642</v>
      </c>
      <c r="AT186" s="177" t="s">
        <v>642</v>
      </c>
      <c r="AU186" s="177" t="s">
        <v>642</v>
      </c>
    </row>
    <row r="187" spans="1:47" x14ac:dyDescent="0.25">
      <c r="A187" s="190" t="s">
        <v>642</v>
      </c>
      <c r="B187" s="65" t="s">
        <v>745</v>
      </c>
      <c r="C187" s="191" t="s">
        <v>771</v>
      </c>
      <c r="D187" s="65" t="s">
        <v>747</v>
      </c>
      <c r="E187" s="192" t="str">
        <f>IF(A187=" "," ",VLOOKUP(A187,Estimate!A:Q,17,FALSE))</f>
        <v xml:space="preserve"> </v>
      </c>
      <c r="F187" s="193" t="s">
        <v>642</v>
      </c>
      <c r="G187" s="206" t="s">
        <v>642</v>
      </c>
      <c r="H187" s="195" t="s">
        <v>642</v>
      </c>
      <c r="I187" s="195" t="s">
        <v>642</v>
      </c>
      <c r="J187" s="195"/>
      <c r="K187" s="193" t="s">
        <v>642</v>
      </c>
      <c r="L187" s="196" t="str">
        <f t="shared" si="1282"/>
        <v xml:space="preserve"> </v>
      </c>
      <c r="M187" s="193" t="s">
        <v>642</v>
      </c>
      <c r="N187" s="196" t="str">
        <f t="shared" si="1282"/>
        <v xml:space="preserve"> </v>
      </c>
      <c r="O187" s="193" t="s">
        <v>642</v>
      </c>
      <c r="P187" s="196" t="str">
        <f t="shared" ref="P187" si="1703">IFERROR(IF(O187=0," ",O187/$F187)," ")</f>
        <v xml:space="preserve"> </v>
      </c>
      <c r="Q187" s="193" t="s">
        <v>642</v>
      </c>
      <c r="R187" s="196" t="str">
        <f t="shared" ref="R187" si="1704">IFERROR(IF(Q187=0," ",Q187/$F187)," ")</f>
        <v xml:space="preserve"> </v>
      </c>
      <c r="S187" s="193" t="s">
        <v>642</v>
      </c>
      <c r="T187" s="196" t="str">
        <f t="shared" ref="T187" si="1705">IFERROR(IF(S187=0," ",S187/$F187)," ")</f>
        <v xml:space="preserve"> </v>
      </c>
      <c r="U187" s="193" t="s">
        <v>642</v>
      </c>
      <c r="V187" s="196" t="str">
        <f t="shared" ref="V187" si="1706">IFERROR(IF(U187=0," ",U187/$F187)," ")</f>
        <v xml:space="preserve"> </v>
      </c>
      <c r="W187" s="193" t="s">
        <v>642</v>
      </c>
      <c r="X187" s="196" t="str">
        <f t="shared" ref="X187" si="1707">IFERROR(IF(W187=0," ",W187/$F187)," ")</f>
        <v xml:space="preserve"> </v>
      </c>
      <c r="Y187" s="193" t="s">
        <v>642</v>
      </c>
      <c r="Z187" s="196" t="str">
        <f t="shared" ref="Z187" si="1708">IFERROR(IF(Y187=0," ",Y187/$F187)," ")</f>
        <v xml:space="preserve"> </v>
      </c>
      <c r="AA187" s="193" t="s">
        <v>642</v>
      </c>
      <c r="AB187" s="196" t="str">
        <f t="shared" ref="AB187" si="1709">IFERROR(IF(AA187=0," ",AA187/$F187)," ")</f>
        <v xml:space="preserve"> </v>
      </c>
      <c r="AC187" s="193" t="s">
        <v>642</v>
      </c>
      <c r="AD187" s="196" t="str">
        <f t="shared" ref="AD187" si="1710">IFERROR(IF(AC187=0," ",AC187/$F187)," ")</f>
        <v xml:space="preserve"> </v>
      </c>
      <c r="AE187" s="193" t="s">
        <v>642</v>
      </c>
      <c r="AF187" s="196" t="str">
        <f t="shared" ref="AF187" si="1711">IFERROR(IF(AE187=0," ",AE187/$F187)," ")</f>
        <v xml:space="preserve"> </v>
      </c>
      <c r="AG187" s="193" t="s">
        <v>642</v>
      </c>
      <c r="AH187" s="196" t="str">
        <f t="shared" ref="AH187" si="1712">IFERROR(IF(AG187=0," ",AG187/$F187)," ")</f>
        <v xml:space="preserve"> </v>
      </c>
      <c r="AI187" s="197"/>
      <c r="AJ187" s="177" t="s">
        <v>642</v>
      </c>
      <c r="AK187" s="177" t="s">
        <v>642</v>
      </c>
      <c r="AL187" s="177" t="s">
        <v>642</v>
      </c>
      <c r="AM187" s="177" t="s">
        <v>642</v>
      </c>
      <c r="AN187" s="177" t="s">
        <v>642</v>
      </c>
      <c r="AO187" s="177" t="s">
        <v>642</v>
      </c>
      <c r="AP187" s="177" t="s">
        <v>642</v>
      </c>
      <c r="AQ187" s="177" t="s">
        <v>642</v>
      </c>
      <c r="AR187" s="177" t="s">
        <v>642</v>
      </c>
      <c r="AS187" s="177" t="s">
        <v>642</v>
      </c>
      <c r="AT187" s="177" t="s">
        <v>642</v>
      </c>
      <c r="AU187" s="177" t="s">
        <v>642</v>
      </c>
    </row>
    <row r="188" spans="1:47" x14ac:dyDescent="0.25">
      <c r="A188" s="190">
        <v>99</v>
      </c>
      <c r="B188" s="65" t="s">
        <v>745</v>
      </c>
      <c r="C188" s="191" t="s">
        <v>395</v>
      </c>
      <c r="D188" s="65" t="s">
        <v>52</v>
      </c>
      <c r="E188" s="192">
        <f>IF(A188=" "," ",VLOOKUP(A188,Estimate!A:Q,17,FALSE))</f>
        <v>24000</v>
      </c>
      <c r="F188" s="193">
        <v>3</v>
      </c>
      <c r="G188" s="206">
        <v>10650.9</v>
      </c>
      <c r="H188" s="195">
        <v>12011.4</v>
      </c>
      <c r="I188" s="195">
        <v>36034.199999999997</v>
      </c>
      <c r="J188" s="195"/>
      <c r="K188" s="193"/>
      <c r="L188" s="196" t="str">
        <f t="shared" si="1282"/>
        <v xml:space="preserve"> </v>
      </c>
      <c r="M188" s="193"/>
      <c r="N188" s="196" t="str">
        <f t="shared" si="1282"/>
        <v xml:space="preserve"> </v>
      </c>
      <c r="O188" s="193"/>
      <c r="P188" s="196" t="str">
        <f t="shared" ref="P188" si="1713">IFERROR(IF(O188=0," ",O188/$F188)," ")</f>
        <v xml:space="preserve"> </v>
      </c>
      <c r="Q188" s="193"/>
      <c r="R188" s="196" t="str">
        <f t="shared" ref="R188" si="1714">IFERROR(IF(Q188=0," ",Q188/$F188)," ")</f>
        <v xml:space="preserve"> </v>
      </c>
      <c r="S188" s="193"/>
      <c r="T188" s="196" t="str">
        <f t="shared" ref="T188" si="1715">IFERROR(IF(S188=0," ",S188/$F188)," ")</f>
        <v xml:space="preserve"> </v>
      </c>
      <c r="U188" s="193"/>
      <c r="V188" s="196" t="str">
        <f t="shared" ref="V188" si="1716">IFERROR(IF(U188=0," ",U188/$F188)," ")</f>
        <v xml:space="preserve"> </v>
      </c>
      <c r="W188" s="193"/>
      <c r="X188" s="196" t="str">
        <f t="shared" ref="X188" si="1717">IFERROR(IF(W188=0," ",W188/$F188)," ")</f>
        <v xml:space="preserve"> </v>
      </c>
      <c r="Y188" s="193">
        <v>1.5</v>
      </c>
      <c r="Z188" s="196">
        <f t="shared" ref="Z188" si="1718">IFERROR(IF(Y188=0," ",Y188/$F188)," ")</f>
        <v>0.5</v>
      </c>
      <c r="AA188" s="193">
        <v>3</v>
      </c>
      <c r="AB188" s="196">
        <f t="shared" ref="AB188" si="1719">IFERROR(IF(AA188=0," ",AA188/$F188)," ")</f>
        <v>1</v>
      </c>
      <c r="AC188" s="193">
        <v>3</v>
      </c>
      <c r="AD188" s="196">
        <f t="shared" ref="AD188" si="1720">IFERROR(IF(AC188=0," ",AC188/$F188)," ")</f>
        <v>1</v>
      </c>
      <c r="AE188" s="193">
        <v>3</v>
      </c>
      <c r="AF188" s="196">
        <f t="shared" ref="AF188" si="1721">IFERROR(IF(AE188=0," ",AE188/$F188)," ")</f>
        <v>1</v>
      </c>
      <c r="AG188" s="193">
        <v>3</v>
      </c>
      <c r="AH188" s="196">
        <f t="shared" ref="AH188" si="1722">IFERROR(IF(AG188=0," ",AG188/$F188)," ")</f>
        <v>1</v>
      </c>
      <c r="AI188" s="197"/>
      <c r="AJ188" s="177" t="s">
        <v>642</v>
      </c>
      <c r="AK188" s="177" t="s">
        <v>642</v>
      </c>
      <c r="AL188" s="177" t="s">
        <v>642</v>
      </c>
      <c r="AM188" s="177" t="s">
        <v>642</v>
      </c>
      <c r="AN188" s="177" t="s">
        <v>642</v>
      </c>
      <c r="AO188" s="177" t="s">
        <v>642</v>
      </c>
      <c r="AP188" s="177" t="s">
        <v>642</v>
      </c>
      <c r="AQ188" s="177">
        <v>18017.099999999999</v>
      </c>
      <c r="AR188" s="177">
        <v>36034.199999999997</v>
      </c>
      <c r="AS188" s="177">
        <v>36034.199999999997</v>
      </c>
      <c r="AT188" s="177">
        <v>36034.199999999997</v>
      </c>
      <c r="AU188" s="177">
        <v>36034.199999999997</v>
      </c>
    </row>
    <row r="189" spans="1:47" ht="45" x14ac:dyDescent="0.25">
      <c r="A189" s="190">
        <v>100</v>
      </c>
      <c r="B189" s="65" t="s">
        <v>745</v>
      </c>
      <c r="C189" s="191" t="s">
        <v>397</v>
      </c>
      <c r="D189" s="65" t="s">
        <v>382</v>
      </c>
      <c r="E189" s="192">
        <f>IF(A189=" "," ",VLOOKUP(A189,Estimate!A:Q,17,FALSE))</f>
        <v>80346.600000000006</v>
      </c>
      <c r="F189" s="193">
        <v>1</v>
      </c>
      <c r="G189" s="206">
        <v>80346.600000000006</v>
      </c>
      <c r="H189" s="195">
        <v>80346.600000000006</v>
      </c>
      <c r="I189" s="195">
        <v>80346.600000000006</v>
      </c>
      <c r="J189" s="195"/>
      <c r="K189" s="193"/>
      <c r="L189" s="196" t="str">
        <f t="shared" si="1282"/>
        <v xml:space="preserve"> </v>
      </c>
      <c r="M189" s="193"/>
      <c r="N189" s="196" t="str">
        <f t="shared" si="1282"/>
        <v xml:space="preserve"> </v>
      </c>
      <c r="O189" s="193">
        <v>0.04</v>
      </c>
      <c r="P189" s="196">
        <f t="shared" ref="P189" si="1723">IFERROR(IF(O189=0," ",O189/$F189)," ")</f>
        <v>0.04</v>
      </c>
      <c r="Q189" s="193">
        <v>0.04</v>
      </c>
      <c r="R189" s="196">
        <f t="shared" ref="R189" si="1724">IFERROR(IF(Q189=0," ",Q189/$F189)," ")</f>
        <v>0.04</v>
      </c>
      <c r="S189" s="193">
        <v>0.04</v>
      </c>
      <c r="T189" s="196">
        <f t="shared" ref="T189" si="1725">IFERROR(IF(S189=0," ",S189/$F189)," ")</f>
        <v>0.04</v>
      </c>
      <c r="U189" s="193">
        <v>0.04</v>
      </c>
      <c r="V189" s="196">
        <f t="shared" ref="V189" si="1726">IFERROR(IF(U189=0," ",U189/$F189)," ")</f>
        <v>0.04</v>
      </c>
      <c r="W189" s="193">
        <v>0.04</v>
      </c>
      <c r="X189" s="196">
        <f t="shared" ref="X189" si="1727">IFERROR(IF(W189=0," ",W189/$F189)," ")</f>
        <v>0.04</v>
      </c>
      <c r="Y189" s="193">
        <v>0.8</v>
      </c>
      <c r="Z189" s="196">
        <f t="shared" ref="Z189" si="1728">IFERROR(IF(Y189=0," ",Y189/$F189)," ")</f>
        <v>0.8</v>
      </c>
      <c r="AA189" s="193">
        <v>0.85</v>
      </c>
      <c r="AB189" s="196">
        <f t="shared" ref="AB189" si="1729">IFERROR(IF(AA189=0," ",AA189/$F189)," ")</f>
        <v>0.85</v>
      </c>
      <c r="AC189" s="193">
        <v>1</v>
      </c>
      <c r="AD189" s="196">
        <f t="shared" ref="AD189" si="1730">IFERROR(IF(AC189=0," ",AC189/$F189)," ")</f>
        <v>1</v>
      </c>
      <c r="AE189" s="193">
        <v>1</v>
      </c>
      <c r="AF189" s="196">
        <f t="shared" ref="AF189" si="1731">IFERROR(IF(AE189=0," ",AE189/$F189)," ")</f>
        <v>1</v>
      </c>
      <c r="AG189" s="193">
        <v>1</v>
      </c>
      <c r="AH189" s="196">
        <f t="shared" ref="AH189" si="1732">IFERROR(IF(AG189=0," ",AG189/$F189)," ")</f>
        <v>1</v>
      </c>
      <c r="AI189" s="197"/>
      <c r="AJ189" s="177">
        <v>0</v>
      </c>
      <c r="AK189" s="177">
        <v>0</v>
      </c>
      <c r="AL189" s="177">
        <v>3213.8640000000005</v>
      </c>
      <c r="AM189" s="177">
        <v>3213.8640000000005</v>
      </c>
      <c r="AN189" s="177">
        <v>3213.8640000000005</v>
      </c>
      <c r="AO189" s="177">
        <v>3213.8640000000005</v>
      </c>
      <c r="AP189" s="177">
        <v>3213.8640000000005</v>
      </c>
      <c r="AQ189" s="177">
        <v>64277.280000000006</v>
      </c>
      <c r="AR189" s="177">
        <v>68294.61</v>
      </c>
      <c r="AS189" s="177">
        <v>80346.600000000006</v>
      </c>
      <c r="AT189" s="177">
        <v>80346.600000000006</v>
      </c>
      <c r="AU189" s="177">
        <v>80346.600000000006</v>
      </c>
    </row>
    <row r="190" spans="1:47" ht="30" x14ac:dyDescent="0.25">
      <c r="A190" s="190">
        <v>101</v>
      </c>
      <c r="B190" s="65" t="s">
        <v>745</v>
      </c>
      <c r="C190" s="191" t="s">
        <v>399</v>
      </c>
      <c r="D190" s="65" t="s">
        <v>382</v>
      </c>
      <c r="E190" s="192">
        <f>IF(A190=" "," ",VLOOKUP(A190,Estimate!A:Q,17,FALSE))</f>
        <v>9436.36</v>
      </c>
      <c r="F190" s="193">
        <v>1</v>
      </c>
      <c r="G190" s="206">
        <v>9436.36</v>
      </c>
      <c r="H190" s="195">
        <v>9436.36</v>
      </c>
      <c r="I190" s="195">
        <v>9436.36</v>
      </c>
      <c r="J190" s="195"/>
      <c r="K190" s="193"/>
      <c r="L190" s="196" t="str">
        <f t="shared" si="1282"/>
        <v xml:space="preserve"> </v>
      </c>
      <c r="M190" s="193"/>
      <c r="N190" s="196" t="str">
        <f t="shared" si="1282"/>
        <v xml:space="preserve"> </v>
      </c>
      <c r="O190" s="193"/>
      <c r="P190" s="196" t="str">
        <f t="shared" ref="P190" si="1733">IFERROR(IF(O190=0," ",O190/$F190)," ")</f>
        <v xml:space="preserve"> </v>
      </c>
      <c r="Q190" s="193"/>
      <c r="R190" s="196" t="str">
        <f t="shared" ref="R190" si="1734">IFERROR(IF(Q190=0," ",Q190/$F190)," ")</f>
        <v xml:space="preserve"> </v>
      </c>
      <c r="S190" s="193"/>
      <c r="T190" s="196" t="str">
        <f t="shared" ref="T190" si="1735">IFERROR(IF(S190=0," ",S190/$F190)," ")</f>
        <v xml:space="preserve"> </v>
      </c>
      <c r="U190" s="193"/>
      <c r="V190" s="196" t="str">
        <f t="shared" ref="V190" si="1736">IFERROR(IF(U190=0," ",U190/$F190)," ")</f>
        <v xml:space="preserve"> </v>
      </c>
      <c r="W190" s="193"/>
      <c r="X190" s="196" t="str">
        <f t="shared" ref="X190" si="1737">IFERROR(IF(W190=0," ",W190/$F190)," ")</f>
        <v xml:space="preserve"> </v>
      </c>
      <c r="Y190" s="193"/>
      <c r="Z190" s="196" t="str">
        <f t="shared" ref="Z190" si="1738">IFERROR(IF(Y190=0," ",Y190/$F190)," ")</f>
        <v xml:space="preserve"> </v>
      </c>
      <c r="AA190" s="193">
        <v>0.5</v>
      </c>
      <c r="AB190" s="196">
        <f t="shared" ref="AB190" si="1739">IFERROR(IF(AA190=0," ",AA190/$F190)," ")</f>
        <v>0.5</v>
      </c>
      <c r="AC190" s="193">
        <v>1</v>
      </c>
      <c r="AD190" s="196">
        <f t="shared" ref="AD190" si="1740">IFERROR(IF(AC190=0," ",AC190/$F190)," ")</f>
        <v>1</v>
      </c>
      <c r="AE190" s="193">
        <v>1</v>
      </c>
      <c r="AF190" s="196">
        <f t="shared" ref="AF190" si="1741">IFERROR(IF(AE190=0," ",AE190/$F190)," ")</f>
        <v>1</v>
      </c>
      <c r="AG190" s="193">
        <v>1</v>
      </c>
      <c r="AH190" s="196">
        <f t="shared" ref="AH190" si="1742">IFERROR(IF(AG190=0," ",AG190/$F190)," ")</f>
        <v>1</v>
      </c>
      <c r="AI190" s="197"/>
      <c r="AJ190" s="177" t="s">
        <v>642</v>
      </c>
      <c r="AK190" s="177" t="s">
        <v>642</v>
      </c>
      <c r="AL190" s="177" t="s">
        <v>642</v>
      </c>
      <c r="AM190" s="177" t="s">
        <v>642</v>
      </c>
      <c r="AN190" s="177" t="s">
        <v>642</v>
      </c>
      <c r="AO190" s="177" t="s">
        <v>642</v>
      </c>
      <c r="AP190" s="177" t="s">
        <v>642</v>
      </c>
      <c r="AQ190" s="177" t="s">
        <v>642</v>
      </c>
      <c r="AR190" s="177">
        <v>4718.18</v>
      </c>
      <c r="AS190" s="177">
        <v>9436.36</v>
      </c>
      <c r="AT190" s="177">
        <v>9436.36</v>
      </c>
      <c r="AU190" s="177">
        <v>9436.36</v>
      </c>
    </row>
    <row r="191" spans="1:47" x14ac:dyDescent="0.25">
      <c r="A191" s="190">
        <v>102</v>
      </c>
      <c r="B191" s="65" t="s">
        <v>745</v>
      </c>
      <c r="C191" s="191" t="s">
        <v>401</v>
      </c>
      <c r="D191" s="65" t="s">
        <v>54</v>
      </c>
      <c r="E191" s="192">
        <f>IF(A191=" "," ",VLOOKUP(A191,Estimate!A:Q,17,FALSE))</f>
        <v>23000</v>
      </c>
      <c r="F191" s="193">
        <v>1</v>
      </c>
      <c r="G191" s="206">
        <v>30621.341</v>
      </c>
      <c r="H191" s="195">
        <v>34532.78</v>
      </c>
      <c r="I191" s="195">
        <v>34532.78</v>
      </c>
      <c r="J191" s="195"/>
      <c r="K191" s="193"/>
      <c r="L191" s="196" t="str">
        <f t="shared" si="1282"/>
        <v xml:space="preserve"> </v>
      </c>
      <c r="M191" s="193"/>
      <c r="N191" s="196" t="str">
        <f t="shared" si="1282"/>
        <v xml:space="preserve"> </v>
      </c>
      <c r="O191" s="193"/>
      <c r="P191" s="196" t="str">
        <f t="shared" ref="P191" si="1743">IFERROR(IF(O191=0," ",O191/$F191)," ")</f>
        <v xml:space="preserve"> </v>
      </c>
      <c r="Q191" s="193"/>
      <c r="R191" s="196" t="str">
        <f t="shared" ref="R191" si="1744">IFERROR(IF(Q191=0," ",Q191/$F191)," ")</f>
        <v xml:space="preserve"> </v>
      </c>
      <c r="S191" s="193">
        <v>0.25</v>
      </c>
      <c r="T191" s="196">
        <f t="shared" ref="T191" si="1745">IFERROR(IF(S191=0," ",S191/$F191)," ")</f>
        <v>0.25</v>
      </c>
      <c r="U191" s="193">
        <v>0.75</v>
      </c>
      <c r="V191" s="196">
        <f t="shared" ref="V191" si="1746">IFERROR(IF(U191=0," ",U191/$F191)," ")</f>
        <v>0.75</v>
      </c>
      <c r="W191" s="193">
        <v>0.75</v>
      </c>
      <c r="X191" s="196">
        <f t="shared" ref="X191" si="1747">IFERROR(IF(W191=0," ",W191/$F191)," ")</f>
        <v>0.75</v>
      </c>
      <c r="Y191" s="193">
        <v>0.8</v>
      </c>
      <c r="Z191" s="196">
        <f t="shared" ref="Z191" si="1748">IFERROR(IF(Y191=0," ",Y191/$F191)," ")</f>
        <v>0.8</v>
      </c>
      <c r="AA191" s="193">
        <v>0.8</v>
      </c>
      <c r="AB191" s="196">
        <f t="shared" ref="AB191" si="1749">IFERROR(IF(AA191=0," ",AA191/$F191)," ")</f>
        <v>0.8</v>
      </c>
      <c r="AC191" s="193">
        <v>1</v>
      </c>
      <c r="AD191" s="196">
        <f t="shared" ref="AD191" si="1750">IFERROR(IF(AC191=0," ",AC191/$F191)," ")</f>
        <v>1</v>
      </c>
      <c r="AE191" s="193">
        <v>1</v>
      </c>
      <c r="AF191" s="196">
        <f t="shared" ref="AF191" si="1751">IFERROR(IF(AE191=0," ",AE191/$F191)," ")</f>
        <v>1</v>
      </c>
      <c r="AG191" s="193">
        <v>1</v>
      </c>
      <c r="AH191" s="196">
        <f t="shared" ref="AH191" si="1752">IFERROR(IF(AG191=0," ",AG191/$F191)," ")</f>
        <v>1</v>
      </c>
      <c r="AI191" s="197"/>
      <c r="AJ191" s="177">
        <v>0</v>
      </c>
      <c r="AK191" s="177">
        <v>0</v>
      </c>
      <c r="AL191" s="177">
        <v>0</v>
      </c>
      <c r="AM191" s="177">
        <v>0</v>
      </c>
      <c r="AN191" s="177">
        <v>8633.1949999999997</v>
      </c>
      <c r="AO191" s="177">
        <v>25899.584999999999</v>
      </c>
      <c r="AP191" s="177">
        <v>25899.584999999999</v>
      </c>
      <c r="AQ191" s="177">
        <v>27626.224000000002</v>
      </c>
      <c r="AR191" s="177">
        <v>27626.224000000002</v>
      </c>
      <c r="AS191" s="177">
        <v>34532.78</v>
      </c>
      <c r="AT191" s="177">
        <v>34532.78</v>
      </c>
      <c r="AU191" s="177">
        <v>34532.78</v>
      </c>
    </row>
    <row r="192" spans="1:47" ht="30" x14ac:dyDescent="0.25">
      <c r="A192" s="190">
        <v>103</v>
      </c>
      <c r="B192" s="65" t="s">
        <v>745</v>
      </c>
      <c r="C192" s="191" t="s">
        <v>403</v>
      </c>
      <c r="D192" s="65" t="s">
        <v>54</v>
      </c>
      <c r="E192" s="192">
        <f>IF(A192=" "," ",VLOOKUP(A192,Estimate!A:Q,17,FALSE))</f>
        <v>2545.4499999999998</v>
      </c>
      <c r="F192" s="193">
        <v>2</v>
      </c>
      <c r="G192" s="206">
        <v>1272.7284999999999</v>
      </c>
      <c r="H192" s="195">
        <v>1272.73</v>
      </c>
      <c r="I192" s="195">
        <v>2545.46</v>
      </c>
      <c r="J192" s="195"/>
      <c r="K192" s="193"/>
      <c r="L192" s="196" t="str">
        <f t="shared" si="1282"/>
        <v xml:space="preserve"> </v>
      </c>
      <c r="M192" s="193"/>
      <c r="N192" s="196" t="str">
        <f t="shared" si="1282"/>
        <v xml:space="preserve"> </v>
      </c>
      <c r="O192" s="193"/>
      <c r="P192" s="196" t="str">
        <f t="shared" ref="P192" si="1753">IFERROR(IF(O192=0," ",O192/$F192)," ")</f>
        <v xml:space="preserve"> </v>
      </c>
      <c r="Q192" s="193"/>
      <c r="R192" s="196" t="str">
        <f t="shared" ref="R192" si="1754">IFERROR(IF(Q192=0," ",Q192/$F192)," ")</f>
        <v xml:space="preserve"> </v>
      </c>
      <c r="S192" s="193"/>
      <c r="T192" s="196" t="str">
        <f t="shared" ref="T192" si="1755">IFERROR(IF(S192=0," ",S192/$F192)," ")</f>
        <v xml:space="preserve"> </v>
      </c>
      <c r="U192" s="193"/>
      <c r="V192" s="196" t="str">
        <f t="shared" ref="V192" si="1756">IFERROR(IF(U192=0," ",U192/$F192)," ")</f>
        <v xml:space="preserve"> </v>
      </c>
      <c r="W192" s="193"/>
      <c r="X192" s="196" t="str">
        <f t="shared" ref="X192" si="1757">IFERROR(IF(W192=0," ",W192/$F192)," ")</f>
        <v xml:space="preserve"> </v>
      </c>
      <c r="Y192" s="193"/>
      <c r="Z192" s="196" t="str">
        <f t="shared" ref="Z192" si="1758">IFERROR(IF(Y192=0," ",Y192/$F192)," ")</f>
        <v xml:space="preserve"> </v>
      </c>
      <c r="AA192" s="193"/>
      <c r="AB192" s="196" t="str">
        <f t="shared" ref="AB192" si="1759">IFERROR(IF(AA192=0," ",AA192/$F192)," ")</f>
        <v xml:space="preserve"> </v>
      </c>
      <c r="AC192" s="193"/>
      <c r="AD192" s="196" t="str">
        <f t="shared" ref="AD192" si="1760">IFERROR(IF(AC192=0," ",AC192/$F192)," ")</f>
        <v xml:space="preserve"> </v>
      </c>
      <c r="AE192" s="193">
        <v>2</v>
      </c>
      <c r="AF192" s="196">
        <f t="shared" ref="AF192" si="1761">IFERROR(IF(AE192=0," ",AE192/$F192)," ")</f>
        <v>1</v>
      </c>
      <c r="AG192" s="193">
        <v>2</v>
      </c>
      <c r="AH192" s="196">
        <f t="shared" ref="AH192" si="1762">IFERROR(IF(AG192=0," ",AG192/$F192)," ")</f>
        <v>1</v>
      </c>
      <c r="AI192" s="197"/>
      <c r="AJ192" s="177" t="s">
        <v>642</v>
      </c>
      <c r="AK192" s="177" t="s">
        <v>642</v>
      </c>
      <c r="AL192" s="177" t="s">
        <v>642</v>
      </c>
      <c r="AM192" s="177" t="s">
        <v>642</v>
      </c>
      <c r="AN192" s="177" t="s">
        <v>642</v>
      </c>
      <c r="AO192" s="177" t="s">
        <v>642</v>
      </c>
      <c r="AP192" s="177" t="s">
        <v>642</v>
      </c>
      <c r="AQ192" s="177" t="s">
        <v>642</v>
      </c>
      <c r="AR192" s="177" t="s">
        <v>642</v>
      </c>
      <c r="AS192" s="177" t="s">
        <v>642</v>
      </c>
      <c r="AT192" s="177">
        <v>2545.46</v>
      </c>
      <c r="AU192" s="177">
        <v>2545.46</v>
      </c>
    </row>
    <row r="193" spans="1:47" ht="30" x14ac:dyDescent="0.25">
      <c r="A193" s="190" t="s">
        <v>642</v>
      </c>
      <c r="B193" s="65" t="s">
        <v>745</v>
      </c>
      <c r="C193" s="191" t="s">
        <v>772</v>
      </c>
      <c r="D193" s="65" t="s">
        <v>364</v>
      </c>
      <c r="E193" s="192" t="str">
        <f>IF(A193=" "," ",VLOOKUP(A193,Estimate!A:Q,17,FALSE))</f>
        <v xml:space="preserve"> </v>
      </c>
      <c r="F193" s="193">
        <v>1</v>
      </c>
      <c r="G193" s="206" t="s">
        <v>642</v>
      </c>
      <c r="H193" s="195"/>
      <c r="I193" s="195"/>
      <c r="J193" s="195"/>
      <c r="K193" s="193"/>
      <c r="L193" s="196" t="str">
        <f t="shared" si="1282"/>
        <v xml:space="preserve"> </v>
      </c>
      <c r="M193" s="193"/>
      <c r="N193" s="196" t="str">
        <f t="shared" si="1282"/>
        <v xml:space="preserve"> </v>
      </c>
      <c r="O193" s="193"/>
      <c r="P193" s="196" t="str">
        <f t="shared" ref="P193" si="1763">IFERROR(IF(O193=0," ",O193/$F193)," ")</f>
        <v xml:space="preserve"> </v>
      </c>
      <c r="Q193" s="193"/>
      <c r="R193" s="196" t="str">
        <f t="shared" ref="R193" si="1764">IFERROR(IF(Q193=0," ",Q193/$F193)," ")</f>
        <v xml:space="preserve"> </v>
      </c>
      <c r="S193" s="193"/>
      <c r="T193" s="196" t="str">
        <f t="shared" ref="T193" si="1765">IFERROR(IF(S193=0," ",S193/$F193)," ")</f>
        <v xml:space="preserve"> </v>
      </c>
      <c r="U193" s="193"/>
      <c r="V193" s="196" t="str">
        <f t="shared" ref="V193" si="1766">IFERROR(IF(U193=0," ",U193/$F193)," ")</f>
        <v xml:space="preserve"> </v>
      </c>
      <c r="W193" s="193"/>
      <c r="X193" s="196" t="str">
        <f t="shared" ref="X193" si="1767">IFERROR(IF(W193=0," ",W193/$F193)," ")</f>
        <v xml:space="preserve"> </v>
      </c>
      <c r="Y193" s="193"/>
      <c r="Z193" s="196" t="str">
        <f t="shared" ref="Z193" si="1768">IFERROR(IF(Y193=0," ",Y193/$F193)," ")</f>
        <v xml:space="preserve"> </v>
      </c>
      <c r="AA193" s="193"/>
      <c r="AB193" s="196" t="str">
        <f t="shared" ref="AB193" si="1769">IFERROR(IF(AA193=0," ",AA193/$F193)," ")</f>
        <v xml:space="preserve"> </v>
      </c>
      <c r="AC193" s="193"/>
      <c r="AD193" s="196" t="str">
        <f t="shared" ref="AD193" si="1770">IFERROR(IF(AC193=0," ",AC193/$F193)," ")</f>
        <v xml:space="preserve"> </v>
      </c>
      <c r="AE193" s="193"/>
      <c r="AF193" s="196" t="str">
        <f t="shared" ref="AF193" si="1771">IFERROR(IF(AE193=0," ",AE193/$F193)," ")</f>
        <v xml:space="preserve"> </v>
      </c>
      <c r="AG193" s="193"/>
      <c r="AH193" s="196" t="str">
        <f t="shared" ref="AH193" si="1772">IFERROR(IF(AG193=0," ",AG193/$F193)," ")</f>
        <v xml:space="preserve"> </v>
      </c>
      <c r="AI193" s="197"/>
      <c r="AJ193" s="177" t="s">
        <v>642</v>
      </c>
      <c r="AK193" s="177" t="s">
        <v>642</v>
      </c>
      <c r="AL193" s="177" t="s">
        <v>642</v>
      </c>
      <c r="AM193" s="177" t="s">
        <v>642</v>
      </c>
      <c r="AN193" s="177" t="s">
        <v>642</v>
      </c>
      <c r="AO193" s="177" t="s">
        <v>642</v>
      </c>
      <c r="AP193" s="177" t="s">
        <v>642</v>
      </c>
      <c r="AQ193" s="177" t="s">
        <v>642</v>
      </c>
      <c r="AR193" s="177" t="s">
        <v>642</v>
      </c>
      <c r="AS193" s="177" t="s">
        <v>642</v>
      </c>
      <c r="AT193" s="177" t="s">
        <v>642</v>
      </c>
      <c r="AU193" s="177" t="s">
        <v>642</v>
      </c>
    </row>
    <row r="194" spans="1:47" ht="30" x14ac:dyDescent="0.25">
      <c r="A194" s="190">
        <v>104</v>
      </c>
      <c r="B194" s="65" t="s">
        <v>745</v>
      </c>
      <c r="C194" s="191" t="s">
        <v>407</v>
      </c>
      <c r="D194" s="65" t="s">
        <v>54</v>
      </c>
      <c r="E194" s="192">
        <f>IF(A194=" "," ",VLOOKUP(A194,Estimate!A:Q,17,FALSE))</f>
        <v>6000</v>
      </c>
      <c r="F194" s="193">
        <v>1</v>
      </c>
      <c r="G194" s="206">
        <v>7988.1750000000002</v>
      </c>
      <c r="H194" s="195">
        <v>9008.5499999999993</v>
      </c>
      <c r="I194" s="195">
        <v>9008.5499999999993</v>
      </c>
      <c r="J194" s="195"/>
      <c r="K194" s="193"/>
      <c r="L194" s="196" t="str">
        <f t="shared" si="1282"/>
        <v xml:space="preserve"> </v>
      </c>
      <c r="M194" s="193"/>
      <c r="N194" s="196" t="str">
        <f t="shared" si="1282"/>
        <v xml:space="preserve"> </v>
      </c>
      <c r="O194" s="193"/>
      <c r="P194" s="196" t="str">
        <f t="shared" ref="P194" si="1773">IFERROR(IF(O194=0," ",O194/$F194)," ")</f>
        <v xml:space="preserve"> </v>
      </c>
      <c r="Q194" s="193"/>
      <c r="R194" s="196" t="str">
        <f t="shared" ref="R194" si="1774">IFERROR(IF(Q194=0," ",Q194/$F194)," ")</f>
        <v xml:space="preserve"> </v>
      </c>
      <c r="S194" s="193"/>
      <c r="T194" s="196" t="str">
        <f t="shared" ref="T194" si="1775">IFERROR(IF(S194=0," ",S194/$F194)," ")</f>
        <v xml:space="preserve"> </v>
      </c>
      <c r="U194" s="193"/>
      <c r="V194" s="196" t="str">
        <f t="shared" ref="V194" si="1776">IFERROR(IF(U194=0," ",U194/$F194)," ")</f>
        <v xml:space="preserve"> </v>
      </c>
      <c r="W194" s="193"/>
      <c r="X194" s="196" t="str">
        <f t="shared" ref="X194" si="1777">IFERROR(IF(W194=0," ",W194/$F194)," ")</f>
        <v xml:space="preserve"> </v>
      </c>
      <c r="Y194" s="193"/>
      <c r="Z194" s="196" t="str">
        <f t="shared" ref="Z194" si="1778">IFERROR(IF(Y194=0," ",Y194/$F194)," ")</f>
        <v xml:space="preserve"> </v>
      </c>
      <c r="AA194" s="193">
        <v>1</v>
      </c>
      <c r="AB194" s="196">
        <f t="shared" ref="AB194" si="1779">IFERROR(IF(AA194=0," ",AA194/$F194)," ")</f>
        <v>1</v>
      </c>
      <c r="AC194" s="193">
        <v>1</v>
      </c>
      <c r="AD194" s="196">
        <f t="shared" ref="AD194" si="1780">IFERROR(IF(AC194=0," ",AC194/$F194)," ")</f>
        <v>1</v>
      </c>
      <c r="AE194" s="193">
        <v>1</v>
      </c>
      <c r="AF194" s="196">
        <f t="shared" ref="AF194" si="1781">IFERROR(IF(AE194=0," ",AE194/$F194)," ")</f>
        <v>1</v>
      </c>
      <c r="AG194" s="193">
        <v>1</v>
      </c>
      <c r="AH194" s="196">
        <f t="shared" ref="AH194" si="1782">IFERROR(IF(AG194=0," ",AG194/$F194)," ")</f>
        <v>1</v>
      </c>
      <c r="AI194" s="197"/>
      <c r="AJ194" s="177">
        <v>0</v>
      </c>
      <c r="AK194" s="177">
        <v>0</v>
      </c>
      <c r="AL194" s="177">
        <v>0</v>
      </c>
      <c r="AM194" s="177">
        <v>0</v>
      </c>
      <c r="AN194" s="177">
        <v>0</v>
      </c>
      <c r="AO194" s="177">
        <v>0</v>
      </c>
      <c r="AP194" s="177">
        <v>0</v>
      </c>
      <c r="AQ194" s="177">
        <v>0</v>
      </c>
      <c r="AR194" s="177">
        <v>9008.5499999999993</v>
      </c>
      <c r="AS194" s="177">
        <v>9008.5499999999993</v>
      </c>
      <c r="AT194" s="177">
        <v>9008.5499999999993</v>
      </c>
      <c r="AU194" s="177">
        <v>9008.5499999999993</v>
      </c>
    </row>
    <row r="195" spans="1:47" x14ac:dyDescent="0.25">
      <c r="A195" s="190">
        <v>105</v>
      </c>
      <c r="B195" s="65" t="s">
        <v>745</v>
      </c>
      <c r="C195" s="191" t="s">
        <v>409</v>
      </c>
      <c r="D195" s="65" t="s">
        <v>94</v>
      </c>
      <c r="E195" s="192">
        <f>IF(A195=" "," ",VLOOKUP(A195,Estimate!A:Q,17,FALSE))</f>
        <v>17890</v>
      </c>
      <c r="F195" s="193">
        <v>45</v>
      </c>
      <c r="G195" s="206">
        <v>529.29066666666665</v>
      </c>
      <c r="H195" s="195">
        <v>596.9</v>
      </c>
      <c r="I195" s="195">
        <v>26860.5</v>
      </c>
      <c r="J195" s="195"/>
      <c r="K195" s="193"/>
      <c r="L195" s="196" t="str">
        <f t="shared" si="1282"/>
        <v xml:space="preserve"> </v>
      </c>
      <c r="M195" s="193"/>
      <c r="N195" s="196" t="str">
        <f t="shared" si="1282"/>
        <v xml:space="preserve"> </v>
      </c>
      <c r="O195" s="193"/>
      <c r="P195" s="196" t="str">
        <f t="shared" ref="P195" si="1783">IFERROR(IF(O195=0," ",O195/$F195)," ")</f>
        <v xml:space="preserve"> </v>
      </c>
      <c r="Q195" s="193"/>
      <c r="R195" s="196" t="str">
        <f t="shared" ref="R195" si="1784">IFERROR(IF(Q195=0," ",Q195/$F195)," ")</f>
        <v xml:space="preserve"> </v>
      </c>
      <c r="S195" s="193"/>
      <c r="T195" s="196" t="str">
        <f t="shared" ref="T195" si="1785">IFERROR(IF(S195=0," ",S195/$F195)," ")</f>
        <v xml:space="preserve"> </v>
      </c>
      <c r="U195" s="193"/>
      <c r="V195" s="196" t="str">
        <f t="shared" ref="V195" si="1786">IFERROR(IF(U195=0," ",U195/$F195)," ")</f>
        <v xml:space="preserve"> </v>
      </c>
      <c r="W195" s="193">
        <v>5</v>
      </c>
      <c r="X195" s="196">
        <f t="shared" ref="X195" si="1787">IFERROR(IF(W195=0," ",W195/$F195)," ")</f>
        <v>0.1111111111111111</v>
      </c>
      <c r="Y195" s="193">
        <v>45</v>
      </c>
      <c r="Z195" s="196">
        <f t="shared" ref="Z195" si="1788">IFERROR(IF(Y195=0," ",Y195/$F195)," ")</f>
        <v>1</v>
      </c>
      <c r="AA195" s="193">
        <v>45</v>
      </c>
      <c r="AB195" s="196">
        <f t="shared" ref="AB195" si="1789">IFERROR(IF(AA195=0," ",AA195/$F195)," ")</f>
        <v>1</v>
      </c>
      <c r="AC195" s="193">
        <v>45</v>
      </c>
      <c r="AD195" s="196">
        <f t="shared" ref="AD195" si="1790">IFERROR(IF(AC195=0," ",AC195/$F195)," ")</f>
        <v>1</v>
      </c>
      <c r="AE195" s="193">
        <v>45</v>
      </c>
      <c r="AF195" s="196">
        <f t="shared" ref="AF195" si="1791">IFERROR(IF(AE195=0," ",AE195/$F195)," ")</f>
        <v>1</v>
      </c>
      <c r="AG195" s="193">
        <v>45</v>
      </c>
      <c r="AH195" s="196">
        <f t="shared" ref="AH195" si="1792">IFERROR(IF(AG195=0," ",AG195/$F195)," ")</f>
        <v>1</v>
      </c>
      <c r="AI195" s="197"/>
      <c r="AJ195" s="177">
        <v>0</v>
      </c>
      <c r="AK195" s="177">
        <v>0</v>
      </c>
      <c r="AL195" s="177">
        <v>0</v>
      </c>
      <c r="AM195" s="177">
        <v>0</v>
      </c>
      <c r="AN195" s="177">
        <v>0</v>
      </c>
      <c r="AO195" s="177">
        <v>0</v>
      </c>
      <c r="AP195" s="177">
        <v>2984.5</v>
      </c>
      <c r="AQ195" s="177">
        <v>26860.5</v>
      </c>
      <c r="AR195" s="177">
        <v>26860.5</v>
      </c>
      <c r="AS195" s="177">
        <v>26860.5</v>
      </c>
      <c r="AT195" s="177">
        <v>26860.5</v>
      </c>
      <c r="AU195" s="177">
        <v>26860.5</v>
      </c>
    </row>
    <row r="196" spans="1:47" x14ac:dyDescent="0.25">
      <c r="A196" s="190">
        <v>106</v>
      </c>
      <c r="B196" s="65" t="s">
        <v>745</v>
      </c>
      <c r="C196" s="191" t="s">
        <v>415</v>
      </c>
      <c r="D196" s="65" t="s">
        <v>94</v>
      </c>
      <c r="E196" s="192">
        <f>IF(A196=" "," ",VLOOKUP(A196,Estimate!A:Q,17,FALSE))</f>
        <v>7028.0844822528597</v>
      </c>
      <c r="F196" s="193">
        <v>18</v>
      </c>
      <c r="G196" s="206">
        <v>519.82105555555563</v>
      </c>
      <c r="H196" s="195">
        <v>586.22</v>
      </c>
      <c r="I196" s="195">
        <v>10551.96</v>
      </c>
      <c r="J196" s="195"/>
      <c r="K196" s="193"/>
      <c r="L196" s="196" t="str">
        <f t="shared" si="1282"/>
        <v xml:space="preserve"> </v>
      </c>
      <c r="M196" s="193"/>
      <c r="N196" s="196" t="str">
        <f t="shared" si="1282"/>
        <v xml:space="preserve"> </v>
      </c>
      <c r="O196" s="193"/>
      <c r="P196" s="196" t="str">
        <f t="shared" ref="P196" si="1793">IFERROR(IF(O196=0," ",O196/$F196)," ")</f>
        <v xml:space="preserve"> </v>
      </c>
      <c r="Q196" s="193"/>
      <c r="R196" s="196" t="str">
        <f t="shared" ref="R196" si="1794">IFERROR(IF(Q196=0," ",Q196/$F196)," ")</f>
        <v xml:space="preserve"> </v>
      </c>
      <c r="S196" s="193"/>
      <c r="T196" s="196" t="str">
        <f t="shared" ref="T196" si="1795">IFERROR(IF(S196=0," ",S196/$F196)," ")</f>
        <v xml:space="preserve"> </v>
      </c>
      <c r="U196" s="193"/>
      <c r="V196" s="196" t="str">
        <f t="shared" ref="V196" si="1796">IFERROR(IF(U196=0," ",U196/$F196)," ")</f>
        <v xml:space="preserve"> </v>
      </c>
      <c r="W196" s="193">
        <v>3</v>
      </c>
      <c r="X196" s="196">
        <f t="shared" ref="X196" si="1797">IFERROR(IF(W196=0," ",W196/$F196)," ")</f>
        <v>0.16666666666666666</v>
      </c>
      <c r="Y196" s="193">
        <v>18</v>
      </c>
      <c r="Z196" s="196">
        <f t="shared" ref="Z196" si="1798">IFERROR(IF(Y196=0," ",Y196/$F196)," ")</f>
        <v>1</v>
      </c>
      <c r="AA196" s="193">
        <v>18</v>
      </c>
      <c r="AB196" s="196">
        <f t="shared" ref="AB196" si="1799">IFERROR(IF(AA196=0," ",AA196/$F196)," ")</f>
        <v>1</v>
      </c>
      <c r="AC196" s="193">
        <v>18</v>
      </c>
      <c r="AD196" s="196">
        <f t="shared" ref="AD196" si="1800">IFERROR(IF(AC196=0," ",AC196/$F196)," ")</f>
        <v>1</v>
      </c>
      <c r="AE196" s="193">
        <v>18</v>
      </c>
      <c r="AF196" s="196">
        <f t="shared" ref="AF196" si="1801">IFERROR(IF(AE196=0," ",AE196/$F196)," ")</f>
        <v>1</v>
      </c>
      <c r="AG196" s="193">
        <v>18</v>
      </c>
      <c r="AH196" s="196">
        <f t="shared" ref="AH196" si="1802">IFERROR(IF(AG196=0," ",AG196/$F196)," ")</f>
        <v>1</v>
      </c>
      <c r="AI196" s="197"/>
      <c r="AJ196" s="177">
        <v>0</v>
      </c>
      <c r="AK196" s="177">
        <v>0</v>
      </c>
      <c r="AL196" s="177">
        <v>0</v>
      </c>
      <c r="AM196" s="177">
        <v>0</v>
      </c>
      <c r="AN196" s="177">
        <v>0</v>
      </c>
      <c r="AO196" s="177">
        <v>0</v>
      </c>
      <c r="AP196" s="177">
        <v>1758.6599999999999</v>
      </c>
      <c r="AQ196" s="177">
        <v>10551.96</v>
      </c>
      <c r="AR196" s="177">
        <v>10551.96</v>
      </c>
      <c r="AS196" s="177">
        <v>10551.96</v>
      </c>
      <c r="AT196" s="177">
        <v>10551.96</v>
      </c>
      <c r="AU196" s="177">
        <v>10551.96</v>
      </c>
    </row>
    <row r="197" spans="1:47" x14ac:dyDescent="0.25">
      <c r="A197" s="190">
        <v>107</v>
      </c>
      <c r="B197" s="65" t="s">
        <v>745</v>
      </c>
      <c r="C197" s="191" t="s">
        <v>417</v>
      </c>
      <c r="D197" s="65" t="s">
        <v>382</v>
      </c>
      <c r="E197" s="192">
        <f>IF(A197=" "," ",VLOOKUP(A197,Estimate!A:Q,17,FALSE))</f>
        <v>4142.8500000000004</v>
      </c>
      <c r="F197" s="193">
        <v>1</v>
      </c>
      <c r="G197" s="206">
        <v>4142.8500000000004</v>
      </c>
      <c r="H197" s="195">
        <v>4142.8500000000004</v>
      </c>
      <c r="I197" s="195">
        <v>4142.8500000000004</v>
      </c>
      <c r="J197" s="195"/>
      <c r="K197" s="193"/>
      <c r="L197" s="196" t="str">
        <f t="shared" si="1282"/>
        <v xml:space="preserve"> </v>
      </c>
      <c r="M197" s="193"/>
      <c r="N197" s="196" t="str">
        <f t="shared" si="1282"/>
        <v xml:space="preserve"> </v>
      </c>
      <c r="O197" s="193"/>
      <c r="P197" s="196" t="str">
        <f t="shared" ref="P197" si="1803">IFERROR(IF(O197=0," ",O197/$F197)," ")</f>
        <v xml:space="preserve"> </v>
      </c>
      <c r="Q197" s="193"/>
      <c r="R197" s="196" t="str">
        <f t="shared" ref="R197" si="1804">IFERROR(IF(Q197=0," ",Q197/$F197)," ")</f>
        <v xml:space="preserve"> </v>
      </c>
      <c r="S197" s="193">
        <v>0.04</v>
      </c>
      <c r="T197" s="196">
        <f t="shared" ref="T197" si="1805">IFERROR(IF(S197=0," ",S197/$F197)," ")</f>
        <v>0.04</v>
      </c>
      <c r="U197" s="193">
        <v>0.04</v>
      </c>
      <c r="V197" s="196">
        <f t="shared" ref="V197" si="1806">IFERROR(IF(U197=0," ",U197/$F197)," ")</f>
        <v>0.04</v>
      </c>
      <c r="W197" s="193">
        <v>0.04</v>
      </c>
      <c r="X197" s="196">
        <f t="shared" ref="X197" si="1807">IFERROR(IF(W197=0," ",W197/$F197)," ")</f>
        <v>0.04</v>
      </c>
      <c r="Y197" s="193">
        <v>0.6</v>
      </c>
      <c r="Z197" s="196">
        <f t="shared" ref="Z197" si="1808">IFERROR(IF(Y197=0," ",Y197/$F197)," ")</f>
        <v>0.6</v>
      </c>
      <c r="AA197" s="193">
        <v>1</v>
      </c>
      <c r="AB197" s="196">
        <f t="shared" ref="AB197" si="1809">IFERROR(IF(AA197=0," ",AA197/$F197)," ")</f>
        <v>1</v>
      </c>
      <c r="AC197" s="193">
        <v>1</v>
      </c>
      <c r="AD197" s="196">
        <f t="shared" ref="AD197" si="1810">IFERROR(IF(AC197=0," ",AC197/$F197)," ")</f>
        <v>1</v>
      </c>
      <c r="AE197" s="193">
        <v>1</v>
      </c>
      <c r="AF197" s="196">
        <f t="shared" ref="AF197" si="1811">IFERROR(IF(AE197=0," ",AE197/$F197)," ")</f>
        <v>1</v>
      </c>
      <c r="AG197" s="193">
        <v>1</v>
      </c>
      <c r="AH197" s="196">
        <f t="shared" ref="AH197" si="1812">IFERROR(IF(AG197=0," ",AG197/$F197)," ")</f>
        <v>1</v>
      </c>
      <c r="AI197" s="197"/>
      <c r="AJ197" s="177">
        <v>0</v>
      </c>
      <c r="AK197" s="177">
        <v>0</v>
      </c>
      <c r="AL197" s="177">
        <v>0</v>
      </c>
      <c r="AM197" s="177">
        <v>0</v>
      </c>
      <c r="AN197" s="177">
        <v>165.71400000000003</v>
      </c>
      <c r="AO197" s="177">
        <v>165.71400000000003</v>
      </c>
      <c r="AP197" s="177">
        <v>165.71400000000003</v>
      </c>
      <c r="AQ197" s="177">
        <v>2485.71</v>
      </c>
      <c r="AR197" s="177">
        <v>4142.8500000000004</v>
      </c>
      <c r="AS197" s="177">
        <v>4142.8500000000004</v>
      </c>
      <c r="AT197" s="177">
        <v>4142.8500000000004</v>
      </c>
      <c r="AU197" s="177">
        <v>4142.8500000000004</v>
      </c>
    </row>
    <row r="198" spans="1:47" x14ac:dyDescent="0.25">
      <c r="A198" s="190" t="s">
        <v>642</v>
      </c>
      <c r="B198" s="65" t="s">
        <v>745</v>
      </c>
      <c r="C198" s="191" t="s">
        <v>642</v>
      </c>
      <c r="D198" s="65" t="s">
        <v>747</v>
      </c>
      <c r="E198" s="192" t="str">
        <f>IF(A198=" "," ",VLOOKUP(A198,Estimate!A:Q,17,FALSE))</f>
        <v xml:space="preserve"> </v>
      </c>
      <c r="F198" s="193" t="s">
        <v>642</v>
      </c>
      <c r="G198" s="206" t="s">
        <v>642</v>
      </c>
      <c r="H198" s="195" t="s">
        <v>642</v>
      </c>
      <c r="I198" s="195" t="s">
        <v>642</v>
      </c>
      <c r="J198" s="195"/>
      <c r="K198" s="193" t="s">
        <v>642</v>
      </c>
      <c r="L198" s="196" t="str">
        <f t="shared" si="1282"/>
        <v xml:space="preserve"> </v>
      </c>
      <c r="M198" s="193" t="s">
        <v>642</v>
      </c>
      <c r="N198" s="196" t="str">
        <f t="shared" si="1282"/>
        <v xml:space="preserve"> </v>
      </c>
      <c r="O198" s="193" t="s">
        <v>642</v>
      </c>
      <c r="P198" s="196" t="str">
        <f t="shared" ref="P198" si="1813">IFERROR(IF(O198=0," ",O198/$F198)," ")</f>
        <v xml:space="preserve"> </v>
      </c>
      <c r="Q198" s="193" t="s">
        <v>642</v>
      </c>
      <c r="R198" s="196" t="str">
        <f t="shared" ref="R198" si="1814">IFERROR(IF(Q198=0," ",Q198/$F198)," ")</f>
        <v xml:space="preserve"> </v>
      </c>
      <c r="S198" s="193" t="s">
        <v>642</v>
      </c>
      <c r="T198" s="196" t="str">
        <f t="shared" ref="T198" si="1815">IFERROR(IF(S198=0," ",S198/$F198)," ")</f>
        <v xml:space="preserve"> </v>
      </c>
      <c r="U198" s="193" t="s">
        <v>642</v>
      </c>
      <c r="V198" s="196" t="str">
        <f t="shared" ref="V198" si="1816">IFERROR(IF(U198=0," ",U198/$F198)," ")</f>
        <v xml:space="preserve"> </v>
      </c>
      <c r="W198" s="193" t="s">
        <v>642</v>
      </c>
      <c r="X198" s="196" t="str">
        <f t="shared" ref="X198" si="1817">IFERROR(IF(W198=0," ",W198/$F198)," ")</f>
        <v xml:space="preserve"> </v>
      </c>
      <c r="Y198" s="193" t="s">
        <v>642</v>
      </c>
      <c r="Z198" s="196" t="str">
        <f t="shared" ref="Z198" si="1818">IFERROR(IF(Y198=0," ",Y198/$F198)," ")</f>
        <v xml:space="preserve"> </v>
      </c>
      <c r="AA198" s="193" t="s">
        <v>642</v>
      </c>
      <c r="AB198" s="196" t="str">
        <f t="shared" ref="AB198" si="1819">IFERROR(IF(AA198=0," ",AA198/$F198)," ")</f>
        <v xml:space="preserve"> </v>
      </c>
      <c r="AC198" s="193" t="s">
        <v>642</v>
      </c>
      <c r="AD198" s="196" t="str">
        <f t="shared" ref="AD198" si="1820">IFERROR(IF(AC198=0," ",AC198/$F198)," ")</f>
        <v xml:space="preserve"> </v>
      </c>
      <c r="AE198" s="193" t="s">
        <v>642</v>
      </c>
      <c r="AF198" s="196" t="str">
        <f t="shared" ref="AF198" si="1821">IFERROR(IF(AE198=0," ",AE198/$F198)," ")</f>
        <v xml:space="preserve"> </v>
      </c>
      <c r="AG198" s="193" t="s">
        <v>642</v>
      </c>
      <c r="AH198" s="196" t="str">
        <f t="shared" ref="AH198" si="1822">IFERROR(IF(AG198=0," ",AG198/$F198)," ")</f>
        <v xml:space="preserve"> </v>
      </c>
      <c r="AI198" s="197"/>
      <c r="AJ198" s="177" t="s">
        <v>642</v>
      </c>
      <c r="AK198" s="177" t="s">
        <v>642</v>
      </c>
      <c r="AL198" s="177" t="s">
        <v>642</v>
      </c>
      <c r="AM198" s="177" t="s">
        <v>642</v>
      </c>
      <c r="AN198" s="177" t="s">
        <v>642</v>
      </c>
      <c r="AO198" s="177" t="s">
        <v>642</v>
      </c>
      <c r="AP198" s="177" t="s">
        <v>642</v>
      </c>
      <c r="AQ198" s="177" t="s">
        <v>642</v>
      </c>
      <c r="AR198" s="177" t="s">
        <v>642</v>
      </c>
      <c r="AS198" s="177" t="s">
        <v>642</v>
      </c>
      <c r="AT198" s="177" t="s">
        <v>642</v>
      </c>
      <c r="AU198" s="177" t="s">
        <v>642</v>
      </c>
    </row>
    <row r="199" spans="1:47" x14ac:dyDescent="0.25">
      <c r="A199" s="190" t="s">
        <v>642</v>
      </c>
      <c r="B199" s="65" t="s">
        <v>745</v>
      </c>
      <c r="C199" s="191" t="s">
        <v>419</v>
      </c>
      <c r="D199" s="65" t="s">
        <v>747</v>
      </c>
      <c r="E199" s="192" t="str">
        <f>IF(A199=" "," ",VLOOKUP(A199,Estimate!A:Q,17,FALSE))</f>
        <v xml:space="preserve"> </v>
      </c>
      <c r="F199" s="193" t="s">
        <v>642</v>
      </c>
      <c r="G199" s="206" t="s">
        <v>642</v>
      </c>
      <c r="H199" s="195" t="s">
        <v>642</v>
      </c>
      <c r="I199" s="195" t="s">
        <v>642</v>
      </c>
      <c r="J199" s="195"/>
      <c r="K199" s="193" t="s">
        <v>642</v>
      </c>
      <c r="L199" s="196" t="str">
        <f t="shared" si="1282"/>
        <v xml:space="preserve"> </v>
      </c>
      <c r="M199" s="193" t="s">
        <v>642</v>
      </c>
      <c r="N199" s="196" t="str">
        <f t="shared" si="1282"/>
        <v xml:space="preserve"> </v>
      </c>
      <c r="O199" s="193" t="s">
        <v>642</v>
      </c>
      <c r="P199" s="196" t="str">
        <f t="shared" ref="P199" si="1823">IFERROR(IF(O199=0," ",O199/$F199)," ")</f>
        <v xml:space="preserve"> </v>
      </c>
      <c r="Q199" s="193" t="s">
        <v>642</v>
      </c>
      <c r="R199" s="196" t="str">
        <f t="shared" ref="R199" si="1824">IFERROR(IF(Q199=0," ",Q199/$F199)," ")</f>
        <v xml:space="preserve"> </v>
      </c>
      <c r="S199" s="193" t="s">
        <v>642</v>
      </c>
      <c r="T199" s="196" t="str">
        <f t="shared" ref="T199" si="1825">IFERROR(IF(S199=0," ",S199/$F199)," ")</f>
        <v xml:space="preserve"> </v>
      </c>
      <c r="U199" s="193" t="s">
        <v>642</v>
      </c>
      <c r="V199" s="196" t="str">
        <f t="shared" ref="V199" si="1826">IFERROR(IF(U199=0," ",U199/$F199)," ")</f>
        <v xml:space="preserve"> </v>
      </c>
      <c r="W199" s="193" t="s">
        <v>642</v>
      </c>
      <c r="X199" s="196" t="str">
        <f t="shared" ref="X199" si="1827">IFERROR(IF(W199=0," ",W199/$F199)," ")</f>
        <v xml:space="preserve"> </v>
      </c>
      <c r="Y199" s="193" t="s">
        <v>642</v>
      </c>
      <c r="Z199" s="196" t="str">
        <f t="shared" ref="Z199" si="1828">IFERROR(IF(Y199=0," ",Y199/$F199)," ")</f>
        <v xml:space="preserve"> </v>
      </c>
      <c r="AA199" s="193" t="s">
        <v>642</v>
      </c>
      <c r="AB199" s="196" t="str">
        <f t="shared" ref="AB199" si="1829">IFERROR(IF(AA199=0," ",AA199/$F199)," ")</f>
        <v xml:space="preserve"> </v>
      </c>
      <c r="AC199" s="193" t="s">
        <v>642</v>
      </c>
      <c r="AD199" s="196" t="str">
        <f t="shared" ref="AD199" si="1830">IFERROR(IF(AC199=0," ",AC199/$F199)," ")</f>
        <v xml:space="preserve"> </v>
      </c>
      <c r="AE199" s="193" t="s">
        <v>642</v>
      </c>
      <c r="AF199" s="196" t="str">
        <f t="shared" ref="AF199" si="1831">IFERROR(IF(AE199=0," ",AE199/$F199)," ")</f>
        <v xml:space="preserve"> </v>
      </c>
      <c r="AG199" s="193" t="s">
        <v>642</v>
      </c>
      <c r="AH199" s="196" t="str">
        <f t="shared" ref="AH199" si="1832">IFERROR(IF(AG199=0," ",AG199/$F199)," ")</f>
        <v xml:space="preserve"> </v>
      </c>
      <c r="AI199" s="197"/>
      <c r="AJ199" s="177" t="s">
        <v>642</v>
      </c>
      <c r="AK199" s="177" t="s">
        <v>642</v>
      </c>
      <c r="AL199" s="177" t="s">
        <v>642</v>
      </c>
      <c r="AM199" s="177" t="s">
        <v>642</v>
      </c>
      <c r="AN199" s="177" t="s">
        <v>642</v>
      </c>
      <c r="AO199" s="177" t="s">
        <v>642</v>
      </c>
      <c r="AP199" s="177" t="s">
        <v>642</v>
      </c>
      <c r="AQ199" s="177" t="s">
        <v>642</v>
      </c>
      <c r="AR199" s="177" t="s">
        <v>642</v>
      </c>
      <c r="AS199" s="177" t="s">
        <v>642</v>
      </c>
      <c r="AT199" s="177" t="s">
        <v>642</v>
      </c>
      <c r="AU199" s="177" t="s">
        <v>642</v>
      </c>
    </row>
    <row r="200" spans="1:47" ht="30" x14ac:dyDescent="0.25">
      <c r="A200" s="190">
        <v>108</v>
      </c>
      <c r="B200" s="65" t="s">
        <v>745</v>
      </c>
      <c r="C200" s="191" t="s">
        <v>421</v>
      </c>
      <c r="D200" s="65" t="s">
        <v>19</v>
      </c>
      <c r="E200" s="192">
        <f>IF(A200=" "," ",VLOOKUP(A200,Estimate!A:Q,17,FALSE))</f>
        <v>21670</v>
      </c>
      <c r="F200" s="193">
        <v>1</v>
      </c>
      <c r="G200" s="206">
        <v>28850.626</v>
      </c>
      <c r="H200" s="195">
        <v>32535.88</v>
      </c>
      <c r="I200" s="195">
        <v>32535.88</v>
      </c>
      <c r="J200" s="195"/>
      <c r="K200" s="193"/>
      <c r="L200" s="196" t="str">
        <f t="shared" si="1282"/>
        <v xml:space="preserve"> </v>
      </c>
      <c r="M200" s="193"/>
      <c r="N200" s="196" t="str">
        <f t="shared" si="1282"/>
        <v xml:space="preserve"> </v>
      </c>
      <c r="O200" s="193"/>
      <c r="P200" s="196" t="str">
        <f t="shared" ref="P200" si="1833">IFERROR(IF(O200=0," ",O200/$F200)," ")</f>
        <v xml:space="preserve"> </v>
      </c>
      <c r="Q200" s="193"/>
      <c r="R200" s="196" t="str">
        <f t="shared" ref="R200" si="1834">IFERROR(IF(Q200=0," ",Q200/$F200)," ")</f>
        <v xml:space="preserve"> </v>
      </c>
      <c r="S200" s="193"/>
      <c r="T200" s="196" t="str">
        <f t="shared" ref="T200" si="1835">IFERROR(IF(S200=0," ",S200/$F200)," ")</f>
        <v xml:space="preserve"> </v>
      </c>
      <c r="U200" s="193"/>
      <c r="V200" s="196" t="str">
        <f t="shared" ref="V200" si="1836">IFERROR(IF(U200=0," ",U200/$F200)," ")</f>
        <v xml:space="preserve"> </v>
      </c>
      <c r="W200" s="193"/>
      <c r="X200" s="196" t="str">
        <f t="shared" ref="X200" si="1837">IFERROR(IF(W200=0," ",W200/$F200)," ")</f>
        <v xml:space="preserve"> </v>
      </c>
      <c r="Y200" s="193"/>
      <c r="Z200" s="196" t="str">
        <f t="shared" ref="Z200" si="1838">IFERROR(IF(Y200=0," ",Y200/$F200)," ")</f>
        <v xml:space="preserve"> </v>
      </c>
      <c r="AA200" s="193"/>
      <c r="AB200" s="196" t="str">
        <f t="shared" ref="AB200" si="1839">IFERROR(IF(AA200=0," ",AA200/$F200)," ")</f>
        <v xml:space="preserve"> </v>
      </c>
      <c r="AC200" s="193">
        <v>0.8</v>
      </c>
      <c r="AD200" s="196">
        <f t="shared" ref="AD200" si="1840">IFERROR(IF(AC200=0," ",AC200/$F200)," ")</f>
        <v>0.8</v>
      </c>
      <c r="AE200" s="193">
        <v>1</v>
      </c>
      <c r="AF200" s="196">
        <f t="shared" ref="AF200" si="1841">IFERROR(IF(AE200=0," ",AE200/$F200)," ")</f>
        <v>1</v>
      </c>
      <c r="AG200" s="193">
        <v>1</v>
      </c>
      <c r="AH200" s="196">
        <f t="shared" ref="AH200" si="1842">IFERROR(IF(AG200=0," ",AG200/$F200)," ")</f>
        <v>1</v>
      </c>
      <c r="AI200" s="197"/>
      <c r="AJ200" s="177">
        <v>0</v>
      </c>
      <c r="AK200" s="177">
        <v>0</v>
      </c>
      <c r="AL200" s="177">
        <v>0</v>
      </c>
      <c r="AM200" s="177">
        <v>0</v>
      </c>
      <c r="AN200" s="177">
        <v>0</v>
      </c>
      <c r="AO200" s="177">
        <v>0</v>
      </c>
      <c r="AP200" s="177">
        <v>0</v>
      </c>
      <c r="AQ200" s="177">
        <v>0</v>
      </c>
      <c r="AR200" s="177">
        <v>0</v>
      </c>
      <c r="AS200" s="177">
        <v>26028.704000000002</v>
      </c>
      <c r="AT200" s="177">
        <v>32535.88</v>
      </c>
      <c r="AU200" s="177">
        <v>32535.88</v>
      </c>
    </row>
    <row r="201" spans="1:47" ht="30" x14ac:dyDescent="0.25">
      <c r="A201" s="190">
        <v>109</v>
      </c>
      <c r="B201" s="65" t="s">
        <v>745</v>
      </c>
      <c r="C201" s="191" t="s">
        <v>423</v>
      </c>
      <c r="D201" s="65" t="s">
        <v>382</v>
      </c>
      <c r="E201" s="192">
        <f>IF(A201=" "," ",VLOOKUP(A201,Estimate!A:Q,17,FALSE))</f>
        <v>2704.55</v>
      </c>
      <c r="F201" s="193">
        <v>1</v>
      </c>
      <c r="G201" s="206">
        <v>2704.55</v>
      </c>
      <c r="H201" s="195">
        <v>2704.55</v>
      </c>
      <c r="I201" s="195">
        <v>2704.55</v>
      </c>
      <c r="J201" s="195"/>
      <c r="K201" s="193"/>
      <c r="L201" s="196" t="str">
        <f t="shared" si="1282"/>
        <v xml:space="preserve"> </v>
      </c>
      <c r="M201" s="193"/>
      <c r="N201" s="196" t="str">
        <f t="shared" si="1282"/>
        <v xml:space="preserve"> </v>
      </c>
      <c r="O201" s="193"/>
      <c r="P201" s="196" t="str">
        <f t="shared" ref="P201" si="1843">IFERROR(IF(O201=0," ",O201/$F201)," ")</f>
        <v xml:space="preserve"> </v>
      </c>
      <c r="Q201" s="193"/>
      <c r="R201" s="196" t="str">
        <f t="shared" ref="R201" si="1844">IFERROR(IF(Q201=0," ",Q201/$F201)," ")</f>
        <v xml:space="preserve"> </v>
      </c>
      <c r="S201" s="193"/>
      <c r="T201" s="196" t="str">
        <f t="shared" ref="T201" si="1845">IFERROR(IF(S201=0," ",S201/$F201)," ")</f>
        <v xml:space="preserve"> </v>
      </c>
      <c r="U201" s="193"/>
      <c r="V201" s="196" t="str">
        <f t="shared" ref="V201" si="1846">IFERROR(IF(U201=0," ",U201/$F201)," ")</f>
        <v xml:space="preserve"> </v>
      </c>
      <c r="W201" s="193"/>
      <c r="X201" s="196" t="str">
        <f t="shared" ref="X201" si="1847">IFERROR(IF(W201=0," ",W201/$F201)," ")</f>
        <v xml:space="preserve"> </v>
      </c>
      <c r="Y201" s="193"/>
      <c r="Z201" s="196" t="str">
        <f t="shared" ref="Z201" si="1848">IFERROR(IF(Y201=0," ",Y201/$F201)," ")</f>
        <v xml:space="preserve"> </v>
      </c>
      <c r="AA201" s="193"/>
      <c r="AB201" s="196" t="str">
        <f t="shared" ref="AB201" si="1849">IFERROR(IF(AA201=0," ",AA201/$F201)," ")</f>
        <v xml:space="preserve"> </v>
      </c>
      <c r="AC201" s="193">
        <v>1</v>
      </c>
      <c r="AD201" s="196">
        <f t="shared" ref="AD201" si="1850">IFERROR(IF(AC201=0," ",AC201/$F201)," ")</f>
        <v>1</v>
      </c>
      <c r="AE201" s="193">
        <v>1</v>
      </c>
      <c r="AF201" s="196">
        <f t="shared" ref="AF201" si="1851">IFERROR(IF(AE201=0," ",AE201/$F201)," ")</f>
        <v>1</v>
      </c>
      <c r="AG201" s="193">
        <v>1</v>
      </c>
      <c r="AH201" s="196">
        <f t="shared" ref="AH201" si="1852">IFERROR(IF(AG201=0," ",AG201/$F201)," ")</f>
        <v>1</v>
      </c>
      <c r="AI201" s="197"/>
      <c r="AJ201" s="177">
        <v>0</v>
      </c>
      <c r="AK201" s="177">
        <v>0</v>
      </c>
      <c r="AL201" s="177">
        <v>0</v>
      </c>
      <c r="AM201" s="177">
        <v>0</v>
      </c>
      <c r="AN201" s="177">
        <v>0</v>
      </c>
      <c r="AO201" s="177">
        <v>0</v>
      </c>
      <c r="AP201" s="177">
        <v>0</v>
      </c>
      <c r="AQ201" s="177">
        <v>0</v>
      </c>
      <c r="AR201" s="177">
        <v>0</v>
      </c>
      <c r="AS201" s="177">
        <v>2704.55</v>
      </c>
      <c r="AT201" s="177">
        <v>2704.55</v>
      </c>
      <c r="AU201" s="177">
        <v>2704.55</v>
      </c>
    </row>
    <row r="202" spans="1:47" ht="30" x14ac:dyDescent="0.25">
      <c r="A202" s="190">
        <v>110</v>
      </c>
      <c r="B202" s="65" t="s">
        <v>745</v>
      </c>
      <c r="C202" s="191" t="s">
        <v>425</v>
      </c>
      <c r="D202" s="65" t="s">
        <v>19</v>
      </c>
      <c r="E202" s="192">
        <f>IF(A202=" "," ",VLOOKUP(A202,Estimate!A:Q,17,FALSE))</f>
        <v>6515</v>
      </c>
      <c r="F202" s="193">
        <v>1</v>
      </c>
      <c r="G202" s="206">
        <v>6515</v>
      </c>
      <c r="H202" s="195">
        <v>6515</v>
      </c>
      <c r="I202" s="195">
        <v>6515</v>
      </c>
      <c r="J202" s="195"/>
      <c r="K202" s="193"/>
      <c r="L202" s="196" t="str">
        <f t="shared" si="1282"/>
        <v xml:space="preserve"> </v>
      </c>
      <c r="M202" s="193"/>
      <c r="N202" s="196" t="str">
        <f t="shared" si="1282"/>
        <v xml:space="preserve"> </v>
      </c>
      <c r="O202" s="193"/>
      <c r="P202" s="196" t="str">
        <f t="shared" ref="P202" si="1853">IFERROR(IF(O202=0," ",O202/$F202)," ")</f>
        <v xml:space="preserve"> </v>
      </c>
      <c r="Q202" s="193"/>
      <c r="R202" s="196" t="str">
        <f t="shared" ref="R202" si="1854">IFERROR(IF(Q202=0," ",Q202/$F202)," ")</f>
        <v xml:space="preserve"> </v>
      </c>
      <c r="S202" s="193"/>
      <c r="T202" s="196" t="str">
        <f t="shared" ref="T202" si="1855">IFERROR(IF(S202=0," ",S202/$F202)," ")</f>
        <v xml:space="preserve"> </v>
      </c>
      <c r="U202" s="193"/>
      <c r="V202" s="196" t="str">
        <f t="shared" ref="V202" si="1856">IFERROR(IF(U202=0," ",U202/$F202)," ")</f>
        <v xml:space="preserve"> </v>
      </c>
      <c r="W202" s="193"/>
      <c r="X202" s="196" t="str">
        <f t="shared" ref="X202" si="1857">IFERROR(IF(W202=0," ",W202/$F202)," ")</f>
        <v xml:space="preserve"> </v>
      </c>
      <c r="Y202" s="193"/>
      <c r="Z202" s="196" t="str">
        <f t="shared" ref="Z202" si="1858">IFERROR(IF(Y202=0," ",Y202/$F202)," ")</f>
        <v xml:space="preserve"> </v>
      </c>
      <c r="AA202" s="193">
        <v>1</v>
      </c>
      <c r="AB202" s="196">
        <f t="shared" ref="AB202" si="1859">IFERROR(IF(AA202=0," ",AA202/$F202)," ")</f>
        <v>1</v>
      </c>
      <c r="AC202" s="193">
        <v>1</v>
      </c>
      <c r="AD202" s="196">
        <f t="shared" ref="AD202" si="1860">IFERROR(IF(AC202=0," ",AC202/$F202)," ")</f>
        <v>1</v>
      </c>
      <c r="AE202" s="193">
        <v>1</v>
      </c>
      <c r="AF202" s="196">
        <f t="shared" ref="AF202" si="1861">IFERROR(IF(AE202=0," ",AE202/$F202)," ")</f>
        <v>1</v>
      </c>
      <c r="AG202" s="193">
        <v>1</v>
      </c>
      <c r="AH202" s="196">
        <f t="shared" ref="AH202" si="1862">IFERROR(IF(AG202=0," ",AG202/$F202)," ")</f>
        <v>1</v>
      </c>
      <c r="AI202" s="197"/>
      <c r="AJ202" s="177">
        <v>0</v>
      </c>
      <c r="AK202" s="177">
        <v>0</v>
      </c>
      <c r="AL202" s="177">
        <v>0</v>
      </c>
      <c r="AM202" s="177">
        <v>0</v>
      </c>
      <c r="AN202" s="177">
        <v>0</v>
      </c>
      <c r="AO202" s="177">
        <v>0</v>
      </c>
      <c r="AP202" s="177">
        <v>0</v>
      </c>
      <c r="AQ202" s="177">
        <v>0</v>
      </c>
      <c r="AR202" s="177">
        <v>6515</v>
      </c>
      <c r="AS202" s="177">
        <v>6515</v>
      </c>
      <c r="AT202" s="177">
        <v>6515</v>
      </c>
      <c r="AU202" s="177">
        <v>6515</v>
      </c>
    </row>
    <row r="203" spans="1:47" x14ac:dyDescent="0.25">
      <c r="A203" s="190" t="s">
        <v>642</v>
      </c>
      <c r="B203" s="65" t="s">
        <v>642</v>
      </c>
      <c r="C203" s="191" t="s">
        <v>642</v>
      </c>
      <c r="D203" s="65" t="s">
        <v>642</v>
      </c>
      <c r="E203" s="192" t="str">
        <f>IF(A203=" "," ",VLOOKUP(A203,Estimate!A:Q,17,FALSE))</f>
        <v xml:space="preserve"> </v>
      </c>
      <c r="F203" s="193" t="s">
        <v>642</v>
      </c>
      <c r="G203" s="206"/>
      <c r="H203" s="195" t="s">
        <v>642</v>
      </c>
      <c r="I203" s="195" t="s">
        <v>642</v>
      </c>
      <c r="J203" s="195"/>
      <c r="K203" s="193" t="s">
        <v>642</v>
      </c>
      <c r="L203" s="196" t="str">
        <f t="shared" si="1282"/>
        <v xml:space="preserve"> </v>
      </c>
      <c r="M203" s="193" t="s">
        <v>642</v>
      </c>
      <c r="N203" s="196" t="str">
        <f t="shared" si="1282"/>
        <v xml:space="preserve"> </v>
      </c>
      <c r="O203" s="193" t="s">
        <v>642</v>
      </c>
      <c r="P203" s="196" t="str">
        <f t="shared" ref="P203" si="1863">IFERROR(IF(O203=0," ",O203/$F203)," ")</f>
        <v xml:space="preserve"> </v>
      </c>
      <c r="Q203" s="193" t="s">
        <v>642</v>
      </c>
      <c r="R203" s="196" t="str">
        <f t="shared" ref="R203" si="1864">IFERROR(IF(Q203=0," ",Q203/$F203)," ")</f>
        <v xml:space="preserve"> </v>
      </c>
      <c r="S203" s="193" t="s">
        <v>642</v>
      </c>
      <c r="T203" s="196" t="str">
        <f t="shared" ref="T203" si="1865">IFERROR(IF(S203=0," ",S203/$F203)," ")</f>
        <v xml:space="preserve"> </v>
      </c>
      <c r="U203" s="193" t="s">
        <v>642</v>
      </c>
      <c r="V203" s="196" t="str">
        <f t="shared" ref="V203" si="1866">IFERROR(IF(U203=0," ",U203/$F203)," ")</f>
        <v xml:space="preserve"> </v>
      </c>
      <c r="W203" s="193" t="s">
        <v>642</v>
      </c>
      <c r="X203" s="196" t="str">
        <f t="shared" ref="X203" si="1867">IFERROR(IF(W203=0," ",W203/$F203)," ")</f>
        <v xml:space="preserve"> </v>
      </c>
      <c r="Y203" s="193" t="s">
        <v>642</v>
      </c>
      <c r="Z203" s="196" t="str">
        <f t="shared" ref="Z203" si="1868">IFERROR(IF(Y203=0," ",Y203/$F203)," ")</f>
        <v xml:space="preserve"> </v>
      </c>
      <c r="AA203" s="193" t="s">
        <v>642</v>
      </c>
      <c r="AB203" s="196" t="str">
        <f t="shared" ref="AB203" si="1869">IFERROR(IF(AA203=0," ",AA203/$F203)," ")</f>
        <v xml:space="preserve"> </v>
      </c>
      <c r="AC203" s="193" t="s">
        <v>642</v>
      </c>
      <c r="AD203" s="196" t="str">
        <f t="shared" ref="AD203" si="1870">IFERROR(IF(AC203=0," ",AC203/$F203)," ")</f>
        <v xml:space="preserve"> </v>
      </c>
      <c r="AE203" s="193" t="s">
        <v>642</v>
      </c>
      <c r="AF203" s="196" t="str">
        <f t="shared" ref="AF203" si="1871">IFERROR(IF(AE203=0," ",AE203/$F203)," ")</f>
        <v xml:space="preserve"> </v>
      </c>
      <c r="AG203" s="193" t="s">
        <v>642</v>
      </c>
      <c r="AH203" s="196" t="str">
        <f t="shared" ref="AH203" si="1872">IFERROR(IF(AG203=0," ",AG203/$F203)," ")</f>
        <v xml:space="preserve"> </v>
      </c>
      <c r="AI203" s="197"/>
      <c r="AJ203" s="177" t="s">
        <v>642</v>
      </c>
      <c r="AK203" s="177" t="s">
        <v>642</v>
      </c>
      <c r="AL203" s="177" t="s">
        <v>642</v>
      </c>
      <c r="AM203" s="177" t="s">
        <v>642</v>
      </c>
      <c r="AN203" s="177" t="s">
        <v>642</v>
      </c>
      <c r="AO203" s="177" t="s">
        <v>642</v>
      </c>
      <c r="AP203" s="177" t="s">
        <v>642</v>
      </c>
      <c r="AQ203" s="177" t="s">
        <v>642</v>
      </c>
      <c r="AR203" s="177" t="s">
        <v>642</v>
      </c>
      <c r="AS203" s="177" t="s">
        <v>642</v>
      </c>
      <c r="AT203" s="177" t="s">
        <v>642</v>
      </c>
      <c r="AU203" s="177" t="s">
        <v>642</v>
      </c>
    </row>
    <row r="204" spans="1:47" x14ac:dyDescent="0.25">
      <c r="A204" s="185" t="s">
        <v>642</v>
      </c>
      <c r="B204" s="185" t="s">
        <v>642</v>
      </c>
      <c r="C204" s="186" t="s">
        <v>773</v>
      </c>
      <c r="D204" s="185" t="s">
        <v>642</v>
      </c>
      <c r="E204" s="185" t="s">
        <v>642</v>
      </c>
      <c r="F204" s="187" t="s">
        <v>642</v>
      </c>
      <c r="G204" s="187" t="s">
        <v>642</v>
      </c>
      <c r="H204" s="187" t="s">
        <v>642</v>
      </c>
      <c r="I204" s="188" t="s">
        <v>642</v>
      </c>
      <c r="J204" s="188" t="s">
        <v>642</v>
      </c>
      <c r="K204" s="188" t="s">
        <v>642</v>
      </c>
      <c r="L204" s="188" t="s">
        <v>642</v>
      </c>
      <c r="M204" s="188" t="s">
        <v>642</v>
      </c>
      <c r="N204" s="188" t="s">
        <v>642</v>
      </c>
      <c r="O204" s="188" t="s">
        <v>642</v>
      </c>
      <c r="P204" s="188" t="s">
        <v>642</v>
      </c>
      <c r="Q204" s="188" t="s">
        <v>642</v>
      </c>
      <c r="R204" s="188" t="s">
        <v>642</v>
      </c>
      <c r="S204" s="188" t="s">
        <v>642</v>
      </c>
      <c r="T204" s="188" t="s">
        <v>642</v>
      </c>
      <c r="U204" s="188" t="s">
        <v>642</v>
      </c>
      <c r="V204" s="188" t="s">
        <v>642</v>
      </c>
      <c r="W204" s="188" t="s">
        <v>642</v>
      </c>
      <c r="X204" s="188" t="s">
        <v>642</v>
      </c>
      <c r="Y204" s="188" t="s">
        <v>642</v>
      </c>
      <c r="Z204" s="188" t="s">
        <v>642</v>
      </c>
      <c r="AA204" s="188" t="s">
        <v>642</v>
      </c>
      <c r="AB204" s="188" t="s">
        <v>642</v>
      </c>
      <c r="AC204" s="188" t="s">
        <v>642</v>
      </c>
      <c r="AD204" s="188" t="s">
        <v>642</v>
      </c>
      <c r="AE204" s="188" t="s">
        <v>642</v>
      </c>
      <c r="AF204" s="188" t="s">
        <v>642</v>
      </c>
      <c r="AG204" s="187" t="s">
        <v>642</v>
      </c>
      <c r="AH204" s="187" t="s">
        <v>642</v>
      </c>
      <c r="AI204" s="187" t="s">
        <v>642</v>
      </c>
      <c r="AJ204" s="187" t="s">
        <v>642</v>
      </c>
      <c r="AK204" s="187" t="s">
        <v>642</v>
      </c>
      <c r="AL204" s="187" t="s">
        <v>642</v>
      </c>
      <c r="AM204" s="187" t="s">
        <v>642</v>
      </c>
      <c r="AN204" s="187" t="s">
        <v>642</v>
      </c>
      <c r="AO204" s="187" t="s">
        <v>642</v>
      </c>
      <c r="AP204" s="187" t="s">
        <v>642</v>
      </c>
      <c r="AQ204" s="187" t="s">
        <v>642</v>
      </c>
      <c r="AR204" s="187" t="s">
        <v>642</v>
      </c>
      <c r="AS204" s="187" t="s">
        <v>642</v>
      </c>
      <c r="AT204" s="187" t="s">
        <v>642</v>
      </c>
      <c r="AU204" s="187" t="s">
        <v>642</v>
      </c>
    </row>
    <row r="205" spans="1:47" x14ac:dyDescent="0.25">
      <c r="A205" s="190" t="s">
        <v>642</v>
      </c>
      <c r="B205" s="65" t="s">
        <v>642</v>
      </c>
      <c r="C205" s="191" t="s">
        <v>642</v>
      </c>
      <c r="D205" s="65" t="s">
        <v>642</v>
      </c>
      <c r="E205" s="192" t="str">
        <f>IF(A205=" "," ",VLOOKUP(A205,Estimate!A:Q,17,FALSE))</f>
        <v xml:space="preserve"> </v>
      </c>
      <c r="F205" s="193" t="s">
        <v>642</v>
      </c>
      <c r="G205" s="206"/>
      <c r="H205" s="195" t="s">
        <v>642</v>
      </c>
      <c r="I205" s="195" t="s">
        <v>642</v>
      </c>
      <c r="J205" s="195"/>
      <c r="K205" s="193" t="s">
        <v>642</v>
      </c>
      <c r="L205" s="196" t="str">
        <f t="shared" si="1282"/>
        <v xml:space="preserve"> </v>
      </c>
      <c r="M205" s="193" t="s">
        <v>642</v>
      </c>
      <c r="N205" s="196" t="str">
        <f t="shared" si="1282"/>
        <v xml:space="preserve"> </v>
      </c>
      <c r="O205" s="193" t="s">
        <v>642</v>
      </c>
      <c r="P205" s="196" t="str">
        <f t="shared" ref="P205" si="1873">IFERROR(IF(O205=0," ",O205/$F205)," ")</f>
        <v xml:space="preserve"> </v>
      </c>
      <c r="Q205" s="193" t="s">
        <v>642</v>
      </c>
      <c r="R205" s="196" t="str">
        <f t="shared" ref="R205" si="1874">IFERROR(IF(Q205=0," ",Q205/$F205)," ")</f>
        <v xml:space="preserve"> </v>
      </c>
      <c r="S205" s="193" t="s">
        <v>642</v>
      </c>
      <c r="T205" s="196" t="str">
        <f t="shared" ref="T205" si="1875">IFERROR(IF(S205=0," ",S205/$F205)," ")</f>
        <v xml:space="preserve"> </v>
      </c>
      <c r="U205" s="193" t="s">
        <v>642</v>
      </c>
      <c r="V205" s="196" t="str">
        <f t="shared" ref="V205" si="1876">IFERROR(IF(U205=0," ",U205/$F205)," ")</f>
        <v xml:space="preserve"> </v>
      </c>
      <c r="W205" s="193" t="s">
        <v>642</v>
      </c>
      <c r="X205" s="196" t="str">
        <f t="shared" ref="X205" si="1877">IFERROR(IF(W205=0," ",W205/$F205)," ")</f>
        <v xml:space="preserve"> </v>
      </c>
      <c r="Y205" s="193" t="s">
        <v>642</v>
      </c>
      <c r="Z205" s="196" t="str">
        <f t="shared" ref="Z205" si="1878">IFERROR(IF(Y205=0," ",Y205/$F205)," ")</f>
        <v xml:space="preserve"> </v>
      </c>
      <c r="AA205" s="193" t="s">
        <v>642</v>
      </c>
      <c r="AB205" s="196" t="str">
        <f t="shared" ref="AB205" si="1879">IFERROR(IF(AA205=0," ",AA205/$F205)," ")</f>
        <v xml:space="preserve"> </v>
      </c>
      <c r="AC205" s="193" t="s">
        <v>642</v>
      </c>
      <c r="AD205" s="196" t="str">
        <f t="shared" ref="AD205" si="1880">IFERROR(IF(AC205=0," ",AC205/$F205)," ")</f>
        <v xml:space="preserve"> </v>
      </c>
      <c r="AE205" s="193" t="s">
        <v>642</v>
      </c>
      <c r="AF205" s="196" t="str">
        <f t="shared" ref="AF205" si="1881">IFERROR(IF(AE205=0," ",AE205/$F205)," ")</f>
        <v xml:space="preserve"> </v>
      </c>
      <c r="AG205" s="193" t="s">
        <v>642</v>
      </c>
      <c r="AH205" s="196" t="str">
        <f t="shared" ref="AH205" si="1882">IFERROR(IF(AG205=0," ",AG205/$F205)," ")</f>
        <v xml:space="preserve"> </v>
      </c>
      <c r="AI205" s="197"/>
      <c r="AJ205" s="177" t="s">
        <v>642</v>
      </c>
      <c r="AK205" s="177" t="s">
        <v>642</v>
      </c>
      <c r="AL205" s="177" t="s">
        <v>642</v>
      </c>
      <c r="AM205" s="177" t="s">
        <v>642</v>
      </c>
      <c r="AN205" s="177" t="s">
        <v>642</v>
      </c>
      <c r="AO205" s="177" t="s">
        <v>642</v>
      </c>
      <c r="AP205" s="177" t="s">
        <v>642</v>
      </c>
      <c r="AQ205" s="177" t="s">
        <v>642</v>
      </c>
      <c r="AR205" s="177" t="s">
        <v>642</v>
      </c>
      <c r="AS205" s="177" t="s">
        <v>642</v>
      </c>
      <c r="AT205" s="177" t="s">
        <v>642</v>
      </c>
      <c r="AU205" s="177" t="s">
        <v>642</v>
      </c>
    </row>
    <row r="206" spans="1:47" ht="45" x14ac:dyDescent="0.25">
      <c r="A206" s="190">
        <v>111</v>
      </c>
      <c r="B206" s="65" t="s">
        <v>780</v>
      </c>
      <c r="C206" s="191" t="s">
        <v>427</v>
      </c>
      <c r="D206" s="65" t="s">
        <v>19</v>
      </c>
      <c r="E206" s="192">
        <f>IF(A206=" "," ",VLOOKUP(A206,Estimate!A:Q,17,FALSE))</f>
        <v>11420</v>
      </c>
      <c r="F206" s="193">
        <v>1</v>
      </c>
      <c r="G206" s="206">
        <v>11241.5625</v>
      </c>
      <c r="H206" s="195">
        <v>12847.5</v>
      </c>
      <c r="I206" s="195">
        <v>12847.5</v>
      </c>
      <c r="J206" s="195"/>
      <c r="K206" s="193"/>
      <c r="L206" s="196" t="str">
        <f t="shared" si="1282"/>
        <v xml:space="preserve"> </v>
      </c>
      <c r="M206" s="193"/>
      <c r="N206" s="196" t="str">
        <f t="shared" si="1282"/>
        <v xml:space="preserve"> </v>
      </c>
      <c r="O206" s="193"/>
      <c r="P206" s="196" t="str">
        <f t="shared" ref="P206" si="1883">IFERROR(IF(O206=0," ",O206/$F206)," ")</f>
        <v xml:space="preserve"> </v>
      </c>
      <c r="Q206" s="193"/>
      <c r="R206" s="196" t="str">
        <f t="shared" ref="R206" si="1884">IFERROR(IF(Q206=0," ",Q206/$F206)," ")</f>
        <v xml:space="preserve"> </v>
      </c>
      <c r="S206" s="193"/>
      <c r="T206" s="196" t="str">
        <f t="shared" ref="T206" si="1885">IFERROR(IF(S206=0," ",S206/$F206)," ")</f>
        <v xml:space="preserve"> </v>
      </c>
      <c r="U206" s="193">
        <v>1</v>
      </c>
      <c r="V206" s="196">
        <f t="shared" ref="V206" si="1886">IFERROR(IF(U206=0," ",U206/$F206)," ")</f>
        <v>1</v>
      </c>
      <c r="W206" s="193">
        <v>1</v>
      </c>
      <c r="X206" s="196">
        <f t="shared" ref="X206" si="1887">IFERROR(IF(W206=0," ",W206/$F206)," ")</f>
        <v>1</v>
      </c>
      <c r="Y206" s="193">
        <v>1</v>
      </c>
      <c r="Z206" s="196">
        <f t="shared" ref="Z206" si="1888">IFERROR(IF(Y206=0," ",Y206/$F206)," ")</f>
        <v>1</v>
      </c>
      <c r="AA206" s="193">
        <v>1</v>
      </c>
      <c r="AB206" s="196">
        <f t="shared" ref="AB206" si="1889">IFERROR(IF(AA206=0," ",AA206/$F206)," ")</f>
        <v>1</v>
      </c>
      <c r="AC206" s="193">
        <v>1</v>
      </c>
      <c r="AD206" s="196">
        <f t="shared" ref="AD206" si="1890">IFERROR(IF(AC206=0," ",AC206/$F206)," ")</f>
        <v>1</v>
      </c>
      <c r="AE206" s="193">
        <v>1</v>
      </c>
      <c r="AF206" s="196">
        <f t="shared" ref="AF206" si="1891">IFERROR(IF(AE206=0," ",AE206/$F206)," ")</f>
        <v>1</v>
      </c>
      <c r="AG206" s="193">
        <v>1</v>
      </c>
      <c r="AH206" s="196">
        <f t="shared" ref="AH206" si="1892">IFERROR(IF(AG206=0," ",AG206/$F206)," ")</f>
        <v>1</v>
      </c>
      <c r="AI206" s="197"/>
      <c r="AJ206" s="177">
        <v>0</v>
      </c>
      <c r="AK206" s="177">
        <v>0</v>
      </c>
      <c r="AL206" s="177">
        <v>0</v>
      </c>
      <c r="AM206" s="177">
        <v>0</v>
      </c>
      <c r="AN206" s="177">
        <v>0</v>
      </c>
      <c r="AO206" s="177">
        <v>12847.5</v>
      </c>
      <c r="AP206" s="177">
        <v>12847.5</v>
      </c>
      <c r="AQ206" s="177">
        <v>12847.5</v>
      </c>
      <c r="AR206" s="177">
        <v>12847.5</v>
      </c>
      <c r="AS206" s="177">
        <v>12847.5</v>
      </c>
      <c r="AT206" s="177">
        <v>12847.5</v>
      </c>
      <c r="AU206" s="177">
        <v>12847.5</v>
      </c>
    </row>
    <row r="207" spans="1:47" ht="45" x14ac:dyDescent="0.25">
      <c r="A207" s="190">
        <v>112</v>
      </c>
      <c r="B207" s="65" t="s">
        <v>781</v>
      </c>
      <c r="C207" s="191" t="s">
        <v>429</v>
      </c>
      <c r="D207" s="65" t="s">
        <v>97</v>
      </c>
      <c r="E207" s="192">
        <f>IF(A207=" "," ",VLOOKUP(A207,Estimate!A:Q,17,FALSE))</f>
        <v>3284.9896289467615</v>
      </c>
      <c r="F207" s="193">
        <v>480</v>
      </c>
      <c r="G207" s="206">
        <v>6.7374999999999998</v>
      </c>
      <c r="H207" s="195">
        <v>7.7</v>
      </c>
      <c r="I207" s="195">
        <v>3696</v>
      </c>
      <c r="J207" s="195"/>
      <c r="K207" s="193"/>
      <c r="L207" s="196" t="str">
        <f t="shared" si="1282"/>
        <v xml:space="preserve"> </v>
      </c>
      <c r="M207" s="193"/>
      <c r="N207" s="196" t="str">
        <f t="shared" si="1282"/>
        <v xml:space="preserve"> </v>
      </c>
      <c r="O207" s="193"/>
      <c r="P207" s="196" t="str">
        <f t="shared" ref="P207" si="1893">IFERROR(IF(O207=0," ",O207/$F207)," ")</f>
        <v xml:space="preserve"> </v>
      </c>
      <c r="Q207" s="193"/>
      <c r="R207" s="196" t="str">
        <f t="shared" ref="R207" si="1894">IFERROR(IF(Q207=0," ",Q207/$F207)," ")</f>
        <v xml:space="preserve"> </v>
      </c>
      <c r="S207" s="193">
        <v>480</v>
      </c>
      <c r="T207" s="196">
        <f t="shared" ref="T207" si="1895">IFERROR(IF(S207=0," ",S207/$F207)," ")</f>
        <v>1</v>
      </c>
      <c r="U207" s="193">
        <v>480</v>
      </c>
      <c r="V207" s="196">
        <f t="shared" ref="V207" si="1896">IFERROR(IF(U207=0," ",U207/$F207)," ")</f>
        <v>1</v>
      </c>
      <c r="W207" s="193">
        <v>480</v>
      </c>
      <c r="X207" s="196">
        <f t="shared" ref="X207" si="1897">IFERROR(IF(W207=0," ",W207/$F207)," ")</f>
        <v>1</v>
      </c>
      <c r="Y207" s="193">
        <v>480</v>
      </c>
      <c r="Z207" s="196">
        <f t="shared" ref="Z207" si="1898">IFERROR(IF(Y207=0," ",Y207/$F207)," ")</f>
        <v>1</v>
      </c>
      <c r="AA207" s="193">
        <v>480</v>
      </c>
      <c r="AB207" s="196">
        <f t="shared" ref="AB207" si="1899">IFERROR(IF(AA207=0," ",AA207/$F207)," ")</f>
        <v>1</v>
      </c>
      <c r="AC207" s="193">
        <v>480</v>
      </c>
      <c r="AD207" s="196">
        <f t="shared" ref="AD207" si="1900">IFERROR(IF(AC207=0," ",AC207/$F207)," ")</f>
        <v>1</v>
      </c>
      <c r="AE207" s="193">
        <v>480</v>
      </c>
      <c r="AF207" s="196">
        <f t="shared" ref="AF207" si="1901">IFERROR(IF(AE207=0," ",AE207/$F207)," ")</f>
        <v>1</v>
      </c>
      <c r="AG207" s="193">
        <v>480</v>
      </c>
      <c r="AH207" s="196">
        <f t="shared" ref="AH207" si="1902">IFERROR(IF(AG207=0," ",AG207/$F207)," ")</f>
        <v>1</v>
      </c>
      <c r="AI207" s="197"/>
      <c r="AJ207" s="177">
        <v>0</v>
      </c>
      <c r="AK207" s="177">
        <v>0</v>
      </c>
      <c r="AL207" s="177">
        <v>0</v>
      </c>
      <c r="AM207" s="177">
        <v>0</v>
      </c>
      <c r="AN207" s="177">
        <v>3696</v>
      </c>
      <c r="AO207" s="177">
        <v>3696</v>
      </c>
      <c r="AP207" s="177">
        <v>3696</v>
      </c>
      <c r="AQ207" s="177">
        <v>3696</v>
      </c>
      <c r="AR207" s="177">
        <v>3696</v>
      </c>
      <c r="AS207" s="177">
        <v>3696</v>
      </c>
      <c r="AT207" s="177">
        <v>3696</v>
      </c>
      <c r="AU207" s="177">
        <v>3696</v>
      </c>
    </row>
    <row r="208" spans="1:47" ht="90" x14ac:dyDescent="0.25">
      <c r="A208" s="190" t="s">
        <v>642</v>
      </c>
      <c r="B208" s="65" t="s">
        <v>782</v>
      </c>
      <c r="C208" s="191" t="s">
        <v>774</v>
      </c>
      <c r="D208" s="65" t="s">
        <v>19</v>
      </c>
      <c r="E208" s="192" t="str">
        <f>IF(A208=" "," ",VLOOKUP(A208,Estimate!A:Q,17,FALSE))</f>
        <v xml:space="preserve"> </v>
      </c>
      <c r="F208" s="193">
        <v>1</v>
      </c>
      <c r="G208" s="206">
        <v>0</v>
      </c>
      <c r="H208" s="195"/>
      <c r="I208" s="195"/>
      <c r="J208" s="195"/>
      <c r="K208" s="193"/>
      <c r="L208" s="196" t="str">
        <f t="shared" si="1282"/>
        <v xml:space="preserve"> </v>
      </c>
      <c r="M208" s="193"/>
      <c r="N208" s="196" t="str">
        <f t="shared" si="1282"/>
        <v xml:space="preserve"> </v>
      </c>
      <c r="O208" s="193"/>
      <c r="P208" s="196" t="str">
        <f t="shared" ref="P208" si="1903">IFERROR(IF(O208=0," ",O208/$F208)," ")</f>
        <v xml:space="preserve"> </v>
      </c>
      <c r="Q208" s="193"/>
      <c r="R208" s="196" t="str">
        <f t="shared" ref="R208" si="1904">IFERROR(IF(Q208=0," ",Q208/$F208)," ")</f>
        <v xml:space="preserve"> </v>
      </c>
      <c r="S208" s="193"/>
      <c r="T208" s="196" t="str">
        <f t="shared" ref="T208" si="1905">IFERROR(IF(S208=0," ",S208/$F208)," ")</f>
        <v xml:space="preserve"> </v>
      </c>
      <c r="U208" s="193"/>
      <c r="V208" s="196" t="str">
        <f t="shared" ref="V208" si="1906">IFERROR(IF(U208=0," ",U208/$F208)," ")</f>
        <v xml:space="preserve"> </v>
      </c>
      <c r="W208" s="193"/>
      <c r="X208" s="196" t="str">
        <f t="shared" ref="X208" si="1907">IFERROR(IF(W208=0," ",W208/$F208)," ")</f>
        <v xml:space="preserve"> </v>
      </c>
      <c r="Y208" s="193"/>
      <c r="Z208" s="196" t="str">
        <f t="shared" ref="Z208" si="1908">IFERROR(IF(Y208=0," ",Y208/$F208)," ")</f>
        <v xml:space="preserve"> </v>
      </c>
      <c r="AA208" s="193"/>
      <c r="AB208" s="196" t="str">
        <f t="shared" ref="AB208" si="1909">IFERROR(IF(AA208=0," ",AA208/$F208)," ")</f>
        <v xml:space="preserve"> </v>
      </c>
      <c r="AC208" s="193"/>
      <c r="AD208" s="196" t="str">
        <f t="shared" ref="AD208" si="1910">IFERROR(IF(AC208=0," ",AC208/$F208)," ")</f>
        <v xml:space="preserve"> </v>
      </c>
      <c r="AE208" s="193"/>
      <c r="AF208" s="196" t="str">
        <f t="shared" ref="AF208" si="1911">IFERROR(IF(AE208=0," ",AE208/$F208)," ")</f>
        <v xml:space="preserve"> </v>
      </c>
      <c r="AG208" s="193"/>
      <c r="AH208" s="196" t="str">
        <f t="shared" ref="AH208" si="1912">IFERROR(IF(AG208=0," ",AG208/$F208)," ")</f>
        <v xml:space="preserve"> </v>
      </c>
      <c r="AI208" s="197"/>
      <c r="AJ208" s="177" t="s">
        <v>642</v>
      </c>
      <c r="AK208" s="177" t="s">
        <v>642</v>
      </c>
      <c r="AL208" s="177" t="s">
        <v>642</v>
      </c>
      <c r="AM208" s="177" t="s">
        <v>642</v>
      </c>
      <c r="AN208" s="177" t="s">
        <v>642</v>
      </c>
      <c r="AO208" s="177" t="s">
        <v>642</v>
      </c>
      <c r="AP208" s="177" t="s">
        <v>642</v>
      </c>
      <c r="AQ208" s="177" t="s">
        <v>642</v>
      </c>
      <c r="AR208" s="177" t="s">
        <v>642</v>
      </c>
      <c r="AS208" s="177" t="s">
        <v>642</v>
      </c>
      <c r="AT208" s="177" t="s">
        <v>642</v>
      </c>
      <c r="AU208" s="177" t="s">
        <v>642</v>
      </c>
    </row>
    <row r="209" spans="1:47" ht="45" x14ac:dyDescent="0.25">
      <c r="A209" s="190">
        <v>113</v>
      </c>
      <c r="B209" s="65" t="s">
        <v>783</v>
      </c>
      <c r="C209" s="191" t="s">
        <v>431</v>
      </c>
      <c r="D209" s="65" t="s">
        <v>97</v>
      </c>
      <c r="E209" s="192">
        <f>IF(A209=" "," ",VLOOKUP(A209,Estimate!A:Q,17,FALSE))</f>
        <v>30170.048588203779</v>
      </c>
      <c r="F209" s="193">
        <v>1492</v>
      </c>
      <c r="G209" s="206">
        <v>40.53</v>
      </c>
      <c r="H209" s="195">
        <v>46.32</v>
      </c>
      <c r="I209" s="195">
        <v>69109.440000000002</v>
      </c>
      <c r="J209" s="195"/>
      <c r="K209" s="193"/>
      <c r="L209" s="196" t="str">
        <f t="shared" ref="L209:N214" si="1913">IFERROR(IF(K209=0," ",K209/$F209)," ")</f>
        <v xml:space="preserve"> </v>
      </c>
      <c r="M209" s="193"/>
      <c r="N209" s="196" t="str">
        <f t="shared" si="1913"/>
        <v xml:space="preserve"> </v>
      </c>
      <c r="O209" s="193"/>
      <c r="P209" s="196" t="str">
        <f t="shared" ref="P209" si="1914">IFERROR(IF(O209=0," ",O209/$F209)," ")</f>
        <v xml:space="preserve"> </v>
      </c>
      <c r="Q209" s="193"/>
      <c r="R209" s="196" t="str">
        <f t="shared" ref="R209" si="1915">IFERROR(IF(Q209=0," ",Q209/$F209)," ")</f>
        <v xml:space="preserve"> </v>
      </c>
      <c r="S209" s="193"/>
      <c r="T209" s="196" t="str">
        <f t="shared" ref="T209" si="1916">IFERROR(IF(S209=0," ",S209/$F209)," ")</f>
        <v xml:space="preserve"> </v>
      </c>
      <c r="U209" s="193">
        <v>1492</v>
      </c>
      <c r="V209" s="196">
        <f t="shared" ref="V209" si="1917">IFERROR(IF(U209=0," ",U209/$F209)," ")</f>
        <v>1</v>
      </c>
      <c r="W209" s="193">
        <v>1492</v>
      </c>
      <c r="X209" s="196">
        <f t="shared" ref="X209" si="1918">IFERROR(IF(W209=0," ",W209/$F209)," ")</f>
        <v>1</v>
      </c>
      <c r="Y209" s="193">
        <v>1492</v>
      </c>
      <c r="Z209" s="196">
        <f t="shared" ref="Z209" si="1919">IFERROR(IF(Y209=0," ",Y209/$F209)," ")</f>
        <v>1</v>
      </c>
      <c r="AA209" s="193">
        <v>1492</v>
      </c>
      <c r="AB209" s="196">
        <f t="shared" ref="AB209" si="1920">IFERROR(IF(AA209=0," ",AA209/$F209)," ")</f>
        <v>1</v>
      </c>
      <c r="AC209" s="193">
        <v>1492</v>
      </c>
      <c r="AD209" s="196">
        <f t="shared" ref="AD209" si="1921">IFERROR(IF(AC209=0," ",AC209/$F209)," ")</f>
        <v>1</v>
      </c>
      <c r="AE209" s="193">
        <v>1492</v>
      </c>
      <c r="AF209" s="196">
        <f t="shared" ref="AF209" si="1922">IFERROR(IF(AE209=0," ",AE209/$F209)," ")</f>
        <v>1</v>
      </c>
      <c r="AG209" s="193">
        <v>1492</v>
      </c>
      <c r="AH209" s="196">
        <f t="shared" ref="AH209" si="1923">IFERROR(IF(AG209=0," ",AG209/$F209)," ")</f>
        <v>1</v>
      </c>
      <c r="AI209" s="197"/>
      <c r="AJ209" s="177">
        <v>0</v>
      </c>
      <c r="AK209" s="177">
        <v>0</v>
      </c>
      <c r="AL209" s="177">
        <v>0</v>
      </c>
      <c r="AM209" s="177">
        <v>0</v>
      </c>
      <c r="AN209" s="177">
        <v>0</v>
      </c>
      <c r="AO209" s="177">
        <v>69109.440000000002</v>
      </c>
      <c r="AP209" s="177">
        <v>69109.440000000002</v>
      </c>
      <c r="AQ209" s="177">
        <v>69109.440000000002</v>
      </c>
      <c r="AR209" s="177">
        <v>69109.440000000002</v>
      </c>
      <c r="AS209" s="177">
        <v>69109.440000000002</v>
      </c>
      <c r="AT209" s="177">
        <v>69109.440000000002</v>
      </c>
      <c r="AU209" s="177">
        <v>69109.440000000002</v>
      </c>
    </row>
    <row r="210" spans="1:47" ht="45" x14ac:dyDescent="0.25">
      <c r="A210" s="190">
        <v>114</v>
      </c>
      <c r="B210" s="65" t="s">
        <v>784</v>
      </c>
      <c r="C210" s="191" t="s">
        <v>433</v>
      </c>
      <c r="D210" s="65" t="s">
        <v>19</v>
      </c>
      <c r="E210" s="192">
        <f>IF(A210=" "," ",VLOOKUP(A210,Estimate!A:Q,17,FALSE))</f>
        <v>9499</v>
      </c>
      <c r="F210" s="193">
        <v>1</v>
      </c>
      <c r="G210" s="206">
        <v>8312.5</v>
      </c>
      <c r="H210" s="195">
        <v>9500</v>
      </c>
      <c r="I210" s="195">
        <v>9500</v>
      </c>
      <c r="J210" s="195"/>
      <c r="K210" s="193"/>
      <c r="L210" s="196" t="str">
        <f t="shared" si="1913"/>
        <v xml:space="preserve"> </v>
      </c>
      <c r="M210" s="193"/>
      <c r="N210" s="196" t="str">
        <f t="shared" si="1913"/>
        <v xml:space="preserve"> </v>
      </c>
      <c r="O210" s="193"/>
      <c r="P210" s="196" t="str">
        <f t="shared" ref="P210" si="1924">IFERROR(IF(O210=0," ",O210/$F210)," ")</f>
        <v xml:space="preserve"> </v>
      </c>
      <c r="Q210" s="193"/>
      <c r="R210" s="196" t="str">
        <f t="shared" ref="R210" si="1925">IFERROR(IF(Q210=0," ",Q210/$F210)," ")</f>
        <v xml:space="preserve"> </v>
      </c>
      <c r="S210" s="193"/>
      <c r="T210" s="196" t="str">
        <f t="shared" ref="T210" si="1926">IFERROR(IF(S210=0," ",S210/$F210)," ")</f>
        <v xml:space="preserve"> </v>
      </c>
      <c r="U210" s="193"/>
      <c r="V210" s="196" t="str">
        <f t="shared" ref="V210" si="1927">IFERROR(IF(U210=0," ",U210/$F210)," ")</f>
        <v xml:space="preserve"> </v>
      </c>
      <c r="W210" s="193">
        <v>1</v>
      </c>
      <c r="X210" s="196">
        <f t="shared" ref="X210" si="1928">IFERROR(IF(W210=0," ",W210/$F210)," ")</f>
        <v>1</v>
      </c>
      <c r="Y210" s="193">
        <v>1</v>
      </c>
      <c r="Z210" s="196">
        <f t="shared" ref="Z210" si="1929">IFERROR(IF(Y210=0," ",Y210/$F210)," ")</f>
        <v>1</v>
      </c>
      <c r="AA210" s="193">
        <v>1</v>
      </c>
      <c r="AB210" s="196">
        <f t="shared" ref="AB210" si="1930">IFERROR(IF(AA210=0," ",AA210/$F210)," ")</f>
        <v>1</v>
      </c>
      <c r="AC210" s="193">
        <v>1</v>
      </c>
      <c r="AD210" s="196">
        <f t="shared" ref="AD210" si="1931">IFERROR(IF(AC210=0," ",AC210/$F210)," ")</f>
        <v>1</v>
      </c>
      <c r="AE210" s="193">
        <v>1</v>
      </c>
      <c r="AF210" s="196">
        <f t="shared" ref="AF210" si="1932">IFERROR(IF(AE210=0," ",AE210/$F210)," ")</f>
        <v>1</v>
      </c>
      <c r="AG210" s="193">
        <v>1</v>
      </c>
      <c r="AH210" s="196">
        <f t="shared" ref="AH210" si="1933">IFERROR(IF(AG210=0," ",AG210/$F210)," ")</f>
        <v>1</v>
      </c>
      <c r="AI210" s="197"/>
      <c r="AJ210" s="177">
        <v>0</v>
      </c>
      <c r="AK210" s="177">
        <v>0</v>
      </c>
      <c r="AL210" s="177">
        <v>0</v>
      </c>
      <c r="AM210" s="177">
        <v>0</v>
      </c>
      <c r="AN210" s="177">
        <v>0</v>
      </c>
      <c r="AO210" s="177">
        <v>0</v>
      </c>
      <c r="AP210" s="177">
        <v>9500</v>
      </c>
      <c r="AQ210" s="177">
        <v>9500</v>
      </c>
      <c r="AR210" s="177">
        <v>9500</v>
      </c>
      <c r="AS210" s="177">
        <v>9500</v>
      </c>
      <c r="AT210" s="177">
        <v>9500</v>
      </c>
      <c r="AU210" s="177">
        <v>9500</v>
      </c>
    </row>
    <row r="211" spans="1:47" ht="60" x14ac:dyDescent="0.25">
      <c r="A211" s="190">
        <v>115</v>
      </c>
      <c r="B211" s="65" t="s">
        <v>785</v>
      </c>
      <c r="C211" s="191" t="s">
        <v>435</v>
      </c>
      <c r="D211" s="65" t="s">
        <v>19</v>
      </c>
      <c r="E211" s="192">
        <f>IF(A211=" "," ",VLOOKUP(A211,Estimate!A:Q,17,FALSE))</f>
        <v>93885.950000000012</v>
      </c>
      <c r="F211" s="193">
        <v>1</v>
      </c>
      <c r="G211" s="206">
        <v>109323.74249999999</v>
      </c>
      <c r="H211" s="195">
        <v>124941.42</v>
      </c>
      <c r="I211" s="195">
        <v>124941.42</v>
      </c>
      <c r="J211" s="195"/>
      <c r="K211" s="193"/>
      <c r="L211" s="196" t="str">
        <f t="shared" si="1913"/>
        <v xml:space="preserve"> </v>
      </c>
      <c r="M211" s="193"/>
      <c r="N211" s="196" t="str">
        <f t="shared" si="1913"/>
        <v xml:space="preserve"> </v>
      </c>
      <c r="O211" s="193"/>
      <c r="P211" s="196" t="str">
        <f t="shared" ref="P211" si="1934">IFERROR(IF(O211=0," ",O211/$F211)," ")</f>
        <v xml:space="preserve"> </v>
      </c>
      <c r="Q211" s="193"/>
      <c r="R211" s="196" t="str">
        <f t="shared" ref="R211" si="1935">IFERROR(IF(Q211=0," ",Q211/$F211)," ")</f>
        <v xml:space="preserve"> </v>
      </c>
      <c r="S211" s="193"/>
      <c r="T211" s="196" t="str">
        <f t="shared" ref="T211" si="1936">IFERROR(IF(S211=0," ",S211/$F211)," ")</f>
        <v xml:space="preserve"> </v>
      </c>
      <c r="U211" s="193"/>
      <c r="V211" s="196" t="str">
        <f t="shared" ref="V211" si="1937">IFERROR(IF(U211=0," ",U211/$F211)," ")</f>
        <v xml:space="preserve"> </v>
      </c>
      <c r="W211" s="193"/>
      <c r="X211" s="196" t="str">
        <f t="shared" ref="X211" si="1938">IFERROR(IF(W211=0," ",W211/$F211)," ")</f>
        <v xml:space="preserve"> </v>
      </c>
      <c r="Y211" s="193"/>
      <c r="Z211" s="196" t="str">
        <f t="shared" ref="Z211" si="1939">IFERROR(IF(Y211=0," ",Y211/$F211)," ")</f>
        <v xml:space="preserve"> </v>
      </c>
      <c r="AA211" s="193"/>
      <c r="AB211" s="196" t="str">
        <f t="shared" ref="AB211" si="1940">IFERROR(IF(AA211=0," ",AA211/$F211)," ")</f>
        <v xml:space="preserve"> </v>
      </c>
      <c r="AC211" s="193">
        <v>0.08</v>
      </c>
      <c r="AD211" s="196">
        <f t="shared" ref="AD211" si="1941">IFERROR(IF(AC211=0," ",AC211/$F211)," ")</f>
        <v>0.08</v>
      </c>
      <c r="AE211" s="193">
        <v>0.2</v>
      </c>
      <c r="AF211" s="196">
        <f t="shared" ref="AF211" si="1942">IFERROR(IF(AE211=0," ",AE211/$F211)," ")</f>
        <v>0.2</v>
      </c>
      <c r="AG211" s="193">
        <v>1</v>
      </c>
      <c r="AH211" s="196">
        <f t="shared" ref="AH211" si="1943">IFERROR(IF(AG211=0," ",AG211/$F211)," ")</f>
        <v>1</v>
      </c>
      <c r="AI211" s="197"/>
      <c r="AJ211" s="177">
        <v>0</v>
      </c>
      <c r="AK211" s="177">
        <v>0</v>
      </c>
      <c r="AL211" s="177">
        <v>0</v>
      </c>
      <c r="AM211" s="177">
        <v>0</v>
      </c>
      <c r="AN211" s="177">
        <v>0</v>
      </c>
      <c r="AO211" s="177">
        <v>0</v>
      </c>
      <c r="AP211" s="177">
        <v>0</v>
      </c>
      <c r="AQ211" s="177">
        <v>0</v>
      </c>
      <c r="AR211" s="177">
        <v>0</v>
      </c>
      <c r="AS211" s="177">
        <v>9995.3135999999995</v>
      </c>
      <c r="AT211" s="177">
        <v>24988.284</v>
      </c>
      <c r="AU211" s="177">
        <v>124941.42</v>
      </c>
    </row>
    <row r="212" spans="1:47" ht="30" x14ac:dyDescent="0.25">
      <c r="A212" s="190">
        <v>116</v>
      </c>
      <c r="B212" s="65" t="s">
        <v>786</v>
      </c>
      <c r="C212" s="191" t="s">
        <v>437</v>
      </c>
      <c r="D212" s="65" t="s">
        <v>19</v>
      </c>
      <c r="E212" s="192">
        <f>IF(A212=" "," ",VLOOKUP(A212,Estimate!A:Q,17,FALSE))</f>
        <v>-33571.75</v>
      </c>
      <c r="F212" s="193">
        <v>1</v>
      </c>
      <c r="G212" s="206">
        <v>-33571.75</v>
      </c>
      <c r="H212" s="195">
        <v>-33571.75</v>
      </c>
      <c r="I212" s="195">
        <v>-33571.75</v>
      </c>
      <c r="J212" s="195"/>
      <c r="K212" s="193"/>
      <c r="L212" s="196" t="str">
        <f t="shared" si="1913"/>
        <v xml:space="preserve"> </v>
      </c>
      <c r="M212" s="193"/>
      <c r="N212" s="196" t="str">
        <f t="shared" si="1913"/>
        <v xml:space="preserve"> </v>
      </c>
      <c r="O212" s="193"/>
      <c r="P212" s="196" t="str">
        <f t="shared" ref="P212" si="1944">IFERROR(IF(O212=0," ",O212/$F212)," ")</f>
        <v xml:space="preserve"> </v>
      </c>
      <c r="Q212" s="193"/>
      <c r="R212" s="196" t="str">
        <f t="shared" ref="R212" si="1945">IFERROR(IF(Q212=0," ",Q212/$F212)," ")</f>
        <v xml:space="preserve"> </v>
      </c>
      <c r="S212" s="193"/>
      <c r="T212" s="196" t="str">
        <f t="shared" ref="T212" si="1946">IFERROR(IF(S212=0," ",S212/$F212)," ")</f>
        <v xml:space="preserve"> </v>
      </c>
      <c r="U212" s="193">
        <v>1</v>
      </c>
      <c r="V212" s="196">
        <f t="shared" ref="V212" si="1947">IFERROR(IF(U212=0," ",U212/$F212)," ")</f>
        <v>1</v>
      </c>
      <c r="W212" s="193">
        <v>1</v>
      </c>
      <c r="X212" s="196">
        <f t="shared" ref="X212" si="1948">IFERROR(IF(W212=0," ",W212/$F212)," ")</f>
        <v>1</v>
      </c>
      <c r="Y212" s="193">
        <v>1</v>
      </c>
      <c r="Z212" s="196">
        <f t="shared" ref="Z212" si="1949">IFERROR(IF(Y212=0," ",Y212/$F212)," ")</f>
        <v>1</v>
      </c>
      <c r="AA212" s="193">
        <v>1</v>
      </c>
      <c r="AB212" s="196">
        <f t="shared" ref="AB212" si="1950">IFERROR(IF(AA212=0," ",AA212/$F212)," ")</f>
        <v>1</v>
      </c>
      <c r="AC212" s="193">
        <v>1</v>
      </c>
      <c r="AD212" s="196">
        <f t="shared" ref="AD212" si="1951">IFERROR(IF(AC212=0," ",AC212/$F212)," ")</f>
        <v>1</v>
      </c>
      <c r="AE212" s="193">
        <v>1</v>
      </c>
      <c r="AF212" s="196">
        <f t="shared" ref="AF212" si="1952">IFERROR(IF(AE212=0," ",AE212/$F212)," ")</f>
        <v>1</v>
      </c>
      <c r="AG212" s="193">
        <v>1</v>
      </c>
      <c r="AH212" s="196">
        <f t="shared" ref="AH212" si="1953">IFERROR(IF(AG212=0," ",AG212/$F212)," ")</f>
        <v>1</v>
      </c>
      <c r="AI212" s="197"/>
      <c r="AJ212" s="177">
        <v>0</v>
      </c>
      <c r="AK212" s="177">
        <v>0</v>
      </c>
      <c r="AL212" s="177">
        <v>0</v>
      </c>
      <c r="AM212" s="177">
        <v>0</v>
      </c>
      <c r="AN212" s="177">
        <v>0</v>
      </c>
      <c r="AO212" s="177">
        <v>-33571.75</v>
      </c>
      <c r="AP212" s="177">
        <v>-33571.75</v>
      </c>
      <c r="AQ212" s="177">
        <v>-33571.75</v>
      </c>
      <c r="AR212" s="177">
        <v>-33571.75</v>
      </c>
      <c r="AS212" s="177">
        <v>-33571.75</v>
      </c>
      <c r="AT212" s="177">
        <v>-33571.75</v>
      </c>
      <c r="AU212" s="177">
        <v>-33571.75</v>
      </c>
    </row>
    <row r="213" spans="1:47" ht="30" x14ac:dyDescent="0.25">
      <c r="A213" s="190">
        <v>117</v>
      </c>
      <c r="B213" s="65" t="s">
        <v>787</v>
      </c>
      <c r="C213" s="191" t="s">
        <v>439</v>
      </c>
      <c r="D213" s="65" t="s">
        <v>19</v>
      </c>
      <c r="E213" s="192">
        <f>IF(A213=" "," ",VLOOKUP(A213,Estimate!A:Q,17,FALSE))</f>
        <v>25000.500000000004</v>
      </c>
      <c r="F213" s="193">
        <v>1</v>
      </c>
      <c r="G213" s="206">
        <v>21875</v>
      </c>
      <c r="H213" s="195">
        <v>25000</v>
      </c>
      <c r="I213" s="195">
        <v>25000</v>
      </c>
      <c r="J213" s="195"/>
      <c r="K213" s="193"/>
      <c r="L213" s="196" t="str">
        <f t="shared" si="1913"/>
        <v xml:space="preserve"> </v>
      </c>
      <c r="M213" s="193"/>
      <c r="N213" s="196" t="str">
        <f t="shared" si="1913"/>
        <v xml:space="preserve"> </v>
      </c>
      <c r="O213" s="193"/>
      <c r="P213" s="196" t="str">
        <f t="shared" ref="P213" si="1954">IFERROR(IF(O213=0," ",O213/$F213)," ")</f>
        <v xml:space="preserve"> </v>
      </c>
      <c r="Q213" s="193"/>
      <c r="R213" s="196" t="str">
        <f t="shared" ref="R213" si="1955">IFERROR(IF(Q213=0," ",Q213/$F213)," ")</f>
        <v xml:space="preserve"> </v>
      </c>
      <c r="S213" s="193"/>
      <c r="T213" s="196" t="str">
        <f t="shared" ref="T213" si="1956">IFERROR(IF(S213=0," ",S213/$F213)," ")</f>
        <v xml:space="preserve"> </v>
      </c>
      <c r="U213" s="193"/>
      <c r="V213" s="196" t="str">
        <f t="shared" ref="V213" si="1957">IFERROR(IF(U213=0," ",U213/$F213)," ")</f>
        <v xml:space="preserve"> </v>
      </c>
      <c r="W213" s="193"/>
      <c r="X213" s="196" t="str">
        <f t="shared" ref="X213" si="1958">IFERROR(IF(W213=0," ",W213/$F213)," ")</f>
        <v xml:space="preserve"> </v>
      </c>
      <c r="Y213" s="193">
        <v>1</v>
      </c>
      <c r="Z213" s="196">
        <f t="shared" ref="Z213" si="1959">IFERROR(IF(Y213=0," ",Y213/$F213)," ")</f>
        <v>1</v>
      </c>
      <c r="AA213" s="193">
        <v>1</v>
      </c>
      <c r="AB213" s="196">
        <f t="shared" ref="AB213" si="1960">IFERROR(IF(AA213=0," ",AA213/$F213)," ")</f>
        <v>1</v>
      </c>
      <c r="AC213" s="193">
        <v>1</v>
      </c>
      <c r="AD213" s="196">
        <f t="shared" ref="AD213" si="1961">IFERROR(IF(AC213=0," ",AC213/$F213)," ")</f>
        <v>1</v>
      </c>
      <c r="AE213" s="193">
        <v>1</v>
      </c>
      <c r="AF213" s="196">
        <f t="shared" ref="AF213" si="1962">IFERROR(IF(AE213=0," ",AE213/$F213)," ")</f>
        <v>1</v>
      </c>
      <c r="AG213" s="193">
        <v>1</v>
      </c>
      <c r="AH213" s="196">
        <f t="shared" ref="AH213" si="1963">IFERROR(IF(AG213=0," ",AG213/$F213)," ")</f>
        <v>1</v>
      </c>
      <c r="AI213" s="197"/>
      <c r="AJ213" s="177">
        <v>0</v>
      </c>
      <c r="AK213" s="177">
        <v>0</v>
      </c>
      <c r="AL213" s="177">
        <v>0</v>
      </c>
      <c r="AM213" s="177">
        <v>0</v>
      </c>
      <c r="AN213" s="177">
        <v>0</v>
      </c>
      <c r="AO213" s="177">
        <v>0</v>
      </c>
      <c r="AP213" s="177">
        <v>0</v>
      </c>
      <c r="AQ213" s="177">
        <v>25000</v>
      </c>
      <c r="AR213" s="177">
        <v>25000</v>
      </c>
      <c r="AS213" s="177">
        <v>25000</v>
      </c>
      <c r="AT213" s="177">
        <v>25000</v>
      </c>
      <c r="AU213" s="177">
        <v>25000</v>
      </c>
    </row>
    <row r="214" spans="1:47" ht="30" x14ac:dyDescent="0.25">
      <c r="A214" s="190">
        <v>118</v>
      </c>
      <c r="B214" s="65" t="s">
        <v>788</v>
      </c>
      <c r="C214" s="191" t="s">
        <v>441</v>
      </c>
      <c r="D214" s="65" t="s">
        <v>19</v>
      </c>
      <c r="E214" s="192">
        <f>IF(A214=" "," ",VLOOKUP(A214,Estimate!A:Q,17,FALSE))</f>
        <v>950</v>
      </c>
      <c r="F214" s="193">
        <v>1</v>
      </c>
      <c r="G214" s="206">
        <v>1477.9624999999999</v>
      </c>
      <c r="H214" s="195">
        <v>1689.1</v>
      </c>
      <c r="I214" s="195">
        <v>1689.1</v>
      </c>
      <c r="J214" s="195"/>
      <c r="K214" s="193"/>
      <c r="L214" s="196" t="str">
        <f t="shared" si="1913"/>
        <v xml:space="preserve"> </v>
      </c>
      <c r="M214" s="193"/>
      <c r="N214" s="196" t="str">
        <f t="shared" si="1913"/>
        <v xml:space="preserve"> </v>
      </c>
      <c r="O214" s="193"/>
      <c r="P214" s="196" t="str">
        <f t="shared" ref="P214" si="1964">IFERROR(IF(O214=0," ",O214/$F214)," ")</f>
        <v xml:space="preserve"> </v>
      </c>
      <c r="Q214" s="193"/>
      <c r="R214" s="196" t="str">
        <f t="shared" ref="R214" si="1965">IFERROR(IF(Q214=0," ",Q214/$F214)," ")</f>
        <v xml:space="preserve"> </v>
      </c>
      <c r="S214" s="193"/>
      <c r="T214" s="196" t="str">
        <f t="shared" ref="T214" si="1966">IFERROR(IF(S214=0," ",S214/$F214)," ")</f>
        <v xml:space="preserve"> </v>
      </c>
      <c r="U214" s="193"/>
      <c r="V214" s="196" t="str">
        <f t="shared" ref="V214" si="1967">IFERROR(IF(U214=0," ",U214/$F214)," ")</f>
        <v xml:space="preserve"> </v>
      </c>
      <c r="W214" s="193"/>
      <c r="X214" s="196" t="str">
        <f t="shared" ref="X214" si="1968">IFERROR(IF(W214=0," ",W214/$F214)," ")</f>
        <v xml:space="preserve"> </v>
      </c>
      <c r="Y214" s="193"/>
      <c r="Z214" s="196" t="str">
        <f t="shared" ref="Z214" si="1969">IFERROR(IF(Y214=0," ",Y214/$F214)," ")</f>
        <v xml:space="preserve"> </v>
      </c>
      <c r="AA214" s="193"/>
      <c r="AB214" s="196" t="str">
        <f t="shared" ref="AB214" si="1970">IFERROR(IF(AA214=0," ",AA214/$F214)," ")</f>
        <v xml:space="preserve"> </v>
      </c>
      <c r="AC214" s="193"/>
      <c r="AD214" s="196" t="str">
        <f t="shared" ref="AD214" si="1971">IFERROR(IF(AC214=0," ",AC214/$F214)," ")</f>
        <v xml:space="preserve"> </v>
      </c>
      <c r="AE214" s="193"/>
      <c r="AF214" s="196" t="str">
        <f t="shared" ref="AF214" si="1972">IFERROR(IF(AE214=0," ",AE214/$F214)," ")</f>
        <v xml:space="preserve"> </v>
      </c>
      <c r="AG214" s="193">
        <v>1</v>
      </c>
      <c r="AH214" s="196">
        <f t="shared" ref="AH214" si="1973">IFERROR(IF(AG214=0," ",AG214/$F214)," ")</f>
        <v>1</v>
      </c>
      <c r="AI214" s="197"/>
      <c r="AJ214" s="177">
        <v>0</v>
      </c>
      <c r="AK214" s="177">
        <v>0</v>
      </c>
      <c r="AL214" s="177">
        <v>0</v>
      </c>
      <c r="AM214" s="177">
        <v>0</v>
      </c>
      <c r="AN214" s="177">
        <v>0</v>
      </c>
      <c r="AO214" s="177">
        <v>0</v>
      </c>
      <c r="AP214" s="177">
        <v>0</v>
      </c>
      <c r="AQ214" s="177">
        <v>0</v>
      </c>
      <c r="AR214" s="177">
        <v>0</v>
      </c>
      <c r="AS214" s="177">
        <v>0</v>
      </c>
      <c r="AT214" s="177">
        <v>0</v>
      </c>
      <c r="AU214" s="177">
        <v>1689.1</v>
      </c>
    </row>
    <row r="215" spans="1:47" x14ac:dyDescent="0.25">
      <c r="A215" s="190"/>
      <c r="B215" s="208" t="s">
        <v>642</v>
      </c>
      <c r="C215" s="209" t="s">
        <v>775</v>
      </c>
      <c r="D215" s="208" t="s">
        <v>642</v>
      </c>
      <c r="E215" s="204">
        <f>SUM(E16:E214)</f>
        <v>1951463.7420754123</v>
      </c>
      <c r="F215" s="210" t="s">
        <v>642</v>
      </c>
      <c r="G215" s="210" t="s">
        <v>642</v>
      </c>
      <c r="H215" s="207" t="s">
        <v>642</v>
      </c>
      <c r="I215" s="207">
        <v>2615953.27</v>
      </c>
      <c r="J215" s="207"/>
      <c r="K215" s="210" t="s">
        <v>642</v>
      </c>
      <c r="L215" s="211"/>
      <c r="M215" s="210"/>
      <c r="N215" s="211"/>
      <c r="O215" s="210"/>
      <c r="P215" s="211"/>
      <c r="Q215" s="210"/>
      <c r="R215" s="211"/>
      <c r="S215" s="210"/>
      <c r="T215" s="211"/>
      <c r="U215" s="210"/>
      <c r="V215" s="211"/>
      <c r="W215" s="210"/>
      <c r="X215" s="211"/>
      <c r="Y215" s="210"/>
      <c r="Z215" s="211"/>
      <c r="AA215" s="210"/>
      <c r="AB215" s="211"/>
      <c r="AC215" s="210"/>
      <c r="AD215" s="211"/>
      <c r="AE215" s="210"/>
      <c r="AF215" s="211"/>
      <c r="AG215" s="210"/>
      <c r="AH215" s="211"/>
      <c r="AI215" s="207"/>
      <c r="AJ215" s="207">
        <v>19797.864999999998</v>
      </c>
      <c r="AK215" s="207">
        <v>329204.65549999994</v>
      </c>
      <c r="AL215" s="207">
        <v>685581.49360000005</v>
      </c>
      <c r="AM215" s="207">
        <v>990767.49509999983</v>
      </c>
      <c r="AN215" s="207">
        <v>1044705.7390999999</v>
      </c>
      <c r="AO215" s="207">
        <v>1621896.7479000003</v>
      </c>
      <c r="AP215" s="207">
        <v>1959105.1853999994</v>
      </c>
      <c r="AQ215" s="207">
        <v>2319911.7059999993</v>
      </c>
      <c r="AR215" s="207">
        <v>2407219.0485</v>
      </c>
      <c r="AS215" s="207">
        <v>2486662.0075999992</v>
      </c>
      <c r="AT215" s="207">
        <v>2514311.0339999995</v>
      </c>
      <c r="AU215" s="207">
        <v>2615953.2699999996</v>
      </c>
    </row>
    <row r="216" spans="1:47" x14ac:dyDescent="0.25">
      <c r="B216" s="20" t="s">
        <v>642</v>
      </c>
      <c r="C216" s="161" t="s">
        <v>642</v>
      </c>
      <c r="D216" s="20" t="s">
        <v>642</v>
      </c>
      <c r="F216" s="162" t="s">
        <v>642</v>
      </c>
      <c r="H216" s="165" t="s">
        <v>642</v>
      </c>
      <c r="I216" s="165" t="s">
        <v>642</v>
      </c>
      <c r="J216" s="165"/>
      <c r="K216" s="162" t="s">
        <v>642</v>
      </c>
      <c r="M216" s="162" t="s">
        <v>642</v>
      </c>
      <c r="O216" s="162" t="s">
        <v>642</v>
      </c>
      <c r="Q216" s="162" t="s">
        <v>642</v>
      </c>
      <c r="S216" s="162" t="s">
        <v>642</v>
      </c>
      <c r="U216" s="162" t="s">
        <v>642</v>
      </c>
      <c r="W216" s="162" t="s">
        <v>642</v>
      </c>
      <c r="Y216" s="162" t="s">
        <v>642</v>
      </c>
      <c r="AA216" s="162" t="s">
        <v>642</v>
      </c>
      <c r="AC216" s="162" t="s">
        <v>642</v>
      </c>
      <c r="AE216" s="162" t="s">
        <v>642</v>
      </c>
      <c r="AG216" s="162" t="s">
        <v>642</v>
      </c>
      <c r="AJ216" s="176"/>
      <c r="AK216" s="176"/>
      <c r="AL216" s="176"/>
      <c r="AM216" s="176"/>
      <c r="AN216" s="176"/>
      <c r="AO216" s="176"/>
      <c r="AP216" s="176"/>
      <c r="AQ216" s="176"/>
      <c r="AR216" s="176"/>
      <c r="AS216" s="176"/>
      <c r="AT216" s="176"/>
      <c r="AU216" s="176"/>
    </row>
    <row r="217" spans="1:47" x14ac:dyDescent="0.25">
      <c r="B217" s="20" t="s">
        <v>642</v>
      </c>
      <c r="C217" s="161" t="s">
        <v>642</v>
      </c>
      <c r="D217" s="20" t="s">
        <v>642</v>
      </c>
      <c r="F217" s="162" t="s">
        <v>642</v>
      </c>
      <c r="H217" s="165" t="s">
        <v>642</v>
      </c>
      <c r="I217" s="165" t="s">
        <v>642</v>
      </c>
      <c r="J217" s="165"/>
      <c r="K217" s="162" t="s">
        <v>642</v>
      </c>
      <c r="M217" s="162" t="s">
        <v>642</v>
      </c>
      <c r="O217" s="162" t="s">
        <v>642</v>
      </c>
      <c r="Q217" s="162" t="s">
        <v>642</v>
      </c>
      <c r="S217" s="162" t="s">
        <v>642</v>
      </c>
      <c r="U217" s="162" t="s">
        <v>642</v>
      </c>
      <c r="W217" s="162" t="s">
        <v>642</v>
      </c>
      <c r="Y217" s="162" t="s">
        <v>642</v>
      </c>
      <c r="AA217" s="162" t="s">
        <v>642</v>
      </c>
      <c r="AC217" s="162" t="s">
        <v>642</v>
      </c>
      <c r="AE217" s="162" t="s">
        <v>642</v>
      </c>
      <c r="AG217" s="162" t="s">
        <v>642</v>
      </c>
      <c r="AJ217" s="176"/>
      <c r="AK217" s="176"/>
      <c r="AL217" s="176"/>
      <c r="AM217" s="176"/>
      <c r="AN217" s="176"/>
      <c r="AO217" s="176"/>
      <c r="AP217" s="176"/>
      <c r="AQ217" s="176"/>
      <c r="AR217" s="176"/>
      <c r="AS217" s="176"/>
      <c r="AT217" s="176"/>
      <c r="AU217" s="176"/>
    </row>
    <row r="218" spans="1:47" x14ac:dyDescent="0.25">
      <c r="AJ218" s="176"/>
      <c r="AK218" s="176"/>
      <c r="AL218" s="176"/>
      <c r="AM218" s="176"/>
      <c r="AN218" s="176"/>
      <c r="AO218" s="176"/>
      <c r="AP218" s="176"/>
      <c r="AQ218" s="176"/>
      <c r="AR218" s="176"/>
      <c r="AS218" s="176"/>
      <c r="AT218" s="176"/>
      <c r="AU218" s="176"/>
    </row>
    <row r="219" spans="1:47" x14ac:dyDescent="0.25">
      <c r="AJ219" s="176"/>
      <c r="AK219" s="176"/>
      <c r="AL219" s="176"/>
      <c r="AM219" s="176"/>
      <c r="AN219" s="176"/>
      <c r="AO219" s="176"/>
      <c r="AP219" s="176"/>
      <c r="AQ219" s="176"/>
      <c r="AR219" s="176"/>
      <c r="AS219" s="176"/>
      <c r="AT219" s="176"/>
      <c r="AU219" s="176"/>
    </row>
    <row r="220" spans="1:47" x14ac:dyDescent="0.25">
      <c r="AJ220" s="176"/>
      <c r="AK220" s="176"/>
      <c r="AL220" s="176"/>
      <c r="AM220" s="176"/>
      <c r="AN220" s="176"/>
      <c r="AO220" s="176"/>
      <c r="AP220" s="176"/>
      <c r="AQ220" s="176"/>
      <c r="AR220" s="176"/>
      <c r="AS220" s="176"/>
      <c r="AT220" s="176"/>
      <c r="AU220" s="176"/>
    </row>
    <row r="221" spans="1:47" x14ac:dyDescent="0.25">
      <c r="AJ221" s="176"/>
      <c r="AK221" s="176"/>
      <c r="AL221" s="176"/>
      <c r="AM221" s="176"/>
      <c r="AN221" s="176"/>
      <c r="AO221" s="176"/>
      <c r="AP221" s="176"/>
      <c r="AQ221" s="176"/>
      <c r="AR221" s="176"/>
      <c r="AS221" s="176"/>
      <c r="AT221" s="176"/>
      <c r="AU221" s="176"/>
    </row>
    <row r="222" spans="1:47" x14ac:dyDescent="0.25">
      <c r="AJ222" s="176"/>
      <c r="AK222" s="176"/>
      <c r="AL222" s="176"/>
      <c r="AM222" s="176"/>
      <c r="AN222" s="176"/>
      <c r="AO222" s="176"/>
      <c r="AP222" s="176"/>
      <c r="AQ222" s="176"/>
      <c r="AR222" s="176"/>
      <c r="AS222" s="176"/>
      <c r="AT222" s="176"/>
      <c r="AU222" s="176"/>
    </row>
    <row r="223" spans="1:47" x14ac:dyDescent="0.25">
      <c r="AJ223" s="176"/>
      <c r="AK223" s="176"/>
      <c r="AL223" s="176"/>
      <c r="AM223" s="176"/>
      <c r="AN223" s="176"/>
      <c r="AO223" s="176"/>
      <c r="AP223" s="176"/>
      <c r="AQ223" s="176"/>
      <c r="AR223" s="176"/>
      <c r="AS223" s="176"/>
      <c r="AT223" s="176"/>
      <c r="AU223" s="176"/>
    </row>
    <row r="224" spans="1:47" x14ac:dyDescent="0.25">
      <c r="AJ224" s="176"/>
      <c r="AK224" s="176"/>
      <c r="AL224" s="176"/>
      <c r="AM224" s="176"/>
      <c r="AN224" s="176"/>
      <c r="AO224" s="176"/>
      <c r="AP224" s="176"/>
      <c r="AQ224" s="176"/>
      <c r="AR224" s="176"/>
      <c r="AS224" s="176"/>
      <c r="AT224" s="176"/>
      <c r="AU224" s="1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6C94-FAE3-450B-A86C-CAA24D68D45A}">
  <dimension ref="A1:CA63"/>
  <sheetViews>
    <sheetView zoomScale="70" zoomScaleNormal="70" workbookViewId="0">
      <pane xSplit="9" ySplit="2" topLeftCell="J3" activePane="bottomRight" state="frozen"/>
      <selection pane="topRight" activeCell="L1" sqref="L1"/>
      <selection pane="bottomLeft" activeCell="A3" sqref="A3"/>
      <selection pane="bottomRight" activeCell="B3" sqref="B3"/>
    </sheetView>
  </sheetViews>
  <sheetFormatPr defaultColWidth="9.140625" defaultRowHeight="15" x14ac:dyDescent="0.25"/>
  <cols>
    <col min="1" max="1" width="17.42578125" style="20" bestFit="1" customWidth="1"/>
    <col min="2" max="2" width="32.85546875" style="161" customWidth="1"/>
    <col min="3" max="3" width="11.42578125" bestFit="1" customWidth="1"/>
    <col min="4" max="4" width="7.140625" bestFit="1" customWidth="1"/>
    <col min="5" max="5" width="9.28515625" bestFit="1" customWidth="1"/>
    <col min="6" max="6" width="12.85546875" bestFit="1" customWidth="1"/>
    <col min="7" max="7" width="17.7109375" bestFit="1" customWidth="1"/>
    <col min="8" max="8" width="18.7109375" bestFit="1" customWidth="1"/>
    <col min="9" max="9" width="13.140625" bestFit="1" customWidth="1"/>
    <col min="10" max="10" width="8.5703125" bestFit="1" customWidth="1"/>
    <col min="11" max="11" width="8.140625" bestFit="1" customWidth="1"/>
    <col min="12" max="12" width="7.28515625" bestFit="1" customWidth="1"/>
    <col min="13" max="13" width="6.85546875" bestFit="1" customWidth="1"/>
    <col min="14" max="14" width="7.7109375" bestFit="1" customWidth="1"/>
    <col min="15" max="15" width="10.28515625" bestFit="1" customWidth="1"/>
    <col min="16" max="16" width="8.140625" bestFit="1" customWidth="1"/>
    <col min="17" max="17" width="8.5703125" bestFit="1" customWidth="1"/>
    <col min="18" max="19" width="8.140625" bestFit="1" customWidth="1"/>
    <col min="20" max="20" width="10.28515625" bestFit="1" customWidth="1"/>
    <col min="21" max="21" width="8.85546875" bestFit="1" customWidth="1"/>
    <col min="22" max="22" width="10" bestFit="1" customWidth="1"/>
    <col min="23" max="23" width="8.5703125" bestFit="1" customWidth="1"/>
    <col min="24" max="24" width="9.28515625" bestFit="1" customWidth="1"/>
    <col min="25" max="25" width="10.28515625" bestFit="1" customWidth="1"/>
    <col min="26" max="26" width="9.28515625" bestFit="1" customWidth="1"/>
    <col min="27" max="27" width="10" bestFit="1" customWidth="1"/>
    <col min="28" max="28" width="9.28515625" bestFit="1" customWidth="1"/>
    <col min="29" max="29" width="8.85546875" bestFit="1" customWidth="1"/>
    <col min="30" max="30" width="10.28515625" bestFit="1" customWidth="1"/>
    <col min="31" max="31" width="9.28515625" bestFit="1" customWidth="1"/>
    <col min="32" max="32" width="10" bestFit="1" customWidth="1"/>
    <col min="33" max="33" width="9.28515625" bestFit="1" customWidth="1"/>
    <col min="34" max="34" width="8.85546875" bestFit="1" customWidth="1"/>
    <col min="35" max="35" width="11.5703125" bestFit="1" customWidth="1"/>
    <col min="36" max="36" width="9.28515625" bestFit="1" customWidth="1"/>
    <col min="37" max="37" width="10" bestFit="1" customWidth="1"/>
    <col min="38" max="39" width="8.85546875" bestFit="1" customWidth="1"/>
    <col min="40" max="40" width="10.28515625" bestFit="1" customWidth="1"/>
    <col min="41" max="41" width="9.28515625" bestFit="1" customWidth="1"/>
    <col min="42" max="42" width="10" bestFit="1" customWidth="1"/>
    <col min="43" max="44" width="8.85546875" bestFit="1" customWidth="1"/>
    <col min="45" max="45" width="10.28515625" bestFit="1" customWidth="1"/>
    <col min="46" max="46" width="9.28515625" bestFit="1" customWidth="1"/>
    <col min="47" max="47" width="10" bestFit="1" customWidth="1"/>
    <col min="48" max="48" width="8.85546875" bestFit="1" customWidth="1"/>
    <col min="49" max="49" width="9.28515625" bestFit="1" customWidth="1"/>
    <col min="50" max="50" width="10.28515625" bestFit="1" customWidth="1"/>
    <col min="51" max="51" width="9.28515625" bestFit="1" customWidth="1"/>
    <col min="52" max="52" width="10" bestFit="1" customWidth="1"/>
    <col min="53" max="54" width="9.28515625" bestFit="1" customWidth="1"/>
    <col min="55" max="55" width="10.28515625" bestFit="1" customWidth="1"/>
    <col min="56" max="56" width="9.28515625" bestFit="1" customWidth="1"/>
    <col min="57" max="57" width="10" bestFit="1" customWidth="1"/>
    <col min="58" max="58" width="9.28515625" bestFit="1" customWidth="1"/>
    <col min="59" max="59" width="9.7109375" bestFit="1" customWidth="1"/>
    <col min="60" max="60" width="10.28515625" bestFit="1" customWidth="1"/>
    <col min="61" max="61" width="9.28515625" bestFit="1" customWidth="1"/>
    <col min="62" max="62" width="10" bestFit="1" customWidth="1"/>
    <col min="63" max="63" width="9.28515625" bestFit="1" customWidth="1"/>
    <col min="64" max="64" width="9.7109375" bestFit="1" customWidth="1"/>
    <col min="65" max="65" width="10.28515625" bestFit="1" customWidth="1"/>
    <col min="66" max="66" width="9.28515625" bestFit="1" customWidth="1"/>
    <col min="67" max="67" width="10" bestFit="1" customWidth="1"/>
    <col min="68" max="69" width="9.28515625" bestFit="1" customWidth="1"/>
    <col min="70" max="70" width="10.28515625" bestFit="1" customWidth="1"/>
    <col min="71" max="71" width="9.28515625" bestFit="1" customWidth="1"/>
    <col min="72" max="72" width="10" bestFit="1" customWidth="1"/>
    <col min="73" max="74" width="9.28515625" bestFit="1" customWidth="1"/>
    <col min="75" max="75" width="10.28515625" bestFit="1" customWidth="1"/>
    <col min="76" max="76" width="9.28515625" bestFit="1" customWidth="1"/>
    <col min="77" max="77" width="10" bestFit="1" customWidth="1"/>
    <col min="78" max="79" width="9.28515625" bestFit="1" customWidth="1"/>
  </cols>
  <sheetData>
    <row r="1" spans="1:79" ht="15.75" thickTop="1" x14ac:dyDescent="0.25">
      <c r="A1" s="252" t="s">
        <v>451</v>
      </c>
      <c r="B1" s="253" t="s">
        <v>471</v>
      </c>
      <c r="C1" s="254" t="s">
        <v>6</v>
      </c>
      <c r="D1" s="252" t="s">
        <v>646</v>
      </c>
      <c r="E1" s="252" t="s">
        <v>742</v>
      </c>
      <c r="F1" s="254" t="s">
        <v>743</v>
      </c>
      <c r="G1" s="254" t="s">
        <v>1506</v>
      </c>
      <c r="H1" s="255" t="s">
        <v>1507</v>
      </c>
      <c r="I1" s="256" t="s">
        <v>1409</v>
      </c>
      <c r="J1" s="237" t="s">
        <v>1412</v>
      </c>
      <c r="K1" s="173" t="s">
        <v>1413</v>
      </c>
      <c r="L1" s="173" t="s">
        <v>1410</v>
      </c>
      <c r="M1" s="238" t="s">
        <v>1411</v>
      </c>
      <c r="N1" s="238" t="s">
        <v>1414</v>
      </c>
      <c r="O1" s="239" t="s">
        <v>1412</v>
      </c>
      <c r="P1" s="173" t="s">
        <v>1413</v>
      </c>
      <c r="Q1" s="238" t="s">
        <v>1410</v>
      </c>
      <c r="R1" s="238" t="s">
        <v>1411</v>
      </c>
      <c r="S1" s="238" t="s">
        <v>1414</v>
      </c>
      <c r="T1" s="239" t="s">
        <v>1412</v>
      </c>
      <c r="U1" s="173" t="s">
        <v>1413</v>
      </c>
      <c r="V1" s="238" t="s">
        <v>1410</v>
      </c>
      <c r="W1" s="238" t="s">
        <v>1411</v>
      </c>
      <c r="X1" s="238" t="s">
        <v>1414</v>
      </c>
      <c r="Y1" s="239" t="s">
        <v>1412</v>
      </c>
      <c r="Z1" s="173" t="s">
        <v>1413</v>
      </c>
      <c r="AA1" s="238" t="s">
        <v>1410</v>
      </c>
      <c r="AB1" s="238" t="s">
        <v>1411</v>
      </c>
      <c r="AC1" s="238" t="s">
        <v>1414</v>
      </c>
      <c r="AD1" s="239" t="s">
        <v>1412</v>
      </c>
      <c r="AE1" s="173" t="s">
        <v>1413</v>
      </c>
      <c r="AF1" s="238" t="s">
        <v>1410</v>
      </c>
      <c r="AG1" s="238" t="s">
        <v>1411</v>
      </c>
      <c r="AH1" s="238" t="s">
        <v>1414</v>
      </c>
      <c r="AI1" s="239" t="s">
        <v>1412</v>
      </c>
      <c r="AJ1" s="173" t="s">
        <v>1413</v>
      </c>
      <c r="AK1" s="238" t="s">
        <v>1410</v>
      </c>
      <c r="AL1" s="238" t="s">
        <v>1411</v>
      </c>
      <c r="AM1" s="238" t="s">
        <v>1414</v>
      </c>
      <c r="AN1" s="239" t="s">
        <v>1412</v>
      </c>
      <c r="AO1" s="173" t="s">
        <v>1413</v>
      </c>
      <c r="AP1" s="238" t="s">
        <v>1410</v>
      </c>
      <c r="AQ1" s="238" t="s">
        <v>1411</v>
      </c>
      <c r="AR1" s="238" t="s">
        <v>1414</v>
      </c>
      <c r="AS1" s="239" t="s">
        <v>1412</v>
      </c>
      <c r="AT1" s="173" t="s">
        <v>1413</v>
      </c>
      <c r="AU1" s="238" t="s">
        <v>1410</v>
      </c>
      <c r="AV1" s="238" t="s">
        <v>1411</v>
      </c>
      <c r="AW1" s="238" t="s">
        <v>1414</v>
      </c>
      <c r="AX1" s="239" t="s">
        <v>1412</v>
      </c>
      <c r="AY1" s="173" t="s">
        <v>1413</v>
      </c>
      <c r="AZ1" s="238" t="s">
        <v>1410</v>
      </c>
      <c r="BA1" s="238" t="s">
        <v>1411</v>
      </c>
      <c r="BB1" s="238" t="s">
        <v>1414</v>
      </c>
      <c r="BC1" s="239" t="s">
        <v>1412</v>
      </c>
      <c r="BD1" s="173" t="s">
        <v>1413</v>
      </c>
      <c r="BE1" s="238" t="s">
        <v>1410</v>
      </c>
      <c r="BF1" s="238" t="s">
        <v>1411</v>
      </c>
      <c r="BG1" s="238" t="s">
        <v>1414</v>
      </c>
      <c r="BH1" s="239" t="s">
        <v>1412</v>
      </c>
      <c r="BI1" s="173" t="s">
        <v>1413</v>
      </c>
      <c r="BJ1" s="238" t="s">
        <v>1410</v>
      </c>
      <c r="BK1" s="238" t="s">
        <v>1411</v>
      </c>
      <c r="BL1" s="238" t="s">
        <v>1414</v>
      </c>
      <c r="BM1" s="239" t="s">
        <v>1412</v>
      </c>
      <c r="BN1" s="173" t="s">
        <v>1413</v>
      </c>
      <c r="BO1" s="238" t="s">
        <v>1410</v>
      </c>
      <c r="BP1" s="238" t="s">
        <v>1411</v>
      </c>
      <c r="BQ1" s="240" t="s">
        <v>1414</v>
      </c>
      <c r="BR1" s="239" t="s">
        <v>1412</v>
      </c>
      <c r="BS1" s="173" t="s">
        <v>1413</v>
      </c>
      <c r="BT1" s="238" t="s">
        <v>1410</v>
      </c>
      <c r="BU1" s="238" t="s">
        <v>1411</v>
      </c>
      <c r="BV1" s="240" t="s">
        <v>1414</v>
      </c>
      <c r="BW1" s="239" t="s">
        <v>1412</v>
      </c>
      <c r="BX1" s="173" t="s">
        <v>1413</v>
      </c>
      <c r="BY1" s="238" t="s">
        <v>1410</v>
      </c>
      <c r="BZ1" s="238" t="s">
        <v>1411</v>
      </c>
      <c r="CA1" s="240" t="s">
        <v>1414</v>
      </c>
    </row>
    <row r="2" spans="1:79" x14ac:dyDescent="0.25">
      <c r="A2" s="20">
        <v>11</v>
      </c>
      <c r="B2" s="161" t="s">
        <v>1415</v>
      </c>
      <c r="C2" s="162">
        <v>100</v>
      </c>
      <c r="D2" t="s">
        <v>1416</v>
      </c>
      <c r="E2" s="164">
        <v>15945</v>
      </c>
      <c r="F2" s="167">
        <v>312.64705882352939</v>
      </c>
      <c r="G2" s="40">
        <v>51</v>
      </c>
      <c r="H2" s="164">
        <v>8207.5</v>
      </c>
      <c r="I2" s="40">
        <v>160.93137254901961</v>
      </c>
      <c r="J2" s="241">
        <v>10</v>
      </c>
      <c r="K2" s="164">
        <v>1594.5</v>
      </c>
      <c r="L2" s="167">
        <v>4.5</v>
      </c>
      <c r="M2" s="164">
        <v>697.5</v>
      </c>
      <c r="N2" s="164">
        <v>1406.9117647058824</v>
      </c>
      <c r="O2" s="241">
        <v>45</v>
      </c>
      <c r="P2" s="164">
        <v>7175.25</v>
      </c>
      <c r="Q2" s="164">
        <v>0</v>
      </c>
      <c r="R2" s="164">
        <v>4707.5</v>
      </c>
      <c r="S2" s="164">
        <v>0</v>
      </c>
      <c r="T2" s="241">
        <v>60</v>
      </c>
      <c r="U2" s="164">
        <v>9567</v>
      </c>
      <c r="V2" s="40">
        <v>29.5</v>
      </c>
      <c r="W2" s="164">
        <v>4707.5</v>
      </c>
      <c r="X2" s="242">
        <v>9223.0882352941189</v>
      </c>
      <c r="Y2" s="241">
        <v>80</v>
      </c>
      <c r="Z2" s="164">
        <v>12756</v>
      </c>
      <c r="AA2" s="40">
        <v>45</v>
      </c>
      <c r="AB2" s="164">
        <v>7152.5</v>
      </c>
      <c r="AC2" s="164">
        <v>14069.117647058823</v>
      </c>
      <c r="AD2" s="241">
        <v>95</v>
      </c>
      <c r="AE2" s="164">
        <v>15147.75</v>
      </c>
      <c r="AF2" s="40">
        <v>48.5</v>
      </c>
      <c r="AG2" s="164">
        <v>7752.5</v>
      </c>
      <c r="AH2" s="242">
        <v>15163.382352941177</v>
      </c>
      <c r="AI2" s="241">
        <v>100</v>
      </c>
      <c r="AJ2" s="164">
        <v>15945</v>
      </c>
      <c r="AK2" s="40">
        <v>51</v>
      </c>
      <c r="AL2" s="164">
        <v>8207.5</v>
      </c>
      <c r="AM2" s="242">
        <v>15945</v>
      </c>
      <c r="AN2" s="241">
        <v>100</v>
      </c>
      <c r="AO2" s="164">
        <v>15945</v>
      </c>
      <c r="AP2" s="40">
        <v>51</v>
      </c>
      <c r="AQ2" s="164">
        <v>8207.5</v>
      </c>
      <c r="AR2" s="242">
        <v>15945</v>
      </c>
      <c r="AS2" s="241">
        <v>100</v>
      </c>
      <c r="AT2" s="164">
        <v>15945</v>
      </c>
      <c r="AU2" s="40">
        <v>51</v>
      </c>
      <c r="AV2" s="164">
        <v>8207.5</v>
      </c>
      <c r="AW2" s="242">
        <v>15945</v>
      </c>
      <c r="AX2" s="241">
        <v>100</v>
      </c>
      <c r="AY2" s="164">
        <v>15945</v>
      </c>
      <c r="AZ2" s="40">
        <v>51</v>
      </c>
      <c r="BA2" s="164">
        <v>8207.5</v>
      </c>
      <c r="BB2" s="242">
        <v>15945</v>
      </c>
      <c r="BC2" s="241">
        <v>100</v>
      </c>
      <c r="BD2" s="164">
        <v>15945</v>
      </c>
      <c r="BE2" s="40">
        <v>51</v>
      </c>
      <c r="BF2" s="164">
        <v>8207.5</v>
      </c>
      <c r="BG2" s="242">
        <v>15945</v>
      </c>
      <c r="BH2" s="241">
        <v>100</v>
      </c>
      <c r="BI2" s="164">
        <v>15945</v>
      </c>
      <c r="BJ2" s="40">
        <v>51</v>
      </c>
      <c r="BK2" s="164">
        <v>8207.5</v>
      </c>
      <c r="BL2" s="242">
        <v>15945</v>
      </c>
      <c r="BM2" s="241">
        <v>100</v>
      </c>
      <c r="BN2" s="164">
        <v>15945</v>
      </c>
      <c r="BO2" s="40">
        <v>51</v>
      </c>
      <c r="BP2" s="164">
        <v>8207.5</v>
      </c>
      <c r="BQ2" s="244">
        <v>15945</v>
      </c>
      <c r="BR2" s="241">
        <v>100</v>
      </c>
      <c r="BS2" s="164">
        <v>15945</v>
      </c>
      <c r="BT2" s="40">
        <v>51</v>
      </c>
      <c r="BU2" s="164">
        <v>8207.5</v>
      </c>
      <c r="BV2" s="244">
        <v>15945</v>
      </c>
      <c r="BW2" s="241">
        <v>100</v>
      </c>
      <c r="BX2" s="164">
        <v>15945</v>
      </c>
      <c r="BY2" s="40">
        <v>51</v>
      </c>
      <c r="BZ2" s="164">
        <v>8207.5</v>
      </c>
      <c r="CA2" s="244">
        <v>15945</v>
      </c>
    </row>
    <row r="3" spans="1:79" x14ac:dyDescent="0.25">
      <c r="A3" s="20">
        <v>12</v>
      </c>
      <c r="B3" s="161" t="s">
        <v>1417</v>
      </c>
      <c r="C3" s="162">
        <v>46</v>
      </c>
      <c r="D3" t="s">
        <v>54</v>
      </c>
      <c r="E3" s="164">
        <v>7390</v>
      </c>
      <c r="F3" s="167">
        <v>53.941605839416056</v>
      </c>
      <c r="G3" s="40">
        <v>137</v>
      </c>
      <c r="H3" s="164">
        <v>21901</v>
      </c>
      <c r="I3" s="40">
        <v>159.86131386861314</v>
      </c>
      <c r="J3" s="241">
        <v>0</v>
      </c>
      <c r="K3" s="164">
        <v>0</v>
      </c>
      <c r="L3" s="167">
        <v>0</v>
      </c>
      <c r="M3" s="164">
        <v>0</v>
      </c>
      <c r="N3" s="164">
        <v>0</v>
      </c>
      <c r="O3" s="241">
        <v>0</v>
      </c>
      <c r="P3" s="164">
        <v>0</v>
      </c>
      <c r="Q3" s="167">
        <v>0</v>
      </c>
      <c r="R3" s="164">
        <v>0</v>
      </c>
      <c r="S3" s="164">
        <v>0</v>
      </c>
      <c r="T3" s="241">
        <v>0</v>
      </c>
      <c r="U3" s="164">
        <v>0</v>
      </c>
      <c r="V3" s="40">
        <v>0</v>
      </c>
      <c r="W3" s="164">
        <v>0</v>
      </c>
      <c r="X3" s="242">
        <v>0</v>
      </c>
      <c r="Y3" s="241">
        <v>10</v>
      </c>
      <c r="Z3" s="164">
        <v>1606.5217391304348</v>
      </c>
      <c r="AA3" s="40">
        <v>0</v>
      </c>
      <c r="AB3" s="164">
        <v>0</v>
      </c>
      <c r="AC3" s="164">
        <v>0</v>
      </c>
      <c r="AD3" s="241">
        <v>20</v>
      </c>
      <c r="AE3" s="164">
        <v>3213.0434782608695</v>
      </c>
      <c r="AF3" s="40">
        <v>4.5</v>
      </c>
      <c r="AG3" s="164">
        <v>725</v>
      </c>
      <c r="AH3" s="242">
        <v>242.73722627737229</v>
      </c>
      <c r="AI3" s="241">
        <v>20</v>
      </c>
      <c r="AJ3" s="164">
        <v>3213.0434782608695</v>
      </c>
      <c r="AK3" s="40">
        <v>14</v>
      </c>
      <c r="AL3" s="164">
        <v>2207.5</v>
      </c>
      <c r="AM3" s="242">
        <v>755.18248175182487</v>
      </c>
      <c r="AN3" s="241">
        <v>30</v>
      </c>
      <c r="AO3" s="164">
        <v>4819.565217391304</v>
      </c>
      <c r="AP3" s="40">
        <v>51</v>
      </c>
      <c r="AQ3" s="164">
        <v>8180</v>
      </c>
      <c r="AR3" s="242">
        <v>2751.0218978102189</v>
      </c>
      <c r="AS3" s="241">
        <v>46</v>
      </c>
      <c r="AT3" s="164">
        <v>7390</v>
      </c>
      <c r="AU3" s="40">
        <v>73</v>
      </c>
      <c r="AV3" s="164">
        <v>11657.5</v>
      </c>
      <c r="AW3" s="242">
        <v>3937.7372262773724</v>
      </c>
      <c r="AX3" s="241">
        <v>46</v>
      </c>
      <c r="AY3" s="164">
        <v>7390</v>
      </c>
      <c r="AZ3" s="40">
        <v>103</v>
      </c>
      <c r="BA3" s="164">
        <v>16551</v>
      </c>
      <c r="BB3" s="242">
        <v>5555.9854014598541</v>
      </c>
      <c r="BC3" s="241">
        <v>46</v>
      </c>
      <c r="BD3" s="164">
        <v>7390</v>
      </c>
      <c r="BE3" s="40">
        <v>103</v>
      </c>
      <c r="BF3" s="164">
        <v>16551</v>
      </c>
      <c r="BG3" s="242">
        <v>5555.9854014598541</v>
      </c>
      <c r="BH3" s="241">
        <v>46</v>
      </c>
      <c r="BI3" s="164">
        <v>7390</v>
      </c>
      <c r="BJ3" s="40">
        <v>125</v>
      </c>
      <c r="BK3" s="164">
        <v>19943.5</v>
      </c>
      <c r="BL3" s="242">
        <v>6742.7007299270072</v>
      </c>
      <c r="BM3" s="241">
        <v>46</v>
      </c>
      <c r="BN3" s="164">
        <v>7390</v>
      </c>
      <c r="BO3" s="40">
        <v>137</v>
      </c>
      <c r="BP3" s="164">
        <v>21901</v>
      </c>
      <c r="BQ3" s="244">
        <v>7390</v>
      </c>
      <c r="BR3" s="241">
        <v>46</v>
      </c>
      <c r="BS3" s="164">
        <v>7390</v>
      </c>
      <c r="BT3" s="40">
        <v>137</v>
      </c>
      <c r="BU3" s="164">
        <v>21901</v>
      </c>
      <c r="BV3" s="244">
        <v>7390</v>
      </c>
      <c r="BW3" s="241">
        <v>46</v>
      </c>
      <c r="BX3" s="164">
        <v>7390</v>
      </c>
      <c r="BY3" s="40">
        <v>137</v>
      </c>
      <c r="BZ3" s="164">
        <v>21901</v>
      </c>
      <c r="CA3" s="244">
        <v>7390</v>
      </c>
    </row>
    <row r="4" spans="1:79" x14ac:dyDescent="0.25">
      <c r="A4" s="20">
        <v>13</v>
      </c>
      <c r="B4" s="161" t="s">
        <v>1418</v>
      </c>
      <c r="C4" s="162">
        <v>1</v>
      </c>
      <c r="D4" t="s">
        <v>54</v>
      </c>
      <c r="E4" s="164">
        <v>28731</v>
      </c>
      <c r="F4" s="167">
        <v>28731</v>
      </c>
      <c r="G4" s="40">
        <v>1</v>
      </c>
      <c r="H4" s="164">
        <v>9470.380000000001</v>
      </c>
      <c r="I4" s="40">
        <v>9470.380000000001</v>
      </c>
      <c r="J4" s="241">
        <v>0</v>
      </c>
      <c r="K4" s="164">
        <v>0</v>
      </c>
      <c r="L4" s="167">
        <v>0</v>
      </c>
      <c r="M4" s="164">
        <v>0</v>
      </c>
      <c r="N4" s="164">
        <v>0</v>
      </c>
      <c r="O4" s="241">
        <v>0.1</v>
      </c>
      <c r="P4" s="164">
        <v>2873.1000000000004</v>
      </c>
      <c r="Q4" s="167">
        <v>0.1</v>
      </c>
      <c r="R4" s="164">
        <v>2239.9299999999998</v>
      </c>
      <c r="S4" s="164">
        <v>2873.1000000000004</v>
      </c>
      <c r="T4" s="241">
        <v>0.2</v>
      </c>
      <c r="U4" s="164">
        <v>5746.2000000000007</v>
      </c>
      <c r="V4" s="40">
        <v>0.1</v>
      </c>
      <c r="W4" s="164">
        <v>2239.9299999999998</v>
      </c>
      <c r="X4" s="242">
        <v>2873.1000000000004</v>
      </c>
      <c r="Y4" s="241">
        <v>0.3</v>
      </c>
      <c r="Z4" s="164">
        <v>8619.2999999999993</v>
      </c>
      <c r="AA4" s="40">
        <v>0.1</v>
      </c>
      <c r="AB4" s="164">
        <v>2365.3599999999997</v>
      </c>
      <c r="AC4" s="164">
        <v>2873.1000000000004</v>
      </c>
      <c r="AD4" s="241">
        <v>0.6</v>
      </c>
      <c r="AE4" s="164">
        <v>17238.599999999999</v>
      </c>
      <c r="AF4" s="40">
        <v>0.35</v>
      </c>
      <c r="AG4" s="164">
        <v>3685.1499999999996</v>
      </c>
      <c r="AH4" s="242">
        <v>10055.849999999999</v>
      </c>
      <c r="AI4" s="241">
        <v>0.75</v>
      </c>
      <c r="AJ4" s="164">
        <v>21548.25</v>
      </c>
      <c r="AK4" s="40">
        <v>0.5</v>
      </c>
      <c r="AL4" s="164">
        <v>5306.8899999999994</v>
      </c>
      <c r="AM4" s="242">
        <v>14365.5</v>
      </c>
      <c r="AN4" s="241">
        <v>0.9</v>
      </c>
      <c r="AO4" s="164">
        <v>25857.9</v>
      </c>
      <c r="AP4" s="40">
        <v>0.65</v>
      </c>
      <c r="AQ4" s="164">
        <v>6595.4</v>
      </c>
      <c r="AR4" s="242">
        <v>18675.150000000001</v>
      </c>
      <c r="AS4" s="241">
        <v>1</v>
      </c>
      <c r="AT4" s="164">
        <v>28731</v>
      </c>
      <c r="AU4" s="40">
        <v>0.85</v>
      </c>
      <c r="AV4" s="164">
        <v>8332.36</v>
      </c>
      <c r="AW4" s="242">
        <v>24421.35</v>
      </c>
      <c r="AX4" s="241">
        <v>1</v>
      </c>
      <c r="AY4" s="164">
        <v>28731</v>
      </c>
      <c r="AZ4" s="40">
        <v>0.95</v>
      </c>
      <c r="BA4" s="164">
        <v>9344.9500000000007</v>
      </c>
      <c r="BB4" s="242">
        <v>27294.449999999997</v>
      </c>
      <c r="BC4" s="241">
        <v>1</v>
      </c>
      <c r="BD4" s="164">
        <v>28731</v>
      </c>
      <c r="BE4" s="40">
        <v>0.95</v>
      </c>
      <c r="BF4" s="164">
        <v>9470.380000000001</v>
      </c>
      <c r="BG4" s="242">
        <v>27294.449999999997</v>
      </c>
      <c r="BH4" s="241">
        <v>1</v>
      </c>
      <c r="BI4" s="164">
        <v>28731</v>
      </c>
      <c r="BJ4" s="40">
        <v>0.95</v>
      </c>
      <c r="BK4" s="164">
        <v>9470.380000000001</v>
      </c>
      <c r="BL4" s="242">
        <v>27294.449999999997</v>
      </c>
      <c r="BM4" s="241">
        <v>1</v>
      </c>
      <c r="BN4" s="164">
        <v>28731</v>
      </c>
      <c r="BO4" s="40">
        <v>1</v>
      </c>
      <c r="BP4" s="164">
        <v>9470.380000000001</v>
      </c>
      <c r="BQ4" s="244">
        <v>28731</v>
      </c>
      <c r="BR4" s="241">
        <v>1</v>
      </c>
      <c r="BS4" s="164">
        <v>28731</v>
      </c>
      <c r="BT4" s="40">
        <v>1</v>
      </c>
      <c r="BU4" s="164">
        <v>9470.380000000001</v>
      </c>
      <c r="BV4" s="244">
        <v>28731</v>
      </c>
      <c r="BW4" s="241">
        <v>1</v>
      </c>
      <c r="BX4" s="164">
        <v>28731</v>
      </c>
      <c r="BY4" s="40">
        <v>1</v>
      </c>
      <c r="BZ4" s="164">
        <v>9470.380000000001</v>
      </c>
      <c r="CA4" s="244">
        <v>28731</v>
      </c>
    </row>
    <row r="5" spans="1:79" x14ac:dyDescent="0.25">
      <c r="A5" s="20">
        <v>15</v>
      </c>
      <c r="B5" s="161" t="s">
        <v>1419</v>
      </c>
      <c r="C5" s="162">
        <v>1</v>
      </c>
      <c r="D5" t="s">
        <v>54</v>
      </c>
      <c r="E5" s="164">
        <v>1998</v>
      </c>
      <c r="F5" s="167">
        <v>0</v>
      </c>
      <c r="G5" s="40">
        <v>0</v>
      </c>
      <c r="H5" s="164">
        <v>0</v>
      </c>
      <c r="I5" s="40">
        <v>0</v>
      </c>
      <c r="J5" s="241">
        <v>1</v>
      </c>
      <c r="K5" s="164">
        <v>1998</v>
      </c>
      <c r="L5" s="167">
        <v>0</v>
      </c>
      <c r="M5" s="164">
        <v>0</v>
      </c>
      <c r="N5" s="164">
        <v>0</v>
      </c>
      <c r="O5" s="241">
        <v>1</v>
      </c>
      <c r="P5" s="164">
        <v>1998</v>
      </c>
      <c r="Q5" s="167">
        <v>1</v>
      </c>
      <c r="R5" s="164">
        <v>0</v>
      </c>
      <c r="S5" s="164">
        <v>1998</v>
      </c>
      <c r="T5" s="241">
        <v>1</v>
      </c>
      <c r="U5" s="164">
        <v>1998</v>
      </c>
      <c r="V5" s="40">
        <v>1</v>
      </c>
      <c r="W5" s="164">
        <v>0</v>
      </c>
      <c r="X5" s="242">
        <v>1998</v>
      </c>
      <c r="Y5" s="241">
        <v>1</v>
      </c>
      <c r="Z5" s="164">
        <v>1998</v>
      </c>
      <c r="AA5" s="40">
        <v>1</v>
      </c>
      <c r="AB5" s="164">
        <v>0</v>
      </c>
      <c r="AC5" s="164">
        <v>1998</v>
      </c>
      <c r="AD5" s="241">
        <v>1</v>
      </c>
      <c r="AE5" s="164">
        <v>1998</v>
      </c>
      <c r="AF5" s="40">
        <v>1</v>
      </c>
      <c r="AG5" s="164">
        <v>0</v>
      </c>
      <c r="AH5" s="242">
        <v>0</v>
      </c>
      <c r="AI5" s="241">
        <v>1</v>
      </c>
      <c r="AJ5" s="164">
        <v>1998</v>
      </c>
      <c r="AK5" s="40">
        <v>1</v>
      </c>
      <c r="AL5" s="164">
        <v>0</v>
      </c>
      <c r="AM5" s="242">
        <v>1998</v>
      </c>
      <c r="AN5" s="241">
        <v>1</v>
      </c>
      <c r="AO5" s="164">
        <v>1998</v>
      </c>
      <c r="AP5" s="40">
        <v>1</v>
      </c>
      <c r="AQ5" s="164">
        <v>0</v>
      </c>
      <c r="AR5" s="242">
        <v>1998</v>
      </c>
      <c r="AS5" s="241">
        <v>1</v>
      </c>
      <c r="AT5" s="164">
        <v>1998</v>
      </c>
      <c r="AU5" s="40">
        <v>1</v>
      </c>
      <c r="AV5" s="164">
        <v>0</v>
      </c>
      <c r="AW5" s="242">
        <v>1998</v>
      </c>
      <c r="AX5" s="241">
        <v>1</v>
      </c>
      <c r="AY5" s="164">
        <v>1998</v>
      </c>
      <c r="AZ5" s="40">
        <v>1</v>
      </c>
      <c r="BA5" s="164">
        <v>0</v>
      </c>
      <c r="BB5" s="242">
        <v>1998</v>
      </c>
      <c r="BC5" s="241">
        <v>1</v>
      </c>
      <c r="BD5" s="164">
        <v>1998</v>
      </c>
      <c r="BE5" s="40">
        <v>1</v>
      </c>
      <c r="BF5" s="164">
        <v>0</v>
      </c>
      <c r="BG5" s="242">
        <v>1998</v>
      </c>
      <c r="BH5" s="241">
        <v>1</v>
      </c>
      <c r="BI5" s="164">
        <v>1998</v>
      </c>
      <c r="BJ5" s="40">
        <v>1</v>
      </c>
      <c r="BK5" s="164">
        <v>0</v>
      </c>
      <c r="BL5" s="242">
        <v>1998</v>
      </c>
      <c r="BM5" s="241">
        <v>1</v>
      </c>
      <c r="BN5" s="164">
        <v>1998</v>
      </c>
      <c r="BO5" s="40">
        <v>0</v>
      </c>
      <c r="BP5" s="164">
        <v>0</v>
      </c>
      <c r="BQ5" s="244">
        <v>1998</v>
      </c>
      <c r="BR5" s="241">
        <v>1</v>
      </c>
      <c r="BS5" s="164">
        <v>1998</v>
      </c>
      <c r="BT5" s="40">
        <v>0</v>
      </c>
      <c r="BU5" s="164">
        <v>0</v>
      </c>
      <c r="BV5" s="244">
        <v>1998</v>
      </c>
      <c r="BW5" s="241">
        <v>1</v>
      </c>
      <c r="BX5" s="164">
        <v>1998</v>
      </c>
      <c r="BY5" s="40">
        <v>0</v>
      </c>
      <c r="BZ5" s="164">
        <v>0</v>
      </c>
      <c r="CA5" s="244">
        <v>1998</v>
      </c>
    </row>
    <row r="6" spans="1:79" x14ac:dyDescent="0.25">
      <c r="A6" s="20">
        <v>41</v>
      </c>
      <c r="B6" s="161" t="s">
        <v>1420</v>
      </c>
      <c r="C6" s="162">
        <v>0</v>
      </c>
      <c r="D6" t="s">
        <v>54</v>
      </c>
      <c r="E6" s="164">
        <v>0</v>
      </c>
      <c r="F6" s="167">
        <v>0</v>
      </c>
      <c r="G6" s="40">
        <v>1</v>
      </c>
      <c r="H6" s="164">
        <v>1682.9</v>
      </c>
      <c r="I6" s="40">
        <v>1682.9</v>
      </c>
      <c r="J6" s="241">
        <v>0</v>
      </c>
      <c r="K6" s="164">
        <v>0</v>
      </c>
      <c r="L6" s="167">
        <v>0</v>
      </c>
      <c r="M6" s="164">
        <v>0</v>
      </c>
      <c r="N6" s="164">
        <v>0</v>
      </c>
      <c r="O6" s="241">
        <v>0</v>
      </c>
      <c r="P6" s="164">
        <v>0</v>
      </c>
      <c r="Q6" s="167">
        <v>0</v>
      </c>
      <c r="R6" s="164">
        <v>0</v>
      </c>
      <c r="S6" s="164">
        <v>0</v>
      </c>
      <c r="T6" s="241">
        <v>0</v>
      </c>
      <c r="U6" s="164">
        <v>0</v>
      </c>
      <c r="V6" s="40">
        <v>0</v>
      </c>
      <c r="W6" s="164">
        <v>0</v>
      </c>
      <c r="X6" s="242">
        <v>0</v>
      </c>
      <c r="Y6" s="241">
        <v>0</v>
      </c>
      <c r="Z6" s="164">
        <v>0</v>
      </c>
      <c r="AA6" s="40">
        <v>0</v>
      </c>
      <c r="AB6" s="164">
        <v>0</v>
      </c>
      <c r="AC6" s="164">
        <v>0</v>
      </c>
      <c r="AD6" s="241">
        <v>0</v>
      </c>
      <c r="AE6" s="164">
        <v>0</v>
      </c>
      <c r="AF6" s="40">
        <v>0</v>
      </c>
      <c r="AG6" s="164">
        <v>0</v>
      </c>
      <c r="AH6" s="242">
        <v>0</v>
      </c>
      <c r="AI6" s="241">
        <v>0</v>
      </c>
      <c r="AJ6" s="164">
        <v>0</v>
      </c>
      <c r="AK6" s="40">
        <v>0</v>
      </c>
      <c r="AL6" s="164">
        <v>0</v>
      </c>
      <c r="AM6" s="242">
        <v>0</v>
      </c>
      <c r="AN6" s="241">
        <v>0</v>
      </c>
      <c r="AO6" s="164">
        <v>0</v>
      </c>
      <c r="AP6" s="40">
        <v>0</v>
      </c>
      <c r="AQ6" s="164">
        <v>0</v>
      </c>
      <c r="AR6" s="242">
        <v>0</v>
      </c>
      <c r="AS6" s="241">
        <v>0</v>
      </c>
      <c r="AT6" s="164">
        <v>0</v>
      </c>
      <c r="AU6" s="40">
        <v>1</v>
      </c>
      <c r="AV6" s="164">
        <v>1682.9</v>
      </c>
      <c r="AW6" s="242">
        <v>0</v>
      </c>
      <c r="AX6" s="241">
        <v>0</v>
      </c>
      <c r="AY6" s="164">
        <v>0</v>
      </c>
      <c r="AZ6" s="40">
        <v>1</v>
      </c>
      <c r="BA6" s="164">
        <v>1682.9</v>
      </c>
      <c r="BB6" s="242">
        <v>0</v>
      </c>
      <c r="BC6" s="241">
        <v>0</v>
      </c>
      <c r="BD6" s="164">
        <v>0</v>
      </c>
      <c r="BE6" s="40">
        <v>1</v>
      </c>
      <c r="BF6" s="164">
        <v>1682.9</v>
      </c>
      <c r="BG6" s="242">
        <v>0</v>
      </c>
      <c r="BH6" s="241">
        <v>0</v>
      </c>
      <c r="BI6" s="164">
        <v>0</v>
      </c>
      <c r="BJ6" s="40">
        <v>1</v>
      </c>
      <c r="BK6" s="164">
        <v>1682.9</v>
      </c>
      <c r="BL6" s="242">
        <v>0</v>
      </c>
      <c r="BM6" s="241">
        <v>0</v>
      </c>
      <c r="BN6" s="164">
        <v>0</v>
      </c>
      <c r="BO6" s="40">
        <v>1</v>
      </c>
      <c r="BP6" s="164">
        <v>1682.9</v>
      </c>
      <c r="BQ6" s="244">
        <v>0</v>
      </c>
      <c r="BR6" s="241">
        <v>0</v>
      </c>
      <c r="BS6" s="164">
        <v>0</v>
      </c>
      <c r="BT6" s="40">
        <v>1</v>
      </c>
      <c r="BU6" s="164">
        <v>1682.9</v>
      </c>
      <c r="BV6" s="244">
        <v>0</v>
      </c>
      <c r="BW6" s="241">
        <v>0</v>
      </c>
      <c r="BX6" s="164">
        <v>0</v>
      </c>
      <c r="BY6" s="40">
        <v>1</v>
      </c>
      <c r="BZ6" s="164">
        <v>1682.9</v>
      </c>
      <c r="CA6" s="244">
        <v>0</v>
      </c>
    </row>
    <row r="7" spans="1:79" x14ac:dyDescent="0.25">
      <c r="A7" s="20">
        <v>52</v>
      </c>
      <c r="B7" s="161" t="s">
        <v>1421</v>
      </c>
      <c r="C7" s="162">
        <v>677</v>
      </c>
      <c r="D7" t="s">
        <v>1422</v>
      </c>
      <c r="E7" s="164">
        <v>10200.133333333335</v>
      </c>
      <c r="F7" s="167">
        <v>15.06666666666667</v>
      </c>
      <c r="G7" s="40">
        <v>677</v>
      </c>
      <c r="H7" s="164">
        <v>14016.514999999999</v>
      </c>
      <c r="I7" s="40">
        <v>20.703862629246675</v>
      </c>
      <c r="J7" s="241">
        <v>0</v>
      </c>
      <c r="K7" s="164">
        <v>0</v>
      </c>
      <c r="L7" s="167">
        <v>0</v>
      </c>
      <c r="M7" s="164">
        <v>0</v>
      </c>
      <c r="N7" s="164">
        <v>0</v>
      </c>
      <c r="O7" s="241">
        <v>200</v>
      </c>
      <c r="P7" s="164">
        <v>3013.3333333333339</v>
      </c>
      <c r="Q7" s="167">
        <v>0</v>
      </c>
      <c r="R7" s="164">
        <v>0</v>
      </c>
      <c r="S7" s="164">
        <v>0</v>
      </c>
      <c r="T7" s="241">
        <v>677</v>
      </c>
      <c r="U7" s="164">
        <v>10200.133333333335</v>
      </c>
      <c r="V7" s="40">
        <v>150</v>
      </c>
      <c r="W7" s="164">
        <v>3376.7750000000001</v>
      </c>
      <c r="X7" s="242">
        <v>2260.0000000000005</v>
      </c>
      <c r="Y7" s="241">
        <v>677</v>
      </c>
      <c r="Z7" s="164">
        <v>10200.133333333335</v>
      </c>
      <c r="AA7" s="40">
        <v>480</v>
      </c>
      <c r="AB7" s="164">
        <v>9955.0400000000009</v>
      </c>
      <c r="AC7" s="164">
        <v>7232.0000000000009</v>
      </c>
      <c r="AD7" s="241">
        <v>677</v>
      </c>
      <c r="AE7" s="164">
        <v>10200.133333333335</v>
      </c>
      <c r="AF7" s="40">
        <v>677</v>
      </c>
      <c r="AG7" s="164">
        <v>13641.514999999999</v>
      </c>
      <c r="AH7" s="242">
        <v>10200.133333333335</v>
      </c>
      <c r="AI7" s="241">
        <v>677</v>
      </c>
      <c r="AJ7" s="164">
        <v>10200.133333333335</v>
      </c>
      <c r="AK7" s="40">
        <v>677</v>
      </c>
      <c r="AL7" s="164">
        <v>14016.514999999999</v>
      </c>
      <c r="AM7" s="242">
        <v>10200.133333333335</v>
      </c>
      <c r="AN7" s="241">
        <v>677</v>
      </c>
      <c r="AO7" s="164">
        <v>10200.133333333335</v>
      </c>
      <c r="AP7" s="40">
        <v>677</v>
      </c>
      <c r="AQ7" s="164">
        <v>14016.514999999999</v>
      </c>
      <c r="AR7" s="242">
        <v>10200.133333333335</v>
      </c>
      <c r="AS7" s="241">
        <v>677</v>
      </c>
      <c r="AT7" s="164">
        <v>10200.133333333335</v>
      </c>
      <c r="AU7" s="40">
        <v>677</v>
      </c>
      <c r="AV7" s="164">
        <v>14016.514999999999</v>
      </c>
      <c r="AW7" s="242">
        <v>10200.133333333335</v>
      </c>
      <c r="AX7" s="241">
        <v>677</v>
      </c>
      <c r="AY7" s="164">
        <v>10200.133333333335</v>
      </c>
      <c r="AZ7" s="40">
        <v>677</v>
      </c>
      <c r="BA7" s="164">
        <v>14016.514999999999</v>
      </c>
      <c r="BB7" s="242">
        <v>10200.133333333335</v>
      </c>
      <c r="BC7" s="241">
        <v>677</v>
      </c>
      <c r="BD7" s="164">
        <v>10200.133333333335</v>
      </c>
      <c r="BE7" s="40">
        <v>677</v>
      </c>
      <c r="BF7" s="164">
        <v>14016.514999999999</v>
      </c>
      <c r="BG7" s="242">
        <v>10200.133333333335</v>
      </c>
      <c r="BH7" s="241">
        <v>677</v>
      </c>
      <c r="BI7" s="164">
        <v>10200.133333333335</v>
      </c>
      <c r="BJ7" s="40">
        <v>677</v>
      </c>
      <c r="BK7" s="164">
        <v>14016.514999999999</v>
      </c>
      <c r="BL7" s="242">
        <v>10200.133333333335</v>
      </c>
      <c r="BM7" s="241">
        <v>677</v>
      </c>
      <c r="BN7" s="164">
        <v>10200.133333333335</v>
      </c>
      <c r="BO7" s="40">
        <v>677</v>
      </c>
      <c r="BP7" s="164">
        <v>14016.514999999999</v>
      </c>
      <c r="BQ7" s="244">
        <v>10200.133333333335</v>
      </c>
      <c r="BR7" s="241">
        <v>677</v>
      </c>
      <c r="BS7" s="164">
        <v>10200.133333333335</v>
      </c>
      <c r="BT7" s="40">
        <v>677</v>
      </c>
      <c r="BU7" s="164">
        <v>14016.514999999999</v>
      </c>
      <c r="BV7" s="244">
        <v>10200.133333333335</v>
      </c>
      <c r="BW7" s="241">
        <v>677</v>
      </c>
      <c r="BX7" s="164">
        <v>10200.133333333335</v>
      </c>
      <c r="BY7" s="40">
        <v>677</v>
      </c>
      <c r="BZ7" s="164">
        <v>14016.514999999999</v>
      </c>
      <c r="CA7" s="244">
        <v>10200.133333333335</v>
      </c>
    </row>
    <row r="8" spans="1:79" x14ac:dyDescent="0.25">
      <c r="A8" s="20">
        <v>53</v>
      </c>
      <c r="B8" s="161" t="s">
        <v>1423</v>
      </c>
      <c r="C8" s="162">
        <v>0</v>
      </c>
      <c r="D8" t="s">
        <v>1422</v>
      </c>
      <c r="E8" s="164">
        <v>1320.4158082037834</v>
      </c>
      <c r="F8" s="167">
        <v>26.408316164075668</v>
      </c>
      <c r="G8" s="40">
        <v>50</v>
      </c>
      <c r="H8" s="164">
        <v>11469.48</v>
      </c>
      <c r="I8" s="40">
        <v>229.3896</v>
      </c>
      <c r="J8" s="241">
        <v>0</v>
      </c>
      <c r="K8" s="164">
        <v>0</v>
      </c>
      <c r="L8" s="167">
        <v>0</v>
      </c>
      <c r="M8" s="164">
        <v>0</v>
      </c>
      <c r="N8" s="164">
        <v>0</v>
      </c>
      <c r="O8" s="241">
        <v>0</v>
      </c>
      <c r="P8" s="164">
        <v>0</v>
      </c>
      <c r="Q8" s="167">
        <v>0</v>
      </c>
      <c r="R8" s="164">
        <v>0</v>
      </c>
      <c r="S8" s="164">
        <v>0</v>
      </c>
      <c r="T8" s="241">
        <v>0</v>
      </c>
      <c r="U8" s="164">
        <v>0</v>
      </c>
      <c r="V8" s="40">
        <v>0</v>
      </c>
      <c r="W8" s="164">
        <v>0</v>
      </c>
      <c r="X8" s="242">
        <v>0</v>
      </c>
      <c r="Y8" s="241">
        <v>0</v>
      </c>
      <c r="Z8" s="164">
        <v>0</v>
      </c>
      <c r="AA8" s="40">
        <v>0</v>
      </c>
      <c r="AB8" s="164">
        <v>0</v>
      </c>
      <c r="AC8" s="164">
        <v>0</v>
      </c>
      <c r="AD8" s="241">
        <v>0</v>
      </c>
      <c r="AE8" s="164">
        <v>0</v>
      </c>
      <c r="AF8" s="40">
        <v>40</v>
      </c>
      <c r="AG8" s="164">
        <v>4498.07</v>
      </c>
      <c r="AH8" s="242">
        <v>1056.3326465630269</v>
      </c>
      <c r="AI8" s="241">
        <v>0</v>
      </c>
      <c r="AJ8" s="164">
        <v>1320.4158082037834</v>
      </c>
      <c r="AK8" s="40">
        <v>40</v>
      </c>
      <c r="AL8" s="164">
        <v>10658.615</v>
      </c>
      <c r="AM8" s="242">
        <v>1056.3326465630269</v>
      </c>
      <c r="AN8" s="241">
        <v>0</v>
      </c>
      <c r="AO8" s="164">
        <v>1320.4158082037834</v>
      </c>
      <c r="AP8" s="40">
        <v>50</v>
      </c>
      <c r="AQ8" s="164">
        <v>11469.48</v>
      </c>
      <c r="AR8" s="242">
        <v>1320.4158082037834</v>
      </c>
      <c r="AS8" s="241">
        <v>0</v>
      </c>
      <c r="AT8" s="164">
        <v>1320.4158082037834</v>
      </c>
      <c r="AU8" s="40">
        <v>50</v>
      </c>
      <c r="AV8" s="164">
        <v>11469.48</v>
      </c>
      <c r="AW8" s="242">
        <v>1320.4158082037834</v>
      </c>
      <c r="AX8" s="241">
        <v>0</v>
      </c>
      <c r="AY8" s="164">
        <v>1320.4158082037834</v>
      </c>
      <c r="AZ8" s="40">
        <v>50</v>
      </c>
      <c r="BA8" s="164">
        <v>11469.48</v>
      </c>
      <c r="BB8" s="242">
        <v>1320.4158082037834</v>
      </c>
      <c r="BC8" s="241">
        <v>0</v>
      </c>
      <c r="BD8" s="164">
        <v>1320.4158082037834</v>
      </c>
      <c r="BE8" s="40">
        <v>50</v>
      </c>
      <c r="BF8" s="164">
        <v>11469.48</v>
      </c>
      <c r="BG8" s="242">
        <v>1320.4158082037834</v>
      </c>
      <c r="BH8" s="241">
        <v>0</v>
      </c>
      <c r="BI8" s="164">
        <v>1320.4158082037834</v>
      </c>
      <c r="BJ8" s="40">
        <v>50</v>
      </c>
      <c r="BK8" s="164">
        <v>11469.48</v>
      </c>
      <c r="BL8" s="242">
        <v>1320.4158082037834</v>
      </c>
      <c r="BM8" s="241">
        <v>0</v>
      </c>
      <c r="BN8" s="164">
        <v>1320.4158082037834</v>
      </c>
      <c r="BO8" s="40">
        <v>50</v>
      </c>
      <c r="BP8" s="164">
        <v>11469.48</v>
      </c>
      <c r="BQ8" s="244">
        <v>1320.4158082037834</v>
      </c>
      <c r="BR8" s="241">
        <v>0</v>
      </c>
      <c r="BS8" s="164">
        <v>1320.4158082037834</v>
      </c>
      <c r="BT8" s="40">
        <v>50</v>
      </c>
      <c r="BU8" s="164">
        <v>11469.48</v>
      </c>
      <c r="BV8" s="244">
        <v>1320.4158082037834</v>
      </c>
      <c r="BW8" s="241">
        <v>0</v>
      </c>
      <c r="BX8" s="164">
        <v>1320.4158082037834</v>
      </c>
      <c r="BY8" s="40">
        <v>50</v>
      </c>
      <c r="BZ8" s="164">
        <v>11469.48</v>
      </c>
      <c r="CA8" s="244">
        <v>1320.4158082037834</v>
      </c>
    </row>
    <row r="9" spans="1:79" x14ac:dyDescent="0.25">
      <c r="A9" s="20">
        <v>54</v>
      </c>
      <c r="B9" s="161" t="s">
        <v>1424</v>
      </c>
      <c r="C9" s="162">
        <v>1000</v>
      </c>
      <c r="D9" t="s">
        <v>1422</v>
      </c>
      <c r="E9" s="164">
        <v>10548.387096774193</v>
      </c>
      <c r="F9" s="167">
        <v>4.2193548387096769</v>
      </c>
      <c r="G9" s="40">
        <v>2500</v>
      </c>
      <c r="H9" s="164">
        <v>36701.549999999996</v>
      </c>
      <c r="I9" s="40">
        <v>14.680619999999998</v>
      </c>
      <c r="J9" s="241">
        <v>0</v>
      </c>
      <c r="K9" s="164">
        <v>0</v>
      </c>
      <c r="L9" s="167">
        <v>0</v>
      </c>
      <c r="M9" s="164">
        <v>0</v>
      </c>
      <c r="N9" s="164">
        <v>0</v>
      </c>
      <c r="O9" s="241">
        <v>350</v>
      </c>
      <c r="P9" s="164">
        <v>3691.9354838709673</v>
      </c>
      <c r="Q9" s="167">
        <v>0</v>
      </c>
      <c r="R9" s="164">
        <v>0</v>
      </c>
      <c r="S9" s="164">
        <v>0</v>
      </c>
      <c r="T9" s="241">
        <v>1000</v>
      </c>
      <c r="U9" s="164">
        <v>10548.387096774193</v>
      </c>
      <c r="V9" s="40">
        <v>0</v>
      </c>
      <c r="W9" s="164">
        <v>355.99</v>
      </c>
      <c r="X9" s="242">
        <v>0</v>
      </c>
      <c r="Y9" s="241">
        <v>1000</v>
      </c>
      <c r="Z9" s="164">
        <v>10548.387096774193</v>
      </c>
      <c r="AA9" s="40">
        <v>50</v>
      </c>
      <c r="AB9" s="164">
        <v>1040.93</v>
      </c>
      <c r="AC9" s="164">
        <v>210.96774193548387</v>
      </c>
      <c r="AD9" s="241">
        <v>1000</v>
      </c>
      <c r="AE9" s="164">
        <v>10548.387096774193</v>
      </c>
      <c r="AF9" s="40">
        <v>1200</v>
      </c>
      <c r="AG9" s="164">
        <v>15035.49</v>
      </c>
      <c r="AH9" s="242">
        <v>5063.2258064516127</v>
      </c>
      <c r="AI9" s="241">
        <v>1000</v>
      </c>
      <c r="AJ9" s="164">
        <v>10548.387096774193</v>
      </c>
      <c r="AK9" s="40">
        <v>1400</v>
      </c>
      <c r="AL9" s="164">
        <v>20480.439999999999</v>
      </c>
      <c r="AM9" s="242">
        <v>5907.0967741935483</v>
      </c>
      <c r="AN9" s="241">
        <v>1000</v>
      </c>
      <c r="AO9" s="164">
        <v>10548.387096774193</v>
      </c>
      <c r="AP9" s="40">
        <v>2400</v>
      </c>
      <c r="AQ9" s="164">
        <v>35521.274999999994</v>
      </c>
      <c r="AR9" s="242">
        <v>10126.451612903225</v>
      </c>
      <c r="AS9" s="241">
        <v>1000</v>
      </c>
      <c r="AT9" s="164">
        <v>10548.387096774193</v>
      </c>
      <c r="AU9" s="40">
        <v>2400</v>
      </c>
      <c r="AV9" s="164">
        <v>35806.274999999994</v>
      </c>
      <c r="AW9" s="242">
        <v>10126.451612903225</v>
      </c>
      <c r="AX9" s="241">
        <v>1000</v>
      </c>
      <c r="AY9" s="164">
        <v>10548.387096774193</v>
      </c>
      <c r="AZ9" s="40">
        <v>2500</v>
      </c>
      <c r="BA9" s="164">
        <v>36701.549999999996</v>
      </c>
      <c r="BB9" s="242">
        <v>10548.387096774193</v>
      </c>
      <c r="BC9" s="241">
        <v>1000</v>
      </c>
      <c r="BD9" s="164">
        <v>10548.387096774193</v>
      </c>
      <c r="BE9" s="40">
        <v>2500</v>
      </c>
      <c r="BF9" s="164">
        <v>36701.549999999996</v>
      </c>
      <c r="BG9" s="242">
        <v>10548.387096774193</v>
      </c>
      <c r="BH9" s="241">
        <v>1000</v>
      </c>
      <c r="BI9" s="164">
        <v>10548.387096774193</v>
      </c>
      <c r="BJ9" s="40">
        <v>2500</v>
      </c>
      <c r="BK9" s="164">
        <v>36701.549999999996</v>
      </c>
      <c r="BL9" s="242">
        <v>10548.387096774193</v>
      </c>
      <c r="BM9" s="241">
        <v>1000</v>
      </c>
      <c r="BN9" s="164">
        <v>10548.387096774193</v>
      </c>
      <c r="BO9" s="40">
        <v>2500</v>
      </c>
      <c r="BP9" s="164">
        <v>36701.549999999996</v>
      </c>
      <c r="BQ9" s="244">
        <v>10548.387096774193</v>
      </c>
      <c r="BR9" s="241">
        <v>1000</v>
      </c>
      <c r="BS9" s="164">
        <v>10548.387096774193</v>
      </c>
      <c r="BT9" s="40">
        <v>2500</v>
      </c>
      <c r="BU9" s="164">
        <v>36701.549999999996</v>
      </c>
      <c r="BV9" s="244">
        <v>10548.387096774193</v>
      </c>
      <c r="BW9" s="241">
        <v>1000</v>
      </c>
      <c r="BX9" s="164">
        <v>10548.387096774193</v>
      </c>
      <c r="BY9" s="40">
        <v>2500</v>
      </c>
      <c r="BZ9" s="164">
        <v>36701.549999999996</v>
      </c>
      <c r="CA9" s="244">
        <v>10548.387096774193</v>
      </c>
    </row>
    <row r="10" spans="1:79" x14ac:dyDescent="0.25">
      <c r="A10" s="20">
        <v>57</v>
      </c>
      <c r="B10" s="161" t="s">
        <v>1505</v>
      </c>
      <c r="C10" s="162">
        <v>0</v>
      </c>
      <c r="D10" t="s">
        <v>1422</v>
      </c>
      <c r="E10" s="164">
        <v>0</v>
      </c>
      <c r="F10" s="167">
        <v>0</v>
      </c>
      <c r="G10" s="40">
        <v>0</v>
      </c>
      <c r="H10" s="164">
        <v>220</v>
      </c>
      <c r="I10" s="40">
        <v>0</v>
      </c>
      <c r="J10" s="241">
        <v>0</v>
      </c>
      <c r="K10" s="164">
        <v>0</v>
      </c>
      <c r="L10" s="167">
        <v>0</v>
      </c>
      <c r="M10" s="164">
        <v>0</v>
      </c>
      <c r="N10" s="164">
        <v>0</v>
      </c>
      <c r="O10" s="241">
        <v>0</v>
      </c>
      <c r="P10" s="164">
        <v>0</v>
      </c>
      <c r="Q10" s="167">
        <v>0</v>
      </c>
      <c r="R10" s="164">
        <v>0</v>
      </c>
      <c r="S10" s="164">
        <v>0</v>
      </c>
      <c r="T10" s="241">
        <v>0</v>
      </c>
      <c r="U10" s="164">
        <v>0</v>
      </c>
      <c r="V10" s="167">
        <v>0</v>
      </c>
      <c r="W10" s="164">
        <v>0</v>
      </c>
      <c r="X10" s="164">
        <v>0</v>
      </c>
      <c r="Y10" s="241">
        <v>0</v>
      </c>
      <c r="Z10" s="164">
        <v>0</v>
      </c>
      <c r="AA10" s="167">
        <v>0</v>
      </c>
      <c r="AB10" s="164">
        <v>0</v>
      </c>
      <c r="AC10" s="164">
        <v>0</v>
      </c>
      <c r="AD10" s="241">
        <v>0</v>
      </c>
      <c r="AE10" s="164">
        <v>0</v>
      </c>
      <c r="AF10" s="167">
        <v>0</v>
      </c>
      <c r="AG10" s="164">
        <v>0</v>
      </c>
      <c r="AH10" s="164">
        <v>0</v>
      </c>
      <c r="AI10" s="241">
        <v>0</v>
      </c>
      <c r="AJ10" s="164">
        <v>0</v>
      </c>
      <c r="AK10" s="167">
        <v>0</v>
      </c>
      <c r="AL10" s="164">
        <v>0</v>
      </c>
      <c r="AM10" s="164">
        <v>0</v>
      </c>
      <c r="AN10" s="241">
        <v>0</v>
      </c>
      <c r="AO10" s="164">
        <v>0</v>
      </c>
      <c r="AP10" s="40">
        <v>0</v>
      </c>
      <c r="AQ10" s="164">
        <v>220</v>
      </c>
      <c r="AR10" s="242">
        <v>0</v>
      </c>
      <c r="AS10" s="241">
        <v>0</v>
      </c>
      <c r="AT10" s="164">
        <v>0</v>
      </c>
      <c r="AU10" s="40">
        <v>0</v>
      </c>
      <c r="AV10" s="164">
        <v>220</v>
      </c>
      <c r="AW10" s="242">
        <v>0</v>
      </c>
      <c r="AX10" s="241">
        <v>0</v>
      </c>
      <c r="AY10" s="164">
        <v>0</v>
      </c>
      <c r="AZ10" s="40">
        <v>0</v>
      </c>
      <c r="BA10" s="164">
        <v>220</v>
      </c>
      <c r="BB10" s="242">
        <v>0</v>
      </c>
      <c r="BC10" s="241">
        <v>0</v>
      </c>
      <c r="BD10" s="164">
        <v>0</v>
      </c>
      <c r="BE10" s="40">
        <v>0</v>
      </c>
      <c r="BF10" s="164">
        <v>220</v>
      </c>
      <c r="BG10" s="242">
        <v>0</v>
      </c>
      <c r="BH10" s="241">
        <v>0</v>
      </c>
      <c r="BI10" s="164">
        <v>0</v>
      </c>
      <c r="BJ10" s="40">
        <v>0</v>
      </c>
      <c r="BK10" s="164">
        <v>220</v>
      </c>
      <c r="BL10" s="242">
        <v>0</v>
      </c>
      <c r="BM10" s="241">
        <v>0</v>
      </c>
      <c r="BN10" s="164">
        <v>0</v>
      </c>
      <c r="BO10" s="40">
        <v>0</v>
      </c>
      <c r="BP10" s="164">
        <v>220</v>
      </c>
      <c r="BQ10" s="242">
        <v>0</v>
      </c>
      <c r="BR10" s="241">
        <v>0</v>
      </c>
      <c r="BS10" s="164">
        <v>0</v>
      </c>
      <c r="BT10" s="40">
        <v>0</v>
      </c>
      <c r="BU10" s="164">
        <v>220</v>
      </c>
      <c r="BV10" s="242">
        <v>0</v>
      </c>
      <c r="BW10" s="241">
        <v>0</v>
      </c>
      <c r="BX10" s="164">
        <v>0</v>
      </c>
      <c r="BY10" s="40">
        <v>0</v>
      </c>
      <c r="BZ10" s="164">
        <v>220</v>
      </c>
      <c r="CA10" s="242">
        <v>0</v>
      </c>
    </row>
    <row r="11" spans="1:79" ht="30" x14ac:dyDescent="0.25">
      <c r="A11" s="20">
        <v>59</v>
      </c>
      <c r="B11" s="161" t="s">
        <v>1425</v>
      </c>
      <c r="C11" s="162">
        <v>9000</v>
      </c>
      <c r="D11" t="s">
        <v>1426</v>
      </c>
      <c r="E11" s="164">
        <v>9925.7142857142862</v>
      </c>
      <c r="F11" s="167">
        <v>1.102857142857143</v>
      </c>
      <c r="G11" s="40">
        <v>9000</v>
      </c>
      <c r="H11" s="164">
        <v>10847.274999999998</v>
      </c>
      <c r="I11" s="40">
        <v>1.2052527777777775</v>
      </c>
      <c r="J11" s="241">
        <v>0</v>
      </c>
      <c r="K11" s="164">
        <v>0</v>
      </c>
      <c r="L11" s="167">
        <v>0</v>
      </c>
      <c r="M11" s="164">
        <v>0</v>
      </c>
      <c r="N11" s="164">
        <v>0</v>
      </c>
      <c r="O11" s="241">
        <v>2000</v>
      </c>
      <c r="P11" s="164">
        <v>2205.7142857142858</v>
      </c>
      <c r="Q11" s="167">
        <v>0</v>
      </c>
      <c r="R11" s="164">
        <v>0</v>
      </c>
      <c r="S11" s="164">
        <v>0</v>
      </c>
      <c r="T11" s="241">
        <v>4000</v>
      </c>
      <c r="U11" s="164">
        <v>4411.4285714285716</v>
      </c>
      <c r="V11" s="40">
        <v>2300</v>
      </c>
      <c r="W11" s="164">
        <v>2803.89</v>
      </c>
      <c r="X11" s="242">
        <v>2536.5714285714284</v>
      </c>
      <c r="Y11" s="241">
        <v>6000</v>
      </c>
      <c r="Z11" s="164">
        <v>6617.1428571428569</v>
      </c>
      <c r="AA11" s="40">
        <v>4500</v>
      </c>
      <c r="AB11" s="164">
        <v>5617.4750000000004</v>
      </c>
      <c r="AC11" s="164">
        <v>4962.8571428571431</v>
      </c>
      <c r="AD11" s="241">
        <v>6000</v>
      </c>
      <c r="AE11" s="164">
        <v>6617.1428571428569</v>
      </c>
      <c r="AF11" s="40">
        <v>4500</v>
      </c>
      <c r="AG11" s="164">
        <v>5725.5250000000005</v>
      </c>
      <c r="AH11" s="242">
        <v>4962.8571428571431</v>
      </c>
      <c r="AI11" s="241">
        <v>60000</v>
      </c>
      <c r="AJ11" s="164">
        <v>66171.42857142858</v>
      </c>
      <c r="AK11" s="40">
        <v>6900</v>
      </c>
      <c r="AL11" s="164">
        <v>8833.5749999999989</v>
      </c>
      <c r="AM11" s="242">
        <v>7609.7142857142862</v>
      </c>
      <c r="AN11" s="241">
        <v>9000</v>
      </c>
      <c r="AO11" s="164">
        <v>9925.7142857142862</v>
      </c>
      <c r="AP11" s="40">
        <v>8900</v>
      </c>
      <c r="AQ11" s="164">
        <v>10563.594999999998</v>
      </c>
      <c r="AR11" s="242">
        <v>9815.4285714285725</v>
      </c>
      <c r="AS11" s="241">
        <v>9000</v>
      </c>
      <c r="AT11" s="164">
        <v>9925.7142857142862</v>
      </c>
      <c r="AU11" s="40">
        <v>9000</v>
      </c>
      <c r="AV11" s="164">
        <v>10847.274999999998</v>
      </c>
      <c r="AW11" s="242">
        <v>9925.7142857142862</v>
      </c>
      <c r="AX11" s="241">
        <v>9000</v>
      </c>
      <c r="AY11" s="164">
        <v>9925.7142857142862</v>
      </c>
      <c r="AZ11" s="40">
        <v>9000</v>
      </c>
      <c r="BA11" s="164">
        <v>10847.274999999998</v>
      </c>
      <c r="BB11" s="242">
        <v>9925.7142857142862</v>
      </c>
      <c r="BC11" s="241">
        <v>9000</v>
      </c>
      <c r="BD11" s="164">
        <v>9925.7142857142862</v>
      </c>
      <c r="BE11" s="40">
        <v>9000</v>
      </c>
      <c r="BF11" s="164">
        <v>10847.274999999998</v>
      </c>
      <c r="BG11" s="242">
        <v>9925.7142857142862</v>
      </c>
      <c r="BH11" s="241">
        <v>9000</v>
      </c>
      <c r="BI11" s="164">
        <v>9925.7142857142862</v>
      </c>
      <c r="BJ11" s="40">
        <v>9000</v>
      </c>
      <c r="BK11" s="164">
        <v>10847.274999999998</v>
      </c>
      <c r="BL11" s="242">
        <v>9925.7142857142862</v>
      </c>
      <c r="BM11" s="241">
        <v>9000</v>
      </c>
      <c r="BN11" s="164">
        <v>9925.7142857142862</v>
      </c>
      <c r="BO11" s="40">
        <v>9000</v>
      </c>
      <c r="BP11" s="164">
        <v>10847.274999999998</v>
      </c>
      <c r="BQ11" s="244">
        <v>9925.7142857142862</v>
      </c>
      <c r="BR11" s="241">
        <v>9000</v>
      </c>
      <c r="BS11" s="164">
        <v>9925.7142857142862</v>
      </c>
      <c r="BT11" s="40">
        <v>9000</v>
      </c>
      <c r="BU11" s="164">
        <v>10847.274999999998</v>
      </c>
      <c r="BV11" s="244">
        <v>9925.7142857142862</v>
      </c>
      <c r="BW11" s="241">
        <v>9000</v>
      </c>
      <c r="BX11" s="164">
        <v>9925.7142857142862</v>
      </c>
      <c r="BY11" s="40">
        <v>9000</v>
      </c>
      <c r="BZ11" s="164">
        <v>10847.274999999998</v>
      </c>
      <c r="CA11" s="244">
        <v>9925.7142857142862</v>
      </c>
    </row>
    <row r="12" spans="1:79" ht="15.6" customHeight="1" x14ac:dyDescent="0.25">
      <c r="A12" s="20">
        <v>61</v>
      </c>
      <c r="B12" s="161" t="s">
        <v>1427</v>
      </c>
      <c r="C12" s="162">
        <v>380</v>
      </c>
      <c r="D12" t="s">
        <v>1426</v>
      </c>
      <c r="E12" s="164">
        <v>3690.2222222222222</v>
      </c>
      <c r="F12" s="167">
        <v>3.8641070389761487</v>
      </c>
      <c r="G12" s="40">
        <v>955</v>
      </c>
      <c r="H12" s="164">
        <v>12355.114999999996</v>
      </c>
      <c r="I12" s="40">
        <v>12.937293193717274</v>
      </c>
      <c r="J12" s="241">
        <v>0</v>
      </c>
      <c r="K12" s="164">
        <v>0</v>
      </c>
      <c r="L12" s="167">
        <v>0</v>
      </c>
      <c r="M12" s="164">
        <v>0</v>
      </c>
      <c r="N12" s="164">
        <v>0</v>
      </c>
      <c r="O12" s="241">
        <v>0</v>
      </c>
      <c r="P12" s="164">
        <v>0</v>
      </c>
      <c r="Q12" s="167">
        <v>0</v>
      </c>
      <c r="R12" s="164">
        <v>0</v>
      </c>
      <c r="S12" s="164">
        <v>0</v>
      </c>
      <c r="T12" s="241">
        <v>0</v>
      </c>
      <c r="U12" s="164">
        <v>0</v>
      </c>
      <c r="V12" s="40">
        <v>0</v>
      </c>
      <c r="W12" s="164">
        <v>236.20999999999998</v>
      </c>
      <c r="X12" s="242">
        <v>0</v>
      </c>
      <c r="Y12" s="241">
        <v>380</v>
      </c>
      <c r="Z12" s="164">
        <v>3690.2222222222222</v>
      </c>
      <c r="AA12" s="40">
        <v>0</v>
      </c>
      <c r="AB12" s="164">
        <v>236.20999999999998</v>
      </c>
      <c r="AC12" s="164">
        <v>0</v>
      </c>
      <c r="AD12" s="241">
        <v>380</v>
      </c>
      <c r="AE12" s="164">
        <v>3690.2222222222222</v>
      </c>
      <c r="AF12" s="40">
        <v>450</v>
      </c>
      <c r="AG12" s="164">
        <v>8828.5549999999985</v>
      </c>
      <c r="AH12" s="242">
        <v>1738.848167539267</v>
      </c>
      <c r="AI12" s="241">
        <v>380</v>
      </c>
      <c r="AJ12" s="164">
        <v>3690.2222222222222</v>
      </c>
      <c r="AK12" s="40">
        <v>750</v>
      </c>
      <c r="AL12" s="164">
        <v>9390.9949999999972</v>
      </c>
      <c r="AM12" s="242">
        <v>2898.0802792321119</v>
      </c>
      <c r="AN12" s="241">
        <v>380</v>
      </c>
      <c r="AO12" s="164">
        <v>3690.2222222222222</v>
      </c>
      <c r="AP12" s="40">
        <v>850</v>
      </c>
      <c r="AQ12" s="164">
        <v>10544.734999999997</v>
      </c>
      <c r="AR12" s="242">
        <v>3284.4909831297268</v>
      </c>
      <c r="AS12" s="241">
        <v>380</v>
      </c>
      <c r="AT12" s="164">
        <v>3690.2222222222222</v>
      </c>
      <c r="AU12" s="40">
        <v>850</v>
      </c>
      <c r="AV12" s="164">
        <v>10873.894999999997</v>
      </c>
      <c r="AW12" s="242">
        <v>3284.4909831297268</v>
      </c>
      <c r="AX12" s="241">
        <v>380</v>
      </c>
      <c r="AY12" s="164">
        <v>3690.2222222222222</v>
      </c>
      <c r="AZ12" s="40">
        <v>955</v>
      </c>
      <c r="BA12" s="164">
        <v>12355.114999999996</v>
      </c>
      <c r="BB12" s="242">
        <v>3690.2222222222222</v>
      </c>
      <c r="BC12" s="241">
        <v>380</v>
      </c>
      <c r="BD12" s="164">
        <v>3690.2222222222222</v>
      </c>
      <c r="BE12" s="40">
        <v>955</v>
      </c>
      <c r="BF12" s="164">
        <v>12355.114999999996</v>
      </c>
      <c r="BG12" s="242">
        <v>3690.2222222222222</v>
      </c>
      <c r="BH12" s="241">
        <v>380</v>
      </c>
      <c r="BI12" s="164">
        <v>3690.2222222222222</v>
      </c>
      <c r="BJ12" s="40">
        <v>955</v>
      </c>
      <c r="BK12" s="164">
        <v>12355.114999999996</v>
      </c>
      <c r="BL12" s="242">
        <v>3690.2222222222222</v>
      </c>
      <c r="BM12" s="241">
        <v>380</v>
      </c>
      <c r="BN12" s="164">
        <v>3690.2222222222222</v>
      </c>
      <c r="BO12" s="40">
        <v>955</v>
      </c>
      <c r="BP12" s="164">
        <v>12355.114999999996</v>
      </c>
      <c r="BQ12" s="244">
        <v>3690.2222222222222</v>
      </c>
      <c r="BR12" s="241">
        <v>380</v>
      </c>
      <c r="BS12" s="164">
        <v>3690.2222222222222</v>
      </c>
      <c r="BT12" s="40">
        <v>955</v>
      </c>
      <c r="BU12" s="164">
        <v>12355.114999999996</v>
      </c>
      <c r="BV12" s="244">
        <v>3690.2222222222222</v>
      </c>
      <c r="BW12" s="241">
        <v>380</v>
      </c>
      <c r="BX12" s="164">
        <v>3690.2222222222222</v>
      </c>
      <c r="BY12" s="40">
        <v>955</v>
      </c>
      <c r="BZ12" s="164">
        <v>12355.114999999996</v>
      </c>
      <c r="CA12" s="244">
        <v>3690.2222222222222</v>
      </c>
    </row>
    <row r="13" spans="1:79" x14ac:dyDescent="0.25">
      <c r="A13" s="20">
        <v>62</v>
      </c>
      <c r="B13" s="161" t="s">
        <v>1428</v>
      </c>
      <c r="C13" s="162">
        <v>842.4</v>
      </c>
      <c r="D13" t="s">
        <v>30</v>
      </c>
      <c r="E13" s="164">
        <v>9049.1914578867745</v>
      </c>
      <c r="F13" s="167">
        <v>5.1621172035862948</v>
      </c>
      <c r="G13" s="40">
        <v>1753</v>
      </c>
      <c r="H13" s="164">
        <v>23084.962499999998</v>
      </c>
      <c r="I13" s="40">
        <v>13.168832002281802</v>
      </c>
      <c r="J13" s="241">
        <v>0</v>
      </c>
      <c r="K13" s="164">
        <v>0</v>
      </c>
      <c r="L13" s="167">
        <v>0</v>
      </c>
      <c r="M13" s="164">
        <v>0</v>
      </c>
      <c r="N13" s="164">
        <v>0</v>
      </c>
      <c r="O13" s="241">
        <v>0</v>
      </c>
      <c r="P13" s="164">
        <v>0</v>
      </c>
      <c r="Q13" s="167">
        <v>0</v>
      </c>
      <c r="R13" s="164">
        <v>0</v>
      </c>
      <c r="S13" s="164">
        <v>0</v>
      </c>
      <c r="T13" s="241">
        <v>0</v>
      </c>
      <c r="U13" s="164">
        <v>0</v>
      </c>
      <c r="V13" s="40">
        <v>0</v>
      </c>
      <c r="W13" s="164">
        <v>550</v>
      </c>
      <c r="X13" s="242">
        <v>0</v>
      </c>
      <c r="Y13" s="241">
        <v>842.4</v>
      </c>
      <c r="Z13" s="164">
        <v>9049.1914578867745</v>
      </c>
      <c r="AA13" s="40">
        <v>0</v>
      </c>
      <c r="AB13" s="164">
        <v>550</v>
      </c>
      <c r="AC13" s="164">
        <v>0</v>
      </c>
      <c r="AD13" s="241">
        <v>842.4</v>
      </c>
      <c r="AE13" s="164">
        <v>9049.1914578867745</v>
      </c>
      <c r="AF13" s="40">
        <v>0</v>
      </c>
      <c r="AG13" s="164">
        <v>1126.075</v>
      </c>
      <c r="AH13" s="242">
        <v>0</v>
      </c>
      <c r="AI13" s="241">
        <v>842.4</v>
      </c>
      <c r="AJ13" s="164">
        <v>9049.1914578867745</v>
      </c>
      <c r="AK13" s="40">
        <v>1753</v>
      </c>
      <c r="AL13" s="164">
        <v>22163.392499999998</v>
      </c>
      <c r="AM13" s="242">
        <v>9049.1914578867745</v>
      </c>
      <c r="AN13" s="241">
        <v>842.4</v>
      </c>
      <c r="AO13" s="164">
        <v>9049.1914578867745</v>
      </c>
      <c r="AP13" s="40">
        <v>1753</v>
      </c>
      <c r="AQ13" s="164">
        <v>23084.962499999998</v>
      </c>
      <c r="AR13" s="242">
        <v>9049.1914578867745</v>
      </c>
      <c r="AS13" s="241">
        <v>842.4</v>
      </c>
      <c r="AT13" s="164">
        <v>9049.1914578867745</v>
      </c>
      <c r="AU13" s="40">
        <v>1753</v>
      </c>
      <c r="AV13" s="164">
        <v>23084.962499999998</v>
      </c>
      <c r="AW13" s="242">
        <v>9049.1914578867745</v>
      </c>
      <c r="AX13" s="241">
        <v>842.4</v>
      </c>
      <c r="AY13" s="164">
        <v>9049.1914578867745</v>
      </c>
      <c r="AZ13" s="40">
        <v>1753</v>
      </c>
      <c r="BA13" s="164">
        <v>23084.962499999998</v>
      </c>
      <c r="BB13" s="242">
        <v>9049.1914578867745</v>
      </c>
      <c r="BC13" s="241">
        <v>842.4</v>
      </c>
      <c r="BD13" s="164">
        <v>9049.1914578867745</v>
      </c>
      <c r="BE13" s="40">
        <v>1753</v>
      </c>
      <c r="BF13" s="164">
        <v>23084.962499999998</v>
      </c>
      <c r="BG13" s="242">
        <v>9049.1914578867745</v>
      </c>
      <c r="BH13" s="241">
        <v>842.4</v>
      </c>
      <c r="BI13" s="164">
        <v>9049.1914578867745</v>
      </c>
      <c r="BJ13" s="40">
        <v>1753</v>
      </c>
      <c r="BK13" s="164">
        <v>23084.962499999998</v>
      </c>
      <c r="BL13" s="242">
        <v>9049.1914578867745</v>
      </c>
      <c r="BM13" s="241">
        <v>842.4</v>
      </c>
      <c r="BN13" s="164">
        <v>9049.1914578867745</v>
      </c>
      <c r="BO13" s="40">
        <v>1753</v>
      </c>
      <c r="BP13" s="164">
        <v>23084.962499999998</v>
      </c>
      <c r="BQ13" s="244">
        <v>9049.1914578867745</v>
      </c>
      <c r="BR13" s="241">
        <v>842.4</v>
      </c>
      <c r="BS13" s="164">
        <v>9049.1914578867745</v>
      </c>
      <c r="BT13" s="40">
        <v>1753</v>
      </c>
      <c r="BU13" s="164">
        <v>23084.962499999998</v>
      </c>
      <c r="BV13" s="244">
        <v>9049.1914578867745</v>
      </c>
      <c r="BW13" s="241">
        <v>842.4</v>
      </c>
      <c r="BX13" s="164">
        <v>9049.1914578867745</v>
      </c>
      <c r="BY13" s="40">
        <v>1753</v>
      </c>
      <c r="BZ13" s="164">
        <v>23084.962499999998</v>
      </c>
      <c r="CA13" s="244">
        <v>9049.1914578867745</v>
      </c>
    </row>
    <row r="14" spans="1:79" x14ac:dyDescent="0.25">
      <c r="A14" s="20">
        <v>63</v>
      </c>
      <c r="B14" s="161" t="s">
        <v>1429</v>
      </c>
      <c r="C14" s="162">
        <v>2339</v>
      </c>
      <c r="D14" t="s">
        <v>1426</v>
      </c>
      <c r="E14" s="164">
        <v>8139.9895424836604</v>
      </c>
      <c r="F14" s="167">
        <v>2.4711565095578809</v>
      </c>
      <c r="G14" s="40">
        <v>3294</v>
      </c>
      <c r="H14" s="164">
        <v>21526.71000000001</v>
      </c>
      <c r="I14" s="40">
        <v>6.5351275045537367</v>
      </c>
      <c r="J14" s="241">
        <v>0</v>
      </c>
      <c r="K14" s="164">
        <v>0</v>
      </c>
      <c r="L14" s="167">
        <v>0</v>
      </c>
      <c r="M14" s="164">
        <v>0</v>
      </c>
      <c r="N14" s="164">
        <v>0</v>
      </c>
      <c r="O14" s="241">
        <v>0</v>
      </c>
      <c r="P14" s="164">
        <v>0</v>
      </c>
      <c r="Q14" s="167">
        <v>0</v>
      </c>
      <c r="R14" s="164">
        <v>0</v>
      </c>
      <c r="S14" s="164">
        <v>0</v>
      </c>
      <c r="T14" s="241">
        <v>0</v>
      </c>
      <c r="U14" s="164">
        <v>0</v>
      </c>
      <c r="V14" s="40">
        <v>0</v>
      </c>
      <c r="W14" s="164">
        <v>120</v>
      </c>
      <c r="X14" s="242">
        <v>0</v>
      </c>
      <c r="Y14" s="241">
        <v>2339</v>
      </c>
      <c r="Z14" s="164">
        <v>8139.9895424836604</v>
      </c>
      <c r="AA14" s="40">
        <v>0</v>
      </c>
      <c r="AB14" s="164">
        <v>120</v>
      </c>
      <c r="AC14" s="164">
        <v>0</v>
      </c>
      <c r="AD14" s="241">
        <v>2339</v>
      </c>
      <c r="AE14" s="164">
        <v>8139.9895424836604</v>
      </c>
      <c r="AF14" s="40">
        <v>0</v>
      </c>
      <c r="AG14" s="164">
        <v>1685.6699999999998</v>
      </c>
      <c r="AH14" s="242">
        <v>0</v>
      </c>
      <c r="AI14" s="241">
        <v>2339</v>
      </c>
      <c r="AJ14" s="164">
        <v>8139.9895424836604</v>
      </c>
      <c r="AK14" s="40">
        <v>2100</v>
      </c>
      <c r="AL14" s="164">
        <v>14302.925000000003</v>
      </c>
      <c r="AM14" s="242">
        <v>5189.4286700715502</v>
      </c>
      <c r="AN14" s="241">
        <v>2339</v>
      </c>
      <c r="AO14" s="164">
        <v>8139.9895424836604</v>
      </c>
      <c r="AP14" s="40">
        <v>3000</v>
      </c>
      <c r="AQ14" s="164">
        <v>19887.195000000011</v>
      </c>
      <c r="AR14" s="242">
        <v>7413.4695286736433</v>
      </c>
      <c r="AS14" s="241">
        <v>2339</v>
      </c>
      <c r="AT14" s="164">
        <v>8139.9895424836604</v>
      </c>
      <c r="AU14" s="40">
        <v>3200</v>
      </c>
      <c r="AV14" s="164">
        <v>21032.970000000008</v>
      </c>
      <c r="AW14" s="242">
        <v>7907.7008305852196</v>
      </c>
      <c r="AX14" s="241">
        <v>2339</v>
      </c>
      <c r="AY14" s="164">
        <v>8139.9895424836604</v>
      </c>
      <c r="AZ14" s="40">
        <v>3294</v>
      </c>
      <c r="BA14" s="164">
        <v>21526.71000000001</v>
      </c>
      <c r="BB14" s="242">
        <v>8139.9895424836604</v>
      </c>
      <c r="BC14" s="241">
        <v>2339</v>
      </c>
      <c r="BD14" s="164">
        <v>8139.9895424836604</v>
      </c>
      <c r="BE14" s="40">
        <v>3294</v>
      </c>
      <c r="BF14" s="164">
        <v>21526.71000000001</v>
      </c>
      <c r="BG14" s="242">
        <v>8139.9895424836604</v>
      </c>
      <c r="BH14" s="241">
        <v>2339</v>
      </c>
      <c r="BI14" s="164">
        <v>8139.9895424836604</v>
      </c>
      <c r="BJ14" s="40">
        <v>3294</v>
      </c>
      <c r="BK14" s="164">
        <v>21526.71000000001</v>
      </c>
      <c r="BL14" s="242">
        <v>8139.9895424836604</v>
      </c>
      <c r="BM14" s="241">
        <v>2339</v>
      </c>
      <c r="BN14" s="164">
        <v>8139.9895424836604</v>
      </c>
      <c r="BO14" s="40">
        <v>3294</v>
      </c>
      <c r="BP14" s="164">
        <v>21526.71000000001</v>
      </c>
      <c r="BQ14" s="244">
        <v>8139.9895424836604</v>
      </c>
      <c r="BR14" s="241">
        <v>2339</v>
      </c>
      <c r="BS14" s="164">
        <v>8139.9895424836604</v>
      </c>
      <c r="BT14" s="40">
        <v>3294</v>
      </c>
      <c r="BU14" s="164">
        <v>21526.71000000001</v>
      </c>
      <c r="BV14" s="244">
        <v>8139.9895424836604</v>
      </c>
      <c r="BW14" s="241">
        <v>2339</v>
      </c>
      <c r="BX14" s="164">
        <v>8139.9895424836604</v>
      </c>
      <c r="BY14" s="40">
        <v>3294</v>
      </c>
      <c r="BZ14" s="164">
        <v>21526.71000000001</v>
      </c>
      <c r="CA14" s="244">
        <v>8139.9895424836604</v>
      </c>
    </row>
    <row r="15" spans="1:79" ht="30" x14ac:dyDescent="0.25">
      <c r="A15" s="20">
        <v>64</v>
      </c>
      <c r="B15" s="161" t="s">
        <v>1430</v>
      </c>
      <c r="C15" s="162">
        <v>955</v>
      </c>
      <c r="D15" t="s">
        <v>1426</v>
      </c>
      <c r="E15" s="164">
        <v>17548.125</v>
      </c>
      <c r="F15" s="167">
        <v>18.375</v>
      </c>
      <c r="G15" s="40">
        <v>955</v>
      </c>
      <c r="H15" s="164">
        <v>6539.3899999999985</v>
      </c>
      <c r="I15" s="40">
        <v>6.8475287958115167</v>
      </c>
      <c r="J15" s="241">
        <v>0</v>
      </c>
      <c r="K15" s="164">
        <v>0</v>
      </c>
      <c r="L15" s="167">
        <v>0</v>
      </c>
      <c r="M15" s="164">
        <v>0</v>
      </c>
      <c r="N15" s="164">
        <v>0</v>
      </c>
      <c r="O15" s="241">
        <v>0</v>
      </c>
      <c r="P15" s="164">
        <v>0</v>
      </c>
      <c r="Q15" s="167">
        <v>0</v>
      </c>
      <c r="R15" s="164">
        <v>0</v>
      </c>
      <c r="S15" s="164">
        <v>0</v>
      </c>
      <c r="T15" s="241">
        <v>0</v>
      </c>
      <c r="U15" s="164">
        <v>0</v>
      </c>
      <c r="V15" s="40">
        <v>0</v>
      </c>
      <c r="W15" s="164">
        <v>0</v>
      </c>
      <c r="X15" s="242">
        <v>0</v>
      </c>
      <c r="Y15" s="241">
        <v>0</v>
      </c>
      <c r="Z15" s="164">
        <v>0</v>
      </c>
      <c r="AA15" s="40">
        <v>0</v>
      </c>
      <c r="AB15" s="164">
        <v>0</v>
      </c>
      <c r="AC15" s="164">
        <v>0</v>
      </c>
      <c r="AD15" s="241">
        <v>955</v>
      </c>
      <c r="AE15" s="164">
        <v>17548.125</v>
      </c>
      <c r="AF15" s="40">
        <v>0</v>
      </c>
      <c r="AG15" s="164">
        <v>0</v>
      </c>
      <c r="AH15" s="242">
        <v>0</v>
      </c>
      <c r="AI15" s="241">
        <v>955</v>
      </c>
      <c r="AJ15" s="164">
        <v>17548.125</v>
      </c>
      <c r="AK15" s="40">
        <v>0</v>
      </c>
      <c r="AL15" s="164">
        <v>0</v>
      </c>
      <c r="AM15" s="242">
        <v>0</v>
      </c>
      <c r="AN15" s="241">
        <v>955</v>
      </c>
      <c r="AO15" s="164">
        <v>17548.125</v>
      </c>
      <c r="AP15" s="40">
        <v>955</v>
      </c>
      <c r="AQ15" s="164">
        <v>6539.3899999999985</v>
      </c>
      <c r="AR15" s="242">
        <v>17548.125</v>
      </c>
      <c r="AS15" s="241">
        <v>955</v>
      </c>
      <c r="AT15" s="164">
        <v>17548.125</v>
      </c>
      <c r="AU15" s="40">
        <v>955</v>
      </c>
      <c r="AV15" s="164">
        <v>6539.3899999999985</v>
      </c>
      <c r="AW15" s="242">
        <v>17548.125</v>
      </c>
      <c r="AX15" s="241">
        <v>955</v>
      </c>
      <c r="AY15" s="164">
        <v>17548.125</v>
      </c>
      <c r="AZ15" s="40">
        <v>955</v>
      </c>
      <c r="BA15" s="164">
        <v>6539.3899999999985</v>
      </c>
      <c r="BB15" s="242">
        <v>17548.125</v>
      </c>
      <c r="BC15" s="241">
        <v>955</v>
      </c>
      <c r="BD15" s="164">
        <v>17548.125</v>
      </c>
      <c r="BE15" s="40">
        <v>955</v>
      </c>
      <c r="BF15" s="164">
        <v>6539.3899999999985</v>
      </c>
      <c r="BG15" s="242">
        <v>17548.125</v>
      </c>
      <c r="BH15" s="241">
        <v>955</v>
      </c>
      <c r="BI15" s="164">
        <v>17548.125</v>
      </c>
      <c r="BJ15" s="40">
        <v>955</v>
      </c>
      <c r="BK15" s="164">
        <v>6539.3899999999985</v>
      </c>
      <c r="BL15" s="242">
        <v>17548.125</v>
      </c>
      <c r="BM15" s="241">
        <v>955</v>
      </c>
      <c r="BN15" s="164">
        <v>17548.125</v>
      </c>
      <c r="BO15" s="40">
        <v>955</v>
      </c>
      <c r="BP15" s="164">
        <v>6539.3899999999985</v>
      </c>
      <c r="BQ15" s="244">
        <v>17548.125</v>
      </c>
      <c r="BR15" s="241">
        <v>955</v>
      </c>
      <c r="BS15" s="164">
        <v>17548.125</v>
      </c>
      <c r="BT15" s="40">
        <v>955</v>
      </c>
      <c r="BU15" s="164">
        <v>6539.3899999999985</v>
      </c>
      <c r="BV15" s="244">
        <v>17548.125</v>
      </c>
      <c r="BW15" s="241">
        <v>955</v>
      </c>
      <c r="BX15" s="164">
        <v>17548.125</v>
      </c>
      <c r="BY15" s="40">
        <v>955</v>
      </c>
      <c r="BZ15" s="164">
        <v>6539.3899999999985</v>
      </c>
      <c r="CA15" s="244">
        <v>17548.125</v>
      </c>
    </row>
    <row r="16" spans="1:79" x14ac:dyDescent="0.25">
      <c r="A16" s="20">
        <v>65</v>
      </c>
      <c r="B16" s="161" t="s">
        <v>524</v>
      </c>
      <c r="C16" s="162">
        <v>88</v>
      </c>
      <c r="D16" t="s">
        <v>30</v>
      </c>
      <c r="E16" s="164">
        <v>39160</v>
      </c>
      <c r="F16" s="167">
        <v>454.29234338747096</v>
      </c>
      <c r="G16" s="40">
        <v>86.2</v>
      </c>
      <c r="H16" s="164">
        <v>34904.459999999992</v>
      </c>
      <c r="I16" s="40">
        <v>404.92412993039432</v>
      </c>
      <c r="J16" s="241">
        <v>0</v>
      </c>
      <c r="K16" s="164">
        <v>0</v>
      </c>
      <c r="L16" s="167">
        <v>0</v>
      </c>
      <c r="M16" s="164">
        <v>0</v>
      </c>
      <c r="N16" s="164">
        <v>0</v>
      </c>
      <c r="O16" s="241">
        <v>0</v>
      </c>
      <c r="P16" s="164">
        <v>0</v>
      </c>
      <c r="Q16" s="167">
        <v>0</v>
      </c>
      <c r="R16" s="164">
        <v>0</v>
      </c>
      <c r="S16" s="164">
        <v>0</v>
      </c>
      <c r="T16" s="241">
        <v>0</v>
      </c>
      <c r="U16" s="164">
        <v>0</v>
      </c>
      <c r="V16" s="40">
        <v>0</v>
      </c>
      <c r="W16" s="164">
        <v>0</v>
      </c>
      <c r="X16" s="242">
        <v>0</v>
      </c>
      <c r="Y16" s="241">
        <v>0</v>
      </c>
      <c r="Z16" s="164">
        <v>0</v>
      </c>
      <c r="AA16" s="40">
        <v>0</v>
      </c>
      <c r="AB16" s="164">
        <v>0</v>
      </c>
      <c r="AC16" s="164">
        <v>0</v>
      </c>
      <c r="AD16" s="241">
        <v>88</v>
      </c>
      <c r="AE16" s="164">
        <v>39160</v>
      </c>
      <c r="AF16" s="40">
        <v>0</v>
      </c>
      <c r="AG16" s="164">
        <v>0</v>
      </c>
      <c r="AH16" s="242">
        <v>0</v>
      </c>
      <c r="AI16" s="241">
        <v>88</v>
      </c>
      <c r="AJ16" s="164">
        <v>39160</v>
      </c>
      <c r="AK16" s="40">
        <v>0</v>
      </c>
      <c r="AL16" s="164">
        <v>0</v>
      </c>
      <c r="AM16" s="242">
        <v>0</v>
      </c>
      <c r="AN16" s="241">
        <v>88</v>
      </c>
      <c r="AO16" s="164">
        <v>39160</v>
      </c>
      <c r="AP16" s="40">
        <v>86.2</v>
      </c>
      <c r="AQ16" s="164">
        <v>34298.939999999995</v>
      </c>
      <c r="AR16" s="242">
        <v>39160</v>
      </c>
      <c r="AS16" s="241">
        <v>88</v>
      </c>
      <c r="AT16" s="164">
        <v>39160</v>
      </c>
      <c r="AU16" s="40">
        <v>86.2</v>
      </c>
      <c r="AV16" s="164">
        <v>34465.659999999996</v>
      </c>
      <c r="AW16" s="242">
        <v>39160</v>
      </c>
      <c r="AX16" s="241">
        <v>88</v>
      </c>
      <c r="AY16" s="164">
        <v>39160</v>
      </c>
      <c r="AZ16" s="40">
        <v>86.2</v>
      </c>
      <c r="BA16" s="164">
        <v>34465.659999999996</v>
      </c>
      <c r="BB16" s="242">
        <v>39160</v>
      </c>
      <c r="BC16" s="241">
        <v>88</v>
      </c>
      <c r="BD16" s="164">
        <v>39160</v>
      </c>
      <c r="BE16" s="40">
        <v>86.2</v>
      </c>
      <c r="BF16" s="164">
        <v>34904.459999999992</v>
      </c>
      <c r="BG16" s="242">
        <v>39160</v>
      </c>
      <c r="BH16" s="241">
        <v>88</v>
      </c>
      <c r="BI16" s="164">
        <v>39160</v>
      </c>
      <c r="BJ16" s="40">
        <v>86.2</v>
      </c>
      <c r="BK16" s="164">
        <v>34904.459999999992</v>
      </c>
      <c r="BL16" s="242">
        <v>39160</v>
      </c>
      <c r="BM16" s="241">
        <v>88</v>
      </c>
      <c r="BN16" s="164">
        <v>39160</v>
      </c>
      <c r="BO16" s="40">
        <v>86.2</v>
      </c>
      <c r="BP16" s="164">
        <v>34904.459999999992</v>
      </c>
      <c r="BQ16" s="244">
        <v>39160</v>
      </c>
      <c r="BR16" s="241">
        <v>88</v>
      </c>
      <c r="BS16" s="164">
        <v>39160</v>
      </c>
      <c r="BT16" s="40">
        <v>86.2</v>
      </c>
      <c r="BU16" s="164">
        <v>34904.459999999992</v>
      </c>
      <c r="BV16" s="244">
        <v>39160</v>
      </c>
      <c r="BW16" s="241">
        <v>88</v>
      </c>
      <c r="BX16" s="164">
        <v>39160</v>
      </c>
      <c r="BY16" s="40">
        <v>86.2</v>
      </c>
      <c r="BZ16" s="164">
        <v>34904.459999999992</v>
      </c>
      <c r="CA16" s="244">
        <v>39160</v>
      </c>
    </row>
    <row r="17" spans="1:79" x14ac:dyDescent="0.25">
      <c r="A17" s="20">
        <v>71</v>
      </c>
      <c r="B17" s="161" t="s">
        <v>1431</v>
      </c>
      <c r="C17" s="162">
        <v>443</v>
      </c>
      <c r="D17" t="s">
        <v>26</v>
      </c>
      <c r="E17" s="164">
        <v>16834</v>
      </c>
      <c r="F17" s="167">
        <v>38</v>
      </c>
      <c r="G17" s="40">
        <v>443</v>
      </c>
      <c r="H17" s="164">
        <v>14639.324000000001</v>
      </c>
      <c r="I17" s="40">
        <v>33.045878103837474</v>
      </c>
      <c r="J17" s="241">
        <v>0</v>
      </c>
      <c r="K17" s="164">
        <v>0</v>
      </c>
      <c r="L17" s="167">
        <v>0</v>
      </c>
      <c r="M17" s="164">
        <v>0</v>
      </c>
      <c r="N17" s="164">
        <v>0</v>
      </c>
      <c r="O17" s="241">
        <v>0</v>
      </c>
      <c r="P17" s="164">
        <v>0</v>
      </c>
      <c r="Q17" s="167">
        <v>0</v>
      </c>
      <c r="R17" s="164">
        <v>0</v>
      </c>
      <c r="S17" s="164">
        <v>0</v>
      </c>
      <c r="T17" s="241">
        <v>0</v>
      </c>
      <c r="U17" s="164">
        <v>0</v>
      </c>
      <c r="V17" s="40">
        <v>0</v>
      </c>
      <c r="W17" s="164">
        <v>0</v>
      </c>
      <c r="X17" s="242">
        <v>0</v>
      </c>
      <c r="Y17" s="241">
        <v>443</v>
      </c>
      <c r="Z17" s="164">
        <v>16834</v>
      </c>
      <c r="AA17" s="40">
        <v>0</v>
      </c>
      <c r="AB17" s="164">
        <v>78.11</v>
      </c>
      <c r="AC17" s="164">
        <v>0</v>
      </c>
      <c r="AD17" s="241">
        <v>443</v>
      </c>
      <c r="AE17" s="164">
        <v>16834</v>
      </c>
      <c r="AF17" s="40">
        <v>0</v>
      </c>
      <c r="AG17" s="164">
        <v>78.11</v>
      </c>
      <c r="AH17" s="242">
        <v>0</v>
      </c>
      <c r="AI17" s="241">
        <v>443</v>
      </c>
      <c r="AJ17" s="164">
        <v>16834</v>
      </c>
      <c r="AK17" s="40">
        <v>443</v>
      </c>
      <c r="AL17" s="164">
        <v>14132.814</v>
      </c>
      <c r="AM17" s="242">
        <v>16834</v>
      </c>
      <c r="AN17" s="241">
        <v>443</v>
      </c>
      <c r="AO17" s="164">
        <v>16834</v>
      </c>
      <c r="AP17" s="40">
        <v>443</v>
      </c>
      <c r="AQ17" s="164">
        <v>14255.699000000001</v>
      </c>
      <c r="AR17" s="242">
        <v>16834</v>
      </c>
      <c r="AS17" s="241">
        <v>443</v>
      </c>
      <c r="AT17" s="164">
        <v>16834</v>
      </c>
      <c r="AU17" s="40">
        <v>443</v>
      </c>
      <c r="AV17" s="164">
        <v>14450.204000000002</v>
      </c>
      <c r="AW17" s="242">
        <v>16834</v>
      </c>
      <c r="AX17" s="241">
        <v>443</v>
      </c>
      <c r="AY17" s="164">
        <v>16834</v>
      </c>
      <c r="AZ17" s="40">
        <v>443</v>
      </c>
      <c r="BA17" s="164">
        <v>14450.204000000002</v>
      </c>
      <c r="BB17" s="242">
        <v>16834</v>
      </c>
      <c r="BC17" s="241">
        <v>443</v>
      </c>
      <c r="BD17" s="164">
        <v>16834</v>
      </c>
      <c r="BE17" s="40">
        <v>443</v>
      </c>
      <c r="BF17" s="164">
        <v>14639.324000000001</v>
      </c>
      <c r="BG17" s="242">
        <v>16834</v>
      </c>
      <c r="BH17" s="241">
        <v>443</v>
      </c>
      <c r="BI17" s="164">
        <v>16834</v>
      </c>
      <c r="BJ17" s="40">
        <v>443</v>
      </c>
      <c r="BK17" s="164">
        <v>14639.324000000001</v>
      </c>
      <c r="BL17" s="242">
        <v>16834</v>
      </c>
      <c r="BM17" s="241">
        <v>443</v>
      </c>
      <c r="BN17" s="164">
        <v>16834</v>
      </c>
      <c r="BO17" s="40">
        <v>443</v>
      </c>
      <c r="BP17" s="164">
        <v>14639.324000000001</v>
      </c>
      <c r="BQ17" s="244">
        <v>16834</v>
      </c>
      <c r="BR17" s="241">
        <v>443</v>
      </c>
      <c r="BS17" s="164">
        <v>16834</v>
      </c>
      <c r="BT17" s="40">
        <v>443</v>
      </c>
      <c r="BU17" s="164">
        <v>14639.324000000001</v>
      </c>
      <c r="BV17" s="244">
        <v>16834</v>
      </c>
      <c r="BW17" s="241">
        <v>443</v>
      </c>
      <c r="BX17" s="164">
        <v>16834</v>
      </c>
      <c r="BY17" s="40">
        <v>443</v>
      </c>
      <c r="BZ17" s="164">
        <v>14639.324000000001</v>
      </c>
      <c r="CA17" s="244">
        <v>16834</v>
      </c>
    </row>
    <row r="18" spans="1:79" x14ac:dyDescent="0.25">
      <c r="A18" s="20">
        <v>72</v>
      </c>
      <c r="B18" s="161" t="s">
        <v>1432</v>
      </c>
      <c r="C18" s="162">
        <v>1</v>
      </c>
      <c r="D18" t="s">
        <v>1422</v>
      </c>
      <c r="E18" s="164">
        <v>1900</v>
      </c>
      <c r="F18" s="167">
        <v>1900</v>
      </c>
      <c r="G18" s="40">
        <v>1</v>
      </c>
      <c r="H18" s="164">
        <v>532.5</v>
      </c>
      <c r="I18" s="40">
        <v>532.5</v>
      </c>
      <c r="J18" s="241">
        <v>0</v>
      </c>
      <c r="K18" s="164">
        <v>0</v>
      </c>
      <c r="L18" s="167">
        <v>0</v>
      </c>
      <c r="M18" s="164">
        <v>0</v>
      </c>
      <c r="N18" s="164">
        <v>0</v>
      </c>
      <c r="O18" s="241">
        <v>0</v>
      </c>
      <c r="P18" s="164">
        <v>0</v>
      </c>
      <c r="Q18" s="167">
        <v>0</v>
      </c>
      <c r="R18" s="164">
        <v>0</v>
      </c>
      <c r="S18" s="164">
        <v>0</v>
      </c>
      <c r="T18" s="241">
        <v>0</v>
      </c>
      <c r="U18" s="164">
        <v>0</v>
      </c>
      <c r="V18" s="40">
        <v>0</v>
      </c>
      <c r="W18" s="164">
        <v>0</v>
      </c>
      <c r="X18" s="242">
        <v>0</v>
      </c>
      <c r="Y18" s="241">
        <v>1</v>
      </c>
      <c r="Z18" s="164">
        <v>1900</v>
      </c>
      <c r="AA18" s="40">
        <v>1</v>
      </c>
      <c r="AB18" s="164">
        <v>532.5</v>
      </c>
      <c r="AC18" s="164">
        <v>1900</v>
      </c>
      <c r="AD18" s="241">
        <v>1</v>
      </c>
      <c r="AE18" s="164">
        <v>1900</v>
      </c>
      <c r="AF18" s="40">
        <v>1</v>
      </c>
      <c r="AG18" s="164">
        <v>532.5</v>
      </c>
      <c r="AH18" s="242">
        <v>1900</v>
      </c>
      <c r="AI18" s="241">
        <v>1</v>
      </c>
      <c r="AJ18" s="164">
        <v>1900</v>
      </c>
      <c r="AK18" s="40">
        <v>1</v>
      </c>
      <c r="AL18" s="164">
        <v>532.5</v>
      </c>
      <c r="AM18" s="242">
        <v>1900</v>
      </c>
      <c r="AN18" s="241">
        <v>1</v>
      </c>
      <c r="AO18" s="164">
        <v>1900</v>
      </c>
      <c r="AP18" s="40">
        <v>1</v>
      </c>
      <c r="AQ18" s="164">
        <v>532.5</v>
      </c>
      <c r="AR18" s="242">
        <v>1900</v>
      </c>
      <c r="AS18" s="241">
        <v>1</v>
      </c>
      <c r="AT18" s="164">
        <v>1900</v>
      </c>
      <c r="AU18" s="40">
        <v>1</v>
      </c>
      <c r="AV18" s="164">
        <v>532.5</v>
      </c>
      <c r="AW18" s="242">
        <v>1900</v>
      </c>
      <c r="AX18" s="241">
        <v>1</v>
      </c>
      <c r="AY18" s="164">
        <v>1900</v>
      </c>
      <c r="AZ18" s="40">
        <v>1</v>
      </c>
      <c r="BA18" s="164">
        <v>532.5</v>
      </c>
      <c r="BB18" s="242">
        <v>1900</v>
      </c>
      <c r="BC18" s="241">
        <v>1</v>
      </c>
      <c r="BD18" s="164">
        <v>1900</v>
      </c>
      <c r="BE18" s="40">
        <v>1</v>
      </c>
      <c r="BF18" s="164">
        <v>532.5</v>
      </c>
      <c r="BG18" s="242">
        <v>1900</v>
      </c>
      <c r="BH18" s="241">
        <v>1</v>
      </c>
      <c r="BI18" s="164">
        <v>1900</v>
      </c>
      <c r="BJ18" s="40">
        <v>1</v>
      </c>
      <c r="BK18" s="164">
        <v>532.5</v>
      </c>
      <c r="BL18" s="242">
        <v>1900</v>
      </c>
      <c r="BM18" s="241">
        <v>1</v>
      </c>
      <c r="BN18" s="164">
        <v>1900</v>
      </c>
      <c r="BO18" s="40">
        <v>1</v>
      </c>
      <c r="BP18" s="164">
        <v>532.5</v>
      </c>
      <c r="BQ18" s="244">
        <v>1900</v>
      </c>
      <c r="BR18" s="241">
        <v>1</v>
      </c>
      <c r="BS18" s="164">
        <v>1900</v>
      </c>
      <c r="BT18" s="40">
        <v>1</v>
      </c>
      <c r="BU18" s="164">
        <v>532.5</v>
      </c>
      <c r="BV18" s="244">
        <v>1900</v>
      </c>
      <c r="BW18" s="241">
        <v>1</v>
      </c>
      <c r="BX18" s="164">
        <v>1900</v>
      </c>
      <c r="BY18" s="40">
        <v>1</v>
      </c>
      <c r="BZ18" s="164">
        <v>532.5</v>
      </c>
      <c r="CA18" s="244">
        <v>1900</v>
      </c>
    </row>
    <row r="19" spans="1:79" x14ac:dyDescent="0.25">
      <c r="A19" s="20">
        <v>73</v>
      </c>
      <c r="B19" s="161" t="s">
        <v>1433</v>
      </c>
      <c r="C19" s="162">
        <v>466.1</v>
      </c>
      <c r="D19" t="s">
        <v>1426</v>
      </c>
      <c r="E19" s="164">
        <v>24991.501999999997</v>
      </c>
      <c r="F19" s="167">
        <v>44.940661751483539</v>
      </c>
      <c r="G19" s="40">
        <v>556.1</v>
      </c>
      <c r="H19" s="164">
        <v>38225.277500000011</v>
      </c>
      <c r="I19" s="40">
        <v>68.738136126595947</v>
      </c>
      <c r="J19" s="241">
        <v>0</v>
      </c>
      <c r="K19" s="164">
        <v>0</v>
      </c>
      <c r="L19" s="167">
        <v>0</v>
      </c>
      <c r="M19" s="164">
        <v>0</v>
      </c>
      <c r="N19" s="164">
        <v>0</v>
      </c>
      <c r="O19" s="241">
        <v>0</v>
      </c>
      <c r="P19" s="164">
        <v>0</v>
      </c>
      <c r="Q19" s="167">
        <v>0</v>
      </c>
      <c r="R19" s="164">
        <v>0</v>
      </c>
      <c r="S19" s="164">
        <v>0</v>
      </c>
      <c r="T19" s="241">
        <v>0</v>
      </c>
      <c r="U19" s="164">
        <v>0</v>
      </c>
      <c r="V19" s="40">
        <v>0</v>
      </c>
      <c r="W19" s="164">
        <v>0</v>
      </c>
      <c r="X19" s="242">
        <v>0</v>
      </c>
      <c r="Y19" s="241">
        <v>0</v>
      </c>
      <c r="Z19" s="164">
        <v>0</v>
      </c>
      <c r="AA19" s="40">
        <v>0</v>
      </c>
      <c r="AB19" s="164">
        <v>0</v>
      </c>
      <c r="AC19" s="164">
        <v>0</v>
      </c>
      <c r="AD19" s="241">
        <v>0</v>
      </c>
      <c r="AE19" s="164">
        <v>0</v>
      </c>
      <c r="AF19" s="40">
        <v>0</v>
      </c>
      <c r="AG19" s="164">
        <v>0</v>
      </c>
      <c r="AH19" s="242">
        <v>0</v>
      </c>
      <c r="AI19" s="241">
        <v>200</v>
      </c>
      <c r="AJ19" s="164">
        <v>10723.665307873844</v>
      </c>
      <c r="AK19" s="40">
        <v>0</v>
      </c>
      <c r="AL19" s="164">
        <v>0</v>
      </c>
      <c r="AM19" s="242">
        <v>0</v>
      </c>
      <c r="AN19" s="241">
        <v>466.1</v>
      </c>
      <c r="AO19" s="164">
        <v>24991.501999999997</v>
      </c>
      <c r="AP19" s="40">
        <v>135</v>
      </c>
      <c r="AQ19" s="164">
        <v>9330.3549999999996</v>
      </c>
      <c r="AR19" s="242">
        <v>6066.9893364502777</v>
      </c>
      <c r="AS19" s="241">
        <v>466.1</v>
      </c>
      <c r="AT19" s="164">
        <v>24991.501999999997</v>
      </c>
      <c r="AU19" s="40">
        <v>380</v>
      </c>
      <c r="AV19" s="164">
        <v>26282.4175</v>
      </c>
      <c r="AW19" s="242">
        <v>17077.451465563743</v>
      </c>
      <c r="AX19" s="241">
        <v>466.1</v>
      </c>
      <c r="AY19" s="164">
        <v>24991.501999999997</v>
      </c>
      <c r="AZ19" s="40">
        <v>540</v>
      </c>
      <c r="BA19" s="164">
        <v>37199.797500000008</v>
      </c>
      <c r="BB19" s="242">
        <v>24267.957345801111</v>
      </c>
      <c r="BC19" s="241">
        <v>466.1</v>
      </c>
      <c r="BD19" s="164">
        <v>24991.501999999997</v>
      </c>
      <c r="BE19" s="40">
        <v>540</v>
      </c>
      <c r="BF19" s="164">
        <v>37199.797500000008</v>
      </c>
      <c r="BG19" s="242">
        <v>24267.957345801111</v>
      </c>
      <c r="BH19" s="241">
        <v>466.1</v>
      </c>
      <c r="BI19" s="164">
        <v>24991.501999999997</v>
      </c>
      <c r="BJ19" s="40">
        <v>540</v>
      </c>
      <c r="BK19" s="164">
        <v>37199.797500000008</v>
      </c>
      <c r="BL19" s="242">
        <v>24267.957345801111</v>
      </c>
      <c r="BM19" s="241">
        <v>466.1</v>
      </c>
      <c r="BN19" s="164">
        <v>24991.501999999997</v>
      </c>
      <c r="BO19" s="40">
        <v>556.1</v>
      </c>
      <c r="BP19" s="164">
        <v>38225.277500000011</v>
      </c>
      <c r="BQ19" s="244">
        <v>24991.501999999997</v>
      </c>
      <c r="BR19" s="241">
        <v>466.1</v>
      </c>
      <c r="BS19" s="164">
        <v>24991.501999999997</v>
      </c>
      <c r="BT19" s="40">
        <v>556.1</v>
      </c>
      <c r="BU19" s="164">
        <v>38225.277500000011</v>
      </c>
      <c r="BV19" s="244">
        <v>24991.501999999997</v>
      </c>
      <c r="BW19" s="241">
        <v>466.1</v>
      </c>
      <c r="BX19" s="164">
        <v>24991.501999999997</v>
      </c>
      <c r="BY19" s="40">
        <v>556.1</v>
      </c>
      <c r="BZ19" s="164">
        <v>38225.277500000011</v>
      </c>
      <c r="CA19" s="244">
        <v>24991.501999999997</v>
      </c>
    </row>
    <row r="20" spans="1:79" x14ac:dyDescent="0.25">
      <c r="A20" s="20">
        <v>81</v>
      </c>
      <c r="B20" s="161" t="s">
        <v>1434</v>
      </c>
      <c r="C20" s="162">
        <v>405.2</v>
      </c>
      <c r="D20" t="s">
        <v>26</v>
      </c>
      <c r="E20" s="164">
        <v>18720.240000000002</v>
      </c>
      <c r="F20" s="167">
        <v>46.2</v>
      </c>
      <c r="G20" s="40">
        <v>405.2</v>
      </c>
      <c r="H20" s="164">
        <v>16600.830000000002</v>
      </c>
      <c r="I20" s="40">
        <v>40.969471865745319</v>
      </c>
      <c r="J20" s="241">
        <v>200</v>
      </c>
      <c r="K20" s="164">
        <v>9240.0000000000018</v>
      </c>
      <c r="L20" s="167">
        <v>0</v>
      </c>
      <c r="M20" s="164">
        <v>0</v>
      </c>
      <c r="N20" s="164">
        <v>0</v>
      </c>
      <c r="O20" s="241">
        <v>405.2</v>
      </c>
      <c r="P20" s="164">
        <v>18720.240000000002</v>
      </c>
      <c r="Q20" s="167">
        <v>405.2</v>
      </c>
      <c r="R20" s="164">
        <v>16600.830000000002</v>
      </c>
      <c r="S20" s="164">
        <v>18720.240000000002</v>
      </c>
      <c r="T20" s="241">
        <v>405.2</v>
      </c>
      <c r="U20" s="164">
        <v>18720.240000000002</v>
      </c>
      <c r="V20" s="40">
        <v>405.2</v>
      </c>
      <c r="W20" s="164">
        <v>16600.830000000002</v>
      </c>
      <c r="X20" s="242">
        <v>18720.240000000002</v>
      </c>
      <c r="Y20" s="241">
        <v>405.2</v>
      </c>
      <c r="Z20" s="164">
        <v>18720.240000000002</v>
      </c>
      <c r="AA20" s="40">
        <v>405.2</v>
      </c>
      <c r="AB20" s="164">
        <v>16600.830000000002</v>
      </c>
      <c r="AC20" s="164">
        <v>18720.240000000002</v>
      </c>
      <c r="AD20" s="241">
        <v>405.2</v>
      </c>
      <c r="AE20" s="164">
        <v>18720.240000000002</v>
      </c>
      <c r="AF20" s="40">
        <v>405.2</v>
      </c>
      <c r="AG20" s="164">
        <v>16600.830000000002</v>
      </c>
      <c r="AH20" s="242">
        <v>18720.240000000002</v>
      </c>
      <c r="AI20" s="241">
        <v>405.2</v>
      </c>
      <c r="AJ20" s="164">
        <v>18720.240000000002</v>
      </c>
      <c r="AK20" s="40">
        <v>405.2</v>
      </c>
      <c r="AL20" s="164">
        <v>16600.830000000002</v>
      </c>
      <c r="AM20" s="242">
        <v>18720.240000000002</v>
      </c>
      <c r="AN20" s="241">
        <v>405.2</v>
      </c>
      <c r="AO20" s="164">
        <v>18720.240000000002</v>
      </c>
      <c r="AP20" s="40">
        <v>405.2</v>
      </c>
      <c r="AQ20" s="164">
        <v>16600.830000000002</v>
      </c>
      <c r="AR20" s="242">
        <v>18720.240000000002</v>
      </c>
      <c r="AS20" s="241">
        <v>405.2</v>
      </c>
      <c r="AT20" s="164">
        <v>18720.240000000002</v>
      </c>
      <c r="AU20" s="40">
        <v>405.2</v>
      </c>
      <c r="AV20" s="164">
        <v>16600.830000000002</v>
      </c>
      <c r="AW20" s="242">
        <v>18720.240000000002</v>
      </c>
      <c r="AX20" s="241">
        <v>405.2</v>
      </c>
      <c r="AY20" s="164">
        <v>18720.240000000002</v>
      </c>
      <c r="AZ20" s="40">
        <v>405.2</v>
      </c>
      <c r="BA20" s="164">
        <v>16600.830000000002</v>
      </c>
      <c r="BB20" s="242">
        <v>18720.240000000002</v>
      </c>
      <c r="BC20" s="241">
        <v>405.2</v>
      </c>
      <c r="BD20" s="164">
        <v>18720.240000000002</v>
      </c>
      <c r="BE20" s="40">
        <v>405.2</v>
      </c>
      <c r="BF20" s="164">
        <v>16600.830000000002</v>
      </c>
      <c r="BG20" s="242">
        <v>18720.240000000002</v>
      </c>
      <c r="BH20" s="241">
        <v>405.2</v>
      </c>
      <c r="BI20" s="164">
        <v>18720.240000000002</v>
      </c>
      <c r="BJ20" s="40">
        <v>405.2</v>
      </c>
      <c r="BK20" s="164">
        <v>16600.830000000002</v>
      </c>
      <c r="BL20" s="242">
        <v>18720.240000000002</v>
      </c>
      <c r="BM20" s="241">
        <v>405.2</v>
      </c>
      <c r="BN20" s="164">
        <v>18720.240000000002</v>
      </c>
      <c r="BO20" s="40">
        <v>405.2</v>
      </c>
      <c r="BP20" s="164">
        <v>16600.830000000002</v>
      </c>
      <c r="BQ20" s="244">
        <v>18720.240000000002</v>
      </c>
      <c r="BR20" s="241">
        <v>405.2</v>
      </c>
      <c r="BS20" s="164">
        <v>18720.240000000002</v>
      </c>
      <c r="BT20" s="40">
        <v>405.2</v>
      </c>
      <c r="BU20" s="164">
        <v>16600.830000000002</v>
      </c>
      <c r="BV20" s="244">
        <v>18720.240000000002</v>
      </c>
      <c r="BW20" s="241">
        <v>405.2</v>
      </c>
      <c r="BX20" s="164">
        <v>18720.240000000002</v>
      </c>
      <c r="BY20" s="40">
        <v>405.2</v>
      </c>
      <c r="BZ20" s="164">
        <v>16600.830000000002</v>
      </c>
      <c r="CA20" s="244">
        <v>18720.240000000002</v>
      </c>
    </row>
    <row r="21" spans="1:79" x14ac:dyDescent="0.25">
      <c r="A21" s="20">
        <v>82</v>
      </c>
      <c r="B21" s="161" t="s">
        <v>1435</v>
      </c>
      <c r="C21" s="162">
        <v>102.4</v>
      </c>
      <c r="D21" t="s">
        <v>26</v>
      </c>
      <c r="E21" s="164">
        <v>4730.88</v>
      </c>
      <c r="F21" s="167">
        <v>46.199999999999996</v>
      </c>
      <c r="G21" s="40">
        <v>102.4</v>
      </c>
      <c r="H21" s="164">
        <v>10332.59</v>
      </c>
      <c r="I21" s="40">
        <v>100.90419921874999</v>
      </c>
      <c r="J21" s="241">
        <v>0</v>
      </c>
      <c r="K21" s="164">
        <v>0</v>
      </c>
      <c r="L21" s="167">
        <v>0</v>
      </c>
      <c r="M21" s="164">
        <v>0</v>
      </c>
      <c r="N21" s="164">
        <v>0</v>
      </c>
      <c r="O21" s="241">
        <v>102.4</v>
      </c>
      <c r="P21" s="164">
        <v>4730.88</v>
      </c>
      <c r="Q21" s="167">
        <v>95</v>
      </c>
      <c r="R21" s="164">
        <v>9895.9500000000007</v>
      </c>
      <c r="S21" s="164">
        <v>4389</v>
      </c>
      <c r="T21" s="241">
        <v>102.4</v>
      </c>
      <c r="U21" s="164">
        <v>4730.88</v>
      </c>
      <c r="V21" s="40">
        <v>95</v>
      </c>
      <c r="W21" s="164">
        <v>9895.9500000000007</v>
      </c>
      <c r="X21" s="242">
        <v>4389</v>
      </c>
      <c r="Y21" s="241">
        <v>102.4</v>
      </c>
      <c r="Z21" s="164">
        <v>4730.88</v>
      </c>
      <c r="AA21" s="40">
        <v>95</v>
      </c>
      <c r="AB21" s="164">
        <v>9895.9500000000007</v>
      </c>
      <c r="AC21" s="164">
        <v>4389</v>
      </c>
      <c r="AD21" s="241">
        <v>102.4</v>
      </c>
      <c r="AE21" s="164">
        <v>4730.88</v>
      </c>
      <c r="AF21" s="40">
        <v>95</v>
      </c>
      <c r="AG21" s="164">
        <v>9895.9500000000007</v>
      </c>
      <c r="AH21" s="242">
        <v>4389</v>
      </c>
      <c r="AI21" s="241">
        <v>102.4</v>
      </c>
      <c r="AJ21" s="164">
        <v>4730.88</v>
      </c>
      <c r="AK21" s="40">
        <v>95</v>
      </c>
      <c r="AL21" s="164">
        <v>9895.9500000000007</v>
      </c>
      <c r="AM21" s="242">
        <v>4389</v>
      </c>
      <c r="AN21" s="241">
        <v>102.4</v>
      </c>
      <c r="AO21" s="164">
        <v>4730.88</v>
      </c>
      <c r="AP21" s="40">
        <v>95</v>
      </c>
      <c r="AQ21" s="164">
        <v>9895.9500000000007</v>
      </c>
      <c r="AR21" s="242">
        <v>4389</v>
      </c>
      <c r="AS21" s="241">
        <v>102.4</v>
      </c>
      <c r="AT21" s="164">
        <v>4730.88</v>
      </c>
      <c r="AU21" s="40">
        <v>102.4</v>
      </c>
      <c r="AV21" s="164">
        <v>10005.11</v>
      </c>
      <c r="AW21" s="242">
        <v>4730.88</v>
      </c>
      <c r="AX21" s="241">
        <v>102.4</v>
      </c>
      <c r="AY21" s="164">
        <v>4730.88</v>
      </c>
      <c r="AZ21" s="40">
        <v>102.4</v>
      </c>
      <c r="BA21" s="164">
        <v>10332.59</v>
      </c>
      <c r="BB21" s="242">
        <v>4730.88</v>
      </c>
      <c r="BC21" s="241">
        <v>102.4</v>
      </c>
      <c r="BD21" s="164">
        <v>4730.88</v>
      </c>
      <c r="BE21" s="40">
        <v>102.4</v>
      </c>
      <c r="BF21" s="164">
        <v>10332.59</v>
      </c>
      <c r="BG21" s="242">
        <v>4730.88</v>
      </c>
      <c r="BH21" s="241">
        <v>102.4</v>
      </c>
      <c r="BI21" s="164">
        <v>4730.88</v>
      </c>
      <c r="BJ21" s="40">
        <v>102.4</v>
      </c>
      <c r="BK21" s="164">
        <v>10332.59</v>
      </c>
      <c r="BL21" s="242">
        <v>4730.88</v>
      </c>
      <c r="BM21" s="241">
        <v>102.4</v>
      </c>
      <c r="BN21" s="164">
        <v>4730.88</v>
      </c>
      <c r="BO21" s="40">
        <v>102.4</v>
      </c>
      <c r="BP21" s="164">
        <v>10332.59</v>
      </c>
      <c r="BQ21" s="244">
        <v>4730.88</v>
      </c>
      <c r="BR21" s="241">
        <v>102.4</v>
      </c>
      <c r="BS21" s="164">
        <v>4730.88</v>
      </c>
      <c r="BT21" s="40">
        <v>102.4</v>
      </c>
      <c r="BU21" s="164">
        <v>10332.59</v>
      </c>
      <c r="BV21" s="244">
        <v>4730.88</v>
      </c>
      <c r="BW21" s="241">
        <v>102.4</v>
      </c>
      <c r="BX21" s="164">
        <v>4730.88</v>
      </c>
      <c r="BY21" s="40">
        <v>102.4</v>
      </c>
      <c r="BZ21" s="164">
        <v>10332.59</v>
      </c>
      <c r="CA21" s="244">
        <v>4730.88</v>
      </c>
    </row>
    <row r="22" spans="1:79" x14ac:dyDescent="0.25">
      <c r="A22" s="20">
        <v>85</v>
      </c>
      <c r="B22" s="161" t="s">
        <v>1436</v>
      </c>
      <c r="C22" s="162">
        <v>1</v>
      </c>
      <c r="D22" t="s">
        <v>52</v>
      </c>
      <c r="E22" s="164">
        <v>35388</v>
      </c>
      <c r="F22" s="167">
        <v>35388</v>
      </c>
      <c r="G22" s="40">
        <v>1</v>
      </c>
      <c r="H22" s="164">
        <v>6064.8549999999987</v>
      </c>
      <c r="I22" s="40">
        <v>6064.8549999999987</v>
      </c>
      <c r="J22" s="241">
        <v>0</v>
      </c>
      <c r="K22" s="164">
        <v>0</v>
      </c>
      <c r="L22" s="167">
        <v>0</v>
      </c>
      <c r="M22" s="164">
        <v>0</v>
      </c>
      <c r="N22" s="164">
        <v>0</v>
      </c>
      <c r="O22" s="241">
        <v>0</v>
      </c>
      <c r="P22" s="164">
        <v>0</v>
      </c>
      <c r="Q22" s="167">
        <v>0</v>
      </c>
      <c r="R22" s="164">
        <v>0</v>
      </c>
      <c r="S22" s="164">
        <v>0</v>
      </c>
      <c r="T22" s="241">
        <v>1</v>
      </c>
      <c r="U22" s="164">
        <v>35388</v>
      </c>
      <c r="V22" s="40">
        <v>0</v>
      </c>
      <c r="W22" s="164">
        <v>0</v>
      </c>
      <c r="X22" s="242">
        <v>0</v>
      </c>
      <c r="Y22" s="241">
        <v>1</v>
      </c>
      <c r="Z22" s="164">
        <v>35388</v>
      </c>
      <c r="AA22" s="40">
        <v>0</v>
      </c>
      <c r="AB22" s="164">
        <v>0</v>
      </c>
      <c r="AC22" s="164">
        <v>0</v>
      </c>
      <c r="AD22" s="241">
        <v>1</v>
      </c>
      <c r="AE22" s="164">
        <v>35388</v>
      </c>
      <c r="AF22" s="40">
        <v>0</v>
      </c>
      <c r="AG22" s="164">
        <v>97.3</v>
      </c>
      <c r="AH22" s="242">
        <v>0</v>
      </c>
      <c r="AI22" s="241">
        <v>1</v>
      </c>
      <c r="AJ22" s="164">
        <v>35388</v>
      </c>
      <c r="AK22" s="40">
        <v>0</v>
      </c>
      <c r="AL22" s="164">
        <v>914.24499999999989</v>
      </c>
      <c r="AM22" s="242">
        <v>35388</v>
      </c>
      <c r="AN22" s="241">
        <v>1</v>
      </c>
      <c r="AO22" s="164">
        <v>35388</v>
      </c>
      <c r="AP22" s="40">
        <v>0.8</v>
      </c>
      <c r="AQ22" s="164">
        <v>4894</v>
      </c>
      <c r="AR22" s="242">
        <v>35388</v>
      </c>
      <c r="AS22" s="241">
        <v>1</v>
      </c>
      <c r="AT22" s="164">
        <v>35388</v>
      </c>
      <c r="AU22" s="40">
        <v>1</v>
      </c>
      <c r="AV22" s="164">
        <v>6064.8549999999987</v>
      </c>
      <c r="AW22" s="242">
        <v>35388</v>
      </c>
      <c r="AX22" s="241">
        <v>1</v>
      </c>
      <c r="AY22" s="164">
        <v>35388</v>
      </c>
      <c r="AZ22" s="40">
        <v>0</v>
      </c>
      <c r="BA22" s="164">
        <v>6064.8549999999987</v>
      </c>
      <c r="BB22" s="242">
        <v>0</v>
      </c>
      <c r="BC22" s="241">
        <v>1</v>
      </c>
      <c r="BD22" s="164">
        <v>35388</v>
      </c>
      <c r="BE22" s="40">
        <v>0</v>
      </c>
      <c r="BF22" s="164">
        <v>6064.8549999999987</v>
      </c>
      <c r="BG22" s="242">
        <v>0</v>
      </c>
      <c r="BH22" s="241">
        <v>1</v>
      </c>
      <c r="BI22" s="164">
        <v>35388</v>
      </c>
      <c r="BJ22" s="40">
        <v>0</v>
      </c>
      <c r="BK22" s="164">
        <v>6064.8549999999987</v>
      </c>
      <c r="BL22" s="242">
        <v>0</v>
      </c>
      <c r="BM22" s="241">
        <v>1</v>
      </c>
      <c r="BN22" s="164">
        <v>35388</v>
      </c>
      <c r="BO22" s="40">
        <v>1</v>
      </c>
      <c r="BP22" s="164">
        <v>6064.8549999999987</v>
      </c>
      <c r="BQ22" s="244">
        <v>35388</v>
      </c>
      <c r="BR22" s="241">
        <v>1</v>
      </c>
      <c r="BS22" s="164">
        <v>35388</v>
      </c>
      <c r="BT22" s="40">
        <v>1</v>
      </c>
      <c r="BU22" s="164">
        <v>6064.8549999999987</v>
      </c>
      <c r="BV22" s="244">
        <v>35388</v>
      </c>
      <c r="BW22" s="241">
        <v>1</v>
      </c>
      <c r="BX22" s="164">
        <v>35388</v>
      </c>
      <c r="BY22" s="40">
        <v>1</v>
      </c>
      <c r="BZ22" s="164">
        <v>6064.8549999999987</v>
      </c>
      <c r="CA22" s="244">
        <v>35388</v>
      </c>
    </row>
    <row r="23" spans="1:79" x14ac:dyDescent="0.25">
      <c r="A23" s="20">
        <v>86</v>
      </c>
      <c r="B23" s="161" t="s">
        <v>1437</v>
      </c>
      <c r="C23" s="162">
        <v>11</v>
      </c>
      <c r="D23" t="s">
        <v>52</v>
      </c>
      <c r="E23" s="164">
        <v>6500</v>
      </c>
      <c r="F23" s="167">
        <v>590.90909090909088</v>
      </c>
      <c r="G23" s="40">
        <v>11</v>
      </c>
      <c r="H23" s="164">
        <v>22752.36</v>
      </c>
      <c r="I23" s="40">
        <v>2068.3963636363637</v>
      </c>
      <c r="J23" s="241">
        <v>2</v>
      </c>
      <c r="K23" s="164">
        <v>1181.8181818181818</v>
      </c>
      <c r="L23" s="167">
        <v>0</v>
      </c>
      <c r="M23" s="164">
        <v>0</v>
      </c>
      <c r="N23" s="164">
        <v>0</v>
      </c>
      <c r="O23" s="241">
        <v>6</v>
      </c>
      <c r="P23" s="164">
        <v>3545.454545454545</v>
      </c>
      <c r="Q23" s="167">
        <v>2</v>
      </c>
      <c r="R23" s="164">
        <v>5635.2</v>
      </c>
      <c r="S23" s="164">
        <v>1181.8181818181818</v>
      </c>
      <c r="T23" s="241">
        <v>11</v>
      </c>
      <c r="U23" s="164">
        <v>6500</v>
      </c>
      <c r="V23" s="40">
        <v>3</v>
      </c>
      <c r="W23" s="164">
        <v>8090.2</v>
      </c>
      <c r="X23" s="242">
        <v>1772.7272727272725</v>
      </c>
      <c r="Y23" s="241">
        <v>11</v>
      </c>
      <c r="Z23" s="164">
        <v>6500</v>
      </c>
      <c r="AA23" s="40">
        <v>3</v>
      </c>
      <c r="AB23" s="164">
        <v>8090.2</v>
      </c>
      <c r="AC23" s="164">
        <v>1772.7272727272725</v>
      </c>
      <c r="AD23" s="241">
        <v>11</v>
      </c>
      <c r="AE23" s="164">
        <v>6500</v>
      </c>
      <c r="AF23" s="40">
        <v>3</v>
      </c>
      <c r="AG23" s="164">
        <v>8090.2</v>
      </c>
      <c r="AH23" s="242">
        <v>1772.7272727272725</v>
      </c>
      <c r="AI23" s="241">
        <v>11</v>
      </c>
      <c r="AJ23" s="164">
        <v>6500</v>
      </c>
      <c r="AK23" s="40">
        <v>10.5</v>
      </c>
      <c r="AL23" s="164">
        <v>22643.200000000001</v>
      </c>
      <c r="AM23" s="242">
        <v>6204.545454545455</v>
      </c>
      <c r="AN23" s="241">
        <v>11</v>
      </c>
      <c r="AO23" s="164">
        <v>6500</v>
      </c>
      <c r="AP23" s="40">
        <v>10.5</v>
      </c>
      <c r="AQ23" s="164">
        <v>22643.200000000001</v>
      </c>
      <c r="AR23" s="242">
        <v>6204.545454545455</v>
      </c>
      <c r="AS23" s="241">
        <v>11</v>
      </c>
      <c r="AT23" s="164">
        <v>6500</v>
      </c>
      <c r="AU23" s="40">
        <v>10.5</v>
      </c>
      <c r="AV23" s="164">
        <v>22643.200000000001</v>
      </c>
      <c r="AW23" s="242">
        <v>6204.545454545455</v>
      </c>
      <c r="AX23" s="241">
        <v>11</v>
      </c>
      <c r="AY23" s="164">
        <v>6500</v>
      </c>
      <c r="AZ23" s="40">
        <v>11</v>
      </c>
      <c r="BA23" s="164">
        <v>22752.36</v>
      </c>
      <c r="BB23" s="242">
        <v>6500</v>
      </c>
      <c r="BC23" s="241">
        <v>11</v>
      </c>
      <c r="BD23" s="164">
        <v>6500</v>
      </c>
      <c r="BE23" s="40">
        <v>11</v>
      </c>
      <c r="BF23" s="164">
        <v>22752.36</v>
      </c>
      <c r="BG23" s="242">
        <v>6500</v>
      </c>
      <c r="BH23" s="241">
        <v>11</v>
      </c>
      <c r="BI23" s="164">
        <v>6500</v>
      </c>
      <c r="BJ23" s="40">
        <v>11</v>
      </c>
      <c r="BK23" s="164">
        <v>22752.36</v>
      </c>
      <c r="BL23" s="242">
        <v>6500</v>
      </c>
      <c r="BM23" s="241">
        <v>11</v>
      </c>
      <c r="BN23" s="164">
        <v>6500</v>
      </c>
      <c r="BO23" s="40">
        <v>11</v>
      </c>
      <c r="BP23" s="164">
        <v>22752.36</v>
      </c>
      <c r="BQ23" s="244">
        <v>6500</v>
      </c>
      <c r="BR23" s="241">
        <v>11</v>
      </c>
      <c r="BS23" s="164">
        <v>6500</v>
      </c>
      <c r="BT23" s="40">
        <v>11</v>
      </c>
      <c r="BU23" s="164">
        <v>22752.36</v>
      </c>
      <c r="BV23" s="244">
        <v>6500</v>
      </c>
      <c r="BW23" s="241">
        <v>11</v>
      </c>
      <c r="BX23" s="164">
        <v>6500</v>
      </c>
      <c r="BY23" s="40">
        <v>11</v>
      </c>
      <c r="BZ23" s="164">
        <v>22752.36</v>
      </c>
      <c r="CA23" s="244">
        <v>6500</v>
      </c>
    </row>
    <row r="24" spans="1:79" x14ac:dyDescent="0.25">
      <c r="A24" s="20">
        <v>87</v>
      </c>
      <c r="B24" s="161" t="s">
        <v>1438</v>
      </c>
      <c r="C24" s="162">
        <v>1017</v>
      </c>
      <c r="D24" t="s">
        <v>26</v>
      </c>
      <c r="E24" s="164">
        <v>40568.437736876927</v>
      </c>
      <c r="F24" s="167">
        <v>39.890302592799337</v>
      </c>
      <c r="G24" s="40">
        <v>1017</v>
      </c>
      <c r="H24" s="164">
        <v>17562.979999999996</v>
      </c>
      <c r="I24" s="40">
        <v>17.269400196656829</v>
      </c>
      <c r="J24" s="241">
        <v>0</v>
      </c>
      <c r="K24" s="164">
        <v>0</v>
      </c>
      <c r="L24" s="167">
        <v>0</v>
      </c>
      <c r="M24" s="164">
        <v>0</v>
      </c>
      <c r="N24" s="164">
        <v>0</v>
      </c>
      <c r="O24" s="241">
        <v>300</v>
      </c>
      <c r="P24" s="164">
        <v>11967.090777839801</v>
      </c>
      <c r="Q24" s="167">
        <v>0</v>
      </c>
      <c r="R24" s="164">
        <v>658</v>
      </c>
      <c r="S24" s="164">
        <v>0</v>
      </c>
      <c r="T24" s="241">
        <v>1017</v>
      </c>
      <c r="U24" s="164">
        <v>40568.437736876927</v>
      </c>
      <c r="V24" s="40">
        <v>265</v>
      </c>
      <c r="W24" s="164">
        <v>4562.5950000000003</v>
      </c>
      <c r="X24" s="242">
        <v>10570.930187091824</v>
      </c>
      <c r="Y24" s="241">
        <v>1017</v>
      </c>
      <c r="Z24" s="164">
        <v>40568.437736876927</v>
      </c>
      <c r="AA24" s="40">
        <v>350</v>
      </c>
      <c r="AB24" s="164">
        <v>6164.32</v>
      </c>
      <c r="AC24" s="164">
        <v>13961.605907479769</v>
      </c>
      <c r="AD24" s="241">
        <v>1017</v>
      </c>
      <c r="AE24" s="164">
        <v>40568.437736876927</v>
      </c>
      <c r="AF24" s="40">
        <v>350</v>
      </c>
      <c r="AG24" s="164">
        <v>6440.7899999999991</v>
      </c>
      <c r="AH24" s="242">
        <v>13961.605907479769</v>
      </c>
      <c r="AI24" s="241">
        <v>1017</v>
      </c>
      <c r="AJ24" s="164">
        <v>40568.437736876927</v>
      </c>
      <c r="AK24" s="40">
        <v>900</v>
      </c>
      <c r="AL24" s="164">
        <v>16574.479999999996</v>
      </c>
      <c r="AM24" s="242">
        <v>35901.27233351941</v>
      </c>
      <c r="AN24" s="241">
        <v>1017</v>
      </c>
      <c r="AO24" s="164">
        <v>40568.437736876927</v>
      </c>
      <c r="AP24" s="40">
        <v>1017</v>
      </c>
      <c r="AQ24" s="164">
        <v>17562.979999999996</v>
      </c>
      <c r="AR24" s="242">
        <v>40568.437736876927</v>
      </c>
      <c r="AS24" s="241">
        <v>1017</v>
      </c>
      <c r="AT24" s="164">
        <v>40568.437736876927</v>
      </c>
      <c r="AU24" s="40">
        <v>1017</v>
      </c>
      <c r="AV24" s="164">
        <v>17562.979999999996</v>
      </c>
      <c r="AW24" s="242">
        <v>40568.437736876927</v>
      </c>
      <c r="AX24" s="241">
        <v>1017</v>
      </c>
      <c r="AY24" s="164">
        <v>40568.437736876927</v>
      </c>
      <c r="AZ24" s="40">
        <v>1017</v>
      </c>
      <c r="BA24" s="164">
        <v>17562.979999999996</v>
      </c>
      <c r="BB24" s="242">
        <v>40568.437736876927</v>
      </c>
      <c r="BC24" s="241">
        <v>1017</v>
      </c>
      <c r="BD24" s="164">
        <v>40568.437736876927</v>
      </c>
      <c r="BE24" s="40">
        <v>1017</v>
      </c>
      <c r="BF24" s="164">
        <v>17562.979999999996</v>
      </c>
      <c r="BG24" s="242">
        <v>40568.437736876927</v>
      </c>
      <c r="BH24" s="241">
        <v>1017</v>
      </c>
      <c r="BI24" s="164">
        <v>40568.437736876927</v>
      </c>
      <c r="BJ24" s="40">
        <v>1017</v>
      </c>
      <c r="BK24" s="164">
        <v>17562.979999999996</v>
      </c>
      <c r="BL24" s="242">
        <v>40568.437736876927</v>
      </c>
      <c r="BM24" s="241">
        <v>1017</v>
      </c>
      <c r="BN24" s="164">
        <v>40568.437736876927</v>
      </c>
      <c r="BO24" s="40">
        <v>1017</v>
      </c>
      <c r="BP24" s="164">
        <v>17562.979999999996</v>
      </c>
      <c r="BQ24" s="244">
        <v>40568.437736876927</v>
      </c>
      <c r="BR24" s="241">
        <v>1017</v>
      </c>
      <c r="BS24" s="164">
        <v>40568.437736876927</v>
      </c>
      <c r="BT24" s="40">
        <v>1017</v>
      </c>
      <c r="BU24" s="164">
        <v>17562.979999999996</v>
      </c>
      <c r="BV24" s="244">
        <v>40568.437736876927</v>
      </c>
      <c r="BW24" s="241">
        <v>1017</v>
      </c>
      <c r="BX24" s="164">
        <v>40568.437736876927</v>
      </c>
      <c r="BY24" s="40">
        <v>1017</v>
      </c>
      <c r="BZ24" s="164">
        <v>17562.979999999996</v>
      </c>
      <c r="CA24" s="244">
        <v>40568.437736876927</v>
      </c>
    </row>
    <row r="25" spans="1:79" x14ac:dyDescent="0.25">
      <c r="A25" s="20">
        <v>95</v>
      </c>
      <c r="B25" s="161" t="s">
        <v>1439</v>
      </c>
      <c r="C25" s="162">
        <v>16</v>
      </c>
      <c r="D25" t="s">
        <v>54</v>
      </c>
      <c r="E25" s="164">
        <v>69867.899999999994</v>
      </c>
      <c r="F25" s="167">
        <v>4366.7437499999996</v>
      </c>
      <c r="G25" s="40">
        <v>16</v>
      </c>
      <c r="H25" s="164">
        <v>85835.88</v>
      </c>
      <c r="I25" s="40">
        <v>5364.7425000000003</v>
      </c>
      <c r="J25" s="241">
        <v>8</v>
      </c>
      <c r="K25" s="164">
        <v>34933.949999999997</v>
      </c>
      <c r="L25" s="167">
        <v>0</v>
      </c>
      <c r="M25" s="164">
        <v>0</v>
      </c>
      <c r="N25" s="164">
        <v>0</v>
      </c>
      <c r="O25" s="241">
        <v>16</v>
      </c>
      <c r="P25" s="164">
        <v>69867.899999999994</v>
      </c>
      <c r="Q25" s="40">
        <v>9.5</v>
      </c>
      <c r="R25" s="164">
        <v>52026.8</v>
      </c>
      <c r="S25" s="247">
        <v>20533.698036877344</v>
      </c>
      <c r="T25" s="241">
        <v>16</v>
      </c>
      <c r="U25" s="164">
        <v>69867.899999999994</v>
      </c>
      <c r="V25" s="40">
        <v>15</v>
      </c>
      <c r="W25" s="164">
        <v>79383</v>
      </c>
      <c r="X25" s="247">
        <v>44843.069283328667</v>
      </c>
      <c r="Y25" s="241">
        <v>16</v>
      </c>
      <c r="Z25" s="164">
        <v>69867.899999999994</v>
      </c>
      <c r="AA25" s="40">
        <v>15</v>
      </c>
      <c r="AB25" s="164">
        <v>79383</v>
      </c>
      <c r="AC25" s="247">
        <v>49363.278305925916</v>
      </c>
      <c r="AD25" s="241">
        <v>16</v>
      </c>
      <c r="AE25" s="164">
        <v>69867.899999999994</v>
      </c>
      <c r="AF25" s="40">
        <v>15</v>
      </c>
      <c r="AG25" s="164">
        <v>79987.58</v>
      </c>
      <c r="AH25" s="247">
        <v>49600.915520785216</v>
      </c>
      <c r="AI25" s="241">
        <v>16</v>
      </c>
      <c r="AJ25" s="164">
        <v>69867.899999999994</v>
      </c>
      <c r="AK25" s="40">
        <v>15</v>
      </c>
      <c r="AL25" s="164">
        <v>79987.58</v>
      </c>
      <c r="AM25" s="247">
        <v>50080.429120443689</v>
      </c>
      <c r="AN25" s="241">
        <v>16</v>
      </c>
      <c r="AO25" s="164">
        <v>69867.899999999994</v>
      </c>
      <c r="AP25" s="40">
        <v>15</v>
      </c>
      <c r="AQ25" s="164">
        <v>82587.58</v>
      </c>
      <c r="AR25" s="247">
        <v>62689.84698521933</v>
      </c>
      <c r="AS25" s="241">
        <v>16</v>
      </c>
      <c r="AT25" s="164">
        <v>69867.899999999994</v>
      </c>
      <c r="AU25" s="40">
        <v>15</v>
      </c>
      <c r="AV25" s="164">
        <v>82587.58</v>
      </c>
      <c r="AW25" s="247">
        <v>62689.84698521933</v>
      </c>
      <c r="AX25" s="241">
        <v>16</v>
      </c>
      <c r="AY25" s="164">
        <v>69867.899999999994</v>
      </c>
      <c r="AZ25" s="40">
        <v>16</v>
      </c>
      <c r="BA25" s="164">
        <v>85835.88</v>
      </c>
      <c r="BB25" s="242">
        <v>69867.899999999994</v>
      </c>
      <c r="BC25" s="241">
        <v>16</v>
      </c>
      <c r="BD25" s="164">
        <v>69867.899999999994</v>
      </c>
      <c r="BE25" s="40">
        <v>16</v>
      </c>
      <c r="BF25" s="164">
        <v>85835.88</v>
      </c>
      <c r="BG25" s="242">
        <v>69867.899999999994</v>
      </c>
      <c r="BH25" s="241">
        <v>16</v>
      </c>
      <c r="BI25" s="164">
        <v>69867.899999999994</v>
      </c>
      <c r="BJ25" s="40">
        <v>16</v>
      </c>
      <c r="BK25" s="164">
        <v>85835.88</v>
      </c>
      <c r="BL25" s="242">
        <v>69867.899999999994</v>
      </c>
      <c r="BM25" s="241">
        <v>16</v>
      </c>
      <c r="BN25" s="164">
        <v>69867.899999999994</v>
      </c>
      <c r="BO25" s="40">
        <v>16</v>
      </c>
      <c r="BP25" s="164">
        <v>85835.88</v>
      </c>
      <c r="BQ25" s="244">
        <v>69867.899999999994</v>
      </c>
      <c r="BR25" s="241">
        <v>16</v>
      </c>
      <c r="BS25" s="164">
        <v>69867.899999999994</v>
      </c>
      <c r="BT25" s="40">
        <v>16</v>
      </c>
      <c r="BU25" s="164">
        <v>85835.88</v>
      </c>
      <c r="BV25" s="244">
        <v>69867.899999999994</v>
      </c>
      <c r="BW25" s="241">
        <v>16</v>
      </c>
      <c r="BX25" s="164">
        <v>69867.899999999994</v>
      </c>
      <c r="BY25" s="40">
        <v>16</v>
      </c>
      <c r="BZ25" s="164">
        <v>85835.88</v>
      </c>
      <c r="CA25" s="244">
        <v>69867.899999999994</v>
      </c>
    </row>
    <row r="26" spans="1:79" x14ac:dyDescent="0.25">
      <c r="A26" s="20">
        <v>103</v>
      </c>
      <c r="B26" s="161" t="s">
        <v>1440</v>
      </c>
      <c r="C26" s="162">
        <v>27</v>
      </c>
      <c r="D26" t="s">
        <v>54</v>
      </c>
      <c r="E26" s="164">
        <v>107885.13</v>
      </c>
      <c r="F26" s="167">
        <v>3995.7455555555557</v>
      </c>
      <c r="G26" s="40">
        <v>27</v>
      </c>
      <c r="H26" s="164">
        <v>93624.379000000001</v>
      </c>
      <c r="I26" s="40">
        <v>3467.5695925925925</v>
      </c>
      <c r="J26" s="241">
        <v>0</v>
      </c>
      <c r="K26" s="164">
        <v>0</v>
      </c>
      <c r="L26" s="167">
        <v>0</v>
      </c>
      <c r="M26" s="164">
        <v>0</v>
      </c>
      <c r="N26" s="164">
        <v>0</v>
      </c>
      <c r="O26" s="241">
        <v>0</v>
      </c>
      <c r="P26" s="164">
        <v>0</v>
      </c>
      <c r="Q26" s="40">
        <v>0</v>
      </c>
      <c r="R26" s="164">
        <v>213.6</v>
      </c>
      <c r="S26" s="164">
        <v>31706.701963122658</v>
      </c>
      <c r="T26" s="241">
        <v>12</v>
      </c>
      <c r="U26" s="164">
        <v>47948.946666666663</v>
      </c>
      <c r="V26" s="40">
        <v>10</v>
      </c>
      <c r="W26" s="164">
        <v>34703.603999999999</v>
      </c>
      <c r="X26" s="164">
        <v>69243.534716671318</v>
      </c>
      <c r="Y26" s="241">
        <v>27</v>
      </c>
      <c r="Z26" s="164">
        <v>107885.13</v>
      </c>
      <c r="AA26" s="40">
        <v>13</v>
      </c>
      <c r="AB26" s="164">
        <v>46203.603999999999</v>
      </c>
      <c r="AC26" s="164">
        <v>76223.325694074068</v>
      </c>
      <c r="AD26" s="241">
        <v>27</v>
      </c>
      <c r="AE26" s="164">
        <v>107885.13</v>
      </c>
      <c r="AF26" s="40">
        <v>13</v>
      </c>
      <c r="AG26" s="164">
        <v>46203.603999999999</v>
      </c>
      <c r="AH26" s="164">
        <v>76590.268479214792</v>
      </c>
      <c r="AI26" s="241">
        <v>27</v>
      </c>
      <c r="AJ26" s="164">
        <v>107885.13</v>
      </c>
      <c r="AK26" s="40">
        <v>13</v>
      </c>
      <c r="AL26" s="164">
        <v>47423.549000000006</v>
      </c>
      <c r="AM26" s="164">
        <v>77330.699879556327</v>
      </c>
      <c r="AN26" s="241">
        <v>27</v>
      </c>
      <c r="AO26" s="164">
        <v>107885.13</v>
      </c>
      <c r="AP26" s="40">
        <v>22</v>
      </c>
      <c r="AQ26" s="164">
        <v>76903.548999999999</v>
      </c>
      <c r="AR26" s="164">
        <v>96801.282014780692</v>
      </c>
      <c r="AS26" s="241">
        <v>27</v>
      </c>
      <c r="AT26" s="164">
        <v>107885.13</v>
      </c>
      <c r="AU26" s="40">
        <v>22</v>
      </c>
      <c r="AV26" s="164">
        <v>76903.548999999999</v>
      </c>
      <c r="AW26" s="164">
        <v>96801.282014780692</v>
      </c>
      <c r="AX26" s="241">
        <v>27</v>
      </c>
      <c r="AY26" s="164">
        <v>107885.13</v>
      </c>
      <c r="AZ26" s="40">
        <v>27</v>
      </c>
      <c r="BA26" s="164">
        <v>93624.379000000001</v>
      </c>
      <c r="BB26" s="242">
        <v>107885.13</v>
      </c>
      <c r="BC26" s="241">
        <v>27</v>
      </c>
      <c r="BD26" s="164">
        <v>107885.13</v>
      </c>
      <c r="BE26" s="40">
        <v>27</v>
      </c>
      <c r="BF26" s="164">
        <v>93624.379000000001</v>
      </c>
      <c r="BG26" s="242">
        <v>107885.13</v>
      </c>
      <c r="BH26" s="241">
        <v>27</v>
      </c>
      <c r="BI26" s="164">
        <v>107885.13</v>
      </c>
      <c r="BJ26" s="40">
        <v>27</v>
      </c>
      <c r="BK26" s="164">
        <v>93624.379000000001</v>
      </c>
      <c r="BL26" s="242">
        <v>107885.13</v>
      </c>
      <c r="BM26" s="241">
        <v>27</v>
      </c>
      <c r="BN26" s="164">
        <v>107885.13</v>
      </c>
      <c r="BO26" s="40">
        <v>27</v>
      </c>
      <c r="BP26" s="164">
        <v>93624.379000000001</v>
      </c>
      <c r="BQ26" s="244">
        <v>107885.13</v>
      </c>
      <c r="BR26" s="241">
        <v>27</v>
      </c>
      <c r="BS26" s="164">
        <v>107885.13</v>
      </c>
      <c r="BT26" s="40">
        <v>27</v>
      </c>
      <c r="BU26" s="164">
        <v>93624.379000000001</v>
      </c>
      <c r="BV26" s="244">
        <v>107885.13</v>
      </c>
      <c r="BW26" s="241">
        <v>27</v>
      </c>
      <c r="BX26" s="164">
        <v>107885.13</v>
      </c>
      <c r="BY26" s="40">
        <v>27</v>
      </c>
      <c r="BZ26" s="164">
        <v>93624.379000000001</v>
      </c>
      <c r="CA26" s="244">
        <v>107885.13</v>
      </c>
    </row>
    <row r="27" spans="1:79" x14ac:dyDescent="0.25">
      <c r="A27" s="20">
        <v>111</v>
      </c>
      <c r="B27" s="161" t="s">
        <v>1441</v>
      </c>
      <c r="C27" s="162">
        <v>456</v>
      </c>
      <c r="D27" t="s">
        <v>26</v>
      </c>
      <c r="E27" s="164">
        <v>34461.23547009936</v>
      </c>
      <c r="F27" s="167">
        <v>75.572884802849472</v>
      </c>
      <c r="G27" s="40">
        <v>456</v>
      </c>
      <c r="H27" s="164">
        <v>57698.310500000014</v>
      </c>
      <c r="I27" s="40">
        <v>126.53138267543862</v>
      </c>
      <c r="J27" s="241">
        <v>0</v>
      </c>
      <c r="K27" s="164">
        <v>0</v>
      </c>
      <c r="L27" s="167">
        <v>0</v>
      </c>
      <c r="M27" s="164">
        <v>0</v>
      </c>
      <c r="N27" s="164">
        <v>0</v>
      </c>
      <c r="O27" s="241">
        <v>200</v>
      </c>
      <c r="P27" s="164">
        <v>15114.576960569893</v>
      </c>
      <c r="Q27" s="167">
        <v>135</v>
      </c>
      <c r="R27" s="164">
        <v>17380</v>
      </c>
      <c r="S27" s="164">
        <v>10202.339448384679</v>
      </c>
      <c r="T27" s="241">
        <v>200</v>
      </c>
      <c r="U27" s="164">
        <v>15114.576960569893</v>
      </c>
      <c r="V27" s="40">
        <v>135</v>
      </c>
      <c r="W27" s="164">
        <v>17380</v>
      </c>
      <c r="X27" s="242">
        <v>10202.339448384679</v>
      </c>
      <c r="Y27" s="241">
        <v>456</v>
      </c>
      <c r="Z27" s="164">
        <v>34461.23547009936</v>
      </c>
      <c r="AA27" s="40">
        <v>135</v>
      </c>
      <c r="AB27" s="164">
        <v>17380</v>
      </c>
      <c r="AC27" s="164">
        <v>10202.339448384679</v>
      </c>
      <c r="AD27" s="241">
        <v>456</v>
      </c>
      <c r="AE27" s="164">
        <v>34461.23547009936</v>
      </c>
      <c r="AF27" s="40">
        <v>135</v>
      </c>
      <c r="AG27" s="164">
        <v>17380</v>
      </c>
      <c r="AH27" s="242">
        <v>10202.339448384679</v>
      </c>
      <c r="AI27" s="241">
        <v>456</v>
      </c>
      <c r="AJ27" s="164">
        <v>34461.23547009936</v>
      </c>
      <c r="AK27" s="40">
        <v>365</v>
      </c>
      <c r="AL27" s="164">
        <v>46098.817500000005</v>
      </c>
      <c r="AM27" s="242">
        <v>27584.102953040059</v>
      </c>
      <c r="AN27" s="241">
        <v>456</v>
      </c>
      <c r="AO27" s="164">
        <v>34461.23547009936</v>
      </c>
      <c r="AP27" s="40">
        <v>425</v>
      </c>
      <c r="AQ27" s="164">
        <v>54113.970500000018</v>
      </c>
      <c r="AR27" s="242">
        <v>32118.476041211026</v>
      </c>
      <c r="AS27" s="241">
        <v>456</v>
      </c>
      <c r="AT27" s="164">
        <v>34461.23547009936</v>
      </c>
      <c r="AU27" s="40">
        <v>430</v>
      </c>
      <c r="AV27" s="164">
        <v>54579.580500000018</v>
      </c>
      <c r="AW27" s="242">
        <v>32496.340465225276</v>
      </c>
      <c r="AX27" s="241">
        <v>456</v>
      </c>
      <c r="AY27" s="164">
        <v>34461.23547009936</v>
      </c>
      <c r="AZ27" s="40">
        <v>435</v>
      </c>
      <c r="BA27" s="164">
        <v>55155.610500000017</v>
      </c>
      <c r="BB27" s="242">
        <v>32874.204889239525</v>
      </c>
      <c r="BC27" s="241">
        <v>456</v>
      </c>
      <c r="BD27" s="164">
        <v>34461.23547009936</v>
      </c>
      <c r="BE27" s="40">
        <v>435</v>
      </c>
      <c r="BF27" s="164">
        <v>55155.610500000017</v>
      </c>
      <c r="BG27" s="242">
        <v>32874.204889239525</v>
      </c>
      <c r="BH27" s="241">
        <v>456</v>
      </c>
      <c r="BI27" s="164">
        <v>34461.23547009936</v>
      </c>
      <c r="BJ27" s="40">
        <v>435</v>
      </c>
      <c r="BK27" s="164">
        <v>55155.610500000017</v>
      </c>
      <c r="BL27" s="242">
        <v>32874.204889239525</v>
      </c>
      <c r="BM27" s="241">
        <v>456</v>
      </c>
      <c r="BN27" s="164">
        <v>34461.23547009936</v>
      </c>
      <c r="BO27" s="40">
        <v>456</v>
      </c>
      <c r="BP27" s="164">
        <v>56606.710500000016</v>
      </c>
      <c r="BQ27" s="244">
        <v>34461.23547009936</v>
      </c>
      <c r="BR27" s="241">
        <v>456</v>
      </c>
      <c r="BS27" s="164">
        <v>34461.23547009936</v>
      </c>
      <c r="BT27" s="40">
        <v>456</v>
      </c>
      <c r="BU27" s="164">
        <v>56606.710500000016</v>
      </c>
      <c r="BV27" s="244">
        <v>34461.23547009936</v>
      </c>
      <c r="BW27" s="241">
        <v>456</v>
      </c>
      <c r="BX27" s="164">
        <v>34461.23547009936</v>
      </c>
      <c r="BY27" s="40">
        <v>456</v>
      </c>
      <c r="BZ27" s="164">
        <v>57698.310500000014</v>
      </c>
      <c r="CA27" s="244">
        <v>34461.23547009936</v>
      </c>
    </row>
    <row r="28" spans="1:79" x14ac:dyDescent="0.25">
      <c r="A28" s="20">
        <v>113</v>
      </c>
      <c r="B28" s="161" t="s">
        <v>1442</v>
      </c>
      <c r="C28" s="162">
        <v>6</v>
      </c>
      <c r="D28" t="s">
        <v>54</v>
      </c>
      <c r="E28" s="164">
        <v>101320</v>
      </c>
      <c r="F28" s="167">
        <v>16886.666666666668</v>
      </c>
      <c r="G28" s="40">
        <v>6</v>
      </c>
      <c r="H28" s="164">
        <v>91724.159999999989</v>
      </c>
      <c r="I28" s="40">
        <v>15287.359999999999</v>
      </c>
      <c r="J28" s="241">
        <v>0</v>
      </c>
      <c r="K28" s="164">
        <v>0</v>
      </c>
      <c r="L28" s="167">
        <v>0</v>
      </c>
      <c r="M28" s="164">
        <v>0</v>
      </c>
      <c r="N28" s="164">
        <v>0</v>
      </c>
      <c r="O28" s="241">
        <v>0</v>
      </c>
      <c r="P28" s="164">
        <v>0</v>
      </c>
      <c r="Q28" s="167">
        <v>0</v>
      </c>
      <c r="R28" s="164">
        <v>0</v>
      </c>
      <c r="S28" s="164">
        <v>0</v>
      </c>
      <c r="T28" s="241">
        <v>0</v>
      </c>
      <c r="U28" s="164">
        <v>0</v>
      </c>
      <c r="V28" s="40">
        <v>0</v>
      </c>
      <c r="W28" s="164">
        <v>0</v>
      </c>
      <c r="X28" s="242">
        <v>0</v>
      </c>
      <c r="Y28" s="241"/>
      <c r="Z28" s="164">
        <v>0</v>
      </c>
      <c r="AA28" s="40">
        <v>0</v>
      </c>
      <c r="AB28" s="164">
        <v>0</v>
      </c>
      <c r="AC28" s="164">
        <v>0</v>
      </c>
      <c r="AD28" s="241">
        <v>0</v>
      </c>
      <c r="AE28" s="164">
        <v>0</v>
      </c>
      <c r="AF28" s="40">
        <v>0</v>
      </c>
      <c r="AG28" s="164">
        <v>0</v>
      </c>
      <c r="AH28" s="242">
        <v>0</v>
      </c>
      <c r="AI28" s="241">
        <v>0</v>
      </c>
      <c r="AJ28" s="164">
        <v>0</v>
      </c>
      <c r="AK28" s="40">
        <v>0</v>
      </c>
      <c r="AL28" s="164">
        <v>0</v>
      </c>
      <c r="AM28" s="242">
        <v>0</v>
      </c>
      <c r="AN28" s="241">
        <v>0</v>
      </c>
      <c r="AO28" s="164">
        <v>0</v>
      </c>
      <c r="AP28" s="40">
        <v>0.85</v>
      </c>
      <c r="AQ28" s="164">
        <v>86632.51999999999</v>
      </c>
      <c r="AR28" s="242">
        <v>14353.666666666666</v>
      </c>
      <c r="AS28" s="241">
        <v>6</v>
      </c>
      <c r="AT28" s="164">
        <v>101320</v>
      </c>
      <c r="AU28" s="40">
        <v>0.85</v>
      </c>
      <c r="AV28" s="164">
        <v>86632.51999999999</v>
      </c>
      <c r="AW28" s="242">
        <v>14353.666666666666</v>
      </c>
      <c r="AX28" s="241">
        <v>6</v>
      </c>
      <c r="AY28" s="164">
        <v>101320</v>
      </c>
      <c r="AZ28" s="40">
        <v>1</v>
      </c>
      <c r="BA28" s="164">
        <v>91396.68</v>
      </c>
      <c r="BB28" s="242">
        <v>16886.666666666664</v>
      </c>
      <c r="BC28" s="241">
        <v>6</v>
      </c>
      <c r="BD28" s="164">
        <v>101320</v>
      </c>
      <c r="BE28" s="40">
        <v>1</v>
      </c>
      <c r="BF28" s="164">
        <v>91396.68</v>
      </c>
      <c r="BG28" s="242">
        <v>16886.666666666664</v>
      </c>
      <c r="BH28" s="241">
        <v>6</v>
      </c>
      <c r="BI28" s="164">
        <v>101320</v>
      </c>
      <c r="BJ28" s="40">
        <v>1</v>
      </c>
      <c r="BK28" s="164">
        <v>91396.68</v>
      </c>
      <c r="BL28" s="242">
        <v>16886.666666666664</v>
      </c>
      <c r="BM28" s="241">
        <v>6</v>
      </c>
      <c r="BN28" s="164">
        <v>101320</v>
      </c>
      <c r="BO28" s="40">
        <v>6</v>
      </c>
      <c r="BP28" s="164">
        <v>91396.68</v>
      </c>
      <c r="BQ28" s="244">
        <v>101320</v>
      </c>
      <c r="BR28" s="241">
        <v>6</v>
      </c>
      <c r="BS28" s="164">
        <v>101320</v>
      </c>
      <c r="BT28" s="40">
        <v>6</v>
      </c>
      <c r="BU28" s="164">
        <v>91396.68</v>
      </c>
      <c r="BV28" s="244">
        <v>101320</v>
      </c>
      <c r="BW28" s="241">
        <v>6</v>
      </c>
      <c r="BX28" s="164">
        <v>101320</v>
      </c>
      <c r="BY28" s="40">
        <v>6</v>
      </c>
      <c r="BZ28" s="164">
        <v>91724.159999999989</v>
      </c>
      <c r="CA28" s="244">
        <v>101320</v>
      </c>
    </row>
    <row r="29" spans="1:79" x14ac:dyDescent="0.25">
      <c r="A29" s="20">
        <v>121</v>
      </c>
      <c r="B29" s="161" t="s">
        <v>1443</v>
      </c>
      <c r="C29" s="162">
        <v>1</v>
      </c>
      <c r="D29" t="s">
        <v>54</v>
      </c>
      <c r="E29" s="164">
        <v>405473.27</v>
      </c>
      <c r="F29" s="167">
        <v>405473.27</v>
      </c>
      <c r="G29" s="40">
        <v>1</v>
      </c>
      <c r="H29" s="164">
        <v>343303.69</v>
      </c>
      <c r="I29" s="40">
        <v>343303.69</v>
      </c>
      <c r="J29" s="241">
        <v>0</v>
      </c>
      <c r="K29" s="164">
        <v>0</v>
      </c>
      <c r="L29" s="167">
        <v>0</v>
      </c>
      <c r="M29" s="164">
        <v>0</v>
      </c>
      <c r="N29" s="164">
        <v>0</v>
      </c>
      <c r="O29" s="241">
        <v>0</v>
      </c>
      <c r="P29" s="164">
        <v>0</v>
      </c>
      <c r="Q29" s="167">
        <v>0</v>
      </c>
      <c r="R29" s="164">
        <v>0</v>
      </c>
      <c r="S29" s="164">
        <v>0</v>
      </c>
      <c r="T29" s="241">
        <v>0.1</v>
      </c>
      <c r="U29" s="164">
        <v>40547.327000000005</v>
      </c>
      <c r="V29" s="40">
        <v>2.8750569694606033E-2</v>
      </c>
      <c r="W29" s="164">
        <v>9657.1438569999991</v>
      </c>
      <c r="X29" s="242">
        <v>11657.58750843481</v>
      </c>
      <c r="Y29" s="241">
        <v>0.2</v>
      </c>
      <c r="Z29" s="164">
        <v>81094.65400000001</v>
      </c>
      <c r="AA29" s="40">
        <v>2.8750569694606033E-2</v>
      </c>
      <c r="AB29" s="164">
        <v>9657.1438569999991</v>
      </c>
      <c r="AC29" s="164">
        <v>11657.58750843481</v>
      </c>
      <c r="AD29" s="241">
        <v>0.2</v>
      </c>
      <c r="AE29" s="164">
        <v>81094.65400000001</v>
      </c>
      <c r="AF29" s="40">
        <v>2.8750569694606033E-2</v>
      </c>
      <c r="AG29" s="164">
        <v>9657.1438569999991</v>
      </c>
      <c r="AH29" s="242">
        <v>11657.58750843481</v>
      </c>
      <c r="AI29" s="241">
        <v>0.25</v>
      </c>
      <c r="AJ29" s="164">
        <v>101368.3175</v>
      </c>
      <c r="AK29" s="40">
        <v>6.431205635408789E-2</v>
      </c>
      <c r="AL29" s="164">
        <v>21602.033856999999</v>
      </c>
      <c r="AM29" s="242">
        <v>26076.819790316295</v>
      </c>
      <c r="AN29" s="241">
        <v>0.75</v>
      </c>
      <c r="AO29" s="164">
        <v>304104.95250000001</v>
      </c>
      <c r="AP29" s="40">
        <v>0.21641697034481122</v>
      </c>
      <c r="AQ29" s="164">
        <v>72693.161837000021</v>
      </c>
      <c r="AR29" s="242">
        <v>87751.296649203636</v>
      </c>
      <c r="AS29" s="241">
        <v>1</v>
      </c>
      <c r="AT29" s="164">
        <v>405473.27</v>
      </c>
      <c r="AU29" s="40">
        <v>0.76568986942309192</v>
      </c>
      <c r="AV29" s="164">
        <v>257190.63300000003</v>
      </c>
      <c r="AW29" s="242">
        <v>310466.7751608541</v>
      </c>
      <c r="AX29" s="241">
        <v>1</v>
      </c>
      <c r="AY29" s="164">
        <v>405473.27</v>
      </c>
      <c r="AZ29" s="40">
        <v>0.90124676088289768</v>
      </c>
      <c r="BA29" s="164">
        <v>302723.37950000004</v>
      </c>
      <c r="BB29" s="242">
        <v>365431.47121209663</v>
      </c>
      <c r="BC29" s="241">
        <v>1</v>
      </c>
      <c r="BD29" s="164">
        <v>405473.27</v>
      </c>
      <c r="BE29" s="40">
        <v>0.97100447522134981</v>
      </c>
      <c r="BF29" s="164">
        <v>326154.57720000006</v>
      </c>
      <c r="BG29" s="242">
        <v>393716.35975263471</v>
      </c>
      <c r="BH29" s="241">
        <v>1</v>
      </c>
      <c r="BI29" s="164">
        <v>405473.27</v>
      </c>
      <c r="BJ29" s="40">
        <v>1</v>
      </c>
      <c r="BK29" s="164">
        <v>326154.57720000006</v>
      </c>
      <c r="BL29" s="242">
        <v>405473.27</v>
      </c>
      <c r="BM29" s="241">
        <v>1</v>
      </c>
      <c r="BN29" s="164">
        <v>405473.27</v>
      </c>
      <c r="BO29" s="40">
        <v>1</v>
      </c>
      <c r="BP29" s="164">
        <v>343303.69</v>
      </c>
      <c r="BQ29" s="244">
        <v>405473.27</v>
      </c>
      <c r="BR29" s="241">
        <v>1</v>
      </c>
      <c r="BS29" s="164">
        <v>405473.27</v>
      </c>
      <c r="BT29" s="40">
        <v>1</v>
      </c>
      <c r="BU29" s="164">
        <v>343303.69</v>
      </c>
      <c r="BV29" s="244">
        <v>405473.27</v>
      </c>
      <c r="BW29" s="241">
        <v>1</v>
      </c>
      <c r="BX29" s="164">
        <v>405473.27</v>
      </c>
      <c r="BY29" s="40">
        <v>1</v>
      </c>
      <c r="BZ29" s="164">
        <v>343303.69</v>
      </c>
      <c r="CA29" s="244">
        <v>405473.27</v>
      </c>
    </row>
    <row r="30" spans="1:79" ht="30" x14ac:dyDescent="0.25">
      <c r="A30" s="20">
        <v>123</v>
      </c>
      <c r="B30" s="161" t="s">
        <v>1444</v>
      </c>
      <c r="C30" s="162">
        <v>1</v>
      </c>
      <c r="D30" t="s">
        <v>54</v>
      </c>
      <c r="E30" s="164">
        <v>119853.08448225286</v>
      </c>
      <c r="F30" s="167">
        <v>119853.08448225286</v>
      </c>
      <c r="G30" s="40">
        <v>1</v>
      </c>
      <c r="H30" s="164">
        <v>109537.70000000001</v>
      </c>
      <c r="I30" s="40">
        <v>109537.70000000001</v>
      </c>
      <c r="J30" s="241">
        <v>0</v>
      </c>
      <c r="K30" s="164">
        <v>0</v>
      </c>
      <c r="L30" s="167">
        <v>0</v>
      </c>
      <c r="M30" s="164">
        <v>0</v>
      </c>
      <c r="N30" s="164">
        <v>0</v>
      </c>
      <c r="O30" s="241">
        <v>0</v>
      </c>
      <c r="P30" s="164">
        <v>0</v>
      </c>
      <c r="Q30" s="167">
        <v>0</v>
      </c>
      <c r="R30" s="164">
        <v>0</v>
      </c>
      <c r="S30" s="164">
        <v>0</v>
      </c>
      <c r="T30" s="241">
        <v>0</v>
      </c>
      <c r="U30" s="164">
        <v>0</v>
      </c>
      <c r="V30" s="40">
        <v>0</v>
      </c>
      <c r="W30" s="164">
        <v>0</v>
      </c>
      <c r="X30" s="242">
        <v>0</v>
      </c>
      <c r="Y30" s="241">
        <v>0</v>
      </c>
      <c r="Z30" s="164">
        <v>0</v>
      </c>
      <c r="AA30" s="40">
        <v>0</v>
      </c>
      <c r="AB30" s="164">
        <v>0</v>
      </c>
      <c r="AC30" s="164">
        <v>0</v>
      </c>
      <c r="AD30" s="241">
        <v>0</v>
      </c>
      <c r="AE30" s="164">
        <v>0</v>
      </c>
      <c r="AF30" s="40">
        <v>1.7131522427268907E-2</v>
      </c>
      <c r="AG30" s="164">
        <v>2895.45</v>
      </c>
      <c r="AH30" s="242">
        <v>2053.26580478507</v>
      </c>
      <c r="AI30" s="241">
        <v>0</v>
      </c>
      <c r="AJ30" s="164">
        <v>0</v>
      </c>
      <c r="AK30" s="40">
        <v>0.30678113517895073</v>
      </c>
      <c r="AL30" s="164">
        <v>51850</v>
      </c>
      <c r="AM30" s="242">
        <v>36768.665312164216</v>
      </c>
      <c r="AN30" s="241">
        <v>0.35</v>
      </c>
      <c r="AO30" s="164">
        <v>41948.579568788497</v>
      </c>
      <c r="AP30" s="40">
        <v>0.33020152295977234</v>
      </c>
      <c r="AQ30" s="164">
        <v>55808.35</v>
      </c>
      <c r="AR30" s="242">
        <v>39575.671027466153</v>
      </c>
      <c r="AS30" s="241">
        <v>1</v>
      </c>
      <c r="AT30" s="164">
        <v>119853.08448225286</v>
      </c>
      <c r="AU30" s="40">
        <v>0.36422257459485363</v>
      </c>
      <c r="AV30" s="164">
        <v>61558.35</v>
      </c>
      <c r="AW30" s="242">
        <v>43653.199003260634</v>
      </c>
      <c r="AX30" s="241">
        <v>1</v>
      </c>
      <c r="AY30" s="164">
        <v>119853.08448225286</v>
      </c>
      <c r="AZ30" s="40">
        <v>0.47268724890984715</v>
      </c>
      <c r="BA30" s="164">
        <v>79890.289999999994</v>
      </c>
      <c r="BB30" s="242">
        <v>56653.024777275597</v>
      </c>
      <c r="BC30" s="241">
        <v>1</v>
      </c>
      <c r="BD30" s="164">
        <v>119853.08448225286</v>
      </c>
      <c r="BE30" s="40">
        <v>0.50851532130664512</v>
      </c>
      <c r="BF30" s="164">
        <v>85945.700000000012</v>
      </c>
      <c r="BG30" s="242">
        <v>60947.129765085294</v>
      </c>
      <c r="BH30" s="241">
        <v>1</v>
      </c>
      <c r="BI30" s="164">
        <v>119853.08448225286</v>
      </c>
      <c r="BJ30" s="40">
        <v>0.54914533201588045</v>
      </c>
      <c r="BK30" s="164">
        <v>92812.700000000012</v>
      </c>
      <c r="BL30" s="242">
        <v>65816.76187113412</v>
      </c>
      <c r="BM30" s="241">
        <v>1</v>
      </c>
      <c r="BN30" s="164">
        <v>119853.08448225286</v>
      </c>
      <c r="BO30" s="40">
        <v>1</v>
      </c>
      <c r="BP30" s="164">
        <v>92812.700000000012</v>
      </c>
      <c r="BQ30" s="244">
        <v>119853.08448225286</v>
      </c>
      <c r="BR30" s="241">
        <v>1</v>
      </c>
      <c r="BS30" s="164">
        <v>119853.08448225286</v>
      </c>
      <c r="BT30" s="40">
        <v>1</v>
      </c>
      <c r="BU30" s="164">
        <v>109537.70000000001</v>
      </c>
      <c r="BV30" s="244">
        <v>119853.08448225286</v>
      </c>
      <c r="BW30" s="241">
        <v>1</v>
      </c>
      <c r="BX30" s="164">
        <v>119853.08448225286</v>
      </c>
      <c r="BY30" s="40">
        <v>1</v>
      </c>
      <c r="BZ30" s="164">
        <v>109537.70000000001</v>
      </c>
      <c r="CA30" s="244">
        <v>119853.08448225286</v>
      </c>
    </row>
    <row r="31" spans="1:79" ht="12.6" customHeight="1" x14ac:dyDescent="0.25">
      <c r="A31" s="20">
        <v>131</v>
      </c>
      <c r="B31" s="161" t="s">
        <v>1445</v>
      </c>
      <c r="C31" s="162">
        <v>1</v>
      </c>
      <c r="D31" t="s">
        <v>54</v>
      </c>
      <c r="E31" s="164">
        <v>21670</v>
      </c>
      <c r="F31" s="167">
        <v>21670</v>
      </c>
      <c r="G31" s="40">
        <v>1</v>
      </c>
      <c r="H31" s="164">
        <v>18080.5</v>
      </c>
      <c r="I31" s="40">
        <v>18080.5</v>
      </c>
      <c r="J31" s="241">
        <v>0</v>
      </c>
      <c r="K31" s="164">
        <v>0</v>
      </c>
      <c r="L31" s="167">
        <v>0</v>
      </c>
      <c r="M31" s="164">
        <v>0</v>
      </c>
      <c r="N31" s="164">
        <v>0</v>
      </c>
      <c r="O31" s="241">
        <v>0</v>
      </c>
      <c r="P31" s="164">
        <v>0</v>
      </c>
      <c r="Q31" s="167">
        <v>0</v>
      </c>
      <c r="R31" s="164">
        <v>0</v>
      </c>
      <c r="S31" s="164">
        <v>0</v>
      </c>
      <c r="T31" s="241">
        <v>0</v>
      </c>
      <c r="U31" s="164">
        <v>0</v>
      </c>
      <c r="V31" s="40">
        <v>0</v>
      </c>
      <c r="W31" s="164">
        <v>0</v>
      </c>
      <c r="X31" s="242">
        <v>0</v>
      </c>
      <c r="Y31" s="241">
        <v>0</v>
      </c>
      <c r="Z31" s="164">
        <v>0</v>
      </c>
      <c r="AA31" s="40">
        <v>0</v>
      </c>
      <c r="AB31" s="164">
        <v>0</v>
      </c>
      <c r="AC31" s="164">
        <v>0</v>
      </c>
      <c r="AD31" s="241">
        <v>0</v>
      </c>
      <c r="AE31" s="164">
        <v>0</v>
      </c>
      <c r="AF31" s="40">
        <v>0</v>
      </c>
      <c r="AG31" s="164">
        <v>194.6</v>
      </c>
      <c r="AH31" s="242">
        <v>0</v>
      </c>
      <c r="AI31" s="241">
        <v>0</v>
      </c>
      <c r="AJ31" s="164">
        <v>0</v>
      </c>
      <c r="AK31" s="40">
        <v>0</v>
      </c>
      <c r="AL31" s="164">
        <v>303.76</v>
      </c>
      <c r="AM31" s="242">
        <v>0</v>
      </c>
      <c r="AN31" s="241">
        <v>0</v>
      </c>
      <c r="AO31" s="164">
        <v>0</v>
      </c>
      <c r="AP31" s="40">
        <v>0</v>
      </c>
      <c r="AQ31" s="164">
        <v>303.76</v>
      </c>
      <c r="AR31" s="242">
        <v>0</v>
      </c>
      <c r="AS31" s="241">
        <v>1</v>
      </c>
      <c r="AT31" s="164">
        <v>21670</v>
      </c>
      <c r="AU31" s="40">
        <v>0</v>
      </c>
      <c r="AV31" s="164">
        <v>731.66</v>
      </c>
      <c r="AW31" s="242">
        <v>0</v>
      </c>
      <c r="AX31" s="241">
        <v>1</v>
      </c>
      <c r="AY31" s="164">
        <v>21670</v>
      </c>
      <c r="AZ31" s="40">
        <v>0.1</v>
      </c>
      <c r="BA31" s="164">
        <v>1355.5</v>
      </c>
      <c r="BB31" s="242">
        <v>2167</v>
      </c>
      <c r="BC31" s="241">
        <v>1</v>
      </c>
      <c r="BD31" s="164">
        <v>21670</v>
      </c>
      <c r="BE31" s="40">
        <v>0.1</v>
      </c>
      <c r="BF31" s="164">
        <v>1355.5</v>
      </c>
      <c r="BG31" s="242">
        <v>2167</v>
      </c>
      <c r="BH31" s="241">
        <v>1</v>
      </c>
      <c r="BI31" s="164">
        <v>21670</v>
      </c>
      <c r="BJ31" s="40">
        <v>1</v>
      </c>
      <c r="BK31" s="164">
        <v>18080.5</v>
      </c>
      <c r="BL31" s="242">
        <v>21670</v>
      </c>
      <c r="BM31" s="241">
        <v>1</v>
      </c>
      <c r="BN31" s="164">
        <v>21670</v>
      </c>
      <c r="BO31" s="40">
        <v>1</v>
      </c>
      <c r="BP31" s="164">
        <v>18080.5</v>
      </c>
      <c r="BQ31" s="244">
        <v>21670</v>
      </c>
      <c r="BR31" s="241">
        <v>1</v>
      </c>
      <c r="BS31" s="164">
        <v>21670</v>
      </c>
      <c r="BT31" s="40">
        <v>1</v>
      </c>
      <c r="BU31" s="164">
        <v>18080.5</v>
      </c>
      <c r="BV31" s="244">
        <v>21670</v>
      </c>
      <c r="BW31" s="241">
        <v>1</v>
      </c>
      <c r="BX31" s="164">
        <v>21670</v>
      </c>
      <c r="BY31" s="40">
        <v>1</v>
      </c>
      <c r="BZ31" s="164">
        <v>18080.5</v>
      </c>
      <c r="CA31" s="244">
        <v>21670</v>
      </c>
    </row>
    <row r="32" spans="1:79" x14ac:dyDescent="0.25">
      <c r="A32" s="20">
        <v>132</v>
      </c>
      <c r="B32" s="161" t="s">
        <v>1446</v>
      </c>
      <c r="C32" s="162">
        <v>677</v>
      </c>
      <c r="D32" t="s">
        <v>1426</v>
      </c>
      <c r="E32" s="164">
        <v>349020.01030115859</v>
      </c>
      <c r="F32" s="167">
        <v>432.49071908445922</v>
      </c>
      <c r="G32" s="40">
        <v>807</v>
      </c>
      <c r="H32" s="164">
        <v>322580.15615</v>
      </c>
      <c r="I32" s="40">
        <v>399.72757887236679</v>
      </c>
      <c r="J32" s="241">
        <v>0</v>
      </c>
      <c r="K32" s="164">
        <v>0</v>
      </c>
      <c r="L32" s="167">
        <v>0</v>
      </c>
      <c r="M32" s="164">
        <v>0</v>
      </c>
      <c r="N32" s="164">
        <v>0</v>
      </c>
      <c r="O32" s="241">
        <v>150</v>
      </c>
      <c r="P32" s="164">
        <v>77330.873774259657</v>
      </c>
      <c r="Q32" s="167">
        <v>100</v>
      </c>
      <c r="R32" s="164">
        <v>42453.687149999998</v>
      </c>
      <c r="S32" s="164">
        <v>43249.071908445927</v>
      </c>
      <c r="T32" s="241">
        <v>325</v>
      </c>
      <c r="U32" s="164">
        <v>167550.22651089591</v>
      </c>
      <c r="V32" s="40">
        <v>325</v>
      </c>
      <c r="W32" s="164">
        <v>122163.28215</v>
      </c>
      <c r="X32" s="242">
        <v>140559.48370244924</v>
      </c>
      <c r="Y32" s="241">
        <v>500</v>
      </c>
      <c r="Z32" s="164">
        <v>257769.57924753221</v>
      </c>
      <c r="AA32" s="40">
        <v>620</v>
      </c>
      <c r="AB32" s="164">
        <v>243242.29715</v>
      </c>
      <c r="AC32" s="164">
        <v>268144.24583236472</v>
      </c>
      <c r="AD32" s="241">
        <v>677</v>
      </c>
      <c r="AE32" s="164">
        <v>349020.01030115859</v>
      </c>
      <c r="AF32" s="40">
        <v>675</v>
      </c>
      <c r="AG32" s="164">
        <v>265477.65214999992</v>
      </c>
      <c r="AH32" s="242">
        <v>291931.23538201</v>
      </c>
      <c r="AI32" s="241">
        <v>677</v>
      </c>
      <c r="AJ32" s="164">
        <v>349020.01030115859</v>
      </c>
      <c r="AK32" s="40">
        <v>675</v>
      </c>
      <c r="AL32" s="164">
        <v>266128.92714999994</v>
      </c>
      <c r="AM32" s="242">
        <v>291931.23538201</v>
      </c>
      <c r="AN32" s="241">
        <v>677</v>
      </c>
      <c r="AO32" s="164">
        <v>349020.01030115859</v>
      </c>
      <c r="AP32" s="40">
        <v>675</v>
      </c>
      <c r="AQ32" s="164">
        <v>266128.92714999994</v>
      </c>
      <c r="AR32" s="242">
        <v>291931.23538201</v>
      </c>
      <c r="AS32" s="241">
        <v>677</v>
      </c>
      <c r="AT32" s="164">
        <v>349020.01030115859</v>
      </c>
      <c r="AU32" s="40">
        <v>738</v>
      </c>
      <c r="AV32" s="164">
        <v>292216.08614999987</v>
      </c>
      <c r="AW32" s="242">
        <v>319178.1506843309</v>
      </c>
      <c r="AX32" s="241">
        <v>677</v>
      </c>
      <c r="AY32" s="164">
        <v>349020.01030115859</v>
      </c>
      <c r="AZ32" s="40">
        <v>743</v>
      </c>
      <c r="BA32" s="164">
        <v>294585.26614999992</v>
      </c>
      <c r="BB32" s="242">
        <v>321340.60427975323</v>
      </c>
      <c r="BC32" s="241">
        <v>677</v>
      </c>
      <c r="BD32" s="164">
        <v>349020.01030115859</v>
      </c>
      <c r="BE32" s="40">
        <v>745</v>
      </c>
      <c r="BF32" s="164">
        <v>294803.58614999993</v>
      </c>
      <c r="BG32" s="242">
        <v>322205.58571792213</v>
      </c>
      <c r="BH32" s="241">
        <v>677</v>
      </c>
      <c r="BI32" s="164">
        <v>349020.01030115859</v>
      </c>
      <c r="BJ32" s="40">
        <v>745</v>
      </c>
      <c r="BK32" s="164">
        <v>295560.06614999997</v>
      </c>
      <c r="BL32" s="242">
        <v>322205.58571792213</v>
      </c>
      <c r="BM32" s="241">
        <v>677</v>
      </c>
      <c r="BN32" s="164">
        <v>349020.01030115859</v>
      </c>
      <c r="BO32" s="40">
        <v>807</v>
      </c>
      <c r="BP32" s="164">
        <v>322580.15615</v>
      </c>
      <c r="BQ32" s="244">
        <v>349020.01030115859</v>
      </c>
      <c r="BR32" s="241">
        <v>677</v>
      </c>
      <c r="BS32" s="164">
        <v>349020.01030115859</v>
      </c>
      <c r="BT32" s="40">
        <v>807</v>
      </c>
      <c r="BU32" s="164">
        <v>322580.15615</v>
      </c>
      <c r="BV32" s="244">
        <v>349020.01030115859</v>
      </c>
      <c r="BW32" s="241">
        <v>677</v>
      </c>
      <c r="BX32" s="164">
        <v>349020.01030115859</v>
      </c>
      <c r="BY32" s="40">
        <v>807</v>
      </c>
      <c r="BZ32" s="164">
        <v>322580.15615</v>
      </c>
      <c r="CA32" s="244">
        <v>349020.01030115859</v>
      </c>
    </row>
    <row r="33" spans="1:79" ht="30" x14ac:dyDescent="0.25">
      <c r="A33" s="20">
        <v>135</v>
      </c>
      <c r="B33" s="161" t="s">
        <v>1447</v>
      </c>
      <c r="C33" s="162">
        <v>577</v>
      </c>
      <c r="D33" t="s">
        <v>26</v>
      </c>
      <c r="E33" s="164">
        <v>54137.205387205388</v>
      </c>
      <c r="F33" s="167">
        <v>93.82531262947208</v>
      </c>
      <c r="G33" s="40">
        <v>577</v>
      </c>
      <c r="H33" s="164">
        <v>62335.540000000052</v>
      </c>
      <c r="I33" s="40">
        <v>108.03386481802436</v>
      </c>
      <c r="J33" s="241">
        <v>50</v>
      </c>
      <c r="K33" s="164">
        <v>4691.2656314736041</v>
      </c>
      <c r="L33" s="167">
        <v>20</v>
      </c>
      <c r="M33" s="164">
        <v>2434.0349999999999</v>
      </c>
      <c r="N33" s="164">
        <v>1876.5062525894414</v>
      </c>
      <c r="O33" s="241">
        <v>300</v>
      </c>
      <c r="P33" s="164">
        <v>28147.593788841627</v>
      </c>
      <c r="Q33" s="167">
        <v>250</v>
      </c>
      <c r="R33" s="164">
        <v>27212.315000000002</v>
      </c>
      <c r="S33" s="164">
        <v>23456.328157368018</v>
      </c>
      <c r="T33" s="241">
        <v>500</v>
      </c>
      <c r="U33" s="164">
        <v>46912.656314736036</v>
      </c>
      <c r="V33" s="40">
        <v>380</v>
      </c>
      <c r="W33" s="164">
        <v>41215.715000000004</v>
      </c>
      <c r="X33" s="242">
        <v>35653.618799199387</v>
      </c>
      <c r="Y33" s="241">
        <v>577</v>
      </c>
      <c r="Z33" s="164">
        <v>54137.205387205388</v>
      </c>
      <c r="AA33" s="40">
        <v>445</v>
      </c>
      <c r="AB33" s="164">
        <v>49041.350000000028</v>
      </c>
      <c r="AC33" s="164">
        <v>41752.264120115076</v>
      </c>
      <c r="AD33" s="241">
        <v>577</v>
      </c>
      <c r="AE33" s="164">
        <v>54137.205387205388</v>
      </c>
      <c r="AF33" s="40">
        <v>480</v>
      </c>
      <c r="AG33" s="164">
        <v>52921.380000000041</v>
      </c>
      <c r="AH33" s="242">
        <v>45036.150062146597</v>
      </c>
      <c r="AI33" s="241">
        <v>577</v>
      </c>
      <c r="AJ33" s="164">
        <v>54137.205387205388</v>
      </c>
      <c r="AK33" s="40">
        <v>480</v>
      </c>
      <c r="AL33" s="164">
        <v>53326.220000000045</v>
      </c>
      <c r="AM33" s="242">
        <v>45036.150062146597</v>
      </c>
      <c r="AN33" s="241">
        <v>577</v>
      </c>
      <c r="AO33" s="164">
        <v>54137.205387205388</v>
      </c>
      <c r="AP33" s="40">
        <v>535</v>
      </c>
      <c r="AQ33" s="164">
        <v>59107.160000000047</v>
      </c>
      <c r="AR33" s="242">
        <v>50196.542256767556</v>
      </c>
      <c r="AS33" s="241">
        <v>577</v>
      </c>
      <c r="AT33" s="164">
        <v>54137.205387205388</v>
      </c>
      <c r="AU33" s="40">
        <v>535</v>
      </c>
      <c r="AV33" s="164">
        <v>59461.060000000049</v>
      </c>
      <c r="AW33" s="242">
        <v>50196.542256767556</v>
      </c>
      <c r="AX33" s="241">
        <v>577</v>
      </c>
      <c r="AY33" s="164">
        <v>54137.205387205388</v>
      </c>
      <c r="AZ33" s="40">
        <v>535</v>
      </c>
      <c r="BA33" s="164">
        <v>59461.060000000049</v>
      </c>
      <c r="BB33" s="242">
        <v>50196.542256767556</v>
      </c>
      <c r="BC33" s="241">
        <v>577</v>
      </c>
      <c r="BD33" s="164">
        <v>54137.205387205388</v>
      </c>
      <c r="BE33" s="40">
        <v>577</v>
      </c>
      <c r="BF33" s="164">
        <v>62335.540000000052</v>
      </c>
      <c r="BG33" s="242">
        <v>54137.205387205388</v>
      </c>
      <c r="BH33" s="241">
        <v>577</v>
      </c>
      <c r="BI33" s="164">
        <v>54137.205387205388</v>
      </c>
      <c r="BJ33" s="40">
        <v>577</v>
      </c>
      <c r="BK33" s="164">
        <v>62335.540000000052</v>
      </c>
      <c r="BL33" s="242">
        <v>54137.205387205388</v>
      </c>
      <c r="BM33" s="241">
        <v>577</v>
      </c>
      <c r="BN33" s="164">
        <v>54137.205387205388</v>
      </c>
      <c r="BO33" s="40">
        <v>577</v>
      </c>
      <c r="BP33" s="164">
        <v>62335.540000000052</v>
      </c>
      <c r="BQ33" s="244">
        <v>54137.205387205388</v>
      </c>
      <c r="BR33" s="241">
        <v>577</v>
      </c>
      <c r="BS33" s="164">
        <v>54137.205387205388</v>
      </c>
      <c r="BT33" s="40">
        <v>577</v>
      </c>
      <c r="BU33" s="164">
        <v>62335.540000000052</v>
      </c>
      <c r="BV33" s="244">
        <v>54137.205387205388</v>
      </c>
      <c r="BW33" s="241">
        <v>577</v>
      </c>
      <c r="BX33" s="164">
        <v>54137.205387205388</v>
      </c>
      <c r="BY33" s="40">
        <v>577</v>
      </c>
      <c r="BZ33" s="164">
        <v>62335.540000000052</v>
      </c>
      <c r="CA33" s="244">
        <v>54137.205387205388</v>
      </c>
    </row>
    <row r="34" spans="1:79" ht="30" x14ac:dyDescent="0.25">
      <c r="A34" s="20">
        <v>151</v>
      </c>
      <c r="B34" s="161" t="s">
        <v>1448</v>
      </c>
      <c r="C34" s="162">
        <v>0</v>
      </c>
      <c r="D34" t="s">
        <v>26</v>
      </c>
      <c r="E34" s="164">
        <v>0</v>
      </c>
      <c r="F34" s="167">
        <v>0</v>
      </c>
      <c r="G34" s="40">
        <v>100</v>
      </c>
      <c r="H34" s="164">
        <v>3567.8950000000004</v>
      </c>
      <c r="I34" s="40">
        <v>35.678950000000007</v>
      </c>
      <c r="J34" s="241">
        <v>0</v>
      </c>
      <c r="K34" s="164">
        <v>0</v>
      </c>
      <c r="L34" s="167">
        <v>0</v>
      </c>
      <c r="M34" s="164">
        <v>106.12</v>
      </c>
      <c r="N34" s="164">
        <v>0</v>
      </c>
      <c r="O34" s="241">
        <v>0</v>
      </c>
      <c r="P34" s="164">
        <v>0</v>
      </c>
      <c r="Q34" s="167">
        <v>50</v>
      </c>
      <c r="R34" s="164">
        <v>1714.585</v>
      </c>
      <c r="S34" s="164">
        <v>0</v>
      </c>
      <c r="T34" s="241">
        <v>0</v>
      </c>
      <c r="U34" s="164">
        <v>0</v>
      </c>
      <c r="V34" s="40">
        <v>0.6</v>
      </c>
      <c r="W34" s="164">
        <v>1973.9250000000002</v>
      </c>
      <c r="X34" s="242">
        <v>0</v>
      </c>
      <c r="Y34" s="241">
        <v>0</v>
      </c>
      <c r="Z34" s="164">
        <v>0</v>
      </c>
      <c r="AA34" s="40">
        <v>0.6</v>
      </c>
      <c r="AB34" s="164">
        <v>1973.9250000000002</v>
      </c>
      <c r="AC34" s="164">
        <v>0</v>
      </c>
      <c r="AD34" s="241">
        <v>0</v>
      </c>
      <c r="AE34" s="164">
        <v>0</v>
      </c>
      <c r="AF34" s="40">
        <v>0.75</v>
      </c>
      <c r="AG34" s="164">
        <v>2721.9050000000002</v>
      </c>
      <c r="AH34" s="242">
        <v>0</v>
      </c>
      <c r="AI34" s="241">
        <v>0</v>
      </c>
      <c r="AJ34" s="164">
        <v>0</v>
      </c>
      <c r="AK34" s="40">
        <v>0.75</v>
      </c>
      <c r="AL34" s="164">
        <v>2721.9050000000002</v>
      </c>
      <c r="AM34" s="242">
        <v>0</v>
      </c>
      <c r="AN34" s="241">
        <v>0</v>
      </c>
      <c r="AO34" s="164">
        <v>0</v>
      </c>
      <c r="AP34" s="40">
        <v>0.75</v>
      </c>
      <c r="AQ34" s="164">
        <v>2721.9050000000002</v>
      </c>
      <c r="AR34" s="242">
        <v>0</v>
      </c>
      <c r="AS34" s="241">
        <v>0</v>
      </c>
      <c r="AT34" s="164">
        <v>0</v>
      </c>
      <c r="AU34" s="40">
        <v>0.75</v>
      </c>
      <c r="AV34" s="164">
        <v>2721.9050000000002</v>
      </c>
      <c r="AW34" s="242">
        <v>0</v>
      </c>
      <c r="AX34" s="241">
        <v>0</v>
      </c>
      <c r="AY34" s="164">
        <v>0</v>
      </c>
      <c r="AZ34" s="40">
        <v>0.75</v>
      </c>
      <c r="BA34" s="164">
        <v>2721.9050000000002</v>
      </c>
      <c r="BB34" s="242">
        <v>0</v>
      </c>
      <c r="BC34" s="241">
        <v>0</v>
      </c>
      <c r="BD34" s="164">
        <v>0</v>
      </c>
      <c r="BE34" s="40">
        <v>1</v>
      </c>
      <c r="BF34" s="164">
        <v>3567.8950000000004</v>
      </c>
      <c r="BG34" s="242">
        <v>0</v>
      </c>
      <c r="BH34" s="241">
        <v>0</v>
      </c>
      <c r="BI34" s="164">
        <v>0</v>
      </c>
      <c r="BJ34" s="40">
        <v>1</v>
      </c>
      <c r="BK34" s="164">
        <v>3567.8950000000004</v>
      </c>
      <c r="BL34" s="242">
        <v>0</v>
      </c>
      <c r="BM34" s="241">
        <v>0</v>
      </c>
      <c r="BN34" s="164">
        <v>0</v>
      </c>
      <c r="BO34" s="40">
        <v>100</v>
      </c>
      <c r="BP34" s="164">
        <v>3567.8950000000004</v>
      </c>
      <c r="BQ34" s="244">
        <v>0</v>
      </c>
      <c r="BR34" s="241">
        <v>0</v>
      </c>
      <c r="BS34" s="164">
        <v>0</v>
      </c>
      <c r="BT34" s="40">
        <v>100</v>
      </c>
      <c r="BU34" s="164">
        <v>3567.8950000000004</v>
      </c>
      <c r="BV34" s="244">
        <v>0</v>
      </c>
      <c r="BW34" s="241">
        <v>0</v>
      </c>
      <c r="BX34" s="164">
        <v>0</v>
      </c>
      <c r="BY34" s="40">
        <v>100</v>
      </c>
      <c r="BZ34" s="164">
        <v>3567.8950000000004</v>
      </c>
      <c r="CA34" s="244">
        <v>0</v>
      </c>
    </row>
    <row r="35" spans="1:79" ht="13.7" customHeight="1" x14ac:dyDescent="0.25">
      <c r="A35" s="20">
        <v>152</v>
      </c>
      <c r="B35" s="161" t="s">
        <v>1449</v>
      </c>
      <c r="C35" s="162">
        <v>0</v>
      </c>
      <c r="D35" t="s">
        <v>54</v>
      </c>
      <c r="E35" s="164">
        <v>0</v>
      </c>
      <c r="F35" s="167">
        <v>0</v>
      </c>
      <c r="G35" s="40">
        <v>1</v>
      </c>
      <c r="H35" s="164">
        <v>875</v>
      </c>
      <c r="I35" s="40">
        <v>875</v>
      </c>
      <c r="J35" s="241">
        <v>0</v>
      </c>
      <c r="K35" s="164">
        <v>0</v>
      </c>
      <c r="L35" s="167">
        <v>0</v>
      </c>
      <c r="M35" s="164">
        <v>0</v>
      </c>
      <c r="N35" s="164">
        <v>0</v>
      </c>
      <c r="O35" s="241">
        <v>0</v>
      </c>
      <c r="P35" s="164">
        <v>0</v>
      </c>
      <c r="Q35" s="167">
        <v>0</v>
      </c>
      <c r="R35" s="164">
        <v>0</v>
      </c>
      <c r="S35" s="164">
        <v>0</v>
      </c>
      <c r="T35" s="241">
        <v>0</v>
      </c>
      <c r="U35" s="164">
        <v>0</v>
      </c>
      <c r="V35" s="40">
        <v>0</v>
      </c>
      <c r="W35" s="164">
        <v>0</v>
      </c>
      <c r="X35" s="242">
        <v>0</v>
      </c>
      <c r="Y35" s="241">
        <v>0</v>
      </c>
      <c r="Z35" s="164">
        <v>0</v>
      </c>
      <c r="AA35" s="40">
        <v>1</v>
      </c>
      <c r="AB35" s="164">
        <v>875</v>
      </c>
      <c r="AC35" s="164">
        <v>0</v>
      </c>
      <c r="AD35" s="241">
        <v>0</v>
      </c>
      <c r="AE35" s="164">
        <v>0</v>
      </c>
      <c r="AF35" s="40">
        <v>1</v>
      </c>
      <c r="AG35" s="164">
        <v>875</v>
      </c>
      <c r="AH35" s="242">
        <v>0</v>
      </c>
      <c r="AI35" s="241">
        <v>0</v>
      </c>
      <c r="AJ35" s="164">
        <v>0</v>
      </c>
      <c r="AK35" s="40">
        <v>1</v>
      </c>
      <c r="AL35" s="164">
        <v>875</v>
      </c>
      <c r="AM35" s="242">
        <v>0</v>
      </c>
      <c r="AN35" s="241">
        <v>0</v>
      </c>
      <c r="AO35" s="164">
        <v>0</v>
      </c>
      <c r="AP35" s="40">
        <v>1</v>
      </c>
      <c r="AQ35" s="164">
        <v>875</v>
      </c>
      <c r="AR35" s="242">
        <v>0</v>
      </c>
      <c r="AS35" s="241">
        <v>0</v>
      </c>
      <c r="AT35" s="164">
        <v>0</v>
      </c>
      <c r="AU35" s="40">
        <v>1</v>
      </c>
      <c r="AV35" s="164">
        <v>875</v>
      </c>
      <c r="AW35" s="242">
        <v>0</v>
      </c>
      <c r="AX35" s="241">
        <v>0</v>
      </c>
      <c r="AY35" s="164">
        <v>0</v>
      </c>
      <c r="AZ35" s="40">
        <v>1</v>
      </c>
      <c r="BA35" s="164">
        <v>875</v>
      </c>
      <c r="BB35" s="242">
        <v>0</v>
      </c>
      <c r="BC35" s="241">
        <v>0</v>
      </c>
      <c r="BD35" s="164">
        <v>0</v>
      </c>
      <c r="BE35" s="40">
        <v>1</v>
      </c>
      <c r="BF35" s="164">
        <v>875</v>
      </c>
      <c r="BG35" s="242">
        <v>0</v>
      </c>
      <c r="BH35" s="241">
        <v>0</v>
      </c>
      <c r="BI35" s="164">
        <v>0</v>
      </c>
      <c r="BJ35" s="40">
        <v>1</v>
      </c>
      <c r="BK35" s="164">
        <v>875</v>
      </c>
      <c r="BL35" s="242">
        <v>0</v>
      </c>
      <c r="BM35" s="241">
        <v>0</v>
      </c>
      <c r="BN35" s="164">
        <v>0</v>
      </c>
      <c r="BO35" s="40">
        <v>1</v>
      </c>
      <c r="BP35" s="164">
        <v>875</v>
      </c>
      <c r="BQ35" s="244">
        <v>0</v>
      </c>
      <c r="BR35" s="241">
        <v>0</v>
      </c>
      <c r="BS35" s="164">
        <v>0</v>
      </c>
      <c r="BT35" s="40">
        <v>1</v>
      </c>
      <c r="BU35" s="164">
        <v>875</v>
      </c>
      <c r="BV35" s="244">
        <v>0</v>
      </c>
      <c r="BW35" s="241">
        <v>0</v>
      </c>
      <c r="BX35" s="164">
        <v>0</v>
      </c>
      <c r="BY35" s="40">
        <v>1</v>
      </c>
      <c r="BZ35" s="164">
        <v>875</v>
      </c>
      <c r="CA35" s="244">
        <v>0</v>
      </c>
    </row>
    <row r="36" spans="1:79" x14ac:dyDescent="0.25">
      <c r="A36" s="20">
        <v>222</v>
      </c>
      <c r="B36" s="161" t="s">
        <v>1450</v>
      </c>
      <c r="C36" s="162">
        <v>2600</v>
      </c>
      <c r="D36" t="s">
        <v>1426</v>
      </c>
      <c r="E36" s="164">
        <v>5804.9528789467622</v>
      </c>
      <c r="F36" s="167">
        <v>0</v>
      </c>
      <c r="G36" s="40">
        <v>0</v>
      </c>
      <c r="H36" s="164">
        <v>76.900000000000006</v>
      </c>
      <c r="I36" s="40">
        <v>0</v>
      </c>
      <c r="J36" s="241">
        <v>0</v>
      </c>
      <c r="K36" s="164">
        <v>0</v>
      </c>
      <c r="L36" s="167">
        <v>0</v>
      </c>
      <c r="M36" s="164">
        <v>0</v>
      </c>
      <c r="N36" s="164">
        <v>0</v>
      </c>
      <c r="O36" s="241">
        <v>0</v>
      </c>
      <c r="P36" s="164">
        <v>0</v>
      </c>
      <c r="Q36" s="167">
        <v>0</v>
      </c>
      <c r="R36" s="164">
        <v>0</v>
      </c>
      <c r="S36" s="164">
        <v>0</v>
      </c>
      <c r="T36" s="241">
        <v>1000</v>
      </c>
      <c r="U36" s="164">
        <v>2232.6741842102933</v>
      </c>
      <c r="V36" s="40">
        <v>0</v>
      </c>
      <c r="W36" s="164">
        <v>76.900000000000006</v>
      </c>
      <c r="X36" s="242">
        <v>0</v>
      </c>
      <c r="Y36" s="241">
        <v>2600</v>
      </c>
      <c r="Z36" s="164">
        <v>5804.9528789467622</v>
      </c>
      <c r="AA36" s="40">
        <v>0</v>
      </c>
      <c r="AB36" s="164">
        <v>76.900000000000006</v>
      </c>
      <c r="AC36" s="164">
        <v>0</v>
      </c>
      <c r="AD36" s="241">
        <v>2600</v>
      </c>
      <c r="AE36" s="164">
        <v>5804.9528789467622</v>
      </c>
      <c r="AF36" s="40">
        <v>0</v>
      </c>
      <c r="AG36" s="164">
        <v>76.900000000000006</v>
      </c>
      <c r="AH36" s="242">
        <v>0</v>
      </c>
      <c r="AI36" s="241">
        <v>2600</v>
      </c>
      <c r="AJ36" s="164">
        <v>5804.9528789467622</v>
      </c>
      <c r="AK36" s="40">
        <v>0</v>
      </c>
      <c r="AL36" s="164">
        <v>76.900000000000006</v>
      </c>
      <c r="AM36" s="242">
        <v>5804.9528789467622</v>
      </c>
      <c r="AN36" s="241">
        <v>2600</v>
      </c>
      <c r="AO36" s="164">
        <v>5804.9528789467622</v>
      </c>
      <c r="AP36" s="40">
        <v>0</v>
      </c>
      <c r="AQ36" s="164">
        <v>76.900000000000006</v>
      </c>
      <c r="AR36" s="242">
        <v>5804.9528789467622</v>
      </c>
      <c r="AS36" s="241">
        <v>2600</v>
      </c>
      <c r="AT36" s="164">
        <v>5804.9528789467622</v>
      </c>
      <c r="AU36" s="40">
        <v>0</v>
      </c>
      <c r="AV36" s="164">
        <v>76.900000000000006</v>
      </c>
      <c r="AW36" s="242">
        <v>5804.9528789467622</v>
      </c>
      <c r="AX36" s="241">
        <v>2600</v>
      </c>
      <c r="AY36" s="164">
        <v>5804.9528789467622</v>
      </c>
      <c r="AZ36" s="40">
        <v>0</v>
      </c>
      <c r="BA36" s="164">
        <v>76.900000000000006</v>
      </c>
      <c r="BB36" s="242">
        <v>5804.9528789467622</v>
      </c>
      <c r="BC36" s="241">
        <v>2600</v>
      </c>
      <c r="BD36" s="164">
        <v>5804.9528789467622</v>
      </c>
      <c r="BE36" s="40">
        <v>0</v>
      </c>
      <c r="BF36" s="164">
        <v>76.900000000000006</v>
      </c>
      <c r="BG36" s="242">
        <v>5804.9528789467622</v>
      </c>
      <c r="BH36" s="241">
        <v>2600</v>
      </c>
      <c r="BI36" s="164">
        <v>5804.9528789467622</v>
      </c>
      <c r="BJ36" s="40">
        <v>0</v>
      </c>
      <c r="BK36" s="164">
        <v>76.900000000000006</v>
      </c>
      <c r="BL36" s="242">
        <v>5804.9528789467622</v>
      </c>
      <c r="BM36" s="241">
        <v>2600</v>
      </c>
      <c r="BN36" s="164">
        <v>5804.9528789467622</v>
      </c>
      <c r="BO36" s="40">
        <v>0</v>
      </c>
      <c r="BP36" s="164">
        <v>76.900000000000006</v>
      </c>
      <c r="BQ36" s="244">
        <v>5804.9528789467622</v>
      </c>
      <c r="BR36" s="241">
        <v>2600</v>
      </c>
      <c r="BS36" s="164">
        <v>5804.9528789467622</v>
      </c>
      <c r="BT36" s="40">
        <v>0</v>
      </c>
      <c r="BU36" s="164">
        <v>76.900000000000006</v>
      </c>
      <c r="BV36" s="244">
        <v>5804.9528789467622</v>
      </c>
      <c r="BW36" s="241">
        <v>2600</v>
      </c>
      <c r="BX36" s="164">
        <v>5804.9528789467622</v>
      </c>
      <c r="BY36" s="40">
        <v>0</v>
      </c>
      <c r="BZ36" s="164">
        <v>76.900000000000006</v>
      </c>
      <c r="CA36" s="244">
        <v>5804.9528789467622</v>
      </c>
    </row>
    <row r="37" spans="1:79" x14ac:dyDescent="0.25">
      <c r="A37" s="20">
        <v>901</v>
      </c>
      <c r="B37" s="161" t="s">
        <v>457</v>
      </c>
      <c r="C37" s="162">
        <v>14</v>
      </c>
      <c r="D37" t="s">
        <v>455</v>
      </c>
      <c r="E37" s="164">
        <v>61200</v>
      </c>
      <c r="F37" s="167">
        <v>9540.7660628075464</v>
      </c>
      <c r="G37" s="40">
        <v>6.4145792483660129</v>
      </c>
      <c r="H37" s="164">
        <v>28040.875</v>
      </c>
      <c r="I37" s="40">
        <v>4371.4285714285716</v>
      </c>
      <c r="J37" s="241">
        <v>2</v>
      </c>
      <c r="K37" s="164">
        <v>8742.8571428571431</v>
      </c>
      <c r="L37" s="167">
        <v>0.25</v>
      </c>
      <c r="M37" s="164">
        <v>1245.875</v>
      </c>
      <c r="N37" s="164">
        <v>2385.1915157018866</v>
      </c>
      <c r="O37" s="241">
        <v>4</v>
      </c>
      <c r="P37" s="164">
        <v>17485.714285714286</v>
      </c>
      <c r="Q37" s="167">
        <v>0.75</v>
      </c>
      <c r="R37" s="164">
        <v>3775.875</v>
      </c>
      <c r="S37" s="164">
        <v>7155.5745471056607</v>
      </c>
      <c r="T37" s="241">
        <v>6</v>
      </c>
      <c r="U37" s="164">
        <v>26228.571428571428</v>
      </c>
      <c r="V37" s="40">
        <v>1.3</v>
      </c>
      <c r="W37" s="164">
        <v>6811.875</v>
      </c>
      <c r="X37" s="242">
        <v>12402.995881649813</v>
      </c>
      <c r="Y37" s="241">
        <v>8</v>
      </c>
      <c r="Z37" s="164">
        <v>34971.428571428572</v>
      </c>
      <c r="AA37" s="40">
        <v>1.5</v>
      </c>
      <c r="AB37" s="164">
        <v>7892.875</v>
      </c>
      <c r="AC37" s="164">
        <v>14311.149094211321</v>
      </c>
      <c r="AD37" s="241">
        <v>10</v>
      </c>
      <c r="AE37" s="164">
        <v>43714.285714285717</v>
      </c>
      <c r="AF37" s="40">
        <v>1.8</v>
      </c>
      <c r="AG37" s="164">
        <v>9732.875</v>
      </c>
      <c r="AH37" s="242">
        <v>17173.378913053584</v>
      </c>
      <c r="AI37" s="241">
        <v>12</v>
      </c>
      <c r="AJ37" s="164">
        <v>52457.142857142855</v>
      </c>
      <c r="AK37" s="40">
        <v>2.7</v>
      </c>
      <c r="AL37" s="164">
        <v>14171.875</v>
      </c>
      <c r="AM37" s="242">
        <v>25760.068369580378</v>
      </c>
      <c r="AN37" s="241">
        <v>13</v>
      </c>
      <c r="AO37" s="164">
        <v>56828.571428571428</v>
      </c>
      <c r="AP37" s="40">
        <v>3.1</v>
      </c>
      <c r="AQ37" s="164">
        <v>16563.875</v>
      </c>
      <c r="AR37" s="242">
        <v>29576.374794703399</v>
      </c>
      <c r="AS37" s="241">
        <v>14</v>
      </c>
      <c r="AT37" s="164">
        <v>61200</v>
      </c>
      <c r="AU37" s="40">
        <v>4.4000000000000004</v>
      </c>
      <c r="AV37" s="164">
        <v>23325.875</v>
      </c>
      <c r="AW37" s="242">
        <v>41979.37067635321</v>
      </c>
      <c r="AX37" s="241">
        <v>14</v>
      </c>
      <c r="AY37" s="164">
        <v>61200</v>
      </c>
      <c r="AZ37" s="40">
        <v>5</v>
      </c>
      <c r="BA37" s="164">
        <v>26338.875</v>
      </c>
      <c r="BB37" s="242">
        <v>47703.830314037732</v>
      </c>
      <c r="BC37" s="241">
        <v>14</v>
      </c>
      <c r="BD37" s="164">
        <v>61200</v>
      </c>
      <c r="BE37" s="40">
        <v>5.0999999999999996</v>
      </c>
      <c r="BF37" s="164">
        <v>26568.875</v>
      </c>
      <c r="BG37" s="242">
        <v>48657.906920318492</v>
      </c>
      <c r="BH37" s="241">
        <v>14</v>
      </c>
      <c r="BI37" s="164">
        <v>61200</v>
      </c>
      <c r="BJ37" s="40">
        <v>5.2</v>
      </c>
      <c r="BK37" s="164">
        <v>27212.875</v>
      </c>
      <c r="BL37" s="242">
        <v>49611.983526599251</v>
      </c>
      <c r="BM37" s="241">
        <v>14</v>
      </c>
      <c r="BN37" s="164">
        <v>61200</v>
      </c>
      <c r="BO37" s="40">
        <v>6.4145792483660129</v>
      </c>
      <c r="BP37" s="164">
        <v>27971.875</v>
      </c>
      <c r="BQ37" s="244">
        <v>61200</v>
      </c>
      <c r="BR37" s="241">
        <v>14</v>
      </c>
      <c r="BS37" s="164">
        <v>61200</v>
      </c>
      <c r="BT37" s="40">
        <v>6.3987949346405228</v>
      </c>
      <c r="BU37" s="164">
        <v>27971.875</v>
      </c>
      <c r="BV37" s="244">
        <v>61200</v>
      </c>
      <c r="BW37" s="241">
        <v>14</v>
      </c>
      <c r="BX37" s="164">
        <v>61200</v>
      </c>
      <c r="BY37" s="40">
        <v>6.3987949346405228</v>
      </c>
      <c r="BZ37" s="164">
        <v>28040.875</v>
      </c>
      <c r="CA37" s="244">
        <v>61200</v>
      </c>
    </row>
    <row r="38" spans="1:79" x14ac:dyDescent="0.25">
      <c r="A38" s="20">
        <v>902</v>
      </c>
      <c r="B38" s="161" t="s">
        <v>453</v>
      </c>
      <c r="C38" s="162">
        <v>16</v>
      </c>
      <c r="D38" t="s">
        <v>455</v>
      </c>
      <c r="E38" s="164">
        <v>66320</v>
      </c>
      <c r="F38" s="167">
        <v>2459.0342694036572</v>
      </c>
      <c r="G38" s="40">
        <v>26.969937273823895</v>
      </c>
      <c r="H38" s="164">
        <v>111790.39000000004</v>
      </c>
      <c r="I38" s="40">
        <v>4145</v>
      </c>
      <c r="J38" s="241">
        <v>2</v>
      </c>
      <c r="K38" s="164">
        <v>8290</v>
      </c>
      <c r="L38" s="167">
        <v>0.2</v>
      </c>
      <c r="M38" s="164">
        <v>789.80000000000007</v>
      </c>
      <c r="N38" s="164">
        <v>491.80685388073147</v>
      </c>
      <c r="O38" s="241">
        <v>4</v>
      </c>
      <c r="P38" s="164">
        <v>16580</v>
      </c>
      <c r="Q38" s="167">
        <v>2.2000000000000002</v>
      </c>
      <c r="R38" s="164">
        <v>9080.6799999999985</v>
      </c>
      <c r="S38" s="164">
        <v>5409.8753926880463</v>
      </c>
      <c r="T38" s="241">
        <v>6</v>
      </c>
      <c r="U38" s="164">
        <v>24870</v>
      </c>
      <c r="V38" s="40">
        <v>3.7</v>
      </c>
      <c r="W38" s="164">
        <v>15596.23</v>
      </c>
      <c r="X38" s="242">
        <v>9098.426796793532</v>
      </c>
      <c r="Y38" s="241">
        <v>8</v>
      </c>
      <c r="Z38" s="164">
        <v>33160</v>
      </c>
      <c r="AA38" s="40">
        <v>5</v>
      </c>
      <c r="AB38" s="164">
        <v>20920.630000000012</v>
      </c>
      <c r="AC38" s="164">
        <v>12295.171347018286</v>
      </c>
      <c r="AD38" s="241">
        <v>10</v>
      </c>
      <c r="AE38" s="164">
        <v>41450</v>
      </c>
      <c r="AF38" s="40">
        <v>7.1</v>
      </c>
      <c r="AG38" s="164">
        <v>29528.410000000011</v>
      </c>
      <c r="AH38" s="242">
        <v>17459.143312765962</v>
      </c>
      <c r="AI38" s="241">
        <v>12</v>
      </c>
      <c r="AJ38" s="164">
        <v>49740</v>
      </c>
      <c r="AK38" s="40">
        <v>11.5</v>
      </c>
      <c r="AL38" s="164">
        <v>47853.220000000038</v>
      </c>
      <c r="AM38" s="242">
        <v>28278.894098142056</v>
      </c>
      <c r="AN38" s="241">
        <v>14</v>
      </c>
      <c r="AO38" s="164">
        <v>58030</v>
      </c>
      <c r="AP38" s="40">
        <v>15.8</v>
      </c>
      <c r="AQ38" s="164">
        <v>65823.070000000051</v>
      </c>
      <c r="AR38" s="242">
        <v>38852.74145657778</v>
      </c>
      <c r="AS38" s="241">
        <v>16</v>
      </c>
      <c r="AT38" s="164">
        <v>66320</v>
      </c>
      <c r="AU38" s="40">
        <v>20</v>
      </c>
      <c r="AV38" s="164">
        <v>83304.850000000049</v>
      </c>
      <c r="AW38" s="242">
        <v>49180.685388073143</v>
      </c>
      <c r="AX38" s="241">
        <v>16</v>
      </c>
      <c r="AY38" s="164">
        <v>66320</v>
      </c>
      <c r="AZ38" s="40">
        <v>23</v>
      </c>
      <c r="BA38" s="164">
        <v>95684.080000000016</v>
      </c>
      <c r="BB38" s="242">
        <v>56557.788196284113</v>
      </c>
      <c r="BC38" s="241">
        <v>16</v>
      </c>
      <c r="BD38" s="164">
        <v>66320</v>
      </c>
      <c r="BE38" s="40">
        <v>25.5</v>
      </c>
      <c r="BF38" s="164">
        <v>105844.81000000003</v>
      </c>
      <c r="BG38" s="242">
        <v>62705.373869793257</v>
      </c>
      <c r="BH38" s="241">
        <v>16</v>
      </c>
      <c r="BI38" s="164">
        <v>66320</v>
      </c>
      <c r="BJ38" s="40">
        <v>26</v>
      </c>
      <c r="BK38" s="164">
        <v>107841.46000000004</v>
      </c>
      <c r="BL38" s="242">
        <v>63934.891004495083</v>
      </c>
      <c r="BM38" s="241">
        <v>16</v>
      </c>
      <c r="BN38" s="164">
        <v>66320</v>
      </c>
      <c r="BO38" s="40">
        <v>26.969937273823895</v>
      </c>
      <c r="BP38" s="164">
        <v>109483.15000000004</v>
      </c>
      <c r="BQ38" s="244">
        <v>66320</v>
      </c>
      <c r="BR38" s="241">
        <v>16</v>
      </c>
      <c r="BS38" s="164">
        <v>66320</v>
      </c>
      <c r="BT38" s="40">
        <v>26.413305186972266</v>
      </c>
      <c r="BU38" s="164">
        <v>109483.15000000004</v>
      </c>
      <c r="BV38" s="244">
        <v>66320</v>
      </c>
      <c r="BW38" s="241">
        <v>16</v>
      </c>
      <c r="BX38" s="164">
        <v>66320</v>
      </c>
      <c r="BY38" s="40">
        <v>26.413305186972266</v>
      </c>
      <c r="BZ38" s="164">
        <v>111790.39000000004</v>
      </c>
      <c r="CA38" s="244">
        <v>66320</v>
      </c>
    </row>
    <row r="39" spans="1:79" x14ac:dyDescent="0.25">
      <c r="A39" s="20">
        <v>903</v>
      </c>
      <c r="B39" s="161" t="s">
        <v>1451</v>
      </c>
      <c r="C39" s="162">
        <v>16</v>
      </c>
      <c r="D39" t="s">
        <v>455</v>
      </c>
      <c r="E39" s="164">
        <v>12800</v>
      </c>
      <c r="F39" s="167">
        <v>835.75258132468423</v>
      </c>
      <c r="G39" s="40">
        <v>15.3155375</v>
      </c>
      <c r="H39" s="164">
        <v>12252.43</v>
      </c>
      <c r="I39" s="40">
        <v>800</v>
      </c>
      <c r="J39" s="241">
        <v>2</v>
      </c>
      <c r="K39" s="164">
        <v>1600</v>
      </c>
      <c r="L39" s="167">
        <v>3.4</v>
      </c>
      <c r="M39" s="164">
        <v>3027.55</v>
      </c>
      <c r="N39" s="164">
        <v>2841.5587765039263</v>
      </c>
      <c r="O39" s="241">
        <v>4</v>
      </c>
      <c r="P39" s="164">
        <v>3200</v>
      </c>
      <c r="Q39" s="167">
        <v>3.4</v>
      </c>
      <c r="R39" s="164">
        <v>3050.0800000000004</v>
      </c>
      <c r="S39" s="164">
        <v>2841.5587765039263</v>
      </c>
      <c r="T39" s="241">
        <v>6</v>
      </c>
      <c r="U39" s="164">
        <v>4800</v>
      </c>
      <c r="V39" s="40">
        <v>4.8</v>
      </c>
      <c r="W39" s="164">
        <v>4334.58</v>
      </c>
      <c r="X39" s="242">
        <v>4011.6123903584844</v>
      </c>
      <c r="Y39" s="241">
        <v>8</v>
      </c>
      <c r="Z39" s="164">
        <v>6400</v>
      </c>
      <c r="AA39" s="40">
        <v>5.2</v>
      </c>
      <c r="AB39" s="164">
        <v>4658.46</v>
      </c>
      <c r="AC39" s="164">
        <v>4345.9134228883577</v>
      </c>
      <c r="AD39" s="241">
        <v>10</v>
      </c>
      <c r="AE39" s="164">
        <v>8000</v>
      </c>
      <c r="AF39" s="40">
        <v>6.6</v>
      </c>
      <c r="AG39" s="164">
        <v>5894.21</v>
      </c>
      <c r="AH39" s="242">
        <v>5515.9670367429153</v>
      </c>
      <c r="AI39" s="241">
        <v>12</v>
      </c>
      <c r="AJ39" s="164">
        <v>9600</v>
      </c>
      <c r="AK39" s="40">
        <v>7.1</v>
      </c>
      <c r="AL39" s="164">
        <v>6364.21</v>
      </c>
      <c r="AM39" s="242">
        <v>5933.8433274052577</v>
      </c>
      <c r="AN39" s="241">
        <v>14</v>
      </c>
      <c r="AO39" s="164">
        <v>11200</v>
      </c>
      <c r="AP39" s="40">
        <v>9.1999999999999993</v>
      </c>
      <c r="AQ39" s="164">
        <v>8193.2199999999993</v>
      </c>
      <c r="AR39" s="242">
        <v>7688.9237481870932</v>
      </c>
      <c r="AS39" s="241">
        <v>16</v>
      </c>
      <c r="AT39" s="164">
        <v>12800</v>
      </c>
      <c r="AU39" s="40">
        <v>11.4</v>
      </c>
      <c r="AV39" s="164">
        <v>10188.99</v>
      </c>
      <c r="AW39" s="242">
        <v>9527.5794271014001</v>
      </c>
      <c r="AX39" s="241">
        <v>16</v>
      </c>
      <c r="AY39" s="164">
        <v>12800</v>
      </c>
      <c r="AZ39" s="40">
        <v>12.9</v>
      </c>
      <c r="BA39" s="164">
        <v>11540.66</v>
      </c>
      <c r="BB39" s="242">
        <v>10781.208299088426</v>
      </c>
      <c r="BC39" s="241">
        <v>16</v>
      </c>
      <c r="BD39" s="164">
        <v>12800</v>
      </c>
      <c r="BE39" s="40">
        <v>13.4</v>
      </c>
      <c r="BF39" s="164">
        <v>11979.7</v>
      </c>
      <c r="BG39" s="242">
        <v>11199.084589750768</v>
      </c>
      <c r="BH39" s="241">
        <v>16</v>
      </c>
      <c r="BI39" s="164">
        <v>12800</v>
      </c>
      <c r="BJ39" s="40">
        <v>13.4</v>
      </c>
      <c r="BK39" s="164">
        <v>11979.7</v>
      </c>
      <c r="BL39" s="242">
        <v>11199.084589750768</v>
      </c>
      <c r="BM39" s="241">
        <v>16</v>
      </c>
      <c r="BN39" s="164">
        <v>12800</v>
      </c>
      <c r="BO39" s="40">
        <v>15.3155375</v>
      </c>
      <c r="BP39" s="164">
        <v>11979.7</v>
      </c>
      <c r="BQ39" s="244">
        <v>12800</v>
      </c>
      <c r="BR39" s="241">
        <v>16</v>
      </c>
      <c r="BS39" s="164">
        <v>12800</v>
      </c>
      <c r="BT39" s="40">
        <v>14.974625000000001</v>
      </c>
      <c r="BU39" s="164">
        <v>12252.43</v>
      </c>
      <c r="BV39" s="244">
        <v>12800</v>
      </c>
      <c r="BW39" s="241">
        <v>16</v>
      </c>
      <c r="BX39" s="164">
        <v>12800</v>
      </c>
      <c r="BY39" s="40">
        <v>14.974625000000001</v>
      </c>
      <c r="BZ39" s="164">
        <v>12252.43</v>
      </c>
      <c r="CA39" s="244">
        <v>12800</v>
      </c>
    </row>
    <row r="40" spans="1:79" x14ac:dyDescent="0.25">
      <c r="A40" s="20">
        <v>904</v>
      </c>
      <c r="B40" s="161" t="s">
        <v>1452</v>
      </c>
      <c r="C40" s="162">
        <v>1</v>
      </c>
      <c r="D40" t="s">
        <v>54</v>
      </c>
      <c r="E40" s="164">
        <v>23700</v>
      </c>
      <c r="F40" s="167">
        <v>23700</v>
      </c>
      <c r="G40" s="40">
        <v>1</v>
      </c>
      <c r="H40" s="164">
        <v>9907.8399999999983</v>
      </c>
      <c r="I40" s="40">
        <v>9907.8399999999983</v>
      </c>
      <c r="J40" s="241">
        <v>0.75</v>
      </c>
      <c r="K40" s="164">
        <v>17775</v>
      </c>
      <c r="L40" s="167">
        <v>0.8</v>
      </c>
      <c r="M40" s="164">
        <v>8405.25</v>
      </c>
      <c r="N40" s="164">
        <v>18960</v>
      </c>
      <c r="O40" s="241">
        <v>0.8</v>
      </c>
      <c r="P40" s="164">
        <v>18960</v>
      </c>
      <c r="Q40" s="167">
        <v>0.85</v>
      </c>
      <c r="R40" s="164">
        <v>8649.57</v>
      </c>
      <c r="S40" s="164">
        <v>20145</v>
      </c>
      <c r="T40" s="241">
        <v>0.85</v>
      </c>
      <c r="U40" s="164">
        <v>20145</v>
      </c>
      <c r="V40" s="40">
        <v>0.85</v>
      </c>
      <c r="W40" s="164">
        <v>8699.9699999999993</v>
      </c>
      <c r="X40" s="242">
        <v>20145</v>
      </c>
      <c r="Y40" s="241">
        <v>0.9</v>
      </c>
      <c r="Z40" s="164">
        <v>21330</v>
      </c>
      <c r="AA40" s="40">
        <v>0.85</v>
      </c>
      <c r="AB40" s="164">
        <v>8699.9699999999993</v>
      </c>
      <c r="AC40" s="164">
        <v>20145</v>
      </c>
      <c r="AD40" s="241">
        <v>0.95</v>
      </c>
      <c r="AE40" s="164">
        <v>22515</v>
      </c>
      <c r="AF40" s="40">
        <v>0.9</v>
      </c>
      <c r="AG40" s="164">
        <v>8836</v>
      </c>
      <c r="AH40" s="242">
        <v>21330</v>
      </c>
      <c r="AI40" s="241">
        <v>1</v>
      </c>
      <c r="AJ40" s="164">
        <v>23700</v>
      </c>
      <c r="AK40" s="40">
        <v>0.95</v>
      </c>
      <c r="AL40" s="164">
        <v>9497.1999999999989</v>
      </c>
      <c r="AM40" s="242">
        <v>22515</v>
      </c>
      <c r="AN40" s="241">
        <v>1</v>
      </c>
      <c r="AO40" s="164">
        <v>23700</v>
      </c>
      <c r="AP40" s="40">
        <v>0.95</v>
      </c>
      <c r="AQ40" s="164">
        <v>9712.9699999999993</v>
      </c>
      <c r="AR40" s="242">
        <v>22515</v>
      </c>
      <c r="AS40" s="241">
        <v>1</v>
      </c>
      <c r="AT40" s="164">
        <v>23700</v>
      </c>
      <c r="AU40" s="40">
        <v>0.95</v>
      </c>
      <c r="AV40" s="164">
        <v>9749.6299999999992</v>
      </c>
      <c r="AW40" s="242">
        <v>22515</v>
      </c>
      <c r="AX40" s="241">
        <v>1</v>
      </c>
      <c r="AY40" s="164">
        <v>23700</v>
      </c>
      <c r="AZ40" s="40">
        <v>1</v>
      </c>
      <c r="BA40" s="164">
        <v>9907.8399999999983</v>
      </c>
      <c r="BB40" s="242">
        <v>23700</v>
      </c>
      <c r="BC40" s="241">
        <v>1</v>
      </c>
      <c r="BD40" s="164">
        <v>23700</v>
      </c>
      <c r="BE40" s="40">
        <v>1</v>
      </c>
      <c r="BF40" s="164">
        <v>9907.8399999999983</v>
      </c>
      <c r="BG40" s="242">
        <v>23700</v>
      </c>
      <c r="BH40" s="241">
        <v>1</v>
      </c>
      <c r="BI40" s="164">
        <v>23700</v>
      </c>
      <c r="BJ40" s="40">
        <v>1</v>
      </c>
      <c r="BK40" s="164">
        <v>9907.8399999999983</v>
      </c>
      <c r="BL40" s="242">
        <v>23700</v>
      </c>
      <c r="BM40" s="241">
        <v>1</v>
      </c>
      <c r="BN40" s="164">
        <v>23700</v>
      </c>
      <c r="BO40" s="40">
        <v>1</v>
      </c>
      <c r="BP40" s="164">
        <v>9907.8399999999983</v>
      </c>
      <c r="BQ40" s="244">
        <v>23700</v>
      </c>
      <c r="BR40" s="241">
        <v>1</v>
      </c>
      <c r="BS40" s="164">
        <v>23700</v>
      </c>
      <c r="BT40" s="40">
        <v>1</v>
      </c>
      <c r="BU40" s="164">
        <v>9907.8399999999983</v>
      </c>
      <c r="BV40" s="244">
        <v>23700</v>
      </c>
      <c r="BW40" s="241">
        <v>1</v>
      </c>
      <c r="BX40" s="164">
        <v>23700</v>
      </c>
      <c r="BY40" s="40">
        <v>1</v>
      </c>
      <c r="BZ40" s="164">
        <v>9907.8399999999983</v>
      </c>
      <c r="CA40" s="244">
        <v>23700</v>
      </c>
    </row>
    <row r="41" spans="1:79" x14ac:dyDescent="0.25">
      <c r="A41" s="20">
        <v>905</v>
      </c>
      <c r="B41" s="161" t="s">
        <v>466</v>
      </c>
      <c r="C41" s="162">
        <v>1</v>
      </c>
      <c r="D41" t="s">
        <v>54</v>
      </c>
      <c r="E41" s="164">
        <v>5000</v>
      </c>
      <c r="F41" s="167">
        <v>5000</v>
      </c>
      <c r="G41" s="40">
        <v>1</v>
      </c>
      <c r="H41" s="164">
        <v>3960.3700000000003</v>
      </c>
      <c r="I41" s="40">
        <v>3960.3700000000003</v>
      </c>
      <c r="J41" s="241">
        <v>0</v>
      </c>
      <c r="K41" s="164">
        <v>0</v>
      </c>
      <c r="L41" s="167">
        <v>0</v>
      </c>
      <c r="M41" s="164">
        <v>0</v>
      </c>
      <c r="N41" s="164">
        <v>0</v>
      </c>
      <c r="O41" s="241">
        <v>0.2</v>
      </c>
      <c r="P41" s="164">
        <v>1000</v>
      </c>
      <c r="Q41" s="167">
        <v>0.6</v>
      </c>
      <c r="R41" s="164">
        <v>3039.66</v>
      </c>
      <c r="S41" s="164">
        <v>3000</v>
      </c>
      <c r="T41" s="241">
        <v>0.4</v>
      </c>
      <c r="U41" s="164">
        <v>2000</v>
      </c>
      <c r="V41" s="40">
        <v>0.66</v>
      </c>
      <c r="W41" s="164">
        <v>3277.71</v>
      </c>
      <c r="X41" s="242">
        <v>3300</v>
      </c>
      <c r="Y41" s="241">
        <v>0.6</v>
      </c>
      <c r="Z41" s="164">
        <v>3000</v>
      </c>
      <c r="AA41" s="40">
        <v>0.65554199999999996</v>
      </c>
      <c r="AB41" s="164">
        <v>3277.71</v>
      </c>
      <c r="AC41" s="164">
        <v>3277.7099999999996</v>
      </c>
      <c r="AD41" s="241">
        <v>0.8</v>
      </c>
      <c r="AE41" s="164">
        <v>4000</v>
      </c>
      <c r="AF41" s="40">
        <v>0.65</v>
      </c>
      <c r="AG41" s="164">
        <v>3285.73</v>
      </c>
      <c r="AH41" s="242">
        <v>3250</v>
      </c>
      <c r="AI41" s="241">
        <v>1</v>
      </c>
      <c r="AJ41" s="164">
        <v>5000</v>
      </c>
      <c r="AK41" s="40">
        <v>0.7</v>
      </c>
      <c r="AL41" s="164">
        <v>3397.46</v>
      </c>
      <c r="AM41" s="242">
        <v>3500</v>
      </c>
      <c r="AN41" s="241">
        <v>1</v>
      </c>
      <c r="AO41" s="164">
        <v>5000</v>
      </c>
      <c r="AP41" s="40">
        <v>0.7</v>
      </c>
      <c r="AQ41" s="164">
        <v>3408.78</v>
      </c>
      <c r="AR41" s="242">
        <v>3500</v>
      </c>
      <c r="AS41" s="241">
        <v>1</v>
      </c>
      <c r="AT41" s="164">
        <v>5000</v>
      </c>
      <c r="AU41" s="40">
        <v>0.7</v>
      </c>
      <c r="AV41" s="164">
        <v>3408.78</v>
      </c>
      <c r="AW41" s="242">
        <v>3500</v>
      </c>
      <c r="AX41" s="241">
        <v>1</v>
      </c>
      <c r="AY41" s="164">
        <v>5000</v>
      </c>
      <c r="AZ41" s="40">
        <v>0.8</v>
      </c>
      <c r="BA41" s="164">
        <v>3960.3700000000003</v>
      </c>
      <c r="BB41" s="242">
        <v>4000</v>
      </c>
      <c r="BC41" s="241">
        <v>1</v>
      </c>
      <c r="BD41" s="164">
        <v>5000</v>
      </c>
      <c r="BE41" s="40">
        <v>0.8</v>
      </c>
      <c r="BF41" s="164">
        <v>3960.3700000000003</v>
      </c>
      <c r="BG41" s="242">
        <v>4000</v>
      </c>
      <c r="BH41" s="241">
        <v>1</v>
      </c>
      <c r="BI41" s="164">
        <v>5000</v>
      </c>
      <c r="BJ41" s="40">
        <v>1</v>
      </c>
      <c r="BK41" s="164">
        <v>3960.3700000000003</v>
      </c>
      <c r="BL41" s="242">
        <v>5000</v>
      </c>
      <c r="BM41" s="241">
        <v>1</v>
      </c>
      <c r="BN41" s="164">
        <v>5000</v>
      </c>
      <c r="BO41" s="40">
        <v>1</v>
      </c>
      <c r="BP41" s="164">
        <v>3960.3700000000003</v>
      </c>
      <c r="BQ41" s="244">
        <v>5000</v>
      </c>
      <c r="BR41" s="241">
        <v>1</v>
      </c>
      <c r="BS41" s="164">
        <v>5000</v>
      </c>
      <c r="BT41" s="40">
        <v>1</v>
      </c>
      <c r="BU41" s="164">
        <v>3960.3700000000003</v>
      </c>
      <c r="BV41" s="244">
        <v>5000</v>
      </c>
      <c r="BW41" s="241">
        <v>1</v>
      </c>
      <c r="BX41" s="164">
        <v>5000</v>
      </c>
      <c r="BY41" s="40">
        <v>1</v>
      </c>
      <c r="BZ41" s="164">
        <v>3960.3700000000003</v>
      </c>
      <c r="CA41" s="244">
        <v>5000</v>
      </c>
    </row>
    <row r="42" spans="1:79" ht="30" x14ac:dyDescent="0.25">
      <c r="A42" s="20">
        <v>906</v>
      </c>
      <c r="B42" s="161" t="s">
        <v>1453</v>
      </c>
      <c r="C42" s="162">
        <v>1</v>
      </c>
      <c r="D42" t="s">
        <v>54</v>
      </c>
      <c r="E42" s="164">
        <v>0</v>
      </c>
      <c r="F42" s="167">
        <v>0</v>
      </c>
      <c r="G42" s="40">
        <v>1</v>
      </c>
      <c r="H42" s="164">
        <v>24005.002200000003</v>
      </c>
      <c r="I42" s="40">
        <v>24005.002200000003</v>
      </c>
      <c r="J42" s="241">
        <v>0</v>
      </c>
      <c r="K42" s="164">
        <v>0</v>
      </c>
      <c r="L42" s="167">
        <v>0</v>
      </c>
      <c r="M42" s="164">
        <v>0</v>
      </c>
      <c r="N42" s="164">
        <v>0</v>
      </c>
      <c r="O42" s="241">
        <v>0.2</v>
      </c>
      <c r="P42" s="164">
        <v>0</v>
      </c>
      <c r="Q42" s="167">
        <v>0</v>
      </c>
      <c r="R42" s="164">
        <v>0</v>
      </c>
      <c r="S42" s="164">
        <v>0</v>
      </c>
      <c r="T42" s="241">
        <v>0.3</v>
      </c>
      <c r="U42" s="164">
        <v>0</v>
      </c>
      <c r="V42" s="40">
        <v>0</v>
      </c>
      <c r="W42" s="164">
        <v>1800</v>
      </c>
      <c r="X42" s="164">
        <v>0</v>
      </c>
      <c r="Y42" s="241">
        <v>0.5</v>
      </c>
      <c r="Z42" s="164">
        <v>0</v>
      </c>
      <c r="AA42" s="40">
        <v>0</v>
      </c>
      <c r="AB42" s="164">
        <v>1800</v>
      </c>
      <c r="AC42" s="164">
        <v>0</v>
      </c>
      <c r="AD42" s="241">
        <v>0.6</v>
      </c>
      <c r="AE42" s="164">
        <v>0</v>
      </c>
      <c r="AF42" s="40">
        <v>0</v>
      </c>
      <c r="AG42" s="164">
        <v>1800</v>
      </c>
      <c r="AH42" s="164">
        <v>0</v>
      </c>
      <c r="AI42" s="241">
        <v>0.75</v>
      </c>
      <c r="AJ42" s="164">
        <v>0</v>
      </c>
      <c r="AK42" s="40">
        <v>0</v>
      </c>
      <c r="AL42" s="164">
        <v>1800</v>
      </c>
      <c r="AM42" s="164">
        <v>0</v>
      </c>
      <c r="AN42" s="241">
        <v>0.9</v>
      </c>
      <c r="AO42" s="164">
        <v>0</v>
      </c>
      <c r="AP42" s="40">
        <v>0</v>
      </c>
      <c r="AQ42" s="164">
        <v>3779.5349999999994</v>
      </c>
      <c r="AR42" s="164">
        <v>0</v>
      </c>
      <c r="AS42" s="241">
        <v>1</v>
      </c>
      <c r="AT42" s="164">
        <v>0</v>
      </c>
      <c r="AU42" s="40">
        <v>0</v>
      </c>
      <c r="AV42" s="164">
        <v>8850.6550000000007</v>
      </c>
      <c r="AW42" s="164">
        <v>0</v>
      </c>
      <c r="AX42" s="241">
        <v>1</v>
      </c>
      <c r="AY42" s="164">
        <v>0</v>
      </c>
      <c r="AZ42" s="40">
        <v>0</v>
      </c>
      <c r="BA42" s="164">
        <v>9703.1550000000007</v>
      </c>
      <c r="BB42" s="164">
        <v>0</v>
      </c>
      <c r="BC42" s="241">
        <v>1</v>
      </c>
      <c r="BD42" s="164">
        <v>0</v>
      </c>
      <c r="BE42" s="40">
        <v>0</v>
      </c>
      <c r="BF42" s="164">
        <v>13061.915000000001</v>
      </c>
      <c r="BG42" s="164">
        <v>0</v>
      </c>
      <c r="BH42" s="241">
        <v>1</v>
      </c>
      <c r="BI42" s="164">
        <v>0</v>
      </c>
      <c r="BJ42" s="40">
        <v>0</v>
      </c>
      <c r="BK42" s="164">
        <v>17165.168600000005</v>
      </c>
      <c r="BL42" s="164">
        <v>0</v>
      </c>
      <c r="BM42" s="241">
        <v>1</v>
      </c>
      <c r="BN42" s="164">
        <v>0</v>
      </c>
      <c r="BO42" s="40">
        <v>1</v>
      </c>
      <c r="BP42" s="164">
        <v>19871.011400000003</v>
      </c>
      <c r="BQ42" s="244">
        <v>0</v>
      </c>
      <c r="BR42" s="241">
        <v>1</v>
      </c>
      <c r="BS42" s="164">
        <v>0</v>
      </c>
      <c r="BT42" s="40">
        <v>1</v>
      </c>
      <c r="BU42" s="164">
        <v>22192.616200000004</v>
      </c>
      <c r="BV42" s="244">
        <v>0</v>
      </c>
      <c r="BW42" s="241">
        <v>1</v>
      </c>
      <c r="BX42" s="164">
        <v>0</v>
      </c>
      <c r="BY42" s="40">
        <v>1</v>
      </c>
      <c r="BZ42" s="164">
        <v>24005.002200000003</v>
      </c>
      <c r="CA42" s="244">
        <v>0</v>
      </c>
    </row>
    <row r="43" spans="1:79" ht="14.45" customHeight="1" x14ac:dyDescent="0.25">
      <c r="A43" s="20">
        <v>910</v>
      </c>
      <c r="B43" s="161" t="s">
        <v>1454</v>
      </c>
      <c r="C43" s="162">
        <v>0</v>
      </c>
      <c r="D43" t="s">
        <v>54</v>
      </c>
      <c r="E43" s="164">
        <v>0</v>
      </c>
      <c r="F43" s="167">
        <v>0</v>
      </c>
      <c r="G43" s="40">
        <v>1</v>
      </c>
      <c r="H43" s="164">
        <v>8179.1349999999984</v>
      </c>
      <c r="I43" s="40">
        <v>8179.1349999999984</v>
      </c>
      <c r="J43" s="241">
        <v>0</v>
      </c>
      <c r="K43" s="164">
        <v>0</v>
      </c>
      <c r="L43" s="167">
        <v>0</v>
      </c>
      <c r="M43" s="164">
        <v>0</v>
      </c>
      <c r="N43" s="164">
        <v>0</v>
      </c>
      <c r="O43" s="241">
        <v>0</v>
      </c>
      <c r="P43" s="164">
        <v>0</v>
      </c>
      <c r="Q43" s="167">
        <v>0</v>
      </c>
      <c r="R43" s="164">
        <v>0</v>
      </c>
      <c r="S43" s="164">
        <v>0</v>
      </c>
      <c r="T43" s="241">
        <v>0</v>
      </c>
      <c r="U43" s="164">
        <v>0</v>
      </c>
      <c r="V43" s="40">
        <v>0</v>
      </c>
      <c r="W43" s="164">
        <v>0</v>
      </c>
      <c r="X43" s="242">
        <v>0</v>
      </c>
      <c r="Y43" s="241">
        <v>0</v>
      </c>
      <c r="Z43" s="164">
        <v>0</v>
      </c>
      <c r="AA43" s="40">
        <v>0</v>
      </c>
      <c r="AB43" s="164">
        <v>0</v>
      </c>
      <c r="AC43" s="164">
        <v>0</v>
      </c>
      <c r="AD43" s="241">
        <v>0</v>
      </c>
      <c r="AE43" s="164">
        <v>0</v>
      </c>
      <c r="AF43" s="40">
        <v>0</v>
      </c>
      <c r="AG43" s="164">
        <v>252.17500000000001</v>
      </c>
      <c r="AH43" s="242">
        <v>0</v>
      </c>
      <c r="AI43" s="241">
        <v>0</v>
      </c>
      <c r="AJ43" s="164">
        <v>0</v>
      </c>
      <c r="AK43" s="40">
        <v>0</v>
      </c>
      <c r="AL43" s="164">
        <v>252.17500000000001</v>
      </c>
      <c r="AM43" s="242">
        <v>0</v>
      </c>
      <c r="AN43" s="241">
        <v>0</v>
      </c>
      <c r="AO43" s="164">
        <v>0</v>
      </c>
      <c r="AP43" s="40">
        <v>0</v>
      </c>
      <c r="AQ43" s="164">
        <v>3501.0899999999997</v>
      </c>
      <c r="AR43" s="242">
        <v>0</v>
      </c>
      <c r="AS43" s="241">
        <v>0</v>
      </c>
      <c r="AT43" s="164">
        <v>0</v>
      </c>
      <c r="AU43" s="40">
        <v>0</v>
      </c>
      <c r="AV43" s="164">
        <v>5430.5849999999982</v>
      </c>
      <c r="AW43" s="242">
        <v>0</v>
      </c>
      <c r="AX43" s="241">
        <v>0</v>
      </c>
      <c r="AY43" s="164">
        <v>0</v>
      </c>
      <c r="AZ43" s="40">
        <v>0</v>
      </c>
      <c r="BA43" s="164">
        <v>5430.5849999999982</v>
      </c>
      <c r="BB43" s="242">
        <v>0</v>
      </c>
      <c r="BC43" s="241">
        <v>0</v>
      </c>
      <c r="BD43" s="164">
        <v>0</v>
      </c>
      <c r="BE43" s="40">
        <v>0</v>
      </c>
      <c r="BF43" s="164">
        <v>6330.0049999999983</v>
      </c>
      <c r="BG43" s="242">
        <v>0</v>
      </c>
      <c r="BH43" s="241">
        <v>0</v>
      </c>
      <c r="BI43" s="164">
        <v>0</v>
      </c>
      <c r="BJ43" s="40">
        <v>0</v>
      </c>
      <c r="BK43" s="164">
        <v>6330.0049999999983</v>
      </c>
      <c r="BL43" s="242">
        <v>0</v>
      </c>
      <c r="BM43" s="241">
        <v>0</v>
      </c>
      <c r="BN43" s="164">
        <v>0</v>
      </c>
      <c r="BO43" s="40">
        <v>1</v>
      </c>
      <c r="BP43" s="164">
        <v>7301.6549999999988</v>
      </c>
      <c r="BQ43" s="244">
        <v>0</v>
      </c>
      <c r="BR43" s="241">
        <v>0</v>
      </c>
      <c r="BS43" s="164">
        <v>0</v>
      </c>
      <c r="BT43" s="40">
        <v>1</v>
      </c>
      <c r="BU43" s="164">
        <v>8179.1349999999984</v>
      </c>
      <c r="BV43" s="244">
        <v>0</v>
      </c>
      <c r="BW43" s="241">
        <v>0</v>
      </c>
      <c r="BX43" s="164">
        <v>0</v>
      </c>
      <c r="BY43" s="40">
        <v>1</v>
      </c>
      <c r="BZ43" s="164">
        <v>8179.1349999999984</v>
      </c>
      <c r="CA43" s="244">
        <v>0</v>
      </c>
    </row>
    <row r="44" spans="1:79" x14ac:dyDescent="0.25">
      <c r="A44" s="20">
        <v>913</v>
      </c>
      <c r="B44" s="161" t="s">
        <v>1455</v>
      </c>
      <c r="C44" s="162">
        <v>0</v>
      </c>
      <c r="D44" t="s">
        <v>1416</v>
      </c>
      <c r="E44" s="164">
        <v>0</v>
      </c>
      <c r="F44" s="167">
        <v>0</v>
      </c>
      <c r="G44" s="40">
        <v>97</v>
      </c>
      <c r="H44" s="164">
        <v>5482.7899999999991</v>
      </c>
      <c r="I44" s="40">
        <v>56.523608247422672</v>
      </c>
      <c r="J44" s="241">
        <v>0</v>
      </c>
      <c r="K44" s="164">
        <v>0</v>
      </c>
      <c r="L44" s="167">
        <v>0</v>
      </c>
      <c r="M44" s="164">
        <v>0</v>
      </c>
      <c r="N44" s="164">
        <v>0</v>
      </c>
      <c r="O44" s="241">
        <v>0</v>
      </c>
      <c r="P44" s="164">
        <v>0</v>
      </c>
      <c r="Q44" s="167">
        <v>32</v>
      </c>
      <c r="R44" s="164">
        <v>1529.9749999999999</v>
      </c>
      <c r="S44" s="164">
        <v>0</v>
      </c>
      <c r="T44" s="241">
        <v>0</v>
      </c>
      <c r="U44" s="164">
        <v>0</v>
      </c>
      <c r="V44" s="40">
        <v>64</v>
      </c>
      <c r="W44" s="164">
        <v>3103.6000000000004</v>
      </c>
      <c r="X44" s="242">
        <v>0</v>
      </c>
      <c r="Y44" s="241">
        <v>0</v>
      </c>
      <c r="Z44" s="164">
        <v>0</v>
      </c>
      <c r="AA44" s="40">
        <v>64</v>
      </c>
      <c r="AB44" s="164">
        <v>3103.6000000000004</v>
      </c>
      <c r="AC44" s="164">
        <v>0</v>
      </c>
      <c r="AD44" s="241">
        <v>0</v>
      </c>
      <c r="AE44" s="164">
        <v>0</v>
      </c>
      <c r="AF44" s="40">
        <v>64</v>
      </c>
      <c r="AG44" s="164">
        <v>3103.6000000000004</v>
      </c>
      <c r="AH44" s="242">
        <v>0</v>
      </c>
      <c r="AI44" s="241">
        <v>0</v>
      </c>
      <c r="AJ44" s="164">
        <v>0</v>
      </c>
      <c r="AK44" s="40">
        <v>72</v>
      </c>
      <c r="AL44" s="164">
        <v>3463.6000000000004</v>
      </c>
      <c r="AM44" s="242">
        <v>0</v>
      </c>
      <c r="AN44" s="241">
        <v>0</v>
      </c>
      <c r="AO44" s="164">
        <v>0</v>
      </c>
      <c r="AP44" s="40">
        <v>72</v>
      </c>
      <c r="AQ44" s="164">
        <v>3463.6000000000004</v>
      </c>
      <c r="AR44" s="242">
        <v>0</v>
      </c>
      <c r="AS44" s="241">
        <v>0</v>
      </c>
      <c r="AT44" s="164">
        <v>0</v>
      </c>
      <c r="AU44" s="40">
        <v>72</v>
      </c>
      <c r="AV44" s="164">
        <v>3463.6000000000004</v>
      </c>
      <c r="AW44" s="242">
        <v>0</v>
      </c>
      <c r="AX44" s="241">
        <v>0</v>
      </c>
      <c r="AY44" s="164">
        <v>0</v>
      </c>
      <c r="AZ44" s="40">
        <v>72</v>
      </c>
      <c r="BA44" s="164">
        <v>3463.6000000000004</v>
      </c>
      <c r="BB44" s="242">
        <v>0</v>
      </c>
      <c r="BC44" s="241">
        <v>0</v>
      </c>
      <c r="BD44" s="164">
        <v>0</v>
      </c>
      <c r="BE44" s="40">
        <v>97</v>
      </c>
      <c r="BF44" s="164">
        <v>5482.7899999999991</v>
      </c>
      <c r="BG44" s="242">
        <v>0</v>
      </c>
      <c r="BH44" s="241">
        <v>0</v>
      </c>
      <c r="BI44" s="164">
        <v>0</v>
      </c>
      <c r="BJ44" s="40">
        <v>97</v>
      </c>
      <c r="BK44" s="164">
        <v>5482.7899999999991</v>
      </c>
      <c r="BL44" s="242">
        <v>0</v>
      </c>
      <c r="BM44" s="241">
        <v>0</v>
      </c>
      <c r="BN44" s="164">
        <v>0</v>
      </c>
      <c r="BO44" s="40">
        <v>97</v>
      </c>
      <c r="BP44" s="164">
        <v>5482.7899999999991</v>
      </c>
      <c r="BQ44" s="244">
        <v>0</v>
      </c>
      <c r="BR44" s="241">
        <v>0</v>
      </c>
      <c r="BS44" s="164">
        <v>0</v>
      </c>
      <c r="BT44" s="40">
        <v>97</v>
      </c>
      <c r="BU44" s="164">
        <v>5482.7899999999991</v>
      </c>
      <c r="BV44" s="244">
        <v>0</v>
      </c>
      <c r="BW44" s="241">
        <v>0</v>
      </c>
      <c r="BX44" s="164">
        <v>0</v>
      </c>
      <c r="BY44" s="40">
        <v>97</v>
      </c>
      <c r="BZ44" s="164">
        <v>5482.7899999999991</v>
      </c>
      <c r="CA44" s="244">
        <v>0</v>
      </c>
    </row>
    <row r="45" spans="1:79" x14ac:dyDescent="0.25">
      <c r="A45" s="20">
        <v>914</v>
      </c>
      <c r="B45" s="161" t="s">
        <v>1456</v>
      </c>
      <c r="C45" s="162">
        <v>0</v>
      </c>
      <c r="D45" t="s">
        <v>1416</v>
      </c>
      <c r="E45" s="164">
        <v>0</v>
      </c>
      <c r="F45" s="167">
        <v>0</v>
      </c>
      <c r="G45" s="40">
        <v>4.5</v>
      </c>
      <c r="H45" s="164">
        <v>207.49999999999997</v>
      </c>
      <c r="I45" s="40">
        <v>46.111111111111107</v>
      </c>
      <c r="J45" s="241">
        <v>0</v>
      </c>
      <c r="K45" s="164">
        <v>0</v>
      </c>
      <c r="L45" s="167">
        <v>0</v>
      </c>
      <c r="M45" s="164">
        <v>0</v>
      </c>
      <c r="N45" s="164">
        <v>0</v>
      </c>
      <c r="O45" s="241">
        <v>0</v>
      </c>
      <c r="P45" s="164">
        <v>0</v>
      </c>
      <c r="Q45" s="167">
        <v>0</v>
      </c>
      <c r="R45" s="164">
        <v>0</v>
      </c>
      <c r="S45" s="164">
        <v>0</v>
      </c>
      <c r="T45" s="241">
        <v>0</v>
      </c>
      <c r="U45" s="164">
        <v>0</v>
      </c>
      <c r="V45" s="40">
        <v>0</v>
      </c>
      <c r="W45" s="164">
        <v>0</v>
      </c>
      <c r="X45" s="242">
        <v>0</v>
      </c>
      <c r="Y45" s="241">
        <v>0</v>
      </c>
      <c r="Z45" s="164">
        <v>0</v>
      </c>
      <c r="AA45" s="40">
        <v>0</v>
      </c>
      <c r="AB45" s="164">
        <v>0</v>
      </c>
      <c r="AC45" s="164">
        <v>0</v>
      </c>
      <c r="AD45" s="241">
        <v>0</v>
      </c>
      <c r="AE45" s="164">
        <v>0</v>
      </c>
      <c r="AF45" s="40">
        <v>4.5</v>
      </c>
      <c r="AG45" s="164">
        <v>207.49999999999997</v>
      </c>
      <c r="AH45" s="242">
        <v>0</v>
      </c>
      <c r="AI45" s="241">
        <v>0</v>
      </c>
      <c r="AJ45" s="164">
        <v>0</v>
      </c>
      <c r="AK45" s="40">
        <v>4.5</v>
      </c>
      <c r="AL45" s="164">
        <v>207.49999999999997</v>
      </c>
      <c r="AM45" s="242">
        <v>0</v>
      </c>
      <c r="AN45" s="241">
        <v>0</v>
      </c>
      <c r="AO45" s="164">
        <v>0</v>
      </c>
      <c r="AP45" s="40">
        <v>4.5</v>
      </c>
      <c r="AQ45" s="164">
        <v>207.49999999999997</v>
      </c>
      <c r="AR45" s="242">
        <v>0</v>
      </c>
      <c r="AS45" s="241">
        <v>0</v>
      </c>
      <c r="AT45" s="164">
        <v>0</v>
      </c>
      <c r="AU45" s="40">
        <v>4.5</v>
      </c>
      <c r="AV45" s="164">
        <v>207.49999999999997</v>
      </c>
      <c r="AW45" s="242">
        <v>0</v>
      </c>
      <c r="AX45" s="241">
        <v>0</v>
      </c>
      <c r="AY45" s="164">
        <v>0</v>
      </c>
      <c r="AZ45" s="40">
        <v>4.5</v>
      </c>
      <c r="BA45" s="164">
        <v>207.49999999999997</v>
      </c>
      <c r="BB45" s="242">
        <v>0</v>
      </c>
      <c r="BC45" s="241">
        <v>0</v>
      </c>
      <c r="BD45" s="164">
        <v>0</v>
      </c>
      <c r="BE45" s="40">
        <v>4.5</v>
      </c>
      <c r="BF45" s="164">
        <v>207.49999999999997</v>
      </c>
      <c r="BG45" s="242">
        <v>0</v>
      </c>
      <c r="BH45" s="241">
        <v>0</v>
      </c>
      <c r="BI45" s="164">
        <v>0</v>
      </c>
      <c r="BJ45" s="40">
        <v>4.5</v>
      </c>
      <c r="BK45" s="164">
        <v>207.49999999999997</v>
      </c>
      <c r="BL45" s="242">
        <v>0</v>
      </c>
      <c r="BM45" s="241">
        <v>0</v>
      </c>
      <c r="BN45" s="164">
        <v>0</v>
      </c>
      <c r="BO45" s="40">
        <v>4.5</v>
      </c>
      <c r="BP45" s="164">
        <v>207.49999999999997</v>
      </c>
      <c r="BQ45" s="244">
        <v>0</v>
      </c>
      <c r="BR45" s="241">
        <v>0</v>
      </c>
      <c r="BS45" s="164">
        <v>0</v>
      </c>
      <c r="BT45" s="40">
        <v>4.5</v>
      </c>
      <c r="BU45" s="164">
        <v>207.49999999999997</v>
      </c>
      <c r="BV45" s="244">
        <v>0</v>
      </c>
      <c r="BW45" s="241">
        <v>0</v>
      </c>
      <c r="BX45" s="164">
        <v>0</v>
      </c>
      <c r="BY45" s="40">
        <v>4.5</v>
      </c>
      <c r="BZ45" s="164">
        <v>207.49999999999997</v>
      </c>
      <c r="CA45" s="244">
        <v>0</v>
      </c>
    </row>
    <row r="46" spans="1:79" x14ac:dyDescent="0.25">
      <c r="A46" s="20">
        <v>916</v>
      </c>
      <c r="B46" s="161" t="s">
        <v>1457</v>
      </c>
      <c r="C46" s="162">
        <v>600</v>
      </c>
      <c r="D46" t="s">
        <v>1416</v>
      </c>
      <c r="E46" s="164">
        <v>28800</v>
      </c>
      <c r="F46" s="167">
        <v>34.022956143021453</v>
      </c>
      <c r="G46" s="40">
        <v>846.48729166666635</v>
      </c>
      <c r="H46" s="164">
        <v>40631.389999999985</v>
      </c>
      <c r="I46" s="40">
        <v>48</v>
      </c>
      <c r="J46" s="241">
        <v>50</v>
      </c>
      <c r="K46" s="164">
        <v>2400</v>
      </c>
      <c r="L46" s="167">
        <v>9</v>
      </c>
      <c r="M46" s="164">
        <v>448.56</v>
      </c>
      <c r="N46" s="164">
        <v>306.2066052871931</v>
      </c>
      <c r="O46" s="241">
        <v>150</v>
      </c>
      <c r="P46" s="164">
        <v>7200</v>
      </c>
      <c r="Q46" s="167">
        <v>95.3</v>
      </c>
      <c r="R46" s="164">
        <v>4575.71</v>
      </c>
      <c r="S46" s="164">
        <v>3242.3877204299447</v>
      </c>
      <c r="T46" s="241">
        <v>250</v>
      </c>
      <c r="U46" s="164">
        <v>12000</v>
      </c>
      <c r="V46" s="167">
        <v>162</v>
      </c>
      <c r="W46" s="164">
        <v>7779.7099999999982</v>
      </c>
      <c r="X46" s="242">
        <v>5511.7188951694761</v>
      </c>
      <c r="Y46" s="241">
        <v>350</v>
      </c>
      <c r="Z46" s="164">
        <v>16800</v>
      </c>
      <c r="AA46" s="40">
        <v>206.1</v>
      </c>
      <c r="AB46" s="164">
        <v>9894.3499999999949</v>
      </c>
      <c r="AC46" s="164">
        <v>7012.1312610767218</v>
      </c>
      <c r="AD46" s="241">
        <v>450</v>
      </c>
      <c r="AE46" s="164">
        <v>21600</v>
      </c>
      <c r="AF46" s="40">
        <v>289.7</v>
      </c>
      <c r="AG46" s="164">
        <v>13910.029999999993</v>
      </c>
      <c r="AH46" s="242">
        <v>9856.4503946333152</v>
      </c>
      <c r="AI46" s="241">
        <v>500</v>
      </c>
      <c r="AJ46" s="164">
        <v>24000</v>
      </c>
      <c r="AK46" s="40">
        <v>453.5</v>
      </c>
      <c r="AL46" s="164">
        <v>21770.509999999984</v>
      </c>
      <c r="AM46" s="242">
        <v>15429.41061086023</v>
      </c>
      <c r="AN46" s="241">
        <v>550</v>
      </c>
      <c r="AO46" s="164">
        <v>26400</v>
      </c>
      <c r="AP46" s="40">
        <v>611</v>
      </c>
      <c r="AQ46" s="164">
        <v>29331.949999999968</v>
      </c>
      <c r="AR46" s="242">
        <v>20788.026203386107</v>
      </c>
      <c r="AS46" s="241">
        <v>600</v>
      </c>
      <c r="AT46" s="164">
        <v>28800</v>
      </c>
      <c r="AU46" s="40">
        <v>728.5</v>
      </c>
      <c r="AV46" s="164">
        <v>34970.989999999969</v>
      </c>
      <c r="AW46" s="242">
        <v>24785.723550191131</v>
      </c>
      <c r="AX46" s="241">
        <v>600</v>
      </c>
      <c r="AY46" s="164">
        <v>28800</v>
      </c>
      <c r="AZ46" s="40">
        <v>758.3</v>
      </c>
      <c r="BA46" s="164">
        <v>36402.109999999964</v>
      </c>
      <c r="BB46" s="242">
        <v>25799.607643253166</v>
      </c>
      <c r="BC46" s="241">
        <v>600</v>
      </c>
      <c r="BD46" s="164">
        <v>28800</v>
      </c>
      <c r="BE46" s="40">
        <v>838.9</v>
      </c>
      <c r="BF46" s="164">
        <v>40268.269999999982</v>
      </c>
      <c r="BG46" s="242">
        <v>28541.857908380698</v>
      </c>
      <c r="BH46" s="241">
        <v>600</v>
      </c>
      <c r="BI46" s="164">
        <v>28800</v>
      </c>
      <c r="BJ46" s="40">
        <v>846.4</v>
      </c>
      <c r="BK46" s="164">
        <v>40631.389999999985</v>
      </c>
      <c r="BL46" s="242">
        <v>28797.030079453361</v>
      </c>
      <c r="BM46" s="241">
        <v>600</v>
      </c>
      <c r="BN46" s="164">
        <v>28800</v>
      </c>
      <c r="BO46" s="40">
        <v>846.48729166666635</v>
      </c>
      <c r="BP46" s="164">
        <v>40631.389999999985</v>
      </c>
      <c r="BQ46" s="244">
        <v>28800</v>
      </c>
      <c r="BR46" s="241">
        <v>600</v>
      </c>
      <c r="BS46" s="164">
        <v>28800</v>
      </c>
      <c r="BT46" s="40">
        <v>846.48729166666635</v>
      </c>
      <c r="BU46" s="164">
        <v>40631.389999999985</v>
      </c>
      <c r="BV46" s="244">
        <v>28800</v>
      </c>
      <c r="BW46" s="241">
        <v>600</v>
      </c>
      <c r="BX46" s="164">
        <v>28800</v>
      </c>
      <c r="BY46" s="40">
        <v>846.48729166666635</v>
      </c>
      <c r="BZ46" s="164">
        <v>40631.389999999985</v>
      </c>
      <c r="CA46" s="244">
        <v>28800</v>
      </c>
    </row>
    <row r="47" spans="1:79" x14ac:dyDescent="0.25">
      <c r="A47" s="20" t="s">
        <v>538</v>
      </c>
      <c r="B47" s="161" t="s">
        <v>1458</v>
      </c>
      <c r="C47" s="162">
        <v>235</v>
      </c>
      <c r="D47" t="s">
        <v>1422</v>
      </c>
      <c r="E47" s="164">
        <v>46527.594585213468</v>
      </c>
      <c r="F47" s="167">
        <v>278.03657052792499</v>
      </c>
      <c r="G47" s="40">
        <v>167.34343434343435</v>
      </c>
      <c r="H47" s="164">
        <v>33134</v>
      </c>
      <c r="I47" s="40">
        <v>198</v>
      </c>
      <c r="J47" s="241">
        <v>0</v>
      </c>
      <c r="K47" s="164">
        <v>0</v>
      </c>
      <c r="L47" s="167">
        <v>0</v>
      </c>
      <c r="M47" s="164">
        <v>0</v>
      </c>
      <c r="N47" s="164">
        <v>0</v>
      </c>
      <c r="O47" s="241">
        <v>52</v>
      </c>
      <c r="P47" s="164">
        <v>10295.467738004681</v>
      </c>
      <c r="Q47" s="167">
        <v>85</v>
      </c>
      <c r="R47" s="164">
        <v>16770.599999999999</v>
      </c>
      <c r="S47" s="164">
        <v>23633.108494873621</v>
      </c>
      <c r="T47" s="241">
        <v>113</v>
      </c>
      <c r="U47" s="164">
        <v>22372.843353740944</v>
      </c>
      <c r="V47" s="40">
        <v>97</v>
      </c>
      <c r="W47" s="164">
        <v>19219.8</v>
      </c>
      <c r="X47" s="242">
        <v>26969.547341208719</v>
      </c>
      <c r="Y47" s="241">
        <v>170</v>
      </c>
      <c r="Z47" s="164">
        <v>33658.259912707617</v>
      </c>
      <c r="AA47" s="40">
        <v>160</v>
      </c>
      <c r="AB47" s="164">
        <v>31487.000000000004</v>
      </c>
      <c r="AC47" s="164">
        <v>44485.851284467994</v>
      </c>
      <c r="AD47" s="241">
        <v>235</v>
      </c>
      <c r="AE47" s="164">
        <v>46527.594585213468</v>
      </c>
      <c r="AF47" s="40">
        <v>163</v>
      </c>
      <c r="AG47" s="164">
        <v>32342.000000000004</v>
      </c>
      <c r="AH47" s="242">
        <v>45319.96099605177</v>
      </c>
      <c r="AI47" s="241">
        <v>235</v>
      </c>
      <c r="AJ47" s="164">
        <v>46527.594585213468</v>
      </c>
      <c r="AK47" s="40">
        <v>163</v>
      </c>
      <c r="AL47" s="164">
        <v>32342.000000000004</v>
      </c>
      <c r="AM47" s="242">
        <v>45319.96099605177</v>
      </c>
      <c r="AN47" s="241">
        <v>235</v>
      </c>
      <c r="AO47" s="164">
        <v>46527.594585213468</v>
      </c>
      <c r="AP47" s="40">
        <v>167.34343434343435</v>
      </c>
      <c r="AQ47" s="164">
        <v>33134</v>
      </c>
      <c r="AR47" s="242">
        <v>46527.594585213468</v>
      </c>
      <c r="AS47" s="241">
        <v>235</v>
      </c>
      <c r="AT47" s="164">
        <v>46527.594585213468</v>
      </c>
      <c r="AU47" s="40">
        <v>167.34343434343435</v>
      </c>
      <c r="AV47" s="164">
        <v>33134</v>
      </c>
      <c r="AW47" s="242">
        <v>46527.594585213468</v>
      </c>
      <c r="AX47" s="241">
        <v>235</v>
      </c>
      <c r="AY47" s="164">
        <v>46527.594585213468</v>
      </c>
      <c r="AZ47" s="40">
        <v>167.34343434343435</v>
      </c>
      <c r="BA47" s="164">
        <v>33134</v>
      </c>
      <c r="BB47" s="242">
        <v>46527.594585213468</v>
      </c>
      <c r="BC47" s="241">
        <v>235</v>
      </c>
      <c r="BD47" s="164">
        <v>46527.594585213468</v>
      </c>
      <c r="BE47" s="40">
        <v>167.34343434343435</v>
      </c>
      <c r="BF47" s="164">
        <v>33134</v>
      </c>
      <c r="BG47" s="242">
        <v>46527.594585213468</v>
      </c>
      <c r="BH47" s="241">
        <v>235</v>
      </c>
      <c r="BI47" s="164">
        <v>46527.594585213468</v>
      </c>
      <c r="BJ47" s="40">
        <v>167.34343434343435</v>
      </c>
      <c r="BK47" s="164">
        <v>33134</v>
      </c>
      <c r="BL47" s="242">
        <v>46527.594585213468</v>
      </c>
      <c r="BM47" s="241">
        <v>235</v>
      </c>
      <c r="BN47" s="164">
        <v>46527.594585213468</v>
      </c>
      <c r="BO47" s="40">
        <v>167.34343434343435</v>
      </c>
      <c r="BP47" s="164">
        <v>33134</v>
      </c>
      <c r="BQ47" s="244">
        <v>46527.594585213468</v>
      </c>
      <c r="BR47" s="241">
        <v>235</v>
      </c>
      <c r="BS47" s="164">
        <v>46527.594585213468</v>
      </c>
      <c r="BT47" s="40">
        <v>167.34343434343435</v>
      </c>
      <c r="BU47" s="164">
        <v>33134</v>
      </c>
      <c r="BV47" s="244">
        <v>46527.594585213468</v>
      </c>
      <c r="BW47" s="241">
        <v>235</v>
      </c>
      <c r="BX47" s="164">
        <v>46527.594585213468</v>
      </c>
      <c r="BY47" s="40">
        <v>167.34343434343435</v>
      </c>
      <c r="BZ47" s="164">
        <v>33134</v>
      </c>
      <c r="CA47" s="244">
        <v>46527.594585213468</v>
      </c>
    </row>
    <row r="48" spans="1:79" x14ac:dyDescent="0.25">
      <c r="A48" s="20" t="s">
        <v>534</v>
      </c>
      <c r="B48" s="161" t="s">
        <v>1459</v>
      </c>
      <c r="C48" s="162">
        <v>24.870999999999999</v>
      </c>
      <c r="D48" t="s">
        <v>1422</v>
      </c>
      <c r="E48" s="164">
        <v>6884.6087559124408</v>
      </c>
      <c r="F48" s="167">
        <v>40.571072551861185</v>
      </c>
      <c r="G48" s="40">
        <v>169.6925499593826</v>
      </c>
      <c r="H48" s="164">
        <v>33596</v>
      </c>
      <c r="I48" s="40">
        <v>197.98158497848902</v>
      </c>
      <c r="J48" s="241">
        <v>0</v>
      </c>
      <c r="K48" s="164">
        <v>0</v>
      </c>
      <c r="L48" s="167">
        <v>0</v>
      </c>
      <c r="M48" s="164">
        <v>0</v>
      </c>
      <c r="N48" s="164">
        <v>0</v>
      </c>
      <c r="O48" s="241">
        <v>0</v>
      </c>
      <c r="P48" s="164">
        <v>0</v>
      </c>
      <c r="Q48" s="167">
        <v>0</v>
      </c>
      <c r="R48" s="164">
        <v>0</v>
      </c>
      <c r="S48" s="164">
        <v>0</v>
      </c>
      <c r="T48" s="241">
        <v>10</v>
      </c>
      <c r="U48" s="164">
        <v>2768.1270378804393</v>
      </c>
      <c r="V48" s="40">
        <v>12</v>
      </c>
      <c r="W48" s="164">
        <v>19068.2</v>
      </c>
      <c r="X48" s="242">
        <v>486.85287062233419</v>
      </c>
      <c r="Y48" s="241">
        <v>24.870999999999999</v>
      </c>
      <c r="Z48" s="164">
        <v>6884.6087559124408</v>
      </c>
      <c r="AA48" s="40">
        <v>12</v>
      </c>
      <c r="AB48" s="164">
        <v>22522.400000000001</v>
      </c>
      <c r="AC48" s="164">
        <v>486.85287062233419</v>
      </c>
      <c r="AD48" s="241">
        <v>24.870999999999999</v>
      </c>
      <c r="AE48" s="164">
        <v>6884.6087559124408</v>
      </c>
      <c r="AF48" s="40">
        <v>12</v>
      </c>
      <c r="AG48" s="164">
        <v>23822.000000000004</v>
      </c>
      <c r="AH48" s="242">
        <v>486.85287062233419</v>
      </c>
      <c r="AI48" s="241">
        <v>24.870999999999999</v>
      </c>
      <c r="AJ48" s="164">
        <v>6884.6087559124408</v>
      </c>
      <c r="AK48" s="40">
        <v>13.4</v>
      </c>
      <c r="AL48" s="164">
        <v>24125.200000000004</v>
      </c>
      <c r="AM48" s="242">
        <v>543.65237219493997</v>
      </c>
      <c r="AN48" s="241">
        <v>24.870999999999999</v>
      </c>
      <c r="AO48" s="164">
        <v>6884.6087559124408</v>
      </c>
      <c r="AP48" s="40">
        <v>37.5</v>
      </c>
      <c r="AQ48" s="164">
        <v>28928.000000000007</v>
      </c>
      <c r="AR48" s="242">
        <v>1521.4152206947945</v>
      </c>
      <c r="AS48" s="241">
        <v>24.870999999999999</v>
      </c>
      <c r="AT48" s="164">
        <v>6884.6087559124408</v>
      </c>
      <c r="AU48" s="40">
        <v>55.5</v>
      </c>
      <c r="AV48" s="164">
        <v>32468.800000000007</v>
      </c>
      <c r="AW48" s="242">
        <v>2251.694526628296</v>
      </c>
      <c r="AX48" s="241">
        <v>24.870999999999999</v>
      </c>
      <c r="AY48" s="164">
        <v>6884.6087559124408</v>
      </c>
      <c r="AZ48" s="40">
        <v>61.26</v>
      </c>
      <c r="BA48" s="164">
        <v>33596</v>
      </c>
      <c r="BB48" s="242">
        <v>2485.3839045270165</v>
      </c>
      <c r="BC48" s="241">
        <v>24.870999999999999</v>
      </c>
      <c r="BD48" s="164">
        <v>6884.6087559124408</v>
      </c>
      <c r="BE48" s="40">
        <v>61.26</v>
      </c>
      <c r="BF48" s="164">
        <v>33596</v>
      </c>
      <c r="BG48" s="242">
        <v>2485.3839045270165</v>
      </c>
      <c r="BH48" s="241">
        <v>24.870999999999999</v>
      </c>
      <c r="BI48" s="164">
        <v>6884.6087559124408</v>
      </c>
      <c r="BJ48" s="40">
        <v>61.26</v>
      </c>
      <c r="BK48" s="164">
        <v>33596</v>
      </c>
      <c r="BL48" s="242">
        <v>2485.3839045270165</v>
      </c>
      <c r="BM48" s="241">
        <v>24.870999999999999</v>
      </c>
      <c r="BN48" s="164">
        <v>6884.6087559124408</v>
      </c>
      <c r="BO48" s="40">
        <v>169.6925499593826</v>
      </c>
      <c r="BP48" s="164">
        <v>33596</v>
      </c>
      <c r="BQ48" s="244">
        <v>6884.6087559124408</v>
      </c>
      <c r="BR48" s="241">
        <v>24.870999999999999</v>
      </c>
      <c r="BS48" s="164">
        <v>6884.6087559124408</v>
      </c>
      <c r="BT48" s="40">
        <v>169.6925499593826</v>
      </c>
      <c r="BU48" s="164">
        <v>33596</v>
      </c>
      <c r="BV48" s="244">
        <v>6884.6087559124408</v>
      </c>
      <c r="BW48" s="241">
        <v>24.870999999999999</v>
      </c>
      <c r="BX48" s="164">
        <v>6884.6087559124408</v>
      </c>
      <c r="BY48" s="40">
        <v>169.6925499593826</v>
      </c>
      <c r="BZ48" s="164">
        <v>33596</v>
      </c>
      <c r="CA48" s="244">
        <v>6884.6087559124408</v>
      </c>
    </row>
    <row r="49" spans="1:79" x14ac:dyDescent="0.25">
      <c r="A49" s="20" t="s">
        <v>545</v>
      </c>
      <c r="B49" s="161" t="s">
        <v>1460</v>
      </c>
      <c r="C49" s="162">
        <v>11</v>
      </c>
      <c r="D49" t="s">
        <v>1422</v>
      </c>
      <c r="E49" s="164">
        <v>1980</v>
      </c>
      <c r="F49" s="167">
        <v>313.59623307828133</v>
      </c>
      <c r="G49" s="40">
        <v>6.3138513513513512</v>
      </c>
      <c r="H49" s="164">
        <v>1359.2</v>
      </c>
      <c r="I49" s="40">
        <v>215.27272727272728</v>
      </c>
      <c r="J49" s="241">
        <v>0</v>
      </c>
      <c r="K49" s="164">
        <v>0</v>
      </c>
      <c r="L49" s="167">
        <v>0</v>
      </c>
      <c r="M49" s="164">
        <v>0</v>
      </c>
      <c r="N49" s="164">
        <v>0</v>
      </c>
      <c r="O49" s="241">
        <v>0</v>
      </c>
      <c r="P49" s="164">
        <v>0</v>
      </c>
      <c r="Q49" s="167">
        <v>0</v>
      </c>
      <c r="R49" s="164">
        <v>0</v>
      </c>
      <c r="S49" s="164">
        <v>0</v>
      </c>
      <c r="T49" s="241">
        <v>0</v>
      </c>
      <c r="U49" s="164">
        <v>0</v>
      </c>
      <c r="V49" s="40">
        <v>0</v>
      </c>
      <c r="W49" s="164">
        <v>0</v>
      </c>
      <c r="X49" s="242">
        <v>0</v>
      </c>
      <c r="Y49" s="241">
        <v>0</v>
      </c>
      <c r="Z49" s="164">
        <v>0</v>
      </c>
      <c r="AA49" s="40">
        <v>0</v>
      </c>
      <c r="AB49" s="164">
        <v>0</v>
      </c>
      <c r="AC49" s="164">
        <v>0</v>
      </c>
      <c r="AD49" s="241">
        <v>0</v>
      </c>
      <c r="AE49" s="164">
        <v>0</v>
      </c>
      <c r="AF49" s="40">
        <v>1.6</v>
      </c>
      <c r="AG49" s="164">
        <v>351.4</v>
      </c>
      <c r="AH49" s="242">
        <v>501.75397292525014</v>
      </c>
      <c r="AI49" s="241">
        <v>11</v>
      </c>
      <c r="AJ49" s="164">
        <v>1980</v>
      </c>
      <c r="AK49" s="40">
        <v>1.6</v>
      </c>
      <c r="AL49" s="164">
        <v>351.4</v>
      </c>
      <c r="AM49" s="242">
        <v>501.75397292525014</v>
      </c>
      <c r="AN49" s="241">
        <v>11</v>
      </c>
      <c r="AO49" s="164">
        <v>1980</v>
      </c>
      <c r="AP49" s="40">
        <v>6.31</v>
      </c>
      <c r="AQ49" s="164">
        <v>1359.2</v>
      </c>
      <c r="AR49" s="242">
        <v>1978.7922307239553</v>
      </c>
      <c r="AS49" s="241">
        <v>11</v>
      </c>
      <c r="AT49" s="164">
        <v>1980</v>
      </c>
      <c r="AU49" s="40">
        <v>6.31</v>
      </c>
      <c r="AV49" s="164">
        <v>1359.2</v>
      </c>
      <c r="AW49" s="242">
        <v>1978.7922307239553</v>
      </c>
      <c r="AX49" s="241">
        <v>11</v>
      </c>
      <c r="AY49" s="164">
        <v>1980</v>
      </c>
      <c r="AZ49" s="40">
        <v>6.31</v>
      </c>
      <c r="BA49" s="164">
        <v>1359.2</v>
      </c>
      <c r="BB49" s="242">
        <v>1978.7922307239553</v>
      </c>
      <c r="BC49" s="241">
        <v>11</v>
      </c>
      <c r="BD49" s="164">
        <v>1980</v>
      </c>
      <c r="BE49" s="40">
        <v>6.31</v>
      </c>
      <c r="BF49" s="164">
        <v>1359.2</v>
      </c>
      <c r="BG49" s="242">
        <v>1978.7922307239553</v>
      </c>
      <c r="BH49" s="241">
        <v>11</v>
      </c>
      <c r="BI49" s="164">
        <v>1980</v>
      </c>
      <c r="BJ49" s="40">
        <v>6.31</v>
      </c>
      <c r="BK49" s="164">
        <v>1359.2</v>
      </c>
      <c r="BL49" s="242">
        <v>1978.7922307239553</v>
      </c>
      <c r="BM49" s="241">
        <v>11</v>
      </c>
      <c r="BN49" s="164">
        <v>1980</v>
      </c>
      <c r="BO49" s="40">
        <v>6.3138513513513512</v>
      </c>
      <c r="BP49" s="164">
        <v>1359.2</v>
      </c>
      <c r="BQ49" s="244">
        <v>1980</v>
      </c>
      <c r="BR49" s="241">
        <v>11</v>
      </c>
      <c r="BS49" s="164">
        <v>1980</v>
      </c>
      <c r="BT49" s="40">
        <v>6.3138513513513512</v>
      </c>
      <c r="BU49" s="164">
        <v>1359.2</v>
      </c>
      <c r="BV49" s="244">
        <v>1980</v>
      </c>
      <c r="BW49" s="241">
        <v>11</v>
      </c>
      <c r="BX49" s="164">
        <v>1980</v>
      </c>
      <c r="BY49" s="40">
        <v>6.3138513513513512</v>
      </c>
      <c r="BZ49" s="164">
        <v>1359.2</v>
      </c>
      <c r="CA49" s="244">
        <v>1980</v>
      </c>
    </row>
    <row r="50" spans="1:79" x14ac:dyDescent="0.25">
      <c r="A50" s="20" t="s">
        <v>532</v>
      </c>
      <c r="B50" s="161" t="s">
        <v>1461</v>
      </c>
      <c r="C50" s="162">
        <v>31.544</v>
      </c>
      <c r="D50" t="s">
        <v>1422</v>
      </c>
      <c r="E50" s="164">
        <v>6371.0546972860129</v>
      </c>
      <c r="F50" s="167">
        <v>242.32266426154268</v>
      </c>
      <c r="G50" s="40">
        <v>26.291617074701822</v>
      </c>
      <c r="H50" s="164">
        <v>5311</v>
      </c>
      <c r="I50" s="40">
        <v>202.00355059599289</v>
      </c>
      <c r="J50" s="241">
        <v>0</v>
      </c>
      <c r="K50" s="164">
        <v>0</v>
      </c>
      <c r="L50" s="167">
        <v>0</v>
      </c>
      <c r="M50" s="164">
        <v>0</v>
      </c>
      <c r="N50" s="164">
        <v>0</v>
      </c>
      <c r="O50" s="241">
        <v>0</v>
      </c>
      <c r="P50" s="164">
        <v>0</v>
      </c>
      <c r="Q50" s="167">
        <v>0</v>
      </c>
      <c r="R50" s="164">
        <v>0</v>
      </c>
      <c r="S50" s="164">
        <v>0</v>
      </c>
      <c r="T50" s="241">
        <v>0</v>
      </c>
      <c r="U50" s="164">
        <v>0</v>
      </c>
      <c r="V50" s="40">
        <v>0</v>
      </c>
      <c r="W50" s="164">
        <v>0</v>
      </c>
      <c r="X50" s="242">
        <v>0</v>
      </c>
      <c r="Y50" s="241">
        <v>31.544</v>
      </c>
      <c r="Z50" s="164">
        <v>6371.0546972860129</v>
      </c>
      <c r="AA50" s="40">
        <v>0</v>
      </c>
      <c r="AB50" s="164">
        <v>0</v>
      </c>
      <c r="AC50" s="164">
        <v>0</v>
      </c>
      <c r="AD50" s="241">
        <v>31.544</v>
      </c>
      <c r="AE50" s="164">
        <v>6371.0546972860129</v>
      </c>
      <c r="AF50" s="40">
        <v>0</v>
      </c>
      <c r="AG50" s="164">
        <v>0</v>
      </c>
      <c r="AH50" s="242">
        <v>0</v>
      </c>
      <c r="AI50" s="241">
        <v>31.544</v>
      </c>
      <c r="AJ50" s="164">
        <v>6371.0546972860129</v>
      </c>
      <c r="AK50" s="40">
        <v>26.291617074701822</v>
      </c>
      <c r="AL50" s="164">
        <v>5311</v>
      </c>
      <c r="AM50" s="242">
        <v>6371.0546972860129</v>
      </c>
      <c r="AN50" s="241">
        <v>31.544</v>
      </c>
      <c r="AO50" s="164">
        <v>6371.0546972860129</v>
      </c>
      <c r="AP50" s="40">
        <v>26.291617074701822</v>
      </c>
      <c r="AQ50" s="164">
        <v>5311</v>
      </c>
      <c r="AR50" s="242">
        <v>6371.0546972860129</v>
      </c>
      <c r="AS50" s="241">
        <v>31.544</v>
      </c>
      <c r="AT50" s="164">
        <v>6371.0546972860129</v>
      </c>
      <c r="AU50" s="40">
        <v>26.291617074701822</v>
      </c>
      <c r="AV50" s="164">
        <v>5311</v>
      </c>
      <c r="AW50" s="242">
        <v>6371.0546972860129</v>
      </c>
      <c r="AX50" s="241">
        <v>31.544</v>
      </c>
      <c r="AY50" s="164">
        <v>6371.0546972860129</v>
      </c>
      <c r="AZ50" s="40">
        <v>26.291617074701822</v>
      </c>
      <c r="BA50" s="164">
        <v>5311</v>
      </c>
      <c r="BB50" s="242">
        <v>6371.0546972860129</v>
      </c>
      <c r="BC50" s="241">
        <v>31.544</v>
      </c>
      <c r="BD50" s="164">
        <v>6371.0546972860129</v>
      </c>
      <c r="BE50" s="40">
        <v>26.291617074701822</v>
      </c>
      <c r="BF50" s="164">
        <v>5311</v>
      </c>
      <c r="BG50" s="242">
        <v>6371.0546972860129</v>
      </c>
      <c r="BH50" s="241">
        <v>31.544</v>
      </c>
      <c r="BI50" s="164">
        <v>6371.0546972860129</v>
      </c>
      <c r="BJ50" s="40">
        <v>26.291617074701822</v>
      </c>
      <c r="BK50" s="164">
        <v>5311</v>
      </c>
      <c r="BL50" s="242">
        <v>6371.0546972860129</v>
      </c>
      <c r="BM50" s="241">
        <v>31.544</v>
      </c>
      <c r="BN50" s="164">
        <v>6371.0546972860129</v>
      </c>
      <c r="BO50" s="40">
        <v>26.291617074701822</v>
      </c>
      <c r="BP50" s="164">
        <v>5311</v>
      </c>
      <c r="BQ50" s="244">
        <v>6371.0546972860129</v>
      </c>
      <c r="BR50" s="241">
        <v>31.544</v>
      </c>
      <c r="BS50" s="164">
        <v>6371.0546972860129</v>
      </c>
      <c r="BT50" s="40">
        <v>26.291617074701822</v>
      </c>
      <c r="BU50" s="164">
        <v>5311</v>
      </c>
      <c r="BV50" s="244">
        <v>6371.0546972860129</v>
      </c>
      <c r="BW50" s="241">
        <v>31.544</v>
      </c>
      <c r="BX50" s="164">
        <v>6371.0546972860129</v>
      </c>
      <c r="BY50" s="40">
        <v>26.291617074701822</v>
      </c>
      <c r="BZ50" s="164">
        <v>5311</v>
      </c>
      <c r="CA50" s="244">
        <v>6371.0546972860129</v>
      </c>
    </row>
    <row r="51" spans="1:79" x14ac:dyDescent="0.25">
      <c r="A51" s="20" t="s">
        <v>536</v>
      </c>
      <c r="B51" s="161" t="s">
        <v>1462</v>
      </c>
      <c r="C51" s="162">
        <v>44.88</v>
      </c>
      <c r="D51" t="s">
        <v>1422</v>
      </c>
      <c r="E51" s="164">
        <v>14001.495886312641</v>
      </c>
      <c r="F51" s="167">
        <v>313.40870837915611</v>
      </c>
      <c r="G51" s="40">
        <v>44.674878240377062</v>
      </c>
      <c r="H51" s="164">
        <v>13939</v>
      </c>
      <c r="I51" s="40">
        <v>312.00980392156862</v>
      </c>
      <c r="J51" s="241">
        <v>0</v>
      </c>
      <c r="K51" s="164">
        <v>0</v>
      </c>
      <c r="L51" s="167">
        <v>0</v>
      </c>
      <c r="M51" s="164">
        <v>0</v>
      </c>
      <c r="N51" s="164">
        <v>0</v>
      </c>
      <c r="O51" s="241">
        <v>0</v>
      </c>
      <c r="P51" s="164">
        <v>0</v>
      </c>
      <c r="Q51" s="167">
        <v>0</v>
      </c>
      <c r="R51" s="164">
        <v>0</v>
      </c>
      <c r="S51" s="164">
        <v>0</v>
      </c>
      <c r="T51" s="241">
        <v>0</v>
      </c>
      <c r="U51" s="164">
        <v>0</v>
      </c>
      <c r="V51" s="40">
        <v>0</v>
      </c>
      <c r="W51" s="164">
        <v>0</v>
      </c>
      <c r="X51" s="242">
        <v>0</v>
      </c>
      <c r="Y51" s="241">
        <v>0</v>
      </c>
      <c r="Z51" s="164">
        <v>0</v>
      </c>
      <c r="AA51" s="40">
        <v>0</v>
      </c>
      <c r="AB51" s="164">
        <v>0</v>
      </c>
      <c r="AC51" s="164">
        <v>0</v>
      </c>
      <c r="AD51" s="241">
        <v>0</v>
      </c>
      <c r="AE51" s="164">
        <v>0</v>
      </c>
      <c r="AF51" s="40">
        <v>0</v>
      </c>
      <c r="AG51" s="164">
        <v>0</v>
      </c>
      <c r="AH51" s="242">
        <v>0</v>
      </c>
      <c r="AI51" s="241">
        <v>44.88</v>
      </c>
      <c r="AJ51" s="164">
        <v>14001.495886312641</v>
      </c>
      <c r="AK51" s="40">
        <v>0</v>
      </c>
      <c r="AL51" s="164">
        <v>0</v>
      </c>
      <c r="AM51" s="242">
        <v>0</v>
      </c>
      <c r="AN51" s="241">
        <v>44.88</v>
      </c>
      <c r="AO51" s="164">
        <v>14001.495886312641</v>
      </c>
      <c r="AP51" s="40">
        <v>0</v>
      </c>
      <c r="AQ51" s="164">
        <v>0</v>
      </c>
      <c r="AR51" s="242">
        <v>0</v>
      </c>
      <c r="AS51" s="241">
        <v>44.88</v>
      </c>
      <c r="AT51" s="164">
        <v>14001.495886312641</v>
      </c>
      <c r="AU51" s="40">
        <v>29.9</v>
      </c>
      <c r="AV51" s="164">
        <v>9323</v>
      </c>
      <c r="AW51" s="242">
        <v>9370.920380536767</v>
      </c>
      <c r="AX51" s="241">
        <v>44.88</v>
      </c>
      <c r="AY51" s="164">
        <v>14001.495886312641</v>
      </c>
      <c r="AZ51" s="40">
        <v>44.67</v>
      </c>
      <c r="BA51" s="164">
        <v>13939</v>
      </c>
      <c r="BB51" s="242">
        <v>13999.967003296904</v>
      </c>
      <c r="BC51" s="241">
        <v>44.88</v>
      </c>
      <c r="BD51" s="164">
        <v>14001.495886312641</v>
      </c>
      <c r="BE51" s="40">
        <v>44.67</v>
      </c>
      <c r="BF51" s="164">
        <v>13939</v>
      </c>
      <c r="BG51" s="242">
        <v>13999.967003296904</v>
      </c>
      <c r="BH51" s="241">
        <v>44.88</v>
      </c>
      <c r="BI51" s="164">
        <v>14001.495886312641</v>
      </c>
      <c r="BJ51" s="40">
        <v>44.67</v>
      </c>
      <c r="BK51" s="164">
        <v>13939</v>
      </c>
      <c r="BL51" s="242">
        <v>13999.967003296904</v>
      </c>
      <c r="BM51" s="241">
        <v>44.88</v>
      </c>
      <c r="BN51" s="164">
        <v>14001.495886312641</v>
      </c>
      <c r="BO51" s="40">
        <v>44.674878240377062</v>
      </c>
      <c r="BP51" s="164">
        <v>13939</v>
      </c>
      <c r="BQ51" s="244">
        <v>14001.495886312641</v>
      </c>
      <c r="BR51" s="241">
        <v>44.88</v>
      </c>
      <c r="BS51" s="164">
        <v>14001.495886312641</v>
      </c>
      <c r="BT51" s="40">
        <v>44.674878240377062</v>
      </c>
      <c r="BU51" s="164">
        <v>13939</v>
      </c>
      <c r="BV51" s="244">
        <v>14001.495886312641</v>
      </c>
      <c r="BW51" s="241">
        <v>44.88</v>
      </c>
      <c r="BX51" s="164">
        <v>14001.495886312641</v>
      </c>
      <c r="BY51" s="40">
        <v>44.674878240377062</v>
      </c>
      <c r="BZ51" s="164">
        <v>13939</v>
      </c>
      <c r="CA51" s="244">
        <v>14001.495886312641</v>
      </c>
    </row>
    <row r="52" spans="1:79" x14ac:dyDescent="0.25">
      <c r="A52" s="20" t="s">
        <v>540</v>
      </c>
      <c r="B52" s="161" t="s">
        <v>1463</v>
      </c>
      <c r="C52" s="162">
        <v>1170</v>
      </c>
      <c r="D52" t="s">
        <v>26</v>
      </c>
      <c r="E52" s="164">
        <v>6278.5876295694552</v>
      </c>
      <c r="F52" s="167">
        <v>5.366314213307227</v>
      </c>
      <c r="G52" s="40">
        <v>1170</v>
      </c>
      <c r="H52" s="164">
        <v>8596.6939999999959</v>
      </c>
      <c r="I52" s="40">
        <v>7.3476017094017054</v>
      </c>
      <c r="J52" s="241">
        <v>0</v>
      </c>
      <c r="K52" s="164">
        <v>0</v>
      </c>
      <c r="L52" s="167">
        <v>0</v>
      </c>
      <c r="M52" s="164">
        <v>0</v>
      </c>
      <c r="N52" s="164">
        <v>0</v>
      </c>
      <c r="O52" s="241">
        <v>1000</v>
      </c>
      <c r="P52" s="164">
        <v>5366.3142133072261</v>
      </c>
      <c r="Q52" s="167">
        <v>900</v>
      </c>
      <c r="R52" s="164">
        <v>6187.74</v>
      </c>
      <c r="S52" s="164">
        <v>4829.6827919765046</v>
      </c>
      <c r="T52" s="241">
        <v>1000</v>
      </c>
      <c r="U52" s="164">
        <v>5366.3142133072261</v>
      </c>
      <c r="V52" s="40">
        <v>900</v>
      </c>
      <c r="W52" s="164">
        <v>6187.74</v>
      </c>
      <c r="X52" s="242">
        <v>4829.6827919765046</v>
      </c>
      <c r="Y52" s="241">
        <v>1170</v>
      </c>
      <c r="Z52" s="164">
        <v>6278.5876295694552</v>
      </c>
      <c r="AA52" s="40">
        <v>900</v>
      </c>
      <c r="AB52" s="164">
        <v>6187.74</v>
      </c>
      <c r="AC52" s="164">
        <v>4829.6827919765046</v>
      </c>
      <c r="AD52" s="241">
        <v>1170</v>
      </c>
      <c r="AE52" s="164">
        <v>6278.5876295694552</v>
      </c>
      <c r="AF52" s="40">
        <v>900</v>
      </c>
      <c r="AG52" s="164">
        <v>6187.74</v>
      </c>
      <c r="AH52" s="242">
        <v>4829.6827919765046</v>
      </c>
      <c r="AI52" s="241">
        <v>1170</v>
      </c>
      <c r="AJ52" s="164">
        <v>6278.5876295694552</v>
      </c>
      <c r="AK52" s="40">
        <v>900</v>
      </c>
      <c r="AL52" s="164">
        <v>6989.5899999999974</v>
      </c>
      <c r="AM52" s="242">
        <v>4829.6827919765046</v>
      </c>
      <c r="AN52" s="241">
        <v>1170</v>
      </c>
      <c r="AO52" s="164">
        <v>6278.5876295694552</v>
      </c>
      <c r="AP52" s="40">
        <v>1170</v>
      </c>
      <c r="AQ52" s="164">
        <v>8507.0899999999965</v>
      </c>
      <c r="AR52" s="242">
        <v>6278.5876295694552</v>
      </c>
      <c r="AS52" s="241">
        <v>1170</v>
      </c>
      <c r="AT52" s="164">
        <v>6278.5876295694552</v>
      </c>
      <c r="AU52" s="40">
        <v>1170</v>
      </c>
      <c r="AV52" s="164">
        <v>8507.0899999999965</v>
      </c>
      <c r="AW52" s="242">
        <v>6278.5876295694552</v>
      </c>
      <c r="AX52" s="241">
        <v>1170</v>
      </c>
      <c r="AY52" s="164">
        <v>6278.5876295694552</v>
      </c>
      <c r="AZ52" s="40">
        <v>1170</v>
      </c>
      <c r="BA52" s="164">
        <v>8552.1939999999959</v>
      </c>
      <c r="BB52" s="242">
        <v>6278.5876295694552</v>
      </c>
      <c r="BC52" s="241">
        <v>1170</v>
      </c>
      <c r="BD52" s="164">
        <v>6278.5876295694552</v>
      </c>
      <c r="BE52" s="40">
        <v>1170</v>
      </c>
      <c r="BF52" s="164">
        <v>8552.1939999999959</v>
      </c>
      <c r="BG52" s="242">
        <v>6278.5876295694552</v>
      </c>
      <c r="BH52" s="241">
        <v>1170</v>
      </c>
      <c r="BI52" s="164">
        <v>6278.5876295694552</v>
      </c>
      <c r="BJ52" s="40">
        <v>1170</v>
      </c>
      <c r="BK52" s="164">
        <v>8552.1939999999959</v>
      </c>
      <c r="BL52" s="242">
        <v>6278.5876295694552</v>
      </c>
      <c r="BM52" s="241">
        <v>1170</v>
      </c>
      <c r="BN52" s="164">
        <v>6278.5876295694552</v>
      </c>
      <c r="BO52" s="40">
        <v>1170</v>
      </c>
      <c r="BP52" s="164">
        <v>8552.1939999999959</v>
      </c>
      <c r="BQ52" s="244">
        <v>6278.5876295694552</v>
      </c>
      <c r="BR52" s="241">
        <v>1170</v>
      </c>
      <c r="BS52" s="164">
        <v>6278.5876295694552</v>
      </c>
      <c r="BT52" s="40">
        <v>1170</v>
      </c>
      <c r="BU52" s="164">
        <v>8596.6939999999959</v>
      </c>
      <c r="BV52" s="244">
        <v>6278.5876295694552</v>
      </c>
      <c r="BW52" s="241">
        <v>1170</v>
      </c>
      <c r="BX52" s="164">
        <v>6278.5876295694552</v>
      </c>
      <c r="BY52" s="40">
        <v>1170</v>
      </c>
      <c r="BZ52" s="164">
        <v>8596.6939999999959</v>
      </c>
      <c r="CA52" s="244">
        <v>6278.5876295694552</v>
      </c>
    </row>
    <row r="53" spans="1:79" ht="30" x14ac:dyDescent="0.25">
      <c r="A53" s="20" t="s">
        <v>543</v>
      </c>
      <c r="B53" s="161" t="s">
        <v>1464</v>
      </c>
      <c r="C53" s="162">
        <v>6</v>
      </c>
      <c r="D53" t="s">
        <v>54</v>
      </c>
      <c r="E53" s="164">
        <v>15822.945</v>
      </c>
      <c r="F53" s="167">
        <v>2637.1574999999998</v>
      </c>
      <c r="G53" s="40">
        <v>6</v>
      </c>
      <c r="H53" s="164">
        <v>12952.310000000001</v>
      </c>
      <c r="I53" s="40">
        <v>2158.7183333333337</v>
      </c>
      <c r="J53" s="241">
        <v>0</v>
      </c>
      <c r="K53" s="164">
        <v>0</v>
      </c>
      <c r="L53" s="167">
        <v>0</v>
      </c>
      <c r="M53" s="164">
        <v>0</v>
      </c>
      <c r="N53" s="164">
        <v>0</v>
      </c>
      <c r="O53" s="241">
        <v>6</v>
      </c>
      <c r="P53" s="164">
        <v>15822.945</v>
      </c>
      <c r="Q53" s="167">
        <v>0</v>
      </c>
      <c r="R53" s="164">
        <v>174.68</v>
      </c>
      <c r="S53" s="164">
        <v>0</v>
      </c>
      <c r="T53" s="241">
        <v>6</v>
      </c>
      <c r="U53" s="164">
        <v>15822.945</v>
      </c>
      <c r="V53" s="40">
        <v>3</v>
      </c>
      <c r="W53" s="164">
        <v>7480.68</v>
      </c>
      <c r="X53" s="242">
        <v>7911.4724999999999</v>
      </c>
      <c r="Y53" s="241">
        <v>6</v>
      </c>
      <c r="Z53" s="164">
        <v>15822.945</v>
      </c>
      <c r="AA53" s="40">
        <v>3</v>
      </c>
      <c r="AB53" s="164">
        <v>7480.68</v>
      </c>
      <c r="AC53" s="164">
        <v>7911.4724999999999</v>
      </c>
      <c r="AD53" s="241">
        <v>6</v>
      </c>
      <c r="AE53" s="164">
        <v>15822.945</v>
      </c>
      <c r="AF53" s="40">
        <v>3</v>
      </c>
      <c r="AG53" s="164">
        <v>7480.68</v>
      </c>
      <c r="AH53" s="242">
        <v>7911.4724999999999</v>
      </c>
      <c r="AI53" s="241">
        <v>6</v>
      </c>
      <c r="AJ53" s="164">
        <v>15822.945</v>
      </c>
      <c r="AK53" s="40">
        <v>3</v>
      </c>
      <c r="AL53" s="164">
        <v>7570.0000000000009</v>
      </c>
      <c r="AM53" s="242">
        <v>7911.4724999999999</v>
      </c>
      <c r="AN53" s="241">
        <v>6</v>
      </c>
      <c r="AO53" s="164">
        <v>15822.945</v>
      </c>
      <c r="AP53" s="40">
        <v>6</v>
      </c>
      <c r="AQ53" s="164">
        <v>12798.36</v>
      </c>
      <c r="AR53" s="242">
        <v>15822.945</v>
      </c>
      <c r="AS53" s="241">
        <v>6</v>
      </c>
      <c r="AT53" s="164">
        <v>15822.945</v>
      </c>
      <c r="AU53" s="40">
        <v>6</v>
      </c>
      <c r="AV53" s="164">
        <v>12952.310000000001</v>
      </c>
      <c r="AW53" s="242">
        <v>15822.945</v>
      </c>
      <c r="AX53" s="241">
        <v>6</v>
      </c>
      <c r="AY53" s="164">
        <v>15822.945</v>
      </c>
      <c r="AZ53" s="40">
        <v>6</v>
      </c>
      <c r="BA53" s="164">
        <v>12952.310000000001</v>
      </c>
      <c r="BB53" s="242">
        <v>15822.945</v>
      </c>
      <c r="BC53" s="241">
        <v>6</v>
      </c>
      <c r="BD53" s="164">
        <v>15822.945</v>
      </c>
      <c r="BE53" s="40">
        <v>6</v>
      </c>
      <c r="BF53" s="164">
        <v>12952.310000000001</v>
      </c>
      <c r="BG53" s="242">
        <v>15822.945</v>
      </c>
      <c r="BH53" s="241">
        <v>6</v>
      </c>
      <c r="BI53" s="164">
        <v>15822.945</v>
      </c>
      <c r="BJ53" s="40">
        <v>6</v>
      </c>
      <c r="BK53" s="164">
        <v>12952.310000000001</v>
      </c>
      <c r="BL53" s="242">
        <v>15822.945</v>
      </c>
      <c r="BM53" s="241">
        <v>6</v>
      </c>
      <c r="BN53" s="164">
        <v>15822.945</v>
      </c>
      <c r="BO53" s="40">
        <v>6</v>
      </c>
      <c r="BP53" s="164">
        <v>12952.310000000001</v>
      </c>
      <c r="BQ53" s="244">
        <v>15822.945</v>
      </c>
      <c r="BR53" s="241">
        <v>6</v>
      </c>
      <c r="BS53" s="164">
        <v>15822.945</v>
      </c>
      <c r="BT53" s="40">
        <v>6</v>
      </c>
      <c r="BU53" s="164">
        <v>12952.310000000001</v>
      </c>
      <c r="BV53" s="244">
        <v>15822.945</v>
      </c>
      <c r="BW53" s="241">
        <v>6</v>
      </c>
      <c r="BX53" s="164">
        <v>15822.945</v>
      </c>
      <c r="BY53" s="40">
        <v>6</v>
      </c>
      <c r="BZ53" s="164">
        <v>12952.310000000001</v>
      </c>
      <c r="CA53" s="244">
        <v>15822.945</v>
      </c>
    </row>
    <row r="54" spans="1:79" x14ac:dyDescent="0.25">
      <c r="A54" s="20" t="s">
        <v>544</v>
      </c>
      <c r="B54" s="161" t="s">
        <v>1465</v>
      </c>
      <c r="C54" s="162">
        <v>23</v>
      </c>
      <c r="D54" t="s">
        <v>52</v>
      </c>
      <c r="E54" s="164">
        <v>29400</v>
      </c>
      <c r="F54" s="167">
        <v>1278.2608695652175</v>
      </c>
      <c r="G54" s="40">
        <v>23</v>
      </c>
      <c r="H54" s="164">
        <v>1580</v>
      </c>
      <c r="I54" s="40">
        <v>68.695652173913047</v>
      </c>
      <c r="J54" s="241">
        <v>0</v>
      </c>
      <c r="K54" s="164">
        <v>0</v>
      </c>
      <c r="L54" s="167">
        <v>0</v>
      </c>
      <c r="M54" s="164">
        <v>0</v>
      </c>
      <c r="N54" s="164">
        <v>0</v>
      </c>
      <c r="O54" s="241">
        <v>0</v>
      </c>
      <c r="P54" s="164">
        <v>0</v>
      </c>
      <c r="Q54" s="167">
        <v>0</v>
      </c>
      <c r="R54" s="164">
        <v>1580</v>
      </c>
      <c r="S54" s="164">
        <v>0</v>
      </c>
      <c r="T54" s="241">
        <v>0</v>
      </c>
      <c r="U54" s="164">
        <v>0</v>
      </c>
      <c r="V54" s="40">
        <v>23</v>
      </c>
      <c r="W54" s="164">
        <v>1580</v>
      </c>
      <c r="X54" s="242">
        <v>29400</v>
      </c>
      <c r="Y54" s="241">
        <v>23</v>
      </c>
      <c r="Z54" s="164">
        <v>29400</v>
      </c>
      <c r="AA54" s="40">
        <v>23</v>
      </c>
      <c r="AB54" s="164">
        <v>1580</v>
      </c>
      <c r="AC54" s="164">
        <v>29400</v>
      </c>
      <c r="AD54" s="241">
        <v>23</v>
      </c>
      <c r="AE54" s="164">
        <v>29400</v>
      </c>
      <c r="AF54" s="40">
        <v>23</v>
      </c>
      <c r="AG54" s="164">
        <v>1580</v>
      </c>
      <c r="AH54" s="242">
        <v>29400</v>
      </c>
      <c r="AI54" s="241">
        <v>23</v>
      </c>
      <c r="AJ54" s="164">
        <v>29400</v>
      </c>
      <c r="AK54" s="40">
        <v>23</v>
      </c>
      <c r="AL54" s="164">
        <v>1580</v>
      </c>
      <c r="AM54" s="242">
        <v>29400</v>
      </c>
      <c r="AN54" s="241">
        <v>23</v>
      </c>
      <c r="AO54" s="164">
        <v>29400</v>
      </c>
      <c r="AP54" s="40">
        <v>23</v>
      </c>
      <c r="AQ54" s="164">
        <v>1580</v>
      </c>
      <c r="AR54" s="242">
        <v>29400</v>
      </c>
      <c r="AS54" s="241">
        <v>23</v>
      </c>
      <c r="AT54" s="164">
        <v>29400</v>
      </c>
      <c r="AU54" s="40">
        <v>23</v>
      </c>
      <c r="AV54" s="164">
        <v>1580</v>
      </c>
      <c r="AW54" s="242">
        <v>29400</v>
      </c>
      <c r="AX54" s="241">
        <v>23</v>
      </c>
      <c r="AY54" s="164">
        <v>29400</v>
      </c>
      <c r="AZ54" s="40">
        <v>23</v>
      </c>
      <c r="BA54" s="164">
        <v>1580</v>
      </c>
      <c r="BB54" s="242">
        <v>29400</v>
      </c>
      <c r="BC54" s="241">
        <v>23</v>
      </c>
      <c r="BD54" s="164">
        <v>29400</v>
      </c>
      <c r="BE54" s="40">
        <v>23</v>
      </c>
      <c r="BF54" s="164">
        <v>1580</v>
      </c>
      <c r="BG54" s="242">
        <v>29400</v>
      </c>
      <c r="BH54" s="241">
        <v>23</v>
      </c>
      <c r="BI54" s="164">
        <v>29400</v>
      </c>
      <c r="BJ54" s="40">
        <v>23</v>
      </c>
      <c r="BK54" s="164">
        <v>1580</v>
      </c>
      <c r="BL54" s="242">
        <v>29400</v>
      </c>
      <c r="BM54" s="241">
        <v>23</v>
      </c>
      <c r="BN54" s="164">
        <v>29400</v>
      </c>
      <c r="BO54" s="40">
        <v>23</v>
      </c>
      <c r="BP54" s="164">
        <v>1580</v>
      </c>
      <c r="BQ54" s="244">
        <v>29400</v>
      </c>
      <c r="BR54" s="241">
        <v>23</v>
      </c>
      <c r="BS54" s="164">
        <v>29400</v>
      </c>
      <c r="BT54" s="40">
        <v>23</v>
      </c>
      <c r="BU54" s="164">
        <v>1580</v>
      </c>
      <c r="BV54" s="244">
        <v>29400</v>
      </c>
      <c r="BW54" s="241">
        <v>23</v>
      </c>
      <c r="BX54" s="164">
        <v>29400</v>
      </c>
      <c r="BY54" s="40">
        <v>23</v>
      </c>
      <c r="BZ54" s="164">
        <v>1580</v>
      </c>
      <c r="CA54" s="244">
        <v>29400</v>
      </c>
    </row>
    <row r="55" spans="1:79" x14ac:dyDescent="0.25">
      <c r="A55" s="20" t="s">
        <v>541</v>
      </c>
      <c r="B55" s="243">
        <v>2.1</v>
      </c>
      <c r="C55" s="162">
        <v>300</v>
      </c>
      <c r="D55" t="s">
        <v>30</v>
      </c>
      <c r="E55" s="164">
        <v>10500</v>
      </c>
      <c r="F55" s="167">
        <v>35.522011177979486</v>
      </c>
      <c r="G55" s="40">
        <v>295.59137142857139</v>
      </c>
      <c r="H55" s="164">
        <v>10345.697999999999</v>
      </c>
      <c r="I55" s="40">
        <v>35</v>
      </c>
      <c r="J55" s="241">
        <v>0</v>
      </c>
      <c r="K55" s="164">
        <v>0</v>
      </c>
      <c r="L55" s="167">
        <v>0</v>
      </c>
      <c r="M55" s="164">
        <v>0</v>
      </c>
      <c r="N55" s="164">
        <v>0</v>
      </c>
      <c r="O55" s="241">
        <v>0</v>
      </c>
      <c r="P55" s="164">
        <v>0</v>
      </c>
      <c r="Q55" s="167">
        <v>0</v>
      </c>
      <c r="R55" s="164">
        <v>0</v>
      </c>
      <c r="S55" s="164">
        <v>0</v>
      </c>
      <c r="T55" s="241">
        <v>0</v>
      </c>
      <c r="U55" s="164">
        <v>0</v>
      </c>
      <c r="V55" s="40">
        <v>0</v>
      </c>
      <c r="W55" s="164">
        <v>0</v>
      </c>
      <c r="X55" s="242">
        <v>0</v>
      </c>
      <c r="Y55" s="241">
        <v>300</v>
      </c>
      <c r="Z55" s="164">
        <v>10500</v>
      </c>
      <c r="AA55" s="40">
        <v>0</v>
      </c>
      <c r="AB55" s="164">
        <v>0</v>
      </c>
      <c r="AC55" s="164">
        <v>0</v>
      </c>
      <c r="AD55" s="241">
        <v>300</v>
      </c>
      <c r="AE55" s="164">
        <v>10500</v>
      </c>
      <c r="AF55" s="40">
        <v>0</v>
      </c>
      <c r="AG55" s="164">
        <v>0</v>
      </c>
      <c r="AH55" s="242">
        <v>0</v>
      </c>
      <c r="AI55" s="241">
        <v>300</v>
      </c>
      <c r="AJ55" s="164">
        <v>10500</v>
      </c>
      <c r="AK55" s="40">
        <v>295.59137142857139</v>
      </c>
      <c r="AL55" s="164">
        <v>10345.697999999999</v>
      </c>
      <c r="AM55" s="242">
        <v>10500</v>
      </c>
      <c r="AN55" s="241">
        <v>300</v>
      </c>
      <c r="AO55" s="164">
        <v>10500</v>
      </c>
      <c r="AP55" s="40">
        <v>295.59137142857139</v>
      </c>
      <c r="AQ55" s="164">
        <v>10345.697999999999</v>
      </c>
      <c r="AR55" s="242">
        <v>10500</v>
      </c>
      <c r="AS55" s="241">
        <v>300</v>
      </c>
      <c r="AT55" s="164">
        <v>10500</v>
      </c>
      <c r="AU55" s="40">
        <v>295.59137142857139</v>
      </c>
      <c r="AV55" s="164">
        <v>10345.697999999999</v>
      </c>
      <c r="AW55" s="242">
        <v>10500</v>
      </c>
      <c r="AX55" s="241">
        <v>300</v>
      </c>
      <c r="AY55" s="164">
        <v>10500</v>
      </c>
      <c r="AZ55" s="40">
        <v>295.59137142857139</v>
      </c>
      <c r="BA55" s="164">
        <v>10345.697999999999</v>
      </c>
      <c r="BB55" s="242">
        <v>10500</v>
      </c>
      <c r="BC55" s="241">
        <v>300</v>
      </c>
      <c r="BD55" s="164">
        <v>10500</v>
      </c>
      <c r="BE55" s="40">
        <v>295.59137142857139</v>
      </c>
      <c r="BF55" s="164">
        <v>10345.697999999999</v>
      </c>
      <c r="BG55" s="242">
        <v>10500</v>
      </c>
      <c r="BH55" s="241">
        <v>300</v>
      </c>
      <c r="BI55" s="164">
        <v>10500</v>
      </c>
      <c r="BJ55" s="40">
        <v>295.59137142857139</v>
      </c>
      <c r="BK55" s="164">
        <v>10345.697999999999</v>
      </c>
      <c r="BL55" s="242">
        <v>10500</v>
      </c>
      <c r="BM55" s="241">
        <v>300</v>
      </c>
      <c r="BN55" s="164">
        <v>10500</v>
      </c>
      <c r="BO55" s="40">
        <v>295.59137142857139</v>
      </c>
      <c r="BP55" s="164">
        <v>10345.697999999999</v>
      </c>
      <c r="BQ55" s="244">
        <v>10500</v>
      </c>
      <c r="BR55" s="241">
        <v>300</v>
      </c>
      <c r="BS55" s="164">
        <v>10500</v>
      </c>
      <c r="BT55" s="40">
        <v>295.59137142857139</v>
      </c>
      <c r="BU55" s="164">
        <v>10345.697999999999</v>
      </c>
      <c r="BV55" s="244">
        <v>10500</v>
      </c>
      <c r="BW55" s="241">
        <v>300</v>
      </c>
      <c r="BX55" s="164">
        <v>10500</v>
      </c>
      <c r="BY55" s="40">
        <v>295.59137142857139</v>
      </c>
      <c r="BZ55" s="164">
        <v>10345.697999999999</v>
      </c>
      <c r="CA55" s="244">
        <v>10500</v>
      </c>
    </row>
    <row r="56" spans="1:79" x14ac:dyDescent="0.25">
      <c r="A56" s="20" t="s">
        <v>542</v>
      </c>
      <c r="B56" s="243">
        <v>2.2999999999999998</v>
      </c>
      <c r="C56" s="162">
        <v>542.4</v>
      </c>
      <c r="D56" t="s">
        <v>30</v>
      </c>
      <c r="E56" s="164">
        <v>18984</v>
      </c>
      <c r="F56" s="167">
        <v>42.406133891157843</v>
      </c>
      <c r="G56" s="40">
        <v>447.67108571428577</v>
      </c>
      <c r="H56" s="164">
        <v>15668.488000000001</v>
      </c>
      <c r="I56" s="40">
        <v>35</v>
      </c>
      <c r="J56" s="241">
        <v>0</v>
      </c>
      <c r="K56" s="164">
        <v>0</v>
      </c>
      <c r="L56" s="167">
        <v>0</v>
      </c>
      <c r="M56" s="164">
        <v>0</v>
      </c>
      <c r="N56" s="164">
        <v>0</v>
      </c>
      <c r="O56" s="241">
        <v>0</v>
      </c>
      <c r="P56" s="164">
        <v>0</v>
      </c>
      <c r="Q56" s="167">
        <v>0</v>
      </c>
      <c r="R56" s="164">
        <v>0</v>
      </c>
      <c r="S56" s="164">
        <v>0</v>
      </c>
      <c r="T56" s="241">
        <v>0</v>
      </c>
      <c r="U56" s="164">
        <v>0</v>
      </c>
      <c r="V56" s="40">
        <v>0</v>
      </c>
      <c r="W56" s="164">
        <v>0</v>
      </c>
      <c r="X56" s="242">
        <v>0</v>
      </c>
      <c r="Y56" s="241">
        <v>542.4</v>
      </c>
      <c r="Z56" s="164">
        <v>18984</v>
      </c>
      <c r="AA56" s="40">
        <v>0</v>
      </c>
      <c r="AB56" s="164">
        <v>0</v>
      </c>
      <c r="AC56" s="164">
        <v>0</v>
      </c>
      <c r="AD56" s="241">
        <v>542.4</v>
      </c>
      <c r="AE56" s="164">
        <v>18984</v>
      </c>
      <c r="AF56" s="40">
        <v>0</v>
      </c>
      <c r="AG56" s="164">
        <v>0</v>
      </c>
      <c r="AH56" s="242">
        <v>0</v>
      </c>
      <c r="AI56" s="241">
        <v>542.4</v>
      </c>
      <c r="AJ56" s="164">
        <v>18984</v>
      </c>
      <c r="AK56" s="40">
        <v>447.67108571428577</v>
      </c>
      <c r="AL56" s="164">
        <v>15668.488000000001</v>
      </c>
      <c r="AM56" s="242">
        <v>18984</v>
      </c>
      <c r="AN56" s="241">
        <v>542.4</v>
      </c>
      <c r="AO56" s="164">
        <v>18984</v>
      </c>
      <c r="AP56" s="40">
        <v>447.67108571428577</v>
      </c>
      <c r="AQ56" s="164">
        <v>15668.488000000001</v>
      </c>
      <c r="AR56" s="242">
        <v>18984</v>
      </c>
      <c r="AS56" s="241">
        <v>542.4</v>
      </c>
      <c r="AT56" s="164">
        <v>18984</v>
      </c>
      <c r="AU56" s="40">
        <v>447.67108571428577</v>
      </c>
      <c r="AV56" s="164">
        <v>15668.488000000001</v>
      </c>
      <c r="AW56" s="242">
        <v>18984</v>
      </c>
      <c r="AX56" s="241">
        <v>542.4</v>
      </c>
      <c r="AY56" s="164">
        <v>18984</v>
      </c>
      <c r="AZ56" s="40">
        <v>447.67108571428577</v>
      </c>
      <c r="BA56" s="164">
        <v>15668.488000000001</v>
      </c>
      <c r="BB56" s="242">
        <v>18984</v>
      </c>
      <c r="BC56" s="241">
        <v>542.4</v>
      </c>
      <c r="BD56" s="164">
        <v>18984</v>
      </c>
      <c r="BE56" s="40">
        <v>447.67108571428577</v>
      </c>
      <c r="BF56" s="164">
        <v>15668.488000000001</v>
      </c>
      <c r="BG56" s="242">
        <v>18984</v>
      </c>
      <c r="BH56" s="241">
        <v>542.4</v>
      </c>
      <c r="BI56" s="164">
        <v>18984</v>
      </c>
      <c r="BJ56" s="40">
        <v>447.67108571428577</v>
      </c>
      <c r="BK56" s="164">
        <v>15668.488000000001</v>
      </c>
      <c r="BL56" s="242">
        <v>18984</v>
      </c>
      <c r="BM56" s="241">
        <v>542.4</v>
      </c>
      <c r="BN56" s="164">
        <v>18984</v>
      </c>
      <c r="BO56" s="40">
        <v>447.67108571428577</v>
      </c>
      <c r="BP56" s="164">
        <v>15668.488000000001</v>
      </c>
      <c r="BQ56" s="244">
        <v>18984</v>
      </c>
      <c r="BR56" s="241">
        <v>542.4</v>
      </c>
      <c r="BS56" s="164">
        <v>18984</v>
      </c>
      <c r="BT56" s="40">
        <v>447.67108571428577</v>
      </c>
      <c r="BU56" s="164">
        <v>15668.488000000001</v>
      </c>
      <c r="BV56" s="244">
        <v>18984</v>
      </c>
      <c r="BW56" s="241">
        <v>542.4</v>
      </c>
      <c r="BX56" s="164">
        <v>18984</v>
      </c>
      <c r="BY56" s="40">
        <v>447.67108571428577</v>
      </c>
      <c r="BZ56" s="164">
        <v>15668.488000000001</v>
      </c>
      <c r="CA56" s="244">
        <v>18984</v>
      </c>
    </row>
    <row r="57" spans="1:79" x14ac:dyDescent="0.25">
      <c r="A57" s="20" t="s">
        <v>526</v>
      </c>
      <c r="B57" s="243">
        <v>2.5</v>
      </c>
      <c r="C57" s="162">
        <v>0</v>
      </c>
      <c r="D57" t="s">
        <v>30</v>
      </c>
      <c r="E57" s="164">
        <v>28444.979999999996</v>
      </c>
      <c r="F57" s="167">
        <v>31.213628881817183</v>
      </c>
      <c r="G57" s="40">
        <v>911.3</v>
      </c>
      <c r="H57" s="164">
        <v>14580.8</v>
      </c>
      <c r="I57" s="40">
        <v>16</v>
      </c>
      <c r="J57" s="241">
        <v>0</v>
      </c>
      <c r="K57" s="164">
        <v>0</v>
      </c>
      <c r="L57" s="167">
        <v>0</v>
      </c>
      <c r="M57" s="164">
        <v>0</v>
      </c>
      <c r="N57" s="164">
        <v>0</v>
      </c>
      <c r="O57" s="241">
        <v>0</v>
      </c>
      <c r="P57" s="164">
        <v>0</v>
      </c>
      <c r="Q57" s="167">
        <v>0</v>
      </c>
      <c r="R57" s="164">
        <v>0</v>
      </c>
      <c r="S57" s="164">
        <v>0</v>
      </c>
      <c r="T57" s="241">
        <v>0</v>
      </c>
      <c r="U57" s="164">
        <v>0</v>
      </c>
      <c r="V57" s="167">
        <v>0</v>
      </c>
      <c r="W57" s="164">
        <v>0</v>
      </c>
      <c r="X57" s="164">
        <v>0</v>
      </c>
      <c r="Y57" s="241">
        <v>0</v>
      </c>
      <c r="Z57" s="164">
        <v>0</v>
      </c>
      <c r="AA57" s="167">
        <v>0</v>
      </c>
      <c r="AB57" s="164">
        <v>0</v>
      </c>
      <c r="AC57" s="164">
        <v>0</v>
      </c>
      <c r="AD57" s="241">
        <v>0</v>
      </c>
      <c r="AE57" s="164">
        <v>0</v>
      </c>
      <c r="AF57" s="167">
        <v>0</v>
      </c>
      <c r="AG57" s="164">
        <v>0</v>
      </c>
      <c r="AH57" s="164">
        <v>0</v>
      </c>
      <c r="AI57" s="241">
        <v>911.3</v>
      </c>
      <c r="AJ57" s="164">
        <v>28444.979999999996</v>
      </c>
      <c r="AK57" s="40">
        <v>911.3</v>
      </c>
      <c r="AL57" s="164">
        <v>14580.8</v>
      </c>
      <c r="AM57" s="242">
        <v>28444.979999999996</v>
      </c>
      <c r="AN57" s="241">
        <v>911.3</v>
      </c>
      <c r="AO57" s="164">
        <v>28444.979999999996</v>
      </c>
      <c r="AP57" s="40">
        <v>911.3</v>
      </c>
      <c r="AQ57" s="164">
        <v>14580.8</v>
      </c>
      <c r="AR57" s="242">
        <v>28444.979999999996</v>
      </c>
      <c r="AS57" s="241">
        <v>911.3</v>
      </c>
      <c r="AT57" s="164">
        <v>28444.979999999996</v>
      </c>
      <c r="AU57" s="40">
        <v>911.3</v>
      </c>
      <c r="AV57" s="164">
        <v>14580.8</v>
      </c>
      <c r="AW57" s="242">
        <v>28444.979999999996</v>
      </c>
      <c r="AX57" s="241">
        <v>911.3</v>
      </c>
      <c r="AY57" s="164">
        <v>28444.979999999996</v>
      </c>
      <c r="AZ57" s="40">
        <v>911.3</v>
      </c>
      <c r="BA57" s="164">
        <v>14580.8</v>
      </c>
      <c r="BB57" s="242">
        <v>28444.979999999996</v>
      </c>
      <c r="BC57" s="241">
        <v>911.3</v>
      </c>
      <c r="BD57" s="164">
        <v>28444.979999999996</v>
      </c>
      <c r="BE57" s="40">
        <v>911.3</v>
      </c>
      <c r="BF57" s="164">
        <v>14580.8</v>
      </c>
      <c r="BG57" s="242">
        <v>28444.979999999996</v>
      </c>
      <c r="BH57" s="241">
        <v>911.3</v>
      </c>
      <c r="BI57" s="164">
        <v>28444.979999999996</v>
      </c>
      <c r="BJ57" s="40">
        <v>911.3</v>
      </c>
      <c r="BK57" s="164">
        <v>14580.8</v>
      </c>
      <c r="BL57" s="242">
        <v>28444.979999999996</v>
      </c>
      <c r="BM57" s="241">
        <v>911.3</v>
      </c>
      <c r="BN57" s="164">
        <v>28444.979999999996</v>
      </c>
      <c r="BO57" s="40">
        <v>911.3</v>
      </c>
      <c r="BP57" s="164">
        <v>14580.8</v>
      </c>
      <c r="BQ57" s="242">
        <v>28444.979999999996</v>
      </c>
      <c r="BR57" s="241">
        <v>911.3</v>
      </c>
      <c r="BS57" s="164">
        <v>28444.979999999996</v>
      </c>
      <c r="BT57" s="40">
        <v>911.3</v>
      </c>
      <c r="BU57" s="164">
        <v>14580.8</v>
      </c>
      <c r="BV57" s="242">
        <v>28444.979999999996</v>
      </c>
      <c r="BW57" s="241">
        <v>911.3</v>
      </c>
      <c r="BX57" s="164">
        <v>28444.979999999996</v>
      </c>
      <c r="BY57" s="40">
        <v>911.3</v>
      </c>
      <c r="BZ57" s="164">
        <v>14580.8</v>
      </c>
      <c r="CA57" s="242">
        <v>28444.979999999996</v>
      </c>
    </row>
    <row r="58" spans="1:79" ht="30" x14ac:dyDescent="0.25">
      <c r="A58" s="20" t="s">
        <v>539</v>
      </c>
      <c r="B58" s="161" t="s">
        <v>1466</v>
      </c>
      <c r="C58" s="162">
        <v>800</v>
      </c>
      <c r="D58" t="s">
        <v>30</v>
      </c>
      <c r="E58" s="164">
        <v>42835.868929198361</v>
      </c>
      <c r="F58" s="167">
        <v>40.582056105911114</v>
      </c>
      <c r="G58" s="40">
        <v>1055.537176761208</v>
      </c>
      <c r="H58" s="164">
        <v>46148.085368000015</v>
      </c>
      <c r="I58">
        <v>43.72</v>
      </c>
      <c r="J58" s="241">
        <v>0</v>
      </c>
      <c r="K58" s="164">
        <v>0</v>
      </c>
      <c r="L58" s="167">
        <v>0</v>
      </c>
      <c r="M58" s="164">
        <v>0</v>
      </c>
      <c r="N58" s="164">
        <v>0</v>
      </c>
      <c r="O58" s="241">
        <v>177</v>
      </c>
      <c r="P58" s="164">
        <v>9477.4360005851377</v>
      </c>
      <c r="Q58" s="167">
        <v>48</v>
      </c>
      <c r="R58" s="164">
        <v>2131.1799999999998</v>
      </c>
      <c r="S58" s="164">
        <v>1947.9386930837336</v>
      </c>
      <c r="T58" s="241">
        <v>390</v>
      </c>
      <c r="U58" s="164">
        <v>20882.4861029842</v>
      </c>
      <c r="V58" s="40">
        <v>695</v>
      </c>
      <c r="W58" s="164">
        <v>30507.62</v>
      </c>
      <c r="X58" s="242">
        <v>28204.528993608226</v>
      </c>
      <c r="Y58" s="241">
        <v>600</v>
      </c>
      <c r="Z58" s="164">
        <v>32126.901696898771</v>
      </c>
      <c r="AA58" s="40">
        <v>995</v>
      </c>
      <c r="AB58" s="164">
        <v>43587.584768000008</v>
      </c>
      <c r="AC58" s="164">
        <v>40379.145825381558</v>
      </c>
      <c r="AD58" s="241">
        <v>800</v>
      </c>
      <c r="AE58" s="164">
        <v>42835.868929198361</v>
      </c>
      <c r="AF58" s="40">
        <v>1010</v>
      </c>
      <c r="AG58" s="164">
        <v>44268.494768000011</v>
      </c>
      <c r="AH58" s="242">
        <v>40987.876666970224</v>
      </c>
      <c r="AI58" s="241">
        <v>800</v>
      </c>
      <c r="AJ58" s="164">
        <v>42835.868929198361</v>
      </c>
      <c r="AK58" s="40">
        <v>1010</v>
      </c>
      <c r="AL58" s="164">
        <v>44268.494768000011</v>
      </c>
      <c r="AM58" s="242">
        <v>40987.876666970224</v>
      </c>
      <c r="AN58" s="241">
        <v>800</v>
      </c>
      <c r="AO58" s="164">
        <v>42835.868929198361</v>
      </c>
      <c r="AP58" s="40">
        <v>1010</v>
      </c>
      <c r="AQ58" s="164">
        <v>44268.494768000011</v>
      </c>
      <c r="AR58" s="242">
        <v>40987.876666970224</v>
      </c>
      <c r="AS58" s="241">
        <v>800</v>
      </c>
      <c r="AT58" s="164">
        <v>42835.868929198361</v>
      </c>
      <c r="AU58" s="40">
        <v>1055.537176761208</v>
      </c>
      <c r="AV58" s="164">
        <v>46189.184768000014</v>
      </c>
      <c r="AW58" s="242">
        <v>42835.868929198361</v>
      </c>
      <c r="AX58" s="241">
        <v>800</v>
      </c>
      <c r="AY58" s="164">
        <v>42835.868929198361</v>
      </c>
      <c r="AZ58" s="40">
        <v>1055.537176761208</v>
      </c>
      <c r="BA58" s="164">
        <v>46148.085368000015</v>
      </c>
      <c r="BB58" s="242">
        <v>42835.868929198361</v>
      </c>
      <c r="BC58" s="241">
        <v>800</v>
      </c>
      <c r="BD58" s="164">
        <v>42835.868929198361</v>
      </c>
      <c r="BE58" s="40">
        <v>1055.537176761208</v>
      </c>
      <c r="BF58" s="164">
        <v>46148.085368000015</v>
      </c>
      <c r="BG58" s="242">
        <v>42835.868929198361</v>
      </c>
      <c r="BH58" s="241">
        <v>800</v>
      </c>
      <c r="BI58" s="164">
        <v>42835.868929198361</v>
      </c>
      <c r="BJ58" s="40">
        <v>1055.537176761208</v>
      </c>
      <c r="BK58" s="164">
        <v>46148.085368000015</v>
      </c>
      <c r="BL58" s="242">
        <v>42835.868929198361</v>
      </c>
      <c r="BM58" s="241">
        <v>800</v>
      </c>
      <c r="BN58" s="164">
        <v>42835.868929198361</v>
      </c>
      <c r="BO58" s="40">
        <v>1055.537176761208</v>
      </c>
      <c r="BP58" s="164">
        <v>46148.085368000015</v>
      </c>
      <c r="BQ58" s="244">
        <v>42835.868929198361</v>
      </c>
      <c r="BR58" s="241">
        <v>800</v>
      </c>
      <c r="BS58" s="164">
        <v>42835.868929198361</v>
      </c>
      <c r="BT58" s="40">
        <v>1055.537176761208</v>
      </c>
      <c r="BU58" s="164">
        <v>46148.085368000015</v>
      </c>
      <c r="BV58" s="244">
        <v>42835.868929198361</v>
      </c>
      <c r="BW58" s="241">
        <v>800</v>
      </c>
      <c r="BX58" s="164">
        <v>42835.868929198361</v>
      </c>
      <c r="BY58" s="40">
        <v>1055.537176761208</v>
      </c>
      <c r="BZ58" s="164">
        <v>46148.085368000015</v>
      </c>
      <c r="CA58" s="244">
        <v>42835.868929198361</v>
      </c>
    </row>
    <row r="59" spans="1:79" ht="14.45" customHeight="1" x14ac:dyDescent="0.25">
      <c r="A59" s="20" t="s">
        <v>530</v>
      </c>
      <c r="B59" s="161" t="s">
        <v>29</v>
      </c>
      <c r="C59" s="162">
        <v>687.16099999999994</v>
      </c>
      <c r="D59" t="s">
        <v>30</v>
      </c>
      <c r="E59" s="164">
        <v>6947.8916950830499</v>
      </c>
      <c r="F59" s="167">
        <v>10.874137767929323</v>
      </c>
      <c r="G59" s="40">
        <v>638.93725124342268</v>
      </c>
      <c r="H59" s="164">
        <v>22283.178507000001</v>
      </c>
      <c r="I59" s="40">
        <v>34.875378550296077</v>
      </c>
      <c r="J59" s="241">
        <v>0</v>
      </c>
      <c r="K59" s="164">
        <v>0</v>
      </c>
      <c r="L59" s="167">
        <v>0</v>
      </c>
      <c r="M59" s="164">
        <v>0</v>
      </c>
      <c r="N59" s="164">
        <v>0</v>
      </c>
      <c r="O59" s="241">
        <v>200</v>
      </c>
      <c r="P59" s="164">
        <v>2022.2019861671574</v>
      </c>
      <c r="Q59" s="167">
        <v>125</v>
      </c>
      <c r="R59" s="164">
        <v>4314.1400000000003</v>
      </c>
      <c r="S59" s="164">
        <v>1359.2672209911655</v>
      </c>
      <c r="T59" s="241">
        <v>400</v>
      </c>
      <c r="U59" s="164">
        <v>4044.4039723343149</v>
      </c>
      <c r="V59" s="40">
        <v>180</v>
      </c>
      <c r="W59" s="164">
        <v>6263.59</v>
      </c>
      <c r="X59" s="242">
        <v>1957.344798227278</v>
      </c>
      <c r="Y59" s="241">
        <v>500</v>
      </c>
      <c r="Z59" s="164">
        <v>5055.5049654178929</v>
      </c>
      <c r="AA59" s="40">
        <v>200</v>
      </c>
      <c r="AB59" s="164">
        <v>7079.65</v>
      </c>
      <c r="AC59" s="164">
        <v>2174.8275535858647</v>
      </c>
      <c r="AD59" s="241">
        <v>600</v>
      </c>
      <c r="AE59" s="164">
        <v>6066.6059585014718</v>
      </c>
      <c r="AF59" s="40">
        <v>200</v>
      </c>
      <c r="AG59" s="164">
        <v>7079.65</v>
      </c>
      <c r="AH59" s="242">
        <v>2174.8275535858647</v>
      </c>
      <c r="AI59" s="241">
        <v>687.16099999999994</v>
      </c>
      <c r="AJ59" s="164">
        <v>6947.8916950830499</v>
      </c>
      <c r="AK59" s="40">
        <v>560</v>
      </c>
      <c r="AL59" s="164">
        <v>19592.986680000002</v>
      </c>
      <c r="AM59" s="242">
        <v>6089.5171500404213</v>
      </c>
      <c r="AN59" s="241">
        <v>687.16099999999994</v>
      </c>
      <c r="AO59" s="164">
        <v>6947.8916950830499</v>
      </c>
      <c r="AP59" s="40">
        <v>585</v>
      </c>
      <c r="AQ59" s="164">
        <v>20475.344827000001</v>
      </c>
      <c r="AR59" s="242">
        <v>6361.3705942386541</v>
      </c>
      <c r="AS59" s="241">
        <v>687.16099999999994</v>
      </c>
      <c r="AT59" s="164">
        <v>6947.8916950830499</v>
      </c>
      <c r="AU59" s="40">
        <v>610</v>
      </c>
      <c r="AV59" s="164">
        <v>21398.713427000002</v>
      </c>
      <c r="AW59" s="242">
        <v>6633.2240384368879</v>
      </c>
      <c r="AX59" s="241">
        <v>687.16099999999994</v>
      </c>
      <c r="AY59" s="164">
        <v>6947.8916950830499</v>
      </c>
      <c r="AZ59" s="40">
        <v>610</v>
      </c>
      <c r="BA59" s="164">
        <v>21398.713427000002</v>
      </c>
      <c r="BB59" s="242">
        <v>6633.2240384368879</v>
      </c>
      <c r="BC59" s="241">
        <v>687.16099999999994</v>
      </c>
      <c r="BD59" s="164">
        <v>6947.8916950830499</v>
      </c>
      <c r="BE59" s="40">
        <v>610</v>
      </c>
      <c r="BF59" s="164">
        <v>21398.713427000002</v>
      </c>
      <c r="BG59" s="242">
        <v>6633.2240384368879</v>
      </c>
      <c r="BH59" s="241">
        <v>687.16099999999994</v>
      </c>
      <c r="BI59" s="164">
        <v>6947.8916950830499</v>
      </c>
      <c r="BJ59" s="40">
        <v>610</v>
      </c>
      <c r="BK59" s="164">
        <v>21990.594367000002</v>
      </c>
      <c r="BL59" s="242">
        <v>6633.2240384368879</v>
      </c>
      <c r="BM59" s="241">
        <v>687.16099999999994</v>
      </c>
      <c r="BN59" s="164">
        <v>6947.8916950830499</v>
      </c>
      <c r="BO59" s="40">
        <v>638.93725124342268</v>
      </c>
      <c r="BP59" s="164">
        <v>22283.178507000001</v>
      </c>
      <c r="BQ59" s="244">
        <v>6947.8916950830499</v>
      </c>
      <c r="BR59" s="241">
        <v>687.16099999999994</v>
      </c>
      <c r="BS59" s="164">
        <v>6947.8916950830499</v>
      </c>
      <c r="BT59" s="40">
        <v>638.93725124342268</v>
      </c>
      <c r="BU59" s="164">
        <v>22283.178507000001</v>
      </c>
      <c r="BV59" s="244">
        <v>6947.8916950830499</v>
      </c>
      <c r="BW59" s="241">
        <v>687.16099999999994</v>
      </c>
      <c r="BX59" s="164">
        <v>6947.8916950830499</v>
      </c>
      <c r="BY59" s="40">
        <v>638.93725124342268</v>
      </c>
      <c r="BZ59" s="164">
        <v>22283.178507000001</v>
      </c>
      <c r="CA59" s="244">
        <v>6947.8916950830499</v>
      </c>
    </row>
    <row r="60" spans="1:79" x14ac:dyDescent="0.25">
      <c r="A60" s="20" t="s">
        <v>537</v>
      </c>
      <c r="B60" s="161" t="s">
        <v>1467</v>
      </c>
      <c r="C60" s="162">
        <v>6.8926044586837536</v>
      </c>
      <c r="D60" t="s">
        <v>30</v>
      </c>
      <c r="E60" s="164">
        <v>21441</v>
      </c>
      <c r="F60" s="167">
        <v>8576.4</v>
      </c>
      <c r="G60" s="40">
        <v>2.5</v>
      </c>
      <c r="H60" s="164">
        <v>7224.56</v>
      </c>
      <c r="I60" s="40">
        <v>2889.8240000000001</v>
      </c>
      <c r="J60" s="241">
        <v>2</v>
      </c>
      <c r="K60" s="164">
        <v>6221.4508691231304</v>
      </c>
      <c r="L60" s="167">
        <v>2</v>
      </c>
      <c r="M60" s="164">
        <v>5787.79</v>
      </c>
      <c r="N60" s="164">
        <v>17152.8</v>
      </c>
      <c r="O60" s="241">
        <v>2</v>
      </c>
      <c r="P60" s="164">
        <v>6221.4508691231304</v>
      </c>
      <c r="Q60" s="167">
        <v>2</v>
      </c>
      <c r="R60" s="164">
        <v>5787.79</v>
      </c>
      <c r="S60" s="164">
        <v>17152.8</v>
      </c>
      <c r="T60" s="241">
        <v>2</v>
      </c>
      <c r="U60" s="164">
        <v>6221.4508691231304</v>
      </c>
      <c r="V60" s="40">
        <v>2</v>
      </c>
      <c r="W60" s="164">
        <v>5787.79</v>
      </c>
      <c r="X60" s="242">
        <v>17152.8</v>
      </c>
      <c r="Y60" s="241">
        <v>2</v>
      </c>
      <c r="Z60" s="164">
        <v>6221.4508691231304</v>
      </c>
      <c r="AA60" s="40">
        <v>2</v>
      </c>
      <c r="AB60" s="164">
        <v>5787.79</v>
      </c>
      <c r="AC60" s="164">
        <v>17152.8</v>
      </c>
      <c r="AD60" s="241">
        <v>2.5</v>
      </c>
      <c r="AE60" s="164">
        <v>7776.8135864039123</v>
      </c>
      <c r="AF60" s="40">
        <v>2</v>
      </c>
      <c r="AG60" s="164">
        <v>5787.79</v>
      </c>
      <c r="AH60" s="242">
        <v>17152.8</v>
      </c>
      <c r="AI60" s="241">
        <v>6.8929999999999998</v>
      </c>
      <c r="AJ60" s="164">
        <v>21441</v>
      </c>
      <c r="AK60" s="40">
        <v>2</v>
      </c>
      <c r="AL60" s="164">
        <v>5787.79</v>
      </c>
      <c r="AM60" s="242">
        <v>17152.8</v>
      </c>
      <c r="AN60" s="241">
        <v>6.8929999999999998</v>
      </c>
      <c r="AO60" s="164">
        <v>21441</v>
      </c>
      <c r="AP60" s="40">
        <v>2.2999999999999998</v>
      </c>
      <c r="AQ60" s="164">
        <v>6664.02</v>
      </c>
      <c r="AR60" s="242">
        <v>19725.719999999998</v>
      </c>
      <c r="AS60" s="241">
        <v>6.8929999999999998</v>
      </c>
      <c r="AT60" s="164">
        <v>21441</v>
      </c>
      <c r="AU60" s="40">
        <v>2.5</v>
      </c>
      <c r="AV60" s="164">
        <v>7107.38</v>
      </c>
      <c r="AW60" s="242">
        <v>21441</v>
      </c>
      <c r="AX60" s="241">
        <v>6.8929999999999998</v>
      </c>
      <c r="AY60" s="164">
        <v>21441</v>
      </c>
      <c r="AZ60" s="40">
        <v>2.5</v>
      </c>
      <c r="BA60" s="164">
        <v>7224.56</v>
      </c>
      <c r="BB60" s="242">
        <v>21441</v>
      </c>
      <c r="BC60" s="241">
        <v>6.8929999999999998</v>
      </c>
      <c r="BD60" s="164">
        <v>21441</v>
      </c>
      <c r="BE60" s="40">
        <v>2.5</v>
      </c>
      <c r="BF60" s="164">
        <v>7224.56</v>
      </c>
      <c r="BG60" s="242">
        <v>21441</v>
      </c>
      <c r="BH60" s="241">
        <v>6.8929999999999998</v>
      </c>
      <c r="BI60" s="164">
        <v>21441</v>
      </c>
      <c r="BJ60" s="40">
        <v>2.5</v>
      </c>
      <c r="BK60" s="164">
        <v>7224.56</v>
      </c>
      <c r="BL60" s="242">
        <v>21441</v>
      </c>
      <c r="BM60" s="241">
        <v>6.8929999999999998</v>
      </c>
      <c r="BN60" s="164">
        <v>21441</v>
      </c>
      <c r="BO60" s="40">
        <v>2.5</v>
      </c>
      <c r="BP60" s="164">
        <v>7224.56</v>
      </c>
      <c r="BQ60" s="244">
        <v>21441</v>
      </c>
      <c r="BR60" s="241">
        <v>6.8929999999999998</v>
      </c>
      <c r="BS60" s="164">
        <v>21441</v>
      </c>
      <c r="BT60" s="40">
        <v>2.5</v>
      </c>
      <c r="BU60" s="164">
        <v>7224.56</v>
      </c>
      <c r="BV60" s="244">
        <v>21441</v>
      </c>
      <c r="BW60" s="241">
        <v>6.8929999999999998</v>
      </c>
      <c r="BX60" s="164">
        <v>21441</v>
      </c>
      <c r="BY60" s="40">
        <v>2.5</v>
      </c>
      <c r="BZ60" s="164">
        <v>7224.56</v>
      </c>
      <c r="CA60" s="244">
        <v>21441</v>
      </c>
    </row>
    <row r="61" spans="1:79" x14ac:dyDescent="0.25">
      <c r="A61" s="20" t="s">
        <v>531</v>
      </c>
      <c r="B61" s="161" t="s">
        <v>1468</v>
      </c>
      <c r="C61" s="162">
        <v>10</v>
      </c>
      <c r="D61" t="s">
        <v>52</v>
      </c>
      <c r="E61" s="164">
        <v>2500</v>
      </c>
      <c r="F61" s="167">
        <v>250</v>
      </c>
      <c r="G61" s="40">
        <v>10</v>
      </c>
      <c r="H61" s="164">
        <v>5034</v>
      </c>
      <c r="I61" s="40">
        <v>503.4</v>
      </c>
      <c r="J61" s="241">
        <v>0</v>
      </c>
      <c r="K61" s="164">
        <v>0</v>
      </c>
      <c r="L61" s="167">
        <v>0</v>
      </c>
      <c r="M61" s="164">
        <v>0</v>
      </c>
      <c r="N61" s="164">
        <v>0</v>
      </c>
      <c r="O61" s="241">
        <v>0</v>
      </c>
      <c r="P61" s="164">
        <v>0</v>
      </c>
      <c r="Q61" s="167">
        <v>10</v>
      </c>
      <c r="R61" s="164">
        <v>5034</v>
      </c>
      <c r="S61" s="164">
        <v>2500</v>
      </c>
      <c r="T61" s="241">
        <v>0</v>
      </c>
      <c r="U61" s="164">
        <v>0</v>
      </c>
      <c r="V61" s="40">
        <v>10</v>
      </c>
      <c r="W61" s="164">
        <v>5034</v>
      </c>
      <c r="X61" s="242">
        <v>2500</v>
      </c>
      <c r="Y61" s="241">
        <v>10</v>
      </c>
      <c r="Z61" s="164">
        <v>2500</v>
      </c>
      <c r="AA61" s="40">
        <v>10</v>
      </c>
      <c r="AB61" s="164">
        <v>5034</v>
      </c>
      <c r="AC61" s="164">
        <v>2500</v>
      </c>
      <c r="AD61" s="241">
        <v>10</v>
      </c>
      <c r="AE61" s="164">
        <v>2500</v>
      </c>
      <c r="AF61" s="40">
        <v>10</v>
      </c>
      <c r="AG61" s="164">
        <v>5034</v>
      </c>
      <c r="AH61" s="242">
        <v>2500</v>
      </c>
      <c r="AI61" s="241">
        <v>10</v>
      </c>
      <c r="AJ61" s="164">
        <v>2500</v>
      </c>
      <c r="AK61" s="40">
        <v>10</v>
      </c>
      <c r="AL61" s="164">
        <v>5034</v>
      </c>
      <c r="AM61" s="242">
        <v>2500</v>
      </c>
      <c r="AN61" s="241">
        <v>10</v>
      </c>
      <c r="AO61" s="164">
        <v>2500</v>
      </c>
      <c r="AP61" s="40">
        <v>10</v>
      </c>
      <c r="AQ61" s="164">
        <v>5034</v>
      </c>
      <c r="AR61" s="242">
        <v>2500</v>
      </c>
      <c r="AS61" s="241">
        <v>10</v>
      </c>
      <c r="AT61" s="164">
        <v>2500</v>
      </c>
      <c r="AU61" s="40">
        <v>10</v>
      </c>
      <c r="AV61" s="164">
        <v>5034</v>
      </c>
      <c r="AW61" s="242">
        <v>2500</v>
      </c>
      <c r="AX61" s="241">
        <v>10</v>
      </c>
      <c r="AY61" s="164">
        <v>2500</v>
      </c>
      <c r="AZ61" s="40">
        <v>10</v>
      </c>
      <c r="BA61" s="164">
        <v>5034</v>
      </c>
      <c r="BB61" s="242">
        <v>2500</v>
      </c>
      <c r="BC61" s="241">
        <v>10</v>
      </c>
      <c r="BD61" s="164">
        <v>2500</v>
      </c>
      <c r="BE61" s="40">
        <v>10</v>
      </c>
      <c r="BF61" s="164">
        <v>5034</v>
      </c>
      <c r="BG61" s="242">
        <v>2500</v>
      </c>
      <c r="BH61" s="241">
        <v>10</v>
      </c>
      <c r="BI61" s="164">
        <v>2500</v>
      </c>
      <c r="BJ61" s="40">
        <v>10</v>
      </c>
      <c r="BK61" s="164">
        <v>5034</v>
      </c>
      <c r="BL61" s="242">
        <v>2500</v>
      </c>
      <c r="BM61" s="241">
        <v>10</v>
      </c>
      <c r="BN61" s="164">
        <v>2500</v>
      </c>
      <c r="BO61" s="40">
        <v>10</v>
      </c>
      <c r="BP61" s="164">
        <v>5034</v>
      </c>
      <c r="BQ61" s="244">
        <v>2500</v>
      </c>
      <c r="BR61" s="241">
        <v>10</v>
      </c>
      <c r="BS61" s="164">
        <v>2500</v>
      </c>
      <c r="BT61" s="40">
        <v>10</v>
      </c>
      <c r="BU61" s="164">
        <v>5034</v>
      </c>
      <c r="BV61" s="244">
        <v>2500</v>
      </c>
      <c r="BW61" s="241">
        <v>10</v>
      </c>
      <c r="BX61" s="164">
        <v>2500</v>
      </c>
      <c r="BY61" s="40">
        <v>10</v>
      </c>
      <c r="BZ61" s="164">
        <v>5034</v>
      </c>
      <c r="CA61" s="244">
        <v>2500</v>
      </c>
    </row>
    <row r="62" spans="1:79" x14ac:dyDescent="0.25">
      <c r="A62" s="20" t="s">
        <v>529</v>
      </c>
      <c r="B62" s="161" t="s">
        <v>1469</v>
      </c>
      <c r="C62" s="162">
        <v>507.6</v>
      </c>
      <c r="D62" t="s">
        <v>26</v>
      </c>
      <c r="E62" s="164">
        <v>42802.165999999997</v>
      </c>
      <c r="F62" s="167">
        <v>84.32262805358549</v>
      </c>
      <c r="G62" s="40">
        <v>507.6</v>
      </c>
      <c r="H62" s="164">
        <v>11450.18</v>
      </c>
      <c r="I62" s="40">
        <v>22.55748620961387</v>
      </c>
      <c r="J62" s="241">
        <v>0</v>
      </c>
      <c r="K62" s="164">
        <v>0</v>
      </c>
      <c r="L62" s="167">
        <v>0</v>
      </c>
      <c r="M62" s="164">
        <v>0</v>
      </c>
      <c r="N62" s="164">
        <v>0</v>
      </c>
      <c r="O62" s="241">
        <v>400</v>
      </c>
      <c r="P62" s="164">
        <v>33729.051221434194</v>
      </c>
      <c r="Q62" s="167">
        <v>400</v>
      </c>
      <c r="R62" s="164">
        <v>8953.67</v>
      </c>
      <c r="S62" s="164">
        <v>33729.051221434194</v>
      </c>
      <c r="T62" s="241">
        <v>400</v>
      </c>
      <c r="U62" s="164">
        <v>33729.051221434194</v>
      </c>
      <c r="V62" s="40">
        <v>400</v>
      </c>
      <c r="W62" s="164">
        <v>8953.67</v>
      </c>
      <c r="X62" s="242">
        <v>33729.051221434194</v>
      </c>
      <c r="Y62" s="241">
        <v>507.6</v>
      </c>
      <c r="Z62" s="164">
        <v>42802.165999999997</v>
      </c>
      <c r="AA62" s="40">
        <v>400</v>
      </c>
      <c r="AB62" s="164">
        <v>8953.67</v>
      </c>
      <c r="AC62" s="164">
        <v>33729.051221434194</v>
      </c>
      <c r="AD62" s="241">
        <v>507.6</v>
      </c>
      <c r="AE62" s="164">
        <v>42802.165999999997</v>
      </c>
      <c r="AF62" s="40">
        <v>400</v>
      </c>
      <c r="AG62" s="164">
        <v>8953.67</v>
      </c>
      <c r="AH62" s="242">
        <v>33729.051221434194</v>
      </c>
      <c r="AI62" s="241">
        <v>507.6</v>
      </c>
      <c r="AJ62" s="164">
        <v>42802.165999999997</v>
      </c>
      <c r="AK62" s="40">
        <v>400</v>
      </c>
      <c r="AL62" s="164">
        <v>8953.67</v>
      </c>
      <c r="AM62" s="242">
        <v>33729.051221434194</v>
      </c>
      <c r="AN62" s="241">
        <v>507.6</v>
      </c>
      <c r="AO62" s="164">
        <v>42802.165999999997</v>
      </c>
      <c r="AP62" s="40">
        <v>507.6</v>
      </c>
      <c r="AQ62" s="164">
        <v>11450.18</v>
      </c>
      <c r="AR62" s="242">
        <v>42802.165999999997</v>
      </c>
      <c r="AS62" s="241">
        <v>507.6</v>
      </c>
      <c r="AT62" s="164">
        <v>42802.165999999997</v>
      </c>
      <c r="AU62" s="40">
        <v>507.6</v>
      </c>
      <c r="AV62" s="164">
        <v>11450.18</v>
      </c>
      <c r="AW62" s="242">
        <v>42802.165999999997</v>
      </c>
      <c r="AX62" s="241">
        <v>507.6</v>
      </c>
      <c r="AY62" s="164">
        <v>42802.165999999997</v>
      </c>
      <c r="AZ62" s="40">
        <v>507.6</v>
      </c>
      <c r="BA62" s="164">
        <v>11450.18</v>
      </c>
      <c r="BB62" s="242">
        <v>42802.165999999997</v>
      </c>
      <c r="BC62" s="241">
        <v>507.6</v>
      </c>
      <c r="BD62" s="164">
        <v>42802.165999999997</v>
      </c>
      <c r="BE62" s="40">
        <v>507.6</v>
      </c>
      <c r="BF62" s="164">
        <v>11450.18</v>
      </c>
      <c r="BG62" s="242">
        <v>42802.165999999997</v>
      </c>
      <c r="BH62" s="241">
        <v>507.6</v>
      </c>
      <c r="BI62" s="164">
        <v>42802.165999999997</v>
      </c>
      <c r="BJ62" s="40">
        <v>507.6</v>
      </c>
      <c r="BK62" s="164">
        <v>11450.18</v>
      </c>
      <c r="BL62" s="242">
        <v>42802.165999999997</v>
      </c>
      <c r="BM62" s="241">
        <v>507.6</v>
      </c>
      <c r="BN62" s="164">
        <v>42802.165999999997</v>
      </c>
      <c r="BO62" s="40">
        <v>507.6</v>
      </c>
      <c r="BP62" s="164">
        <v>11450.18</v>
      </c>
      <c r="BQ62" s="244">
        <v>42802.165999999997</v>
      </c>
      <c r="BR62" s="241">
        <v>507.6</v>
      </c>
      <c r="BS62" s="164">
        <v>42802.165999999997</v>
      </c>
      <c r="BT62" s="40">
        <v>507.6</v>
      </c>
      <c r="BU62" s="164">
        <v>11450.18</v>
      </c>
      <c r="BV62" s="244">
        <v>42802.165999999997</v>
      </c>
      <c r="BW62" s="241">
        <v>507.6</v>
      </c>
      <c r="BX62" s="164">
        <v>42802.165999999997</v>
      </c>
      <c r="BY62" s="40">
        <v>507.6</v>
      </c>
      <c r="BZ62" s="164">
        <v>11450.18</v>
      </c>
      <c r="CA62" s="244">
        <v>42802.165999999997</v>
      </c>
    </row>
    <row r="63" spans="1:79" x14ac:dyDescent="0.25">
      <c r="A63" s="20" t="s">
        <v>533</v>
      </c>
      <c r="B63" s="161" t="s">
        <v>1470</v>
      </c>
      <c r="C63" s="162">
        <v>2</v>
      </c>
      <c r="D63" t="s">
        <v>52</v>
      </c>
      <c r="E63" s="164">
        <v>26170</v>
      </c>
      <c r="F63" s="167">
        <v>13085</v>
      </c>
      <c r="G63" s="40">
        <v>2</v>
      </c>
      <c r="H63" s="164">
        <v>29445</v>
      </c>
      <c r="I63" s="40">
        <v>14722.5</v>
      </c>
      <c r="J63" s="241">
        <v>0</v>
      </c>
      <c r="K63" s="164">
        <v>0</v>
      </c>
      <c r="L63" s="167">
        <v>0.54</v>
      </c>
      <c r="M63" s="164">
        <v>7975</v>
      </c>
      <c r="N63" s="164">
        <v>7065.9000000000005</v>
      </c>
      <c r="O63" s="241">
        <v>2</v>
      </c>
      <c r="P63" s="164">
        <v>26170</v>
      </c>
      <c r="Q63" s="167">
        <v>2</v>
      </c>
      <c r="R63" s="164">
        <v>30945</v>
      </c>
      <c r="S63" s="164">
        <v>26170</v>
      </c>
      <c r="T63" s="241">
        <v>2</v>
      </c>
      <c r="U63" s="164">
        <v>26170</v>
      </c>
      <c r="V63" s="40">
        <v>2</v>
      </c>
      <c r="W63" s="164">
        <v>29445</v>
      </c>
      <c r="X63" s="242">
        <v>26170</v>
      </c>
      <c r="Y63" s="241">
        <v>2</v>
      </c>
      <c r="Z63" s="164">
        <v>26170</v>
      </c>
      <c r="AA63" s="40">
        <v>2</v>
      </c>
      <c r="AB63" s="164">
        <v>29445</v>
      </c>
      <c r="AC63" s="164">
        <v>26170</v>
      </c>
      <c r="AD63" s="241">
        <v>2</v>
      </c>
      <c r="AE63" s="164">
        <v>26170</v>
      </c>
      <c r="AF63" s="40">
        <v>2</v>
      </c>
      <c r="AG63" s="164">
        <v>29445</v>
      </c>
      <c r="AH63" s="242">
        <v>26170</v>
      </c>
      <c r="AI63" s="241">
        <v>2</v>
      </c>
      <c r="AJ63" s="164">
        <v>26170</v>
      </c>
      <c r="AK63" s="40">
        <v>2</v>
      </c>
      <c r="AL63" s="164">
        <v>29445</v>
      </c>
      <c r="AM63" s="242">
        <v>26170</v>
      </c>
      <c r="AN63" s="241">
        <v>2</v>
      </c>
      <c r="AO63" s="164">
        <v>26170</v>
      </c>
      <c r="AP63" s="40">
        <v>2</v>
      </c>
      <c r="AQ63" s="164">
        <v>29445</v>
      </c>
      <c r="AR63" s="242">
        <v>26170</v>
      </c>
      <c r="AS63" s="241">
        <v>2</v>
      </c>
      <c r="AT63" s="164">
        <v>26170</v>
      </c>
      <c r="AU63" s="40">
        <v>2</v>
      </c>
      <c r="AV63" s="164">
        <v>29445</v>
      </c>
      <c r="AW63" s="242">
        <v>26170</v>
      </c>
      <c r="AX63" s="241">
        <v>2</v>
      </c>
      <c r="AY63" s="164">
        <v>26170</v>
      </c>
      <c r="AZ63" s="40">
        <v>2</v>
      </c>
      <c r="BA63" s="164">
        <v>29445</v>
      </c>
      <c r="BB63" s="242">
        <v>26170</v>
      </c>
      <c r="BC63" s="241">
        <v>2</v>
      </c>
      <c r="BD63" s="164">
        <v>26170</v>
      </c>
      <c r="BE63" s="40">
        <v>2</v>
      </c>
      <c r="BF63" s="164">
        <v>29445</v>
      </c>
      <c r="BG63" s="242">
        <v>26170</v>
      </c>
      <c r="BH63" s="241">
        <v>2</v>
      </c>
      <c r="BI63" s="164">
        <v>26170</v>
      </c>
      <c r="BJ63" s="40">
        <v>2</v>
      </c>
      <c r="BK63" s="164">
        <v>29445</v>
      </c>
      <c r="BL63" s="242">
        <v>26170</v>
      </c>
      <c r="BM63" s="241">
        <v>2</v>
      </c>
      <c r="BN63" s="164">
        <v>26170</v>
      </c>
      <c r="BO63" s="40">
        <v>2</v>
      </c>
      <c r="BP63" s="164">
        <v>29445</v>
      </c>
      <c r="BQ63" s="244">
        <v>26170</v>
      </c>
      <c r="BR63" s="241">
        <v>2</v>
      </c>
      <c r="BS63" s="164">
        <v>26170</v>
      </c>
      <c r="BT63" s="40">
        <v>2</v>
      </c>
      <c r="BU63" s="164">
        <v>29445</v>
      </c>
      <c r="BV63" s="244">
        <v>26170</v>
      </c>
      <c r="BW63" s="241">
        <v>2</v>
      </c>
      <c r="BX63" s="164">
        <v>26170</v>
      </c>
      <c r="BY63" s="40">
        <v>2</v>
      </c>
      <c r="BZ63" s="164">
        <v>29445</v>
      </c>
      <c r="CA63" s="244">
        <v>26170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6D2B0-9CD8-4E5F-B0DF-EE8CABB6B6AC}">
  <dimension ref="A1:Z2435"/>
  <sheetViews>
    <sheetView tabSelected="1" workbookViewId="0">
      <selection activeCell="H2" sqref="H2"/>
    </sheetView>
  </sheetViews>
  <sheetFormatPr defaultColWidth="9.140625" defaultRowHeight="15" x14ac:dyDescent="0.25"/>
  <cols>
    <col min="1" max="1" width="11.5703125" bestFit="1" customWidth="1"/>
    <col min="2" max="2" width="50.7109375" style="161" customWidth="1"/>
    <col min="3" max="3" width="25.85546875" bestFit="1" customWidth="1"/>
    <col min="4" max="4" width="6.28515625" bestFit="1" customWidth="1"/>
    <col min="5" max="5" width="8.7109375" bestFit="1" customWidth="1"/>
    <col min="6" max="6" width="11.140625" bestFit="1" customWidth="1"/>
    <col min="7" max="7" width="11.7109375" bestFit="1" customWidth="1"/>
    <col min="8" max="8" width="14.140625" style="20" bestFit="1" customWidth="1"/>
    <col min="9" max="9" width="10.7109375" style="20" bestFit="1" customWidth="1"/>
    <col min="10" max="10" width="13.5703125" style="20" bestFit="1" customWidth="1"/>
    <col min="11" max="11" width="13.28515625" bestFit="1" customWidth="1"/>
    <col min="12" max="12" width="10.5703125" bestFit="1" customWidth="1"/>
    <col min="13" max="16" width="11.5703125" bestFit="1" customWidth="1"/>
    <col min="17" max="25" width="13.28515625" bestFit="1" customWidth="1"/>
    <col min="26" max="26" width="0" hidden="1" customWidth="1"/>
  </cols>
  <sheetData>
    <row r="1" spans="1:26" x14ac:dyDescent="0.25">
      <c r="A1" s="64" t="s">
        <v>813</v>
      </c>
      <c r="B1" s="159" t="s">
        <v>471</v>
      </c>
      <c r="C1" s="64" t="s">
        <v>814</v>
      </c>
      <c r="D1" s="64" t="s">
        <v>3</v>
      </c>
      <c r="E1" s="64" t="s">
        <v>6</v>
      </c>
      <c r="F1" s="64" t="s">
        <v>7</v>
      </c>
      <c r="G1" s="64" t="s">
        <v>12</v>
      </c>
      <c r="H1" s="160" t="s">
        <v>451</v>
      </c>
      <c r="K1" s="229"/>
      <c r="L1" s="229"/>
      <c r="M1" s="229"/>
      <c r="N1" s="229"/>
      <c r="O1" s="229"/>
      <c r="P1" s="229"/>
      <c r="Q1" s="229"/>
      <c r="R1" s="229"/>
      <c r="S1" s="229"/>
      <c r="T1" s="229"/>
      <c r="U1" s="229"/>
      <c r="V1" s="229"/>
      <c r="W1" s="229"/>
      <c r="X1" s="229"/>
      <c r="Y1" s="229"/>
      <c r="Z1" s="225">
        <v>42156</v>
      </c>
    </row>
    <row r="2" spans="1:26" x14ac:dyDescent="0.25">
      <c r="A2" s="226" t="s">
        <v>642</v>
      </c>
      <c r="B2" s="159" t="s">
        <v>815</v>
      </c>
      <c r="C2" s="64" t="s">
        <v>642</v>
      </c>
      <c r="D2" s="64" t="s">
        <v>642</v>
      </c>
      <c r="E2" s="227"/>
      <c r="F2" s="227"/>
      <c r="G2" s="166"/>
      <c r="H2" s="160" t="s">
        <v>642</v>
      </c>
      <c r="I2" s="245"/>
    </row>
    <row r="3" spans="1:26" x14ac:dyDescent="0.25">
      <c r="A3" s="228">
        <v>41737</v>
      </c>
      <c r="B3" s="161" t="s">
        <v>816</v>
      </c>
      <c r="C3" t="s">
        <v>817</v>
      </c>
      <c r="D3" t="s">
        <v>747</v>
      </c>
      <c r="E3" s="162">
        <v>1</v>
      </c>
      <c r="F3" s="162">
        <v>697.5</v>
      </c>
      <c r="G3" s="165">
        <v>697.5</v>
      </c>
      <c r="H3" s="20">
        <v>11</v>
      </c>
    </row>
    <row r="4" spans="1:26" x14ac:dyDescent="0.25">
      <c r="A4" s="228">
        <v>41781</v>
      </c>
      <c r="B4" s="161" t="s">
        <v>816</v>
      </c>
      <c r="C4" t="s">
        <v>817</v>
      </c>
      <c r="D4" t="s">
        <v>747</v>
      </c>
      <c r="E4" s="162">
        <v>1</v>
      </c>
      <c r="F4" s="162">
        <v>1325</v>
      </c>
      <c r="G4" s="165">
        <v>1325</v>
      </c>
      <c r="H4" s="20">
        <v>11</v>
      </c>
    </row>
    <row r="5" spans="1:26" x14ac:dyDescent="0.25">
      <c r="A5" s="228">
        <v>41783</v>
      </c>
      <c r="B5" s="161" t="s">
        <v>816</v>
      </c>
      <c r="C5" t="s">
        <v>817</v>
      </c>
      <c r="D5" t="s">
        <v>747</v>
      </c>
      <c r="E5" s="162">
        <v>1</v>
      </c>
      <c r="F5" s="162">
        <v>2685</v>
      </c>
      <c r="G5" s="165">
        <v>2685</v>
      </c>
      <c r="H5" s="20">
        <v>11</v>
      </c>
    </row>
    <row r="6" spans="1:26" x14ac:dyDescent="0.25">
      <c r="A6" s="228">
        <v>41848</v>
      </c>
      <c r="B6" s="161" t="s">
        <v>816</v>
      </c>
      <c r="C6" t="s">
        <v>817</v>
      </c>
      <c r="D6" t="s">
        <v>747</v>
      </c>
      <c r="E6" s="162">
        <v>1</v>
      </c>
      <c r="F6" s="162">
        <v>2445</v>
      </c>
      <c r="G6" s="165">
        <v>2445</v>
      </c>
      <c r="H6" s="20">
        <v>11</v>
      </c>
    </row>
    <row r="7" spans="1:26" x14ac:dyDescent="0.25">
      <c r="A7" s="228">
        <v>41869</v>
      </c>
      <c r="B7" s="161" t="s">
        <v>816</v>
      </c>
      <c r="C7" t="s">
        <v>817</v>
      </c>
      <c r="D7" t="s">
        <v>747</v>
      </c>
      <c r="E7" s="162">
        <v>1</v>
      </c>
      <c r="F7" s="162">
        <v>600</v>
      </c>
      <c r="G7" s="165">
        <v>600</v>
      </c>
      <c r="H7" s="20">
        <v>11</v>
      </c>
    </row>
    <row r="8" spans="1:26" x14ac:dyDescent="0.25">
      <c r="A8" s="228">
        <v>41904</v>
      </c>
      <c r="B8" s="161" t="s">
        <v>816</v>
      </c>
      <c r="C8" t="s">
        <v>817</v>
      </c>
      <c r="D8" t="s">
        <v>747</v>
      </c>
      <c r="E8" s="162">
        <v>1</v>
      </c>
      <c r="F8" s="162">
        <v>455</v>
      </c>
      <c r="G8" s="165">
        <v>455</v>
      </c>
      <c r="H8" s="20">
        <v>11</v>
      </c>
    </row>
    <row r="9" spans="1:26" x14ac:dyDescent="0.25">
      <c r="A9" s="230" t="s">
        <v>642</v>
      </c>
      <c r="B9" s="231" t="s">
        <v>818</v>
      </c>
      <c r="C9" s="232" t="s">
        <v>642</v>
      </c>
      <c r="D9" s="232" t="s">
        <v>642</v>
      </c>
      <c r="E9" s="233"/>
      <c r="F9" s="233"/>
      <c r="G9" s="234">
        <v>8207.5</v>
      </c>
      <c r="H9" s="235" t="s">
        <v>642</v>
      </c>
    </row>
    <row r="10" spans="1:26" x14ac:dyDescent="0.25">
      <c r="A10" s="228" t="s">
        <v>642</v>
      </c>
      <c r="B10" s="161" t="s">
        <v>642</v>
      </c>
      <c r="C10" t="s">
        <v>642</v>
      </c>
      <c r="D10" t="s">
        <v>642</v>
      </c>
      <c r="E10" s="162"/>
      <c r="F10" s="162"/>
      <c r="G10" s="165"/>
      <c r="H10" s="20" t="s">
        <v>642</v>
      </c>
    </row>
    <row r="11" spans="1:26" x14ac:dyDescent="0.25">
      <c r="A11" s="226" t="s">
        <v>642</v>
      </c>
      <c r="B11" s="159" t="s">
        <v>819</v>
      </c>
      <c r="C11" s="64" t="s">
        <v>642</v>
      </c>
      <c r="D11" s="64" t="s">
        <v>642</v>
      </c>
      <c r="E11" s="227"/>
      <c r="F11" s="227"/>
      <c r="G11" s="166"/>
      <c r="H11" s="160" t="s">
        <v>642</v>
      </c>
    </row>
    <row r="12" spans="1:26" x14ac:dyDescent="0.25">
      <c r="A12" s="228">
        <v>41869</v>
      </c>
      <c r="B12" s="161" t="s">
        <v>816</v>
      </c>
      <c r="C12" t="s">
        <v>817</v>
      </c>
      <c r="D12" t="s">
        <v>747</v>
      </c>
      <c r="E12" s="162">
        <v>1</v>
      </c>
      <c r="F12" s="162">
        <v>600</v>
      </c>
      <c r="G12" s="165">
        <v>600</v>
      </c>
      <c r="H12" s="20">
        <v>12</v>
      </c>
    </row>
    <row r="13" spans="1:26" x14ac:dyDescent="0.25">
      <c r="A13" s="228">
        <v>41877</v>
      </c>
      <c r="B13" s="161" t="s">
        <v>820</v>
      </c>
      <c r="C13" t="s">
        <v>821</v>
      </c>
      <c r="D13" t="s">
        <v>747</v>
      </c>
      <c r="E13" s="162">
        <v>1</v>
      </c>
      <c r="F13" s="162">
        <v>125</v>
      </c>
      <c r="G13" s="165">
        <v>125</v>
      </c>
      <c r="H13" s="20">
        <v>12</v>
      </c>
    </row>
    <row r="14" spans="1:26" x14ac:dyDescent="0.25">
      <c r="A14" s="228">
        <v>41904</v>
      </c>
      <c r="B14" s="161" t="s">
        <v>816</v>
      </c>
      <c r="C14" t="s">
        <v>817</v>
      </c>
      <c r="D14" t="s">
        <v>747</v>
      </c>
      <c r="E14" s="162">
        <v>1</v>
      </c>
      <c r="F14" s="162">
        <v>1482.5</v>
      </c>
      <c r="G14" s="165">
        <v>1482.5</v>
      </c>
      <c r="H14" s="20">
        <v>12</v>
      </c>
    </row>
    <row r="15" spans="1:26" x14ac:dyDescent="0.25">
      <c r="A15" s="228">
        <v>41935</v>
      </c>
      <c r="B15" s="161" t="s">
        <v>816</v>
      </c>
      <c r="C15" t="s">
        <v>817</v>
      </c>
      <c r="D15" t="s">
        <v>747</v>
      </c>
      <c r="E15" s="162">
        <v>1</v>
      </c>
      <c r="F15" s="162">
        <v>5972.5</v>
      </c>
      <c r="G15" s="165">
        <v>5972.5</v>
      </c>
      <c r="H15" s="20">
        <v>12</v>
      </c>
    </row>
    <row r="16" spans="1:26" x14ac:dyDescent="0.25">
      <c r="A16" s="228">
        <v>41971</v>
      </c>
      <c r="B16" s="161" t="s">
        <v>816</v>
      </c>
      <c r="C16" t="s">
        <v>817</v>
      </c>
      <c r="D16" t="s">
        <v>747</v>
      </c>
      <c r="E16" s="162">
        <v>1</v>
      </c>
      <c r="F16" s="162">
        <v>3477.5</v>
      </c>
      <c r="G16" s="165">
        <v>3477.5</v>
      </c>
      <c r="H16" s="20">
        <v>12</v>
      </c>
    </row>
    <row r="17" spans="1:8" x14ac:dyDescent="0.25">
      <c r="A17" s="228">
        <v>41991</v>
      </c>
      <c r="B17" s="161" t="s">
        <v>816</v>
      </c>
      <c r="C17" t="s">
        <v>817</v>
      </c>
      <c r="D17" t="s">
        <v>747</v>
      </c>
      <c r="E17" s="162">
        <v>1</v>
      </c>
      <c r="F17" s="162">
        <v>4893.5</v>
      </c>
      <c r="G17" s="165">
        <v>4893.5</v>
      </c>
      <c r="H17" s="20">
        <v>12</v>
      </c>
    </row>
    <row r="18" spans="1:8" x14ac:dyDescent="0.25">
      <c r="A18" s="228">
        <v>42062</v>
      </c>
      <c r="B18" s="161" t="s">
        <v>816</v>
      </c>
      <c r="C18" t="s">
        <v>817</v>
      </c>
      <c r="D18" t="s">
        <v>747</v>
      </c>
      <c r="E18" s="162">
        <v>1</v>
      </c>
      <c r="F18" s="162">
        <v>3392.5</v>
      </c>
      <c r="G18" s="165">
        <v>3392.5</v>
      </c>
      <c r="H18" s="20">
        <v>12</v>
      </c>
    </row>
    <row r="19" spans="1:8" x14ac:dyDescent="0.25">
      <c r="A19" s="228">
        <v>42090</v>
      </c>
      <c r="B19" s="161" t="s">
        <v>816</v>
      </c>
      <c r="C19" t="s">
        <v>817</v>
      </c>
      <c r="D19" t="s">
        <v>747</v>
      </c>
      <c r="E19" s="162">
        <v>1</v>
      </c>
      <c r="F19" s="162">
        <v>1957.5</v>
      </c>
      <c r="G19" s="165">
        <v>1957.5</v>
      </c>
      <c r="H19" s="20">
        <v>12</v>
      </c>
    </row>
    <row r="20" spans="1:8" x14ac:dyDescent="0.25">
      <c r="A20" s="230" t="s">
        <v>642</v>
      </c>
      <c r="B20" s="231" t="s">
        <v>822</v>
      </c>
      <c r="C20" s="232" t="s">
        <v>642</v>
      </c>
      <c r="D20" s="232" t="s">
        <v>642</v>
      </c>
      <c r="E20" s="233"/>
      <c r="F20" s="233"/>
      <c r="G20" s="234">
        <v>21901</v>
      </c>
      <c r="H20" s="235" t="s">
        <v>642</v>
      </c>
    </row>
    <row r="21" spans="1:8" x14ac:dyDescent="0.25">
      <c r="A21" s="228" t="s">
        <v>642</v>
      </c>
      <c r="B21" s="161" t="s">
        <v>642</v>
      </c>
      <c r="C21" t="s">
        <v>642</v>
      </c>
      <c r="D21" t="s">
        <v>642</v>
      </c>
      <c r="E21" s="162"/>
      <c r="F21" s="162"/>
      <c r="G21" s="165"/>
      <c r="H21" s="20" t="s">
        <v>642</v>
      </c>
    </row>
    <row r="22" spans="1:8" x14ac:dyDescent="0.25">
      <c r="A22" s="226" t="s">
        <v>642</v>
      </c>
      <c r="B22" s="159" t="s">
        <v>823</v>
      </c>
      <c r="C22" s="64" t="s">
        <v>642</v>
      </c>
      <c r="D22" s="64" t="s">
        <v>642</v>
      </c>
      <c r="E22" s="227"/>
      <c r="F22" s="227"/>
      <c r="G22" s="166"/>
      <c r="H22" s="160" t="s">
        <v>642</v>
      </c>
    </row>
    <row r="23" spans="1:8" x14ac:dyDescent="0.25">
      <c r="A23" s="228">
        <v>41789</v>
      </c>
      <c r="B23" s="161" t="s">
        <v>824</v>
      </c>
      <c r="C23" t="s">
        <v>825</v>
      </c>
      <c r="D23" t="s">
        <v>747</v>
      </c>
      <c r="E23" s="162">
        <v>1</v>
      </c>
      <c r="F23" s="162">
        <v>125.45</v>
      </c>
      <c r="G23" s="165">
        <v>125.45</v>
      </c>
      <c r="H23" s="20">
        <v>13</v>
      </c>
    </row>
    <row r="24" spans="1:8" x14ac:dyDescent="0.25">
      <c r="A24" s="228">
        <v>41789</v>
      </c>
      <c r="B24" s="161" t="s">
        <v>824</v>
      </c>
      <c r="C24" t="s">
        <v>825</v>
      </c>
      <c r="D24" t="s">
        <v>747</v>
      </c>
      <c r="E24" s="162">
        <v>1</v>
      </c>
      <c r="F24" s="162">
        <v>2114.48</v>
      </c>
      <c r="G24" s="165">
        <v>2114.48</v>
      </c>
      <c r="H24" s="20">
        <v>13</v>
      </c>
    </row>
    <row r="25" spans="1:8" x14ac:dyDescent="0.25">
      <c r="A25" s="228">
        <v>41845</v>
      </c>
      <c r="B25" s="161" t="s">
        <v>824</v>
      </c>
      <c r="C25" t="s">
        <v>825</v>
      </c>
      <c r="D25" t="s">
        <v>747</v>
      </c>
      <c r="E25" s="162">
        <v>1</v>
      </c>
      <c r="F25" s="162">
        <v>125.43</v>
      </c>
      <c r="G25" s="165">
        <v>125.43</v>
      </c>
      <c r="H25" s="20">
        <v>13</v>
      </c>
    </row>
    <row r="26" spans="1:8" x14ac:dyDescent="0.25">
      <c r="A26" s="228">
        <v>41879</v>
      </c>
      <c r="B26" s="161" t="s">
        <v>824</v>
      </c>
      <c r="C26" t="s">
        <v>825</v>
      </c>
      <c r="D26" t="s">
        <v>747</v>
      </c>
      <c r="E26" s="162">
        <v>1</v>
      </c>
      <c r="F26" s="162">
        <v>125.43</v>
      </c>
      <c r="G26" s="165">
        <v>125.43</v>
      </c>
      <c r="H26" s="20">
        <v>13</v>
      </c>
    </row>
    <row r="27" spans="1:8" x14ac:dyDescent="0.25">
      <c r="A27" s="228">
        <v>41880</v>
      </c>
      <c r="B27" s="161" t="s">
        <v>824</v>
      </c>
      <c r="C27" t="s">
        <v>825</v>
      </c>
      <c r="D27" t="s">
        <v>747</v>
      </c>
      <c r="E27" s="162">
        <v>1</v>
      </c>
      <c r="F27" s="162">
        <v>1194.3599999999999</v>
      </c>
      <c r="G27" s="165">
        <v>1194.3599999999999</v>
      </c>
      <c r="H27" s="20">
        <v>13</v>
      </c>
    </row>
    <row r="28" spans="1:8" x14ac:dyDescent="0.25">
      <c r="A28" s="228">
        <v>41908</v>
      </c>
      <c r="B28" s="161" t="s">
        <v>824</v>
      </c>
      <c r="C28" t="s">
        <v>825</v>
      </c>
      <c r="D28" t="s">
        <v>747</v>
      </c>
      <c r="E28" s="162">
        <v>1</v>
      </c>
      <c r="F28" s="162">
        <v>1621.74</v>
      </c>
      <c r="G28" s="165">
        <v>1621.74</v>
      </c>
      <c r="H28" s="20">
        <v>13</v>
      </c>
    </row>
    <row r="29" spans="1:8" x14ac:dyDescent="0.25">
      <c r="A29" s="228">
        <v>41943</v>
      </c>
      <c r="B29" s="161" t="s">
        <v>824</v>
      </c>
      <c r="C29" t="s">
        <v>825</v>
      </c>
      <c r="D29" t="s">
        <v>747</v>
      </c>
      <c r="E29" s="162">
        <v>1</v>
      </c>
      <c r="F29" s="162">
        <v>1288.51</v>
      </c>
      <c r="G29" s="165">
        <v>1288.51</v>
      </c>
      <c r="H29" s="20">
        <v>13</v>
      </c>
    </row>
    <row r="30" spans="1:8" x14ac:dyDescent="0.25">
      <c r="A30" s="228">
        <v>41963</v>
      </c>
      <c r="B30" s="161" t="s">
        <v>826</v>
      </c>
      <c r="C30" t="s">
        <v>8</v>
      </c>
      <c r="D30" t="s">
        <v>33</v>
      </c>
      <c r="E30" s="162">
        <v>3.5</v>
      </c>
      <c r="F30" s="162">
        <v>42.72</v>
      </c>
      <c r="G30" s="165">
        <v>149.52000000000001</v>
      </c>
      <c r="H30" s="20">
        <v>13</v>
      </c>
    </row>
    <row r="31" spans="1:8" x14ac:dyDescent="0.25">
      <c r="A31" s="228">
        <v>41971</v>
      </c>
      <c r="B31" s="161" t="s">
        <v>824</v>
      </c>
      <c r="C31" t="s">
        <v>825</v>
      </c>
      <c r="D31" t="s">
        <v>747</v>
      </c>
      <c r="E31" s="162">
        <v>1</v>
      </c>
      <c r="F31" s="162">
        <v>1587.44</v>
      </c>
      <c r="G31" s="165">
        <v>1587.44</v>
      </c>
      <c r="H31" s="20">
        <v>13</v>
      </c>
    </row>
    <row r="32" spans="1:8" x14ac:dyDescent="0.25">
      <c r="A32" s="228">
        <v>41992</v>
      </c>
      <c r="B32" s="161" t="s">
        <v>824</v>
      </c>
      <c r="C32" t="s">
        <v>825</v>
      </c>
      <c r="D32" t="s">
        <v>747</v>
      </c>
      <c r="E32" s="162">
        <v>1</v>
      </c>
      <c r="F32" s="162">
        <v>1012.59</v>
      </c>
      <c r="G32" s="165">
        <v>1012.59</v>
      </c>
      <c r="H32" s="20">
        <v>13</v>
      </c>
    </row>
    <row r="33" spans="1:8" x14ac:dyDescent="0.25">
      <c r="A33" s="228">
        <v>42034</v>
      </c>
      <c r="B33" s="161" t="s">
        <v>824</v>
      </c>
      <c r="C33" t="s">
        <v>825</v>
      </c>
      <c r="D33" t="s">
        <v>747</v>
      </c>
      <c r="E33" s="162">
        <v>1</v>
      </c>
      <c r="F33" s="162">
        <v>125.43</v>
      </c>
      <c r="G33" s="165">
        <v>125.43</v>
      </c>
      <c r="H33" s="20">
        <v>13</v>
      </c>
    </row>
    <row r="34" spans="1:8" x14ac:dyDescent="0.25">
      <c r="A34" s="230" t="s">
        <v>642</v>
      </c>
      <c r="B34" s="231" t="s">
        <v>827</v>
      </c>
      <c r="C34" s="232" t="s">
        <v>642</v>
      </c>
      <c r="D34" s="232" t="s">
        <v>642</v>
      </c>
      <c r="E34" s="233"/>
      <c r="F34" s="233"/>
      <c r="G34" s="234">
        <v>9470.3799999999992</v>
      </c>
      <c r="H34" s="235" t="s">
        <v>642</v>
      </c>
    </row>
    <row r="35" spans="1:8" x14ac:dyDescent="0.25">
      <c r="A35" s="228" t="s">
        <v>642</v>
      </c>
      <c r="B35" s="161" t="s">
        <v>642</v>
      </c>
      <c r="C35" t="s">
        <v>642</v>
      </c>
      <c r="D35" t="s">
        <v>642</v>
      </c>
      <c r="E35" s="162"/>
      <c r="F35" s="162"/>
      <c r="G35" s="165"/>
      <c r="H35" s="20" t="s">
        <v>642</v>
      </c>
    </row>
    <row r="36" spans="1:8" x14ac:dyDescent="0.25">
      <c r="A36" s="226" t="s">
        <v>642</v>
      </c>
      <c r="B36" s="159" t="s">
        <v>828</v>
      </c>
      <c r="C36" s="64" t="s">
        <v>642</v>
      </c>
      <c r="D36" s="64" t="s">
        <v>642</v>
      </c>
      <c r="E36" s="227"/>
      <c r="F36" s="227"/>
      <c r="G36" s="166"/>
      <c r="H36" s="160" t="s">
        <v>642</v>
      </c>
    </row>
    <row r="37" spans="1:8" x14ac:dyDescent="0.25">
      <c r="A37" s="228">
        <v>41969</v>
      </c>
      <c r="B37" s="161" t="s">
        <v>829</v>
      </c>
      <c r="C37" t="s">
        <v>830</v>
      </c>
      <c r="D37" t="s">
        <v>33</v>
      </c>
      <c r="E37" s="162">
        <v>8.5</v>
      </c>
      <c r="F37" s="162">
        <v>110</v>
      </c>
      <c r="G37" s="165">
        <v>935</v>
      </c>
      <c r="H37" s="20">
        <v>41</v>
      </c>
    </row>
    <row r="38" spans="1:8" x14ac:dyDescent="0.25">
      <c r="A38" s="228">
        <v>41969</v>
      </c>
      <c r="B38" s="161" t="s">
        <v>831</v>
      </c>
      <c r="C38" t="s">
        <v>1471</v>
      </c>
      <c r="D38" t="s">
        <v>832</v>
      </c>
      <c r="E38" s="162">
        <v>5</v>
      </c>
      <c r="F38" s="162">
        <v>54.58</v>
      </c>
      <c r="G38" s="165">
        <v>272.89999999999998</v>
      </c>
      <c r="H38" s="20">
        <v>41</v>
      </c>
    </row>
    <row r="39" spans="1:8" x14ac:dyDescent="0.25">
      <c r="A39" s="228">
        <v>41969</v>
      </c>
      <c r="B39" s="161" t="s">
        <v>495</v>
      </c>
      <c r="C39" t="s">
        <v>833</v>
      </c>
      <c r="D39" t="s">
        <v>33</v>
      </c>
      <c r="E39" s="162">
        <v>5</v>
      </c>
      <c r="F39" s="162">
        <v>95</v>
      </c>
      <c r="G39" s="165">
        <v>475</v>
      </c>
      <c r="H39" s="20">
        <v>41</v>
      </c>
    </row>
    <row r="40" spans="1:8" x14ac:dyDescent="0.25">
      <c r="A40" s="230" t="s">
        <v>642</v>
      </c>
      <c r="B40" s="231" t="s">
        <v>834</v>
      </c>
      <c r="C40" s="232" t="s">
        <v>642</v>
      </c>
      <c r="D40" s="232" t="s">
        <v>642</v>
      </c>
      <c r="E40" s="233"/>
      <c r="F40" s="233"/>
      <c r="G40" s="234">
        <v>1682.9</v>
      </c>
      <c r="H40" s="235" t="s">
        <v>642</v>
      </c>
    </row>
    <row r="41" spans="1:8" x14ac:dyDescent="0.25">
      <c r="A41" s="228" t="s">
        <v>642</v>
      </c>
      <c r="B41" s="161" t="s">
        <v>642</v>
      </c>
      <c r="C41" t="s">
        <v>642</v>
      </c>
      <c r="D41" t="s">
        <v>642</v>
      </c>
      <c r="E41" s="162"/>
      <c r="F41" s="162"/>
      <c r="G41" s="165"/>
      <c r="H41" s="20" t="s">
        <v>642</v>
      </c>
    </row>
    <row r="42" spans="1:8" x14ac:dyDescent="0.25">
      <c r="A42" s="226" t="s">
        <v>642</v>
      </c>
      <c r="B42" s="159" t="s">
        <v>835</v>
      </c>
      <c r="C42" s="64" t="s">
        <v>642</v>
      </c>
      <c r="D42" s="64" t="s">
        <v>642</v>
      </c>
      <c r="E42" s="227"/>
      <c r="F42" s="227"/>
      <c r="G42" s="166"/>
      <c r="H42" s="160" t="s">
        <v>642</v>
      </c>
    </row>
    <row r="43" spans="1:8" x14ac:dyDescent="0.25">
      <c r="A43" s="228">
        <v>41794</v>
      </c>
      <c r="B43" s="161" t="s">
        <v>836</v>
      </c>
      <c r="C43" t="s">
        <v>8</v>
      </c>
      <c r="D43" t="s">
        <v>33</v>
      </c>
      <c r="E43" s="162">
        <v>4</v>
      </c>
      <c r="F43" s="162">
        <v>38.450000000000003</v>
      </c>
      <c r="G43" s="165">
        <v>153.80000000000001</v>
      </c>
      <c r="H43" s="20">
        <v>52</v>
      </c>
    </row>
    <row r="44" spans="1:8" x14ac:dyDescent="0.25">
      <c r="A44" s="228">
        <v>41796</v>
      </c>
      <c r="B44" s="161" t="s">
        <v>836</v>
      </c>
      <c r="C44" t="s">
        <v>8</v>
      </c>
      <c r="D44" t="s">
        <v>33</v>
      </c>
      <c r="E44" s="162">
        <v>4</v>
      </c>
      <c r="F44" s="162">
        <v>38.450000000000003</v>
      </c>
      <c r="G44" s="165">
        <v>153.80000000000001</v>
      </c>
      <c r="H44" s="20">
        <v>52</v>
      </c>
    </row>
    <row r="45" spans="1:8" x14ac:dyDescent="0.25">
      <c r="A45" s="228">
        <v>41813</v>
      </c>
      <c r="B45" s="161" t="s">
        <v>836</v>
      </c>
      <c r="C45" t="s">
        <v>8</v>
      </c>
      <c r="D45" t="s">
        <v>33</v>
      </c>
      <c r="E45" s="162">
        <v>2.5</v>
      </c>
      <c r="F45" s="162">
        <v>38.450000000000003</v>
      </c>
      <c r="G45" s="165">
        <v>96.125</v>
      </c>
      <c r="H45" s="20">
        <v>52</v>
      </c>
    </row>
    <row r="46" spans="1:8" x14ac:dyDescent="0.25">
      <c r="A46" s="228">
        <v>41813</v>
      </c>
      <c r="B46" s="161" t="s">
        <v>837</v>
      </c>
      <c r="C46" t="s">
        <v>8</v>
      </c>
      <c r="D46" t="s">
        <v>33</v>
      </c>
      <c r="E46" s="162">
        <v>1</v>
      </c>
      <c r="F46" s="162">
        <v>42.72</v>
      </c>
      <c r="G46" s="165">
        <v>42.72</v>
      </c>
      <c r="H46" s="20">
        <v>52</v>
      </c>
    </row>
    <row r="47" spans="1:8" x14ac:dyDescent="0.25">
      <c r="A47" s="228">
        <v>41813</v>
      </c>
      <c r="B47" s="161" t="s">
        <v>831</v>
      </c>
      <c r="C47" t="s">
        <v>1471</v>
      </c>
      <c r="D47" t="s">
        <v>832</v>
      </c>
      <c r="E47" s="162">
        <v>1</v>
      </c>
      <c r="F47" s="162">
        <v>54.58</v>
      </c>
      <c r="G47" s="165">
        <v>54.58</v>
      </c>
      <c r="H47" s="20">
        <v>52</v>
      </c>
    </row>
    <row r="48" spans="1:8" x14ac:dyDescent="0.25">
      <c r="A48" s="228">
        <v>41814</v>
      </c>
      <c r="B48" s="161" t="s">
        <v>838</v>
      </c>
      <c r="C48" t="s">
        <v>8</v>
      </c>
      <c r="D48" t="s">
        <v>33</v>
      </c>
      <c r="E48" s="162">
        <v>4</v>
      </c>
      <c r="F48" s="162">
        <v>39.979999999999997</v>
      </c>
      <c r="G48" s="165">
        <v>159.91999999999999</v>
      </c>
      <c r="H48" s="20">
        <v>52</v>
      </c>
    </row>
    <row r="49" spans="1:9" x14ac:dyDescent="0.25">
      <c r="A49" s="228">
        <v>41820</v>
      </c>
      <c r="B49" s="161" t="s">
        <v>839</v>
      </c>
      <c r="C49" t="s">
        <v>821</v>
      </c>
      <c r="D49" t="s">
        <v>747</v>
      </c>
      <c r="E49" s="162">
        <v>1</v>
      </c>
      <c r="F49" s="162">
        <v>2715.83</v>
      </c>
      <c r="G49" s="165">
        <v>2715.83</v>
      </c>
      <c r="H49" s="20">
        <v>52</v>
      </c>
    </row>
    <row r="50" spans="1:9" x14ac:dyDescent="0.25">
      <c r="A50" s="228">
        <v>41827</v>
      </c>
      <c r="B50" s="161" t="s">
        <v>836</v>
      </c>
      <c r="C50" t="s">
        <v>8</v>
      </c>
      <c r="D50" t="s">
        <v>33</v>
      </c>
      <c r="E50" s="162">
        <v>4</v>
      </c>
      <c r="F50" s="162">
        <v>38.450000000000003</v>
      </c>
      <c r="G50" s="165">
        <v>153.80000000000001</v>
      </c>
      <c r="H50" s="20">
        <v>52</v>
      </c>
    </row>
    <row r="51" spans="1:9" x14ac:dyDescent="0.25">
      <c r="A51" s="228">
        <v>41829</v>
      </c>
      <c r="B51" s="161" t="s">
        <v>836</v>
      </c>
      <c r="C51" t="s">
        <v>8</v>
      </c>
      <c r="D51" t="s">
        <v>33</v>
      </c>
      <c r="E51" s="162">
        <v>8</v>
      </c>
      <c r="F51" s="162">
        <v>38.450000000000003</v>
      </c>
      <c r="G51" s="165">
        <v>307.60000000000002</v>
      </c>
      <c r="H51" s="20">
        <v>52</v>
      </c>
    </row>
    <row r="52" spans="1:9" x14ac:dyDescent="0.25">
      <c r="A52" s="228">
        <v>41829</v>
      </c>
      <c r="B52" s="161" t="s">
        <v>503</v>
      </c>
      <c r="C52" t="s">
        <v>840</v>
      </c>
      <c r="D52" t="s">
        <v>33</v>
      </c>
      <c r="E52" s="162">
        <v>10</v>
      </c>
      <c r="F52" s="162"/>
      <c r="G52" s="165"/>
      <c r="H52" s="20">
        <v>52</v>
      </c>
    </row>
    <row r="53" spans="1:9" x14ac:dyDescent="0.25">
      <c r="A53" s="228">
        <v>41830</v>
      </c>
      <c r="B53" s="161" t="s">
        <v>838</v>
      </c>
      <c r="C53" t="s">
        <v>8</v>
      </c>
      <c r="D53" t="s">
        <v>33</v>
      </c>
      <c r="E53" s="162">
        <v>6</v>
      </c>
      <c r="F53" s="162">
        <v>39.979999999999997</v>
      </c>
      <c r="G53" s="165">
        <v>239.88</v>
      </c>
      <c r="H53" s="20">
        <v>52</v>
      </c>
    </row>
    <row r="54" spans="1:9" x14ac:dyDescent="0.25">
      <c r="A54" s="228">
        <v>41830</v>
      </c>
      <c r="B54" s="161" t="s">
        <v>837</v>
      </c>
      <c r="C54" t="s">
        <v>8</v>
      </c>
      <c r="D54" t="s">
        <v>33</v>
      </c>
      <c r="E54" s="162">
        <v>1</v>
      </c>
      <c r="F54" s="162">
        <v>42.72</v>
      </c>
      <c r="G54" s="165">
        <v>42.72</v>
      </c>
      <c r="H54" s="20">
        <v>52</v>
      </c>
    </row>
    <row r="55" spans="1:9" x14ac:dyDescent="0.25">
      <c r="A55" s="228">
        <v>41830</v>
      </c>
      <c r="B55" s="161" t="s">
        <v>841</v>
      </c>
      <c r="C55" t="s">
        <v>842</v>
      </c>
      <c r="D55" t="s">
        <v>33</v>
      </c>
      <c r="E55" s="162">
        <v>1</v>
      </c>
      <c r="F55" s="162">
        <v>25.78</v>
      </c>
      <c r="G55" s="165">
        <v>25.78</v>
      </c>
      <c r="H55" s="20">
        <v>52</v>
      </c>
    </row>
    <row r="56" spans="1:9" x14ac:dyDescent="0.25">
      <c r="A56" s="228">
        <v>41834</v>
      </c>
      <c r="B56" s="161" t="s">
        <v>503</v>
      </c>
      <c r="C56" t="s">
        <v>840</v>
      </c>
      <c r="D56" t="s">
        <v>33</v>
      </c>
      <c r="E56" s="162">
        <v>5.5</v>
      </c>
      <c r="F56" s="162"/>
      <c r="G56" s="165"/>
      <c r="H56" s="20">
        <v>52</v>
      </c>
    </row>
    <row r="57" spans="1:9" x14ac:dyDescent="0.25">
      <c r="A57" s="228">
        <v>41844</v>
      </c>
      <c r="B57" s="161" t="s">
        <v>843</v>
      </c>
      <c r="C57" t="s">
        <v>8</v>
      </c>
      <c r="D57" t="s">
        <v>33</v>
      </c>
      <c r="E57" s="162">
        <v>7</v>
      </c>
      <c r="F57" s="162">
        <v>35.11</v>
      </c>
      <c r="G57" s="165">
        <v>245.77</v>
      </c>
      <c r="H57" s="20">
        <v>52</v>
      </c>
    </row>
    <row r="58" spans="1:9" x14ac:dyDescent="0.25">
      <c r="A58" s="228">
        <v>41844</v>
      </c>
      <c r="B58" s="161" t="s">
        <v>503</v>
      </c>
      <c r="C58" t="s">
        <v>840</v>
      </c>
      <c r="D58" t="s">
        <v>33</v>
      </c>
      <c r="E58" s="162">
        <v>72.5</v>
      </c>
      <c r="F58" s="162"/>
      <c r="G58" s="165"/>
      <c r="H58" s="20">
        <v>52</v>
      </c>
    </row>
    <row r="59" spans="1:9" x14ac:dyDescent="0.25">
      <c r="A59" s="228">
        <v>41844</v>
      </c>
      <c r="B59" s="161" t="s">
        <v>831</v>
      </c>
      <c r="C59" t="s">
        <v>1471</v>
      </c>
      <c r="D59" t="s">
        <v>832</v>
      </c>
      <c r="E59" s="162">
        <v>2</v>
      </c>
      <c r="F59" s="162">
        <v>54.58</v>
      </c>
      <c r="G59" s="165">
        <v>109.16</v>
      </c>
      <c r="H59" s="20">
        <v>52</v>
      </c>
    </row>
    <row r="60" spans="1:9" x14ac:dyDescent="0.25">
      <c r="A60" s="228">
        <v>41844</v>
      </c>
      <c r="B60" s="161" t="s">
        <v>836</v>
      </c>
      <c r="C60" t="s">
        <v>8</v>
      </c>
      <c r="D60" t="s">
        <v>33</v>
      </c>
      <c r="E60" s="162">
        <v>7</v>
      </c>
      <c r="F60" s="162">
        <v>38.450000000000003</v>
      </c>
      <c r="G60" s="165">
        <v>269.14999999999998</v>
      </c>
      <c r="H60" s="20">
        <v>52</v>
      </c>
    </row>
    <row r="61" spans="1:9" x14ac:dyDescent="0.25">
      <c r="A61" s="228">
        <v>41845</v>
      </c>
      <c r="B61" s="161" t="s">
        <v>837</v>
      </c>
      <c r="C61" t="s">
        <v>8</v>
      </c>
      <c r="D61" t="s">
        <v>33</v>
      </c>
      <c r="E61" s="162">
        <v>6</v>
      </c>
      <c r="F61" s="162">
        <v>42.72</v>
      </c>
      <c r="G61" s="165">
        <v>256.32</v>
      </c>
      <c r="H61" s="20">
        <v>52</v>
      </c>
    </row>
    <row r="62" spans="1:9" x14ac:dyDescent="0.25">
      <c r="A62" s="228">
        <v>41845</v>
      </c>
      <c r="B62" s="161" t="s">
        <v>503</v>
      </c>
      <c r="C62" t="s">
        <v>840</v>
      </c>
      <c r="D62" t="s">
        <v>33</v>
      </c>
      <c r="E62" s="162">
        <v>7</v>
      </c>
      <c r="F62" s="162"/>
      <c r="G62" s="165"/>
      <c r="H62" s="20">
        <v>52</v>
      </c>
    </row>
    <row r="63" spans="1:9" x14ac:dyDescent="0.25">
      <c r="A63" s="228">
        <v>41845</v>
      </c>
      <c r="B63" s="161" t="s">
        <v>836</v>
      </c>
      <c r="C63" t="s">
        <v>8</v>
      </c>
      <c r="D63" t="s">
        <v>33</v>
      </c>
      <c r="E63" s="162">
        <v>6</v>
      </c>
      <c r="F63" s="162">
        <v>38.450000000000003</v>
      </c>
      <c r="G63" s="165">
        <v>230.7</v>
      </c>
      <c r="H63" s="20">
        <v>52</v>
      </c>
    </row>
    <row r="64" spans="1:9" x14ac:dyDescent="0.25">
      <c r="A64" s="228">
        <v>41849</v>
      </c>
      <c r="B64" s="161" t="s">
        <v>836</v>
      </c>
      <c r="C64" t="s">
        <v>8</v>
      </c>
      <c r="D64" t="s">
        <v>33</v>
      </c>
      <c r="E64" s="162">
        <v>6.5</v>
      </c>
      <c r="F64" s="162">
        <v>38.450000000000003</v>
      </c>
      <c r="G64" s="165">
        <v>249.92500000000001</v>
      </c>
      <c r="H64" s="20">
        <v>52</v>
      </c>
      <c r="I64"/>
    </row>
    <row r="65" spans="1:9" x14ac:dyDescent="0.25">
      <c r="A65" s="228">
        <v>41849</v>
      </c>
      <c r="B65" s="161" t="s">
        <v>503</v>
      </c>
      <c r="C65" t="s">
        <v>840</v>
      </c>
      <c r="D65" t="s">
        <v>19</v>
      </c>
      <c r="E65" s="162">
        <v>7.5</v>
      </c>
      <c r="F65" s="162"/>
      <c r="G65" s="165"/>
      <c r="H65" s="20">
        <v>52</v>
      </c>
      <c r="I65"/>
    </row>
    <row r="66" spans="1:9" x14ac:dyDescent="0.25">
      <c r="A66" s="228">
        <v>41849</v>
      </c>
      <c r="B66" s="161" t="s">
        <v>495</v>
      </c>
      <c r="C66" t="s">
        <v>833</v>
      </c>
      <c r="D66" t="s">
        <v>33</v>
      </c>
      <c r="E66" s="162">
        <v>7.5</v>
      </c>
      <c r="F66" s="162">
        <v>95</v>
      </c>
      <c r="G66" s="165">
        <v>712.5</v>
      </c>
      <c r="H66" s="20">
        <v>52</v>
      </c>
      <c r="I66"/>
    </row>
    <row r="67" spans="1:9" x14ac:dyDescent="0.25">
      <c r="A67" s="228">
        <v>41849</v>
      </c>
      <c r="B67" s="161" t="s">
        <v>837</v>
      </c>
      <c r="C67" t="s">
        <v>8</v>
      </c>
      <c r="D67" t="s">
        <v>33</v>
      </c>
      <c r="E67" s="162">
        <v>5.5</v>
      </c>
      <c r="F67" s="162">
        <v>42.72</v>
      </c>
      <c r="G67" s="165">
        <v>234.96</v>
      </c>
      <c r="H67" s="20">
        <v>52</v>
      </c>
      <c r="I67"/>
    </row>
    <row r="68" spans="1:9" x14ac:dyDescent="0.25">
      <c r="A68" s="228">
        <v>41850</v>
      </c>
      <c r="B68" s="161" t="s">
        <v>503</v>
      </c>
      <c r="C68" t="s">
        <v>840</v>
      </c>
      <c r="D68" t="s">
        <v>19</v>
      </c>
      <c r="E68" s="162">
        <v>9</v>
      </c>
      <c r="F68" s="162"/>
      <c r="G68" s="165"/>
      <c r="H68" s="20">
        <v>52</v>
      </c>
      <c r="I68"/>
    </row>
    <row r="69" spans="1:9" x14ac:dyDescent="0.25">
      <c r="A69" s="228">
        <v>41850</v>
      </c>
      <c r="B69" s="161" t="s">
        <v>844</v>
      </c>
      <c r="C69" t="s">
        <v>821</v>
      </c>
      <c r="D69" t="s">
        <v>747</v>
      </c>
      <c r="E69" s="162">
        <v>28</v>
      </c>
      <c r="F69" s="162">
        <v>125</v>
      </c>
      <c r="G69" s="165">
        <v>3500</v>
      </c>
      <c r="H69" s="20">
        <v>52</v>
      </c>
      <c r="I69"/>
    </row>
    <row r="70" spans="1:9" x14ac:dyDescent="0.25">
      <c r="A70" s="228">
        <v>41856</v>
      </c>
      <c r="B70" s="161" t="s">
        <v>845</v>
      </c>
      <c r="C70" t="s">
        <v>840</v>
      </c>
      <c r="D70" t="s">
        <v>19</v>
      </c>
      <c r="E70" s="162">
        <v>5</v>
      </c>
      <c r="F70" s="162"/>
      <c r="G70" s="165"/>
      <c r="H70" s="20">
        <v>52</v>
      </c>
      <c r="I70"/>
    </row>
    <row r="71" spans="1:9" x14ac:dyDescent="0.25">
      <c r="A71" s="228">
        <v>41856</v>
      </c>
      <c r="B71" s="161" t="s">
        <v>831</v>
      </c>
      <c r="C71" t="s">
        <v>1471</v>
      </c>
      <c r="D71" t="s">
        <v>832</v>
      </c>
      <c r="E71" s="162">
        <v>3</v>
      </c>
      <c r="F71" s="162">
        <v>54.58</v>
      </c>
      <c r="G71" s="165">
        <v>163.74</v>
      </c>
      <c r="H71" s="20">
        <v>52</v>
      </c>
      <c r="I71"/>
    </row>
    <row r="72" spans="1:9" x14ac:dyDescent="0.25">
      <c r="A72" s="228">
        <v>41856</v>
      </c>
      <c r="B72" s="161" t="s">
        <v>838</v>
      </c>
      <c r="C72" t="s">
        <v>8</v>
      </c>
      <c r="D72" t="s">
        <v>33</v>
      </c>
      <c r="E72" s="162">
        <v>3</v>
      </c>
      <c r="F72" s="162">
        <v>39.979999999999997</v>
      </c>
      <c r="G72" s="165">
        <v>119.94</v>
      </c>
      <c r="H72" s="20">
        <v>52</v>
      </c>
      <c r="I72"/>
    </row>
    <row r="73" spans="1:9" x14ac:dyDescent="0.25">
      <c r="A73" s="228">
        <v>41862</v>
      </c>
      <c r="B73" s="161" t="s">
        <v>846</v>
      </c>
      <c r="C73" t="s">
        <v>847</v>
      </c>
      <c r="D73" t="s">
        <v>33</v>
      </c>
      <c r="E73" s="162">
        <v>2</v>
      </c>
      <c r="F73" s="162">
        <v>145</v>
      </c>
      <c r="G73" s="165">
        <v>290</v>
      </c>
      <c r="H73" s="20">
        <v>52</v>
      </c>
      <c r="I73"/>
    </row>
    <row r="74" spans="1:9" x14ac:dyDescent="0.25">
      <c r="A74" s="228">
        <v>41862</v>
      </c>
      <c r="B74" s="161" t="s">
        <v>841</v>
      </c>
      <c r="C74" t="s">
        <v>842</v>
      </c>
      <c r="D74" t="s">
        <v>33</v>
      </c>
      <c r="E74" s="162">
        <v>2</v>
      </c>
      <c r="F74" s="162">
        <v>25.78</v>
      </c>
      <c r="G74" s="165">
        <v>51.56</v>
      </c>
      <c r="H74" s="20">
        <v>52</v>
      </c>
      <c r="I74"/>
    </row>
    <row r="75" spans="1:9" x14ac:dyDescent="0.25">
      <c r="A75" s="228">
        <v>41862</v>
      </c>
      <c r="B75" s="161" t="s">
        <v>838</v>
      </c>
      <c r="C75" t="s">
        <v>8</v>
      </c>
      <c r="D75" t="s">
        <v>33</v>
      </c>
      <c r="E75" s="162">
        <v>2</v>
      </c>
      <c r="F75" s="162">
        <v>39.979999999999997</v>
      </c>
      <c r="G75" s="165">
        <v>79.959999999999994</v>
      </c>
      <c r="H75" s="20">
        <v>52</v>
      </c>
      <c r="I75"/>
    </row>
    <row r="76" spans="1:9" x14ac:dyDescent="0.25">
      <c r="A76" s="228">
        <v>41863</v>
      </c>
      <c r="B76" s="161" t="s">
        <v>838</v>
      </c>
      <c r="C76" t="s">
        <v>8</v>
      </c>
      <c r="D76" t="s">
        <v>33</v>
      </c>
      <c r="E76" s="162">
        <v>5</v>
      </c>
      <c r="F76" s="162">
        <v>39.979999999999997</v>
      </c>
      <c r="G76" s="165">
        <v>199.9</v>
      </c>
      <c r="H76" s="20">
        <v>52</v>
      </c>
      <c r="I76"/>
    </row>
    <row r="77" spans="1:9" x14ac:dyDescent="0.25">
      <c r="A77" s="228">
        <v>41863</v>
      </c>
      <c r="B77" s="161" t="s">
        <v>843</v>
      </c>
      <c r="C77" t="s">
        <v>8</v>
      </c>
      <c r="D77" t="s">
        <v>33</v>
      </c>
      <c r="E77" s="162">
        <v>4</v>
      </c>
      <c r="F77" s="162">
        <v>35.11</v>
      </c>
      <c r="G77" s="165">
        <v>140.44</v>
      </c>
      <c r="H77" s="20">
        <v>52</v>
      </c>
      <c r="I77"/>
    </row>
    <row r="78" spans="1:9" x14ac:dyDescent="0.25">
      <c r="A78" s="228">
        <v>41863</v>
      </c>
      <c r="B78" s="161" t="s">
        <v>837</v>
      </c>
      <c r="C78" t="s">
        <v>8</v>
      </c>
      <c r="D78" t="s">
        <v>33</v>
      </c>
      <c r="E78" s="162">
        <v>2.5</v>
      </c>
      <c r="F78" s="162">
        <v>35.11</v>
      </c>
      <c r="G78" s="165">
        <v>87.775000000000006</v>
      </c>
      <c r="H78" s="20">
        <v>52</v>
      </c>
      <c r="I78"/>
    </row>
    <row r="79" spans="1:9" x14ac:dyDescent="0.25">
      <c r="A79" s="228">
        <v>41863</v>
      </c>
      <c r="B79" s="161" t="s">
        <v>846</v>
      </c>
      <c r="C79" t="s">
        <v>847</v>
      </c>
      <c r="D79" t="s">
        <v>33</v>
      </c>
      <c r="E79" s="162">
        <v>2.5</v>
      </c>
      <c r="F79" s="162">
        <v>145</v>
      </c>
      <c r="G79" s="165">
        <v>362.5</v>
      </c>
      <c r="H79" s="20">
        <v>52</v>
      </c>
      <c r="I79"/>
    </row>
    <row r="80" spans="1:9" x14ac:dyDescent="0.25">
      <c r="A80" s="228">
        <v>41863</v>
      </c>
      <c r="B80" s="161" t="s">
        <v>837</v>
      </c>
      <c r="C80" t="s">
        <v>8</v>
      </c>
      <c r="D80" t="s">
        <v>33</v>
      </c>
      <c r="E80" s="162">
        <v>3</v>
      </c>
      <c r="F80" s="162">
        <v>42.72</v>
      </c>
      <c r="G80" s="165">
        <v>128.16</v>
      </c>
      <c r="H80" s="20">
        <v>52</v>
      </c>
      <c r="I80"/>
    </row>
    <row r="81" spans="1:9" x14ac:dyDescent="0.25">
      <c r="A81" s="228">
        <v>41877</v>
      </c>
      <c r="B81" s="161" t="s">
        <v>820</v>
      </c>
      <c r="C81" t="s">
        <v>821</v>
      </c>
      <c r="D81" t="s">
        <v>747</v>
      </c>
      <c r="E81" s="162">
        <v>16.5</v>
      </c>
      <c r="F81" s="162">
        <v>125</v>
      </c>
      <c r="G81" s="165">
        <v>2062.5</v>
      </c>
      <c r="H81" s="20">
        <v>52</v>
      </c>
      <c r="I81"/>
    </row>
    <row r="82" spans="1:9" x14ac:dyDescent="0.25">
      <c r="A82" s="228">
        <v>41887</v>
      </c>
      <c r="B82" s="161" t="s">
        <v>503</v>
      </c>
      <c r="C82" t="s">
        <v>840</v>
      </c>
      <c r="D82" t="s">
        <v>19</v>
      </c>
      <c r="E82" s="162">
        <v>2</v>
      </c>
      <c r="F82" s="162"/>
      <c r="G82" s="165"/>
      <c r="H82" s="20">
        <v>52</v>
      </c>
      <c r="I82"/>
    </row>
    <row r="83" spans="1:9" x14ac:dyDescent="0.25">
      <c r="A83" s="228">
        <v>41912</v>
      </c>
      <c r="B83" s="161" t="s">
        <v>848</v>
      </c>
      <c r="C83" t="s">
        <v>821</v>
      </c>
      <c r="D83" t="s">
        <v>747</v>
      </c>
      <c r="E83" s="162">
        <v>3</v>
      </c>
      <c r="F83" s="162">
        <v>125</v>
      </c>
      <c r="G83" s="165">
        <v>375</v>
      </c>
      <c r="H83" s="20">
        <v>52</v>
      </c>
      <c r="I83"/>
    </row>
    <row r="84" spans="1:9" x14ac:dyDescent="0.25">
      <c r="A84" s="230" t="s">
        <v>642</v>
      </c>
      <c r="B84" s="231" t="s">
        <v>849</v>
      </c>
      <c r="C84" s="232" t="s">
        <v>642</v>
      </c>
      <c r="D84" s="232" t="s">
        <v>642</v>
      </c>
      <c r="E84" s="233"/>
      <c r="F84" s="233"/>
      <c r="G84" s="234">
        <v>14016.514999999999</v>
      </c>
      <c r="H84" s="235" t="s">
        <v>642</v>
      </c>
      <c r="I84"/>
    </row>
    <row r="85" spans="1:9" x14ac:dyDescent="0.25">
      <c r="A85" s="228" t="s">
        <v>642</v>
      </c>
      <c r="B85" s="161" t="s">
        <v>642</v>
      </c>
      <c r="C85" t="s">
        <v>642</v>
      </c>
      <c r="D85" t="s">
        <v>642</v>
      </c>
      <c r="E85" s="162"/>
      <c r="F85" s="162"/>
      <c r="G85" s="165"/>
      <c r="H85" s="20" t="s">
        <v>642</v>
      </c>
      <c r="I85"/>
    </row>
    <row r="86" spans="1:9" x14ac:dyDescent="0.25">
      <c r="A86" s="226" t="s">
        <v>642</v>
      </c>
      <c r="B86" s="159" t="s">
        <v>850</v>
      </c>
      <c r="C86" s="64" t="s">
        <v>642</v>
      </c>
      <c r="D86" s="64" t="s">
        <v>642</v>
      </c>
      <c r="E86" s="227"/>
      <c r="F86" s="227"/>
      <c r="G86" s="166"/>
      <c r="H86" s="160" t="s">
        <v>642</v>
      </c>
      <c r="I86"/>
    </row>
    <row r="87" spans="1:9" x14ac:dyDescent="0.25">
      <c r="A87" s="228">
        <v>41871</v>
      </c>
      <c r="B87" s="161" t="s">
        <v>838</v>
      </c>
      <c r="C87" t="s">
        <v>8</v>
      </c>
      <c r="D87" t="s">
        <v>33</v>
      </c>
      <c r="E87" s="162">
        <v>8.5</v>
      </c>
      <c r="F87" s="162">
        <v>39.979999999999997</v>
      </c>
      <c r="G87" s="165">
        <v>339.83</v>
      </c>
      <c r="H87" s="20">
        <v>53</v>
      </c>
      <c r="I87"/>
    </row>
    <row r="88" spans="1:9" x14ac:dyDescent="0.25">
      <c r="A88" s="228">
        <v>41871</v>
      </c>
      <c r="B88" s="161" t="s">
        <v>831</v>
      </c>
      <c r="C88" t="s">
        <v>1471</v>
      </c>
      <c r="D88" t="s">
        <v>832</v>
      </c>
      <c r="E88" s="162">
        <v>3.5</v>
      </c>
      <c r="F88" s="162">
        <v>54.58</v>
      </c>
      <c r="G88" s="165">
        <v>191.03</v>
      </c>
      <c r="H88" s="20">
        <v>53</v>
      </c>
      <c r="I88"/>
    </row>
    <row r="89" spans="1:9" x14ac:dyDescent="0.25">
      <c r="A89" s="228">
        <v>41871</v>
      </c>
      <c r="B89" s="161" t="s">
        <v>837</v>
      </c>
      <c r="C89" t="s">
        <v>8</v>
      </c>
      <c r="D89" t="s">
        <v>33</v>
      </c>
      <c r="E89" s="162">
        <v>8.5</v>
      </c>
      <c r="F89" s="162">
        <v>42.72</v>
      </c>
      <c r="G89" s="165">
        <v>363.12</v>
      </c>
      <c r="H89" s="20">
        <v>53</v>
      </c>
      <c r="I89"/>
    </row>
    <row r="90" spans="1:9" x14ac:dyDescent="0.25">
      <c r="A90" s="228">
        <v>41871</v>
      </c>
      <c r="B90" s="161" t="s">
        <v>851</v>
      </c>
      <c r="C90" t="s">
        <v>852</v>
      </c>
      <c r="D90" t="s">
        <v>33</v>
      </c>
      <c r="E90" s="162">
        <v>1</v>
      </c>
      <c r="F90" s="162">
        <v>25.78</v>
      </c>
      <c r="G90" s="165">
        <v>25.78</v>
      </c>
      <c r="H90" s="20">
        <v>53</v>
      </c>
      <c r="I90"/>
    </row>
    <row r="91" spans="1:9" x14ac:dyDescent="0.25">
      <c r="A91" s="228">
        <v>41871</v>
      </c>
      <c r="B91" s="161" t="s">
        <v>853</v>
      </c>
      <c r="C91" t="s">
        <v>854</v>
      </c>
      <c r="D91" t="s">
        <v>33</v>
      </c>
      <c r="E91" s="162">
        <v>8.5</v>
      </c>
      <c r="F91" s="162">
        <v>42.79</v>
      </c>
      <c r="G91" s="165">
        <v>363.71499999999997</v>
      </c>
      <c r="H91" s="20">
        <v>53</v>
      </c>
      <c r="I91"/>
    </row>
    <row r="92" spans="1:9" x14ac:dyDescent="0.25">
      <c r="A92" s="228">
        <v>41871</v>
      </c>
      <c r="B92" s="161" t="s">
        <v>855</v>
      </c>
      <c r="C92" t="s">
        <v>856</v>
      </c>
      <c r="D92" t="s">
        <v>33</v>
      </c>
      <c r="E92" s="162">
        <v>7</v>
      </c>
      <c r="F92" s="162">
        <v>21.61</v>
      </c>
      <c r="G92" s="165">
        <v>151.27000000000001</v>
      </c>
      <c r="H92" s="20">
        <v>53</v>
      </c>
      <c r="I92"/>
    </row>
    <row r="93" spans="1:9" x14ac:dyDescent="0.25">
      <c r="A93" s="228">
        <v>41872</v>
      </c>
      <c r="B93" s="161" t="s">
        <v>853</v>
      </c>
      <c r="C93" t="s">
        <v>854</v>
      </c>
      <c r="D93" t="s">
        <v>33</v>
      </c>
      <c r="E93" s="162">
        <v>9.5</v>
      </c>
      <c r="F93" s="162">
        <v>42.79</v>
      </c>
      <c r="G93" s="165">
        <v>406.505</v>
      </c>
      <c r="H93" s="20">
        <v>53</v>
      </c>
      <c r="I93"/>
    </row>
    <row r="94" spans="1:9" x14ac:dyDescent="0.25">
      <c r="A94" s="228">
        <v>41872</v>
      </c>
      <c r="B94" s="161" t="s">
        <v>838</v>
      </c>
      <c r="C94" t="s">
        <v>8</v>
      </c>
      <c r="D94" t="s">
        <v>33</v>
      </c>
      <c r="E94" s="162">
        <v>9.5</v>
      </c>
      <c r="F94" s="162">
        <v>39.979999999999997</v>
      </c>
      <c r="G94" s="165">
        <v>379.81</v>
      </c>
      <c r="H94" s="20">
        <v>53</v>
      </c>
      <c r="I94"/>
    </row>
    <row r="95" spans="1:9" x14ac:dyDescent="0.25">
      <c r="A95" s="228">
        <v>41872</v>
      </c>
      <c r="B95" s="161" t="s">
        <v>829</v>
      </c>
      <c r="C95" t="s">
        <v>830</v>
      </c>
      <c r="D95" t="s">
        <v>747</v>
      </c>
      <c r="E95" s="162">
        <v>7</v>
      </c>
      <c r="F95" s="162">
        <v>110</v>
      </c>
      <c r="G95" s="165">
        <v>770</v>
      </c>
      <c r="H95" s="20">
        <v>53</v>
      </c>
      <c r="I95"/>
    </row>
    <row r="96" spans="1:9" x14ac:dyDescent="0.25">
      <c r="A96" s="228">
        <v>41872</v>
      </c>
      <c r="B96" s="161" t="s">
        <v>851</v>
      </c>
      <c r="C96" t="s">
        <v>852</v>
      </c>
      <c r="D96" t="s">
        <v>33</v>
      </c>
      <c r="E96" s="162">
        <v>1.5</v>
      </c>
      <c r="F96" s="162">
        <v>25.78</v>
      </c>
      <c r="G96" s="165">
        <v>38.67</v>
      </c>
      <c r="H96" s="20">
        <v>53</v>
      </c>
      <c r="I96"/>
    </row>
    <row r="97" spans="1:9" x14ac:dyDescent="0.25">
      <c r="A97" s="228">
        <v>41872</v>
      </c>
      <c r="B97" s="161" t="s">
        <v>837</v>
      </c>
      <c r="C97" t="s">
        <v>8</v>
      </c>
      <c r="D97" t="s">
        <v>33</v>
      </c>
      <c r="E97" s="162">
        <v>9.5</v>
      </c>
      <c r="F97" s="162">
        <v>42.72</v>
      </c>
      <c r="G97" s="165">
        <v>405.84</v>
      </c>
      <c r="H97" s="20">
        <v>53</v>
      </c>
      <c r="I97"/>
    </row>
    <row r="98" spans="1:9" x14ac:dyDescent="0.25">
      <c r="A98" s="228">
        <v>41877</v>
      </c>
      <c r="B98" s="161" t="s">
        <v>820</v>
      </c>
      <c r="C98" t="s">
        <v>821</v>
      </c>
      <c r="D98" t="s">
        <v>747</v>
      </c>
      <c r="E98" s="162">
        <v>8.5</v>
      </c>
      <c r="F98" s="162">
        <v>125</v>
      </c>
      <c r="G98" s="165">
        <v>1062.5</v>
      </c>
      <c r="H98" s="20">
        <v>53</v>
      </c>
      <c r="I98"/>
    </row>
    <row r="99" spans="1:9" x14ac:dyDescent="0.25">
      <c r="A99" s="228">
        <v>41883</v>
      </c>
      <c r="B99" s="161" t="s">
        <v>843</v>
      </c>
      <c r="C99" t="s">
        <v>8</v>
      </c>
      <c r="D99" t="s">
        <v>33</v>
      </c>
      <c r="E99" s="162">
        <v>9.5</v>
      </c>
      <c r="F99" s="162">
        <v>35.11</v>
      </c>
      <c r="G99" s="165">
        <v>333.54500000000002</v>
      </c>
      <c r="H99" s="20">
        <v>53</v>
      </c>
      <c r="I99"/>
    </row>
    <row r="100" spans="1:9" x14ac:dyDescent="0.25">
      <c r="A100" s="228">
        <v>41883</v>
      </c>
      <c r="B100" s="161" t="s">
        <v>831</v>
      </c>
      <c r="C100" t="s">
        <v>1471</v>
      </c>
      <c r="D100" t="s">
        <v>832</v>
      </c>
      <c r="E100" s="162">
        <v>4</v>
      </c>
      <c r="F100" s="162">
        <v>54.58</v>
      </c>
      <c r="G100" s="165">
        <v>218.32</v>
      </c>
      <c r="H100" s="20">
        <v>53</v>
      </c>
      <c r="I100"/>
    </row>
    <row r="101" spans="1:9" x14ac:dyDescent="0.25">
      <c r="A101" s="228">
        <v>41883</v>
      </c>
      <c r="B101" s="161" t="s">
        <v>857</v>
      </c>
      <c r="C101" t="s">
        <v>858</v>
      </c>
      <c r="D101" t="s">
        <v>33</v>
      </c>
      <c r="E101" s="162">
        <v>1</v>
      </c>
      <c r="F101" s="162">
        <v>120</v>
      </c>
      <c r="G101" s="165">
        <v>120</v>
      </c>
      <c r="H101" s="20">
        <v>53</v>
      </c>
      <c r="I101"/>
    </row>
    <row r="102" spans="1:9" x14ac:dyDescent="0.25">
      <c r="A102" s="228">
        <v>41883</v>
      </c>
      <c r="B102" s="161" t="s">
        <v>855</v>
      </c>
      <c r="C102" t="s">
        <v>856</v>
      </c>
      <c r="D102" t="s">
        <v>33</v>
      </c>
      <c r="E102" s="162">
        <v>9.5</v>
      </c>
      <c r="F102" s="162">
        <v>21.61</v>
      </c>
      <c r="G102" s="165">
        <v>205.29499999999999</v>
      </c>
      <c r="H102" s="20">
        <v>53</v>
      </c>
      <c r="I102"/>
    </row>
    <row r="103" spans="1:9" x14ac:dyDescent="0.25">
      <c r="A103" s="228">
        <v>41884</v>
      </c>
      <c r="B103" s="161" t="s">
        <v>855</v>
      </c>
      <c r="C103" t="s">
        <v>856</v>
      </c>
      <c r="D103" t="s">
        <v>33</v>
      </c>
      <c r="E103" s="162">
        <v>9.5</v>
      </c>
      <c r="F103" s="162">
        <v>21.61</v>
      </c>
      <c r="G103" s="165">
        <v>205.29499999999999</v>
      </c>
      <c r="H103" s="20">
        <v>53</v>
      </c>
      <c r="I103"/>
    </row>
    <row r="104" spans="1:9" x14ac:dyDescent="0.25">
      <c r="A104" s="228">
        <v>41884</v>
      </c>
      <c r="B104" s="161" t="s">
        <v>503</v>
      </c>
      <c r="C104" t="s">
        <v>840</v>
      </c>
      <c r="D104" t="s">
        <v>19</v>
      </c>
      <c r="E104" s="162">
        <v>6</v>
      </c>
      <c r="F104" s="162"/>
      <c r="G104" s="165"/>
      <c r="H104" s="20">
        <v>53</v>
      </c>
      <c r="I104"/>
    </row>
    <row r="105" spans="1:9" x14ac:dyDescent="0.25">
      <c r="A105" s="228">
        <v>41884</v>
      </c>
      <c r="B105" s="161" t="s">
        <v>837</v>
      </c>
      <c r="C105" t="s">
        <v>8</v>
      </c>
      <c r="D105" t="s">
        <v>33</v>
      </c>
      <c r="E105" s="162">
        <v>3</v>
      </c>
      <c r="F105" s="162">
        <v>42.72</v>
      </c>
      <c r="G105" s="165">
        <v>128.16</v>
      </c>
      <c r="H105" s="20">
        <v>53</v>
      </c>
      <c r="I105"/>
    </row>
    <row r="106" spans="1:9" x14ac:dyDescent="0.25">
      <c r="A106" s="228">
        <v>41884</v>
      </c>
      <c r="B106" s="161" t="s">
        <v>843</v>
      </c>
      <c r="C106" t="s">
        <v>8</v>
      </c>
      <c r="D106" t="s">
        <v>33</v>
      </c>
      <c r="E106" s="162">
        <v>7</v>
      </c>
      <c r="F106" s="162">
        <v>35.11</v>
      </c>
      <c r="G106" s="165">
        <v>245.77</v>
      </c>
      <c r="H106" s="20">
        <v>53</v>
      </c>
      <c r="I106"/>
    </row>
    <row r="107" spans="1:9" x14ac:dyDescent="0.25">
      <c r="A107" s="228">
        <v>41884</v>
      </c>
      <c r="B107" s="161" t="s">
        <v>831</v>
      </c>
      <c r="C107" t="s">
        <v>1471</v>
      </c>
      <c r="D107" t="s">
        <v>832</v>
      </c>
      <c r="E107" s="162">
        <v>2</v>
      </c>
      <c r="F107" s="162">
        <v>54.58</v>
      </c>
      <c r="G107" s="165">
        <v>109.16</v>
      </c>
      <c r="H107" s="20">
        <v>53</v>
      </c>
      <c r="I107"/>
    </row>
    <row r="108" spans="1:9" ht="30" x14ac:dyDescent="0.25">
      <c r="A108" s="228">
        <v>41912</v>
      </c>
      <c r="B108" s="161" t="s">
        <v>859</v>
      </c>
      <c r="C108" t="s">
        <v>821</v>
      </c>
      <c r="D108" t="s">
        <v>747</v>
      </c>
      <c r="E108" s="162">
        <v>1</v>
      </c>
      <c r="F108" s="162">
        <v>2407.5</v>
      </c>
      <c r="G108" s="165">
        <v>2407.5</v>
      </c>
      <c r="H108" s="20">
        <v>53</v>
      </c>
      <c r="I108"/>
    </row>
    <row r="109" spans="1:9" x14ac:dyDescent="0.25">
      <c r="A109" s="228">
        <v>41912</v>
      </c>
      <c r="B109" s="161" t="s">
        <v>848</v>
      </c>
      <c r="C109" t="s">
        <v>821</v>
      </c>
      <c r="D109" t="s">
        <v>747</v>
      </c>
      <c r="E109" s="162">
        <v>17.5</v>
      </c>
      <c r="F109" s="162">
        <v>125</v>
      </c>
      <c r="G109" s="165">
        <v>2187.5</v>
      </c>
      <c r="H109" s="20">
        <v>53</v>
      </c>
      <c r="I109"/>
    </row>
    <row r="110" spans="1:9" x14ac:dyDescent="0.25">
      <c r="A110" s="228">
        <v>41914</v>
      </c>
      <c r="B110" s="161" t="s">
        <v>837</v>
      </c>
      <c r="C110" t="s">
        <v>8</v>
      </c>
      <c r="D110" t="s">
        <v>33</v>
      </c>
      <c r="E110" s="162">
        <v>4</v>
      </c>
      <c r="F110" s="162">
        <v>42.72</v>
      </c>
      <c r="G110" s="165">
        <v>170.88</v>
      </c>
      <c r="H110" s="20">
        <v>53</v>
      </c>
      <c r="I110"/>
    </row>
    <row r="111" spans="1:9" x14ac:dyDescent="0.25">
      <c r="A111" s="228">
        <v>41914</v>
      </c>
      <c r="B111" s="161" t="s">
        <v>843</v>
      </c>
      <c r="C111" t="s">
        <v>8</v>
      </c>
      <c r="D111" t="s">
        <v>33</v>
      </c>
      <c r="E111" s="162">
        <v>9.5</v>
      </c>
      <c r="F111" s="162">
        <v>35.11</v>
      </c>
      <c r="G111" s="165">
        <v>333.54500000000002</v>
      </c>
      <c r="H111" s="20">
        <v>53</v>
      </c>
      <c r="I111"/>
    </row>
    <row r="112" spans="1:9" x14ac:dyDescent="0.25">
      <c r="A112" s="228">
        <v>41914</v>
      </c>
      <c r="B112" s="161" t="s">
        <v>855</v>
      </c>
      <c r="C112" t="s">
        <v>856</v>
      </c>
      <c r="D112" t="s">
        <v>33</v>
      </c>
      <c r="E112" s="162">
        <v>4</v>
      </c>
      <c r="F112" s="162">
        <v>21.61</v>
      </c>
      <c r="G112" s="165">
        <v>86.44</v>
      </c>
      <c r="H112" s="20">
        <v>53</v>
      </c>
      <c r="I112"/>
    </row>
    <row r="113" spans="1:9" x14ac:dyDescent="0.25">
      <c r="A113" s="228">
        <v>41914</v>
      </c>
      <c r="B113" s="161" t="s">
        <v>829</v>
      </c>
      <c r="C113" t="s">
        <v>830</v>
      </c>
      <c r="D113" t="s">
        <v>33</v>
      </c>
      <c r="E113" s="162">
        <v>2</v>
      </c>
      <c r="F113" s="162">
        <v>110</v>
      </c>
      <c r="G113" s="165">
        <v>220</v>
      </c>
      <c r="H113" s="20">
        <v>53</v>
      </c>
      <c r="I113"/>
    </row>
    <row r="114" spans="1:9" x14ac:dyDescent="0.25">
      <c r="A114" s="230" t="s">
        <v>642</v>
      </c>
      <c r="B114" s="231" t="s">
        <v>860</v>
      </c>
      <c r="C114" s="232" t="s">
        <v>642</v>
      </c>
      <c r="D114" s="232" t="s">
        <v>642</v>
      </c>
      <c r="E114" s="233"/>
      <c r="F114" s="233"/>
      <c r="G114" s="234">
        <v>11469.48</v>
      </c>
      <c r="H114" s="235" t="s">
        <v>642</v>
      </c>
      <c r="I114"/>
    </row>
    <row r="115" spans="1:9" x14ac:dyDescent="0.25">
      <c r="A115" s="228" t="s">
        <v>642</v>
      </c>
      <c r="B115" s="161" t="s">
        <v>642</v>
      </c>
      <c r="C115" t="s">
        <v>642</v>
      </c>
      <c r="D115" t="s">
        <v>642</v>
      </c>
      <c r="E115" s="162"/>
      <c r="F115" s="162"/>
      <c r="G115" s="165"/>
      <c r="H115" s="20" t="s">
        <v>642</v>
      </c>
      <c r="I115"/>
    </row>
    <row r="116" spans="1:9" x14ac:dyDescent="0.25">
      <c r="A116" s="226" t="s">
        <v>642</v>
      </c>
      <c r="B116" s="159" t="s">
        <v>861</v>
      </c>
      <c r="C116" s="64" t="s">
        <v>642</v>
      </c>
      <c r="D116" s="64" t="s">
        <v>642</v>
      </c>
      <c r="E116" s="227"/>
      <c r="F116" s="227"/>
      <c r="G116" s="166"/>
      <c r="H116" s="160" t="s">
        <v>642</v>
      </c>
      <c r="I116"/>
    </row>
    <row r="117" spans="1:9" x14ac:dyDescent="0.25">
      <c r="A117" s="228">
        <v>41817</v>
      </c>
      <c r="B117" s="161" t="s">
        <v>836</v>
      </c>
      <c r="C117" t="s">
        <v>8</v>
      </c>
      <c r="D117" t="s">
        <v>33</v>
      </c>
      <c r="E117" s="162">
        <v>5</v>
      </c>
      <c r="F117" s="162">
        <v>38.450000000000003</v>
      </c>
      <c r="G117" s="165">
        <v>192.25</v>
      </c>
      <c r="H117" s="20">
        <v>54</v>
      </c>
      <c r="I117"/>
    </row>
    <row r="118" spans="1:9" x14ac:dyDescent="0.25">
      <c r="A118" s="228">
        <v>41817</v>
      </c>
      <c r="B118" s="161" t="s">
        <v>831</v>
      </c>
      <c r="C118" t="s">
        <v>1471</v>
      </c>
      <c r="D118" t="s">
        <v>832</v>
      </c>
      <c r="E118" s="162">
        <v>3</v>
      </c>
      <c r="F118" s="162">
        <v>54.58</v>
      </c>
      <c r="G118" s="165">
        <v>163.74</v>
      </c>
      <c r="H118" s="20">
        <v>54</v>
      </c>
      <c r="I118"/>
    </row>
    <row r="119" spans="1:9" x14ac:dyDescent="0.25">
      <c r="A119" s="228">
        <v>41850</v>
      </c>
      <c r="B119" s="161" t="s">
        <v>837</v>
      </c>
      <c r="C119" t="s">
        <v>8</v>
      </c>
      <c r="D119" t="s">
        <v>33</v>
      </c>
      <c r="E119" s="162">
        <v>2.5</v>
      </c>
      <c r="F119" s="162">
        <v>42.72</v>
      </c>
      <c r="G119" s="165">
        <v>106.8</v>
      </c>
      <c r="H119" s="20">
        <v>54</v>
      </c>
      <c r="I119"/>
    </row>
    <row r="120" spans="1:9" x14ac:dyDescent="0.25">
      <c r="A120" s="228">
        <v>41850</v>
      </c>
      <c r="B120" s="161" t="s">
        <v>838</v>
      </c>
      <c r="C120" t="s">
        <v>8</v>
      </c>
      <c r="D120" t="s">
        <v>33</v>
      </c>
      <c r="E120" s="162">
        <v>9</v>
      </c>
      <c r="F120" s="162">
        <v>39.979999999999997</v>
      </c>
      <c r="G120" s="165">
        <v>359.82</v>
      </c>
      <c r="H120" s="20">
        <v>54</v>
      </c>
      <c r="I120"/>
    </row>
    <row r="121" spans="1:9" x14ac:dyDescent="0.25">
      <c r="A121" s="228">
        <v>41850</v>
      </c>
      <c r="B121" s="161" t="s">
        <v>831</v>
      </c>
      <c r="C121" t="s">
        <v>1471</v>
      </c>
      <c r="D121" t="s">
        <v>832</v>
      </c>
      <c r="E121" s="162">
        <v>4</v>
      </c>
      <c r="F121" s="162">
        <v>54.58</v>
      </c>
      <c r="G121" s="165">
        <v>218.32</v>
      </c>
      <c r="H121" s="20">
        <v>54</v>
      </c>
      <c r="I121"/>
    </row>
    <row r="122" spans="1:9" x14ac:dyDescent="0.25">
      <c r="A122" s="228">
        <v>41855</v>
      </c>
      <c r="B122" s="161" t="s">
        <v>837</v>
      </c>
      <c r="C122" t="s">
        <v>8</v>
      </c>
      <c r="D122" t="s">
        <v>33</v>
      </c>
      <c r="E122" s="162">
        <v>9</v>
      </c>
      <c r="F122" s="162">
        <v>35.11</v>
      </c>
      <c r="G122" s="165">
        <v>315.99</v>
      </c>
      <c r="H122" s="20">
        <v>54</v>
      </c>
      <c r="I122"/>
    </row>
    <row r="123" spans="1:9" x14ac:dyDescent="0.25">
      <c r="A123" s="228">
        <v>41855</v>
      </c>
      <c r="B123" s="161" t="s">
        <v>855</v>
      </c>
      <c r="C123" t="s">
        <v>856</v>
      </c>
      <c r="D123" t="s">
        <v>33</v>
      </c>
      <c r="E123" s="162">
        <v>5</v>
      </c>
      <c r="F123" s="162">
        <v>21.61</v>
      </c>
      <c r="G123" s="165">
        <v>108.05</v>
      </c>
      <c r="H123" s="20">
        <v>54</v>
      </c>
      <c r="I123"/>
    </row>
    <row r="124" spans="1:9" x14ac:dyDescent="0.25">
      <c r="A124" s="228">
        <v>41855</v>
      </c>
      <c r="B124" s="161" t="s">
        <v>503</v>
      </c>
      <c r="C124" t="s">
        <v>840</v>
      </c>
      <c r="D124" t="s">
        <v>19</v>
      </c>
      <c r="E124" s="162">
        <v>6.5</v>
      </c>
      <c r="F124" s="162"/>
      <c r="G124" s="165"/>
      <c r="H124" s="20">
        <v>54</v>
      </c>
      <c r="I124"/>
    </row>
    <row r="125" spans="1:9" x14ac:dyDescent="0.25">
      <c r="A125" s="228">
        <v>41855</v>
      </c>
      <c r="B125" s="161" t="s">
        <v>831</v>
      </c>
      <c r="C125" t="s">
        <v>1471</v>
      </c>
      <c r="D125" t="s">
        <v>832</v>
      </c>
      <c r="E125" s="162">
        <v>3</v>
      </c>
      <c r="F125" s="162">
        <v>54.58</v>
      </c>
      <c r="G125" s="165">
        <v>163.74</v>
      </c>
      <c r="H125" s="20">
        <v>54</v>
      </c>
      <c r="I125"/>
    </row>
    <row r="126" spans="1:9" x14ac:dyDescent="0.25">
      <c r="A126" s="228">
        <v>41859</v>
      </c>
      <c r="B126" s="161" t="s">
        <v>862</v>
      </c>
      <c r="C126" t="s">
        <v>1472</v>
      </c>
      <c r="D126" t="s">
        <v>33</v>
      </c>
      <c r="E126" s="162">
        <v>2</v>
      </c>
      <c r="F126" s="162">
        <v>88.74</v>
      </c>
      <c r="G126" s="165">
        <v>177.48</v>
      </c>
      <c r="H126" s="20">
        <v>54</v>
      </c>
      <c r="I126"/>
    </row>
    <row r="127" spans="1:9" x14ac:dyDescent="0.25">
      <c r="A127" s="228">
        <v>41859</v>
      </c>
      <c r="B127" s="161" t="s">
        <v>837</v>
      </c>
      <c r="C127" t="s">
        <v>8</v>
      </c>
      <c r="D127" t="s">
        <v>33</v>
      </c>
      <c r="E127" s="162">
        <v>1.5</v>
      </c>
      <c r="F127" s="162">
        <v>42.72</v>
      </c>
      <c r="G127" s="165">
        <v>64.08</v>
      </c>
      <c r="H127" s="20">
        <v>54</v>
      </c>
      <c r="I127"/>
    </row>
    <row r="128" spans="1:9" x14ac:dyDescent="0.25">
      <c r="A128" s="228">
        <v>41873</v>
      </c>
      <c r="B128" s="161" t="s">
        <v>829</v>
      </c>
      <c r="C128" t="s">
        <v>830</v>
      </c>
      <c r="D128" t="s">
        <v>747</v>
      </c>
      <c r="E128" s="162">
        <v>8.5</v>
      </c>
      <c r="F128" s="162">
        <v>110</v>
      </c>
      <c r="G128" s="165">
        <v>935</v>
      </c>
      <c r="H128" s="20">
        <v>54</v>
      </c>
      <c r="I128"/>
    </row>
    <row r="129" spans="1:9" x14ac:dyDescent="0.25">
      <c r="A129" s="228">
        <v>41874</v>
      </c>
      <c r="B129" s="161" t="s">
        <v>829</v>
      </c>
      <c r="C129" t="s">
        <v>830</v>
      </c>
      <c r="D129" t="s">
        <v>747</v>
      </c>
      <c r="E129" s="162">
        <v>6</v>
      </c>
      <c r="F129" s="162">
        <v>110</v>
      </c>
      <c r="G129" s="165">
        <v>660</v>
      </c>
      <c r="H129" s="20">
        <v>54</v>
      </c>
      <c r="I129"/>
    </row>
    <row r="130" spans="1:9" x14ac:dyDescent="0.25">
      <c r="A130" s="228">
        <v>41874</v>
      </c>
      <c r="B130" s="161" t="s">
        <v>495</v>
      </c>
      <c r="C130" t="s">
        <v>833</v>
      </c>
      <c r="D130" t="s">
        <v>33</v>
      </c>
      <c r="E130" s="162">
        <v>6</v>
      </c>
      <c r="F130" s="162">
        <v>95</v>
      </c>
      <c r="G130" s="165">
        <v>570</v>
      </c>
      <c r="H130" s="20">
        <v>54</v>
      </c>
      <c r="I130"/>
    </row>
    <row r="131" spans="1:9" x14ac:dyDescent="0.25">
      <c r="A131" s="228">
        <v>41876</v>
      </c>
      <c r="B131" s="161" t="s">
        <v>853</v>
      </c>
      <c r="C131" t="s">
        <v>854</v>
      </c>
      <c r="D131" t="s">
        <v>33</v>
      </c>
      <c r="E131" s="162">
        <v>8.5</v>
      </c>
      <c r="F131" s="162">
        <v>42.79</v>
      </c>
      <c r="G131" s="165">
        <v>363.71499999999997</v>
      </c>
      <c r="H131" s="20">
        <v>54</v>
      </c>
      <c r="I131"/>
    </row>
    <row r="132" spans="1:9" x14ac:dyDescent="0.25">
      <c r="A132" s="228">
        <v>41876</v>
      </c>
      <c r="B132" s="161" t="s">
        <v>851</v>
      </c>
      <c r="C132" t="s">
        <v>852</v>
      </c>
      <c r="D132" t="s">
        <v>33</v>
      </c>
      <c r="E132" s="162">
        <v>1.5</v>
      </c>
      <c r="F132" s="162">
        <v>25.78</v>
      </c>
      <c r="G132" s="165">
        <v>38.67</v>
      </c>
      <c r="H132" s="20">
        <v>54</v>
      </c>
      <c r="I132"/>
    </row>
    <row r="133" spans="1:9" x14ac:dyDescent="0.25">
      <c r="A133" s="228">
        <v>41876</v>
      </c>
      <c r="B133" s="161" t="s">
        <v>829</v>
      </c>
      <c r="C133" t="s">
        <v>830</v>
      </c>
      <c r="D133" t="s">
        <v>747</v>
      </c>
      <c r="E133" s="162">
        <v>5</v>
      </c>
      <c r="F133" s="162">
        <v>110</v>
      </c>
      <c r="G133" s="165">
        <v>550</v>
      </c>
      <c r="H133" s="20">
        <v>54</v>
      </c>
      <c r="I133"/>
    </row>
    <row r="134" spans="1:9" x14ac:dyDescent="0.25">
      <c r="A134" s="228">
        <v>41876</v>
      </c>
      <c r="B134" s="161" t="s">
        <v>843</v>
      </c>
      <c r="C134" t="s">
        <v>8</v>
      </c>
      <c r="D134" t="s">
        <v>33</v>
      </c>
      <c r="E134" s="162">
        <v>8.5</v>
      </c>
      <c r="F134" s="162">
        <v>35.11</v>
      </c>
      <c r="G134" s="165">
        <v>298.435</v>
      </c>
      <c r="H134" s="20">
        <v>54</v>
      </c>
      <c r="I134"/>
    </row>
    <row r="135" spans="1:9" x14ac:dyDescent="0.25">
      <c r="A135" s="228">
        <v>41876</v>
      </c>
      <c r="B135" s="161" t="s">
        <v>838</v>
      </c>
      <c r="C135" t="s">
        <v>8</v>
      </c>
      <c r="D135" t="s">
        <v>33</v>
      </c>
      <c r="E135" s="162">
        <v>1</v>
      </c>
      <c r="F135" s="162">
        <v>39.979999999999997</v>
      </c>
      <c r="G135" s="165">
        <v>39.979999999999997</v>
      </c>
      <c r="H135" s="20">
        <v>54</v>
      </c>
      <c r="I135"/>
    </row>
    <row r="136" spans="1:9" x14ac:dyDescent="0.25">
      <c r="A136" s="228">
        <v>41876</v>
      </c>
      <c r="B136" s="161" t="s">
        <v>837</v>
      </c>
      <c r="C136" t="s">
        <v>8</v>
      </c>
      <c r="D136" t="s">
        <v>33</v>
      </c>
      <c r="E136" s="162">
        <v>8.5</v>
      </c>
      <c r="F136" s="162">
        <v>42.72</v>
      </c>
      <c r="G136" s="165">
        <v>363.12</v>
      </c>
      <c r="H136" s="20">
        <v>54</v>
      </c>
      <c r="I136"/>
    </row>
    <row r="137" spans="1:9" x14ac:dyDescent="0.25">
      <c r="A137" s="228">
        <v>41877</v>
      </c>
      <c r="B137" s="161" t="s">
        <v>851</v>
      </c>
      <c r="C137" t="s">
        <v>852</v>
      </c>
      <c r="D137" t="s">
        <v>33</v>
      </c>
      <c r="E137" s="162">
        <v>1</v>
      </c>
      <c r="F137" s="162">
        <v>25.78</v>
      </c>
      <c r="G137" s="165">
        <v>25.78</v>
      </c>
      <c r="H137" s="20">
        <v>54</v>
      </c>
      <c r="I137"/>
    </row>
    <row r="138" spans="1:9" x14ac:dyDescent="0.25">
      <c r="A138" s="228">
        <v>41877</v>
      </c>
      <c r="B138" s="161" t="s">
        <v>853</v>
      </c>
      <c r="C138" t="s">
        <v>854</v>
      </c>
      <c r="D138" t="s">
        <v>33</v>
      </c>
      <c r="E138" s="162">
        <v>9.5</v>
      </c>
      <c r="F138" s="162">
        <v>42.79</v>
      </c>
      <c r="G138" s="165">
        <v>406.505</v>
      </c>
      <c r="H138" s="20">
        <v>54</v>
      </c>
      <c r="I138"/>
    </row>
    <row r="139" spans="1:9" x14ac:dyDescent="0.25">
      <c r="A139" s="228">
        <v>41877</v>
      </c>
      <c r="B139" s="161" t="s">
        <v>820</v>
      </c>
      <c r="C139" t="s">
        <v>821</v>
      </c>
      <c r="D139" t="s">
        <v>747</v>
      </c>
      <c r="E139" s="162">
        <v>15.5</v>
      </c>
      <c r="F139" s="162">
        <v>125</v>
      </c>
      <c r="G139" s="165">
        <v>1937.5</v>
      </c>
      <c r="H139" s="20">
        <v>54</v>
      </c>
      <c r="I139"/>
    </row>
    <row r="140" spans="1:9" x14ac:dyDescent="0.25">
      <c r="A140" s="228">
        <v>41877</v>
      </c>
      <c r="B140" s="161" t="s">
        <v>829</v>
      </c>
      <c r="C140" t="s">
        <v>830</v>
      </c>
      <c r="D140" t="s">
        <v>747</v>
      </c>
      <c r="E140" s="162">
        <v>9.5</v>
      </c>
      <c r="F140" s="162">
        <v>110</v>
      </c>
      <c r="G140" s="165">
        <v>1045</v>
      </c>
      <c r="H140" s="20">
        <v>54</v>
      </c>
      <c r="I140"/>
    </row>
    <row r="141" spans="1:9" x14ac:dyDescent="0.25">
      <c r="A141" s="228">
        <v>41877</v>
      </c>
      <c r="B141" s="161" t="s">
        <v>831</v>
      </c>
      <c r="C141" t="s">
        <v>1471</v>
      </c>
      <c r="D141" t="s">
        <v>832</v>
      </c>
      <c r="E141" s="162">
        <v>5</v>
      </c>
      <c r="F141" s="162">
        <v>54.58</v>
      </c>
      <c r="G141" s="165">
        <v>272.89999999999998</v>
      </c>
      <c r="H141" s="20">
        <v>54</v>
      </c>
      <c r="I141"/>
    </row>
    <row r="142" spans="1:9" x14ac:dyDescent="0.25">
      <c r="A142" s="228">
        <v>41877</v>
      </c>
      <c r="B142" s="161" t="s">
        <v>843</v>
      </c>
      <c r="C142" t="s">
        <v>8</v>
      </c>
      <c r="D142" t="s">
        <v>33</v>
      </c>
      <c r="E142" s="162">
        <v>9.5</v>
      </c>
      <c r="F142" s="162">
        <v>35.11</v>
      </c>
      <c r="G142" s="165">
        <v>333.54500000000002</v>
      </c>
      <c r="H142" s="20">
        <v>54</v>
      </c>
      <c r="I142"/>
    </row>
    <row r="143" spans="1:9" x14ac:dyDescent="0.25">
      <c r="A143" s="228">
        <v>41877</v>
      </c>
      <c r="B143" s="161" t="s">
        <v>837</v>
      </c>
      <c r="C143" t="s">
        <v>8</v>
      </c>
      <c r="D143" t="s">
        <v>33</v>
      </c>
      <c r="E143" s="162">
        <v>9.5</v>
      </c>
      <c r="F143" s="162">
        <v>42.72</v>
      </c>
      <c r="G143" s="165">
        <v>405.84</v>
      </c>
      <c r="H143" s="20">
        <v>54</v>
      </c>
      <c r="I143"/>
    </row>
    <row r="144" spans="1:9" x14ac:dyDescent="0.25">
      <c r="A144" s="228">
        <v>41877</v>
      </c>
      <c r="B144" s="161" t="s">
        <v>837</v>
      </c>
      <c r="C144" t="s">
        <v>8</v>
      </c>
      <c r="D144" t="s">
        <v>33</v>
      </c>
      <c r="E144" s="162">
        <v>9.5</v>
      </c>
      <c r="F144" s="162">
        <v>35.11</v>
      </c>
      <c r="G144" s="165">
        <v>333.54500000000002</v>
      </c>
      <c r="H144" s="20">
        <v>54</v>
      </c>
      <c r="I144"/>
    </row>
    <row r="145" spans="1:9" x14ac:dyDescent="0.25">
      <c r="A145" s="228">
        <v>41878</v>
      </c>
      <c r="B145" s="161" t="s">
        <v>829</v>
      </c>
      <c r="C145" t="s">
        <v>830</v>
      </c>
      <c r="D145" t="s">
        <v>33</v>
      </c>
      <c r="E145" s="162">
        <v>9</v>
      </c>
      <c r="F145" s="162">
        <v>110</v>
      </c>
      <c r="G145" s="165">
        <v>990</v>
      </c>
      <c r="H145" s="20">
        <v>54</v>
      </c>
      <c r="I145"/>
    </row>
    <row r="146" spans="1:9" x14ac:dyDescent="0.25">
      <c r="A146" s="228">
        <v>41878</v>
      </c>
      <c r="B146" s="161" t="s">
        <v>843</v>
      </c>
      <c r="C146" t="s">
        <v>8</v>
      </c>
      <c r="D146" t="s">
        <v>33</v>
      </c>
      <c r="E146" s="162">
        <v>9.5</v>
      </c>
      <c r="F146" s="162">
        <v>35.11</v>
      </c>
      <c r="G146" s="165">
        <v>333.54500000000002</v>
      </c>
      <c r="H146" s="20">
        <v>54</v>
      </c>
      <c r="I146"/>
    </row>
    <row r="147" spans="1:9" x14ac:dyDescent="0.25">
      <c r="A147" s="228">
        <v>41879</v>
      </c>
      <c r="B147" s="161" t="s">
        <v>843</v>
      </c>
      <c r="C147" t="s">
        <v>8</v>
      </c>
      <c r="D147" t="s">
        <v>33</v>
      </c>
      <c r="E147" s="162">
        <v>3</v>
      </c>
      <c r="F147" s="162">
        <v>35.11</v>
      </c>
      <c r="G147" s="165">
        <v>105.33</v>
      </c>
      <c r="H147" s="20">
        <v>54</v>
      </c>
      <c r="I147"/>
    </row>
    <row r="148" spans="1:9" x14ac:dyDescent="0.25">
      <c r="A148" s="228">
        <v>41879</v>
      </c>
      <c r="B148" s="161" t="s">
        <v>838</v>
      </c>
      <c r="C148" t="s">
        <v>8</v>
      </c>
      <c r="D148" t="s">
        <v>33</v>
      </c>
      <c r="E148" s="162">
        <v>3</v>
      </c>
      <c r="F148" s="162">
        <v>39.979999999999997</v>
      </c>
      <c r="G148" s="165">
        <v>119.94</v>
      </c>
      <c r="H148" s="20">
        <v>54</v>
      </c>
      <c r="I148"/>
    </row>
    <row r="149" spans="1:9" x14ac:dyDescent="0.25">
      <c r="A149" s="228">
        <v>41880</v>
      </c>
      <c r="B149" s="161" t="s">
        <v>837</v>
      </c>
      <c r="C149" t="s">
        <v>8</v>
      </c>
      <c r="D149" t="s">
        <v>33</v>
      </c>
      <c r="E149" s="162">
        <v>9.5</v>
      </c>
      <c r="F149" s="162">
        <v>42.72</v>
      </c>
      <c r="G149" s="165">
        <v>405.84</v>
      </c>
      <c r="H149" s="20">
        <v>54</v>
      </c>
      <c r="I149"/>
    </row>
    <row r="150" spans="1:9" x14ac:dyDescent="0.25">
      <c r="A150" s="228">
        <v>41880</v>
      </c>
      <c r="B150" s="161" t="s">
        <v>853</v>
      </c>
      <c r="C150" t="s">
        <v>854</v>
      </c>
      <c r="D150" t="s">
        <v>33</v>
      </c>
      <c r="E150" s="162">
        <v>9</v>
      </c>
      <c r="F150" s="162">
        <v>42.79</v>
      </c>
      <c r="G150" s="165">
        <v>385.11</v>
      </c>
      <c r="H150" s="20">
        <v>54</v>
      </c>
      <c r="I150"/>
    </row>
    <row r="151" spans="1:9" x14ac:dyDescent="0.25">
      <c r="A151" s="228">
        <v>41880</v>
      </c>
      <c r="B151" s="161" t="s">
        <v>843</v>
      </c>
      <c r="C151" t="s">
        <v>8</v>
      </c>
      <c r="D151" t="s">
        <v>33</v>
      </c>
      <c r="E151" s="162">
        <v>3</v>
      </c>
      <c r="F151" s="162">
        <v>35.11</v>
      </c>
      <c r="G151" s="165">
        <v>105.33</v>
      </c>
      <c r="H151" s="20">
        <v>54</v>
      </c>
      <c r="I151"/>
    </row>
    <row r="152" spans="1:9" x14ac:dyDescent="0.25">
      <c r="A152" s="228">
        <v>41880</v>
      </c>
      <c r="B152" s="161" t="s">
        <v>838</v>
      </c>
      <c r="C152" t="s">
        <v>8</v>
      </c>
      <c r="D152" t="s">
        <v>33</v>
      </c>
      <c r="E152" s="162">
        <v>9.5</v>
      </c>
      <c r="F152" s="162">
        <v>39.979999999999997</v>
      </c>
      <c r="G152" s="165">
        <v>379.81</v>
      </c>
      <c r="H152" s="20">
        <v>54</v>
      </c>
      <c r="I152"/>
    </row>
    <row r="153" spans="1:9" x14ac:dyDescent="0.25">
      <c r="A153" s="228">
        <v>41880</v>
      </c>
      <c r="B153" s="161" t="s">
        <v>829</v>
      </c>
      <c r="C153" t="s">
        <v>830</v>
      </c>
      <c r="D153" t="s">
        <v>747</v>
      </c>
      <c r="E153" s="162">
        <v>8</v>
      </c>
      <c r="F153" s="162">
        <v>110</v>
      </c>
      <c r="G153" s="165">
        <v>880</v>
      </c>
      <c r="H153" s="20">
        <v>54</v>
      </c>
      <c r="I153"/>
    </row>
    <row r="154" spans="1:9" x14ac:dyDescent="0.25">
      <c r="A154" s="228">
        <v>41880</v>
      </c>
      <c r="B154" s="161" t="s">
        <v>495</v>
      </c>
      <c r="C154" t="s">
        <v>833</v>
      </c>
      <c r="D154" t="s">
        <v>33</v>
      </c>
      <c r="E154" s="162">
        <v>9</v>
      </c>
      <c r="F154" s="162">
        <v>95</v>
      </c>
      <c r="G154" s="165">
        <v>855</v>
      </c>
      <c r="H154" s="20">
        <v>54</v>
      </c>
      <c r="I154"/>
    </row>
    <row r="155" spans="1:9" x14ac:dyDescent="0.25">
      <c r="A155" s="228">
        <v>41880</v>
      </c>
      <c r="B155" s="161" t="s">
        <v>851</v>
      </c>
      <c r="C155" t="s">
        <v>852</v>
      </c>
      <c r="D155" t="s">
        <v>33</v>
      </c>
      <c r="E155" s="162">
        <v>1</v>
      </c>
      <c r="F155" s="162">
        <v>25.78</v>
      </c>
      <c r="G155" s="165">
        <v>25.78</v>
      </c>
      <c r="H155" s="20">
        <v>54</v>
      </c>
      <c r="I155"/>
    </row>
    <row r="156" spans="1:9" x14ac:dyDescent="0.25">
      <c r="A156" s="228">
        <v>41883</v>
      </c>
      <c r="B156" s="161" t="s">
        <v>853</v>
      </c>
      <c r="C156" t="s">
        <v>854</v>
      </c>
      <c r="D156" t="s">
        <v>33</v>
      </c>
      <c r="E156" s="162">
        <v>9.5</v>
      </c>
      <c r="F156" s="162">
        <v>42.79</v>
      </c>
      <c r="G156" s="165">
        <v>406.505</v>
      </c>
      <c r="H156" s="20">
        <v>54</v>
      </c>
      <c r="I156"/>
    </row>
    <row r="157" spans="1:9" x14ac:dyDescent="0.25">
      <c r="A157" s="228">
        <v>41883</v>
      </c>
      <c r="B157" s="161" t="s">
        <v>851</v>
      </c>
      <c r="C157" t="s">
        <v>852</v>
      </c>
      <c r="D157" t="s">
        <v>33</v>
      </c>
      <c r="E157" s="162">
        <v>1</v>
      </c>
      <c r="F157" s="162">
        <v>25.78</v>
      </c>
      <c r="G157" s="165">
        <v>25.78</v>
      </c>
      <c r="H157" s="20">
        <v>54</v>
      </c>
      <c r="I157"/>
    </row>
    <row r="158" spans="1:9" x14ac:dyDescent="0.25">
      <c r="A158" s="228">
        <v>41883</v>
      </c>
      <c r="B158" s="161" t="s">
        <v>838</v>
      </c>
      <c r="C158" t="s">
        <v>8</v>
      </c>
      <c r="D158" t="s">
        <v>33</v>
      </c>
      <c r="E158" s="162">
        <v>9</v>
      </c>
      <c r="F158" s="162">
        <v>39.979999999999997</v>
      </c>
      <c r="G158" s="165">
        <v>359.82</v>
      </c>
      <c r="H158" s="20">
        <v>54</v>
      </c>
      <c r="I158"/>
    </row>
    <row r="159" spans="1:9" x14ac:dyDescent="0.25">
      <c r="A159" s="228">
        <v>41883</v>
      </c>
      <c r="B159" s="161" t="s">
        <v>837</v>
      </c>
      <c r="C159" t="s">
        <v>8</v>
      </c>
      <c r="D159" t="s">
        <v>33</v>
      </c>
      <c r="E159" s="162">
        <v>9.5</v>
      </c>
      <c r="F159" s="162">
        <v>42.72</v>
      </c>
      <c r="G159" s="165">
        <v>405.84</v>
      </c>
      <c r="H159" s="20">
        <v>54</v>
      </c>
      <c r="I159"/>
    </row>
    <row r="160" spans="1:9" x14ac:dyDescent="0.25">
      <c r="A160" s="228">
        <v>41883</v>
      </c>
      <c r="B160" s="161" t="s">
        <v>829</v>
      </c>
      <c r="C160" t="s">
        <v>830</v>
      </c>
      <c r="D160" t="s">
        <v>33</v>
      </c>
      <c r="E160" s="162">
        <v>9.5</v>
      </c>
      <c r="F160" s="162">
        <v>110</v>
      </c>
      <c r="G160" s="165">
        <v>1045</v>
      </c>
      <c r="H160" s="20">
        <v>54</v>
      </c>
      <c r="I160"/>
    </row>
    <row r="161" spans="1:9" x14ac:dyDescent="0.25">
      <c r="A161" s="228">
        <v>41883</v>
      </c>
      <c r="B161" s="161" t="s">
        <v>495</v>
      </c>
      <c r="C161" t="s">
        <v>833</v>
      </c>
      <c r="D161" t="s">
        <v>33</v>
      </c>
      <c r="E161" s="162">
        <v>9.5</v>
      </c>
      <c r="F161" s="162">
        <v>95</v>
      </c>
      <c r="G161" s="165">
        <v>902.5</v>
      </c>
      <c r="H161" s="20">
        <v>54</v>
      </c>
      <c r="I161"/>
    </row>
    <row r="162" spans="1:9" x14ac:dyDescent="0.25">
      <c r="A162" s="228">
        <v>41884</v>
      </c>
      <c r="B162" s="161" t="s">
        <v>831</v>
      </c>
      <c r="C162" t="s">
        <v>1471</v>
      </c>
      <c r="D162" t="s">
        <v>832</v>
      </c>
      <c r="E162" s="162">
        <v>2</v>
      </c>
      <c r="F162" s="162">
        <v>54.58</v>
      </c>
      <c r="G162" s="165">
        <v>109.16</v>
      </c>
      <c r="H162" s="20">
        <v>54</v>
      </c>
      <c r="I162"/>
    </row>
    <row r="163" spans="1:9" x14ac:dyDescent="0.25">
      <c r="A163" s="228">
        <v>41884</v>
      </c>
      <c r="B163" s="161" t="s">
        <v>837</v>
      </c>
      <c r="C163" t="s">
        <v>8</v>
      </c>
      <c r="D163" t="s">
        <v>33</v>
      </c>
      <c r="E163" s="162">
        <v>4.5</v>
      </c>
      <c r="F163" s="162">
        <v>42.72</v>
      </c>
      <c r="G163" s="165">
        <v>192.24</v>
      </c>
      <c r="H163" s="20">
        <v>54</v>
      </c>
      <c r="I163"/>
    </row>
    <row r="164" spans="1:9" x14ac:dyDescent="0.25">
      <c r="A164" s="228">
        <v>41884</v>
      </c>
      <c r="B164" s="161" t="s">
        <v>853</v>
      </c>
      <c r="C164" t="s">
        <v>854</v>
      </c>
      <c r="D164" t="s">
        <v>33</v>
      </c>
      <c r="E164" s="162">
        <v>9.5</v>
      </c>
      <c r="F164" s="162">
        <v>42.79</v>
      </c>
      <c r="G164" s="165">
        <v>406.505</v>
      </c>
      <c r="H164" s="20">
        <v>54</v>
      </c>
      <c r="I164"/>
    </row>
    <row r="165" spans="1:9" x14ac:dyDescent="0.25">
      <c r="A165" s="228">
        <v>41884</v>
      </c>
      <c r="B165" s="161" t="s">
        <v>851</v>
      </c>
      <c r="C165" t="s">
        <v>852</v>
      </c>
      <c r="D165" t="s">
        <v>33</v>
      </c>
      <c r="E165" s="162">
        <v>0.5</v>
      </c>
      <c r="F165" s="162">
        <v>25.78</v>
      </c>
      <c r="G165" s="165">
        <v>12.89</v>
      </c>
      <c r="H165" s="20">
        <v>54</v>
      </c>
      <c r="I165"/>
    </row>
    <row r="166" spans="1:9" x14ac:dyDescent="0.25">
      <c r="A166" s="228">
        <v>41884</v>
      </c>
      <c r="B166" s="161" t="s">
        <v>829</v>
      </c>
      <c r="C166" t="s">
        <v>830</v>
      </c>
      <c r="D166" t="s">
        <v>33</v>
      </c>
      <c r="E166" s="162">
        <v>3.5</v>
      </c>
      <c r="F166" s="162">
        <v>110</v>
      </c>
      <c r="G166" s="165">
        <v>385</v>
      </c>
      <c r="H166" s="20">
        <v>54</v>
      </c>
      <c r="I166"/>
    </row>
    <row r="167" spans="1:9" x14ac:dyDescent="0.25">
      <c r="A167" s="228">
        <v>41885</v>
      </c>
      <c r="B167" s="161" t="s">
        <v>831</v>
      </c>
      <c r="C167" t="s">
        <v>1471</v>
      </c>
      <c r="D167" t="s">
        <v>832</v>
      </c>
      <c r="E167" s="162">
        <v>2</v>
      </c>
      <c r="F167" s="162">
        <v>54.58</v>
      </c>
      <c r="G167" s="165">
        <v>109.16</v>
      </c>
      <c r="H167" s="20">
        <v>54</v>
      </c>
      <c r="I167"/>
    </row>
    <row r="168" spans="1:9" x14ac:dyDescent="0.25">
      <c r="A168" s="228">
        <v>41885</v>
      </c>
      <c r="B168" s="161" t="s">
        <v>837</v>
      </c>
      <c r="C168" t="s">
        <v>8</v>
      </c>
      <c r="D168" t="s">
        <v>33</v>
      </c>
      <c r="E168" s="162">
        <v>4.5</v>
      </c>
      <c r="F168" s="162">
        <v>42.72</v>
      </c>
      <c r="G168" s="165">
        <v>192.24</v>
      </c>
      <c r="H168" s="20">
        <v>54</v>
      </c>
      <c r="I168"/>
    </row>
    <row r="169" spans="1:9" x14ac:dyDescent="0.25">
      <c r="A169" s="228">
        <v>41886</v>
      </c>
      <c r="B169" s="161" t="s">
        <v>837</v>
      </c>
      <c r="C169" t="s">
        <v>8</v>
      </c>
      <c r="D169" t="s">
        <v>33</v>
      </c>
      <c r="E169" s="162">
        <v>3</v>
      </c>
      <c r="F169" s="162">
        <v>42.72</v>
      </c>
      <c r="G169" s="165">
        <v>128.16</v>
      </c>
      <c r="H169" s="20">
        <v>54</v>
      </c>
      <c r="I169"/>
    </row>
    <row r="170" spans="1:9" x14ac:dyDescent="0.25">
      <c r="A170" s="228">
        <v>41886</v>
      </c>
      <c r="B170" s="161" t="s">
        <v>837</v>
      </c>
      <c r="C170" t="s">
        <v>8</v>
      </c>
      <c r="D170" t="s">
        <v>33</v>
      </c>
      <c r="E170" s="162">
        <v>4.5</v>
      </c>
      <c r="F170" s="162">
        <v>42.72</v>
      </c>
      <c r="G170" s="165">
        <v>192.24</v>
      </c>
      <c r="H170" s="20">
        <v>54</v>
      </c>
      <c r="I170"/>
    </row>
    <row r="171" spans="1:9" x14ac:dyDescent="0.25">
      <c r="A171" s="228">
        <v>41886</v>
      </c>
      <c r="B171" s="161" t="s">
        <v>829</v>
      </c>
      <c r="C171" t="s">
        <v>830</v>
      </c>
      <c r="D171" t="s">
        <v>33</v>
      </c>
      <c r="E171" s="162">
        <v>1</v>
      </c>
      <c r="F171" s="162">
        <v>110</v>
      </c>
      <c r="G171" s="165">
        <v>110</v>
      </c>
      <c r="H171" s="20">
        <v>54</v>
      </c>
      <c r="I171"/>
    </row>
    <row r="172" spans="1:9" x14ac:dyDescent="0.25">
      <c r="A172" s="228">
        <v>41886</v>
      </c>
      <c r="B172" s="161" t="s">
        <v>853</v>
      </c>
      <c r="C172" t="s">
        <v>854</v>
      </c>
      <c r="D172" t="s">
        <v>33</v>
      </c>
      <c r="E172" s="162">
        <v>3</v>
      </c>
      <c r="F172" s="162">
        <v>42.79</v>
      </c>
      <c r="G172" s="165">
        <v>128.37</v>
      </c>
      <c r="H172" s="20">
        <v>54</v>
      </c>
      <c r="I172"/>
    </row>
    <row r="173" spans="1:9" x14ac:dyDescent="0.25">
      <c r="A173" s="228">
        <v>41887</v>
      </c>
      <c r="B173" s="161" t="s">
        <v>838</v>
      </c>
      <c r="C173" t="s">
        <v>8</v>
      </c>
      <c r="D173" t="s">
        <v>33</v>
      </c>
      <c r="E173" s="162">
        <v>3</v>
      </c>
      <c r="F173" s="162">
        <v>39.979999999999997</v>
      </c>
      <c r="G173" s="165">
        <v>119.94</v>
      </c>
      <c r="H173" s="20">
        <v>54</v>
      </c>
      <c r="I173"/>
    </row>
    <row r="174" spans="1:9" x14ac:dyDescent="0.25">
      <c r="A174" s="228">
        <v>41887</v>
      </c>
      <c r="B174" s="161" t="s">
        <v>837</v>
      </c>
      <c r="C174" t="s">
        <v>8</v>
      </c>
      <c r="D174" t="s">
        <v>33</v>
      </c>
      <c r="E174" s="162">
        <v>5</v>
      </c>
      <c r="F174" s="162">
        <v>42.72</v>
      </c>
      <c r="G174" s="165">
        <v>213.6</v>
      </c>
      <c r="H174" s="20">
        <v>54</v>
      </c>
      <c r="I174"/>
    </row>
    <row r="175" spans="1:9" x14ac:dyDescent="0.25">
      <c r="A175" s="228">
        <v>41914</v>
      </c>
      <c r="B175" s="161" t="s">
        <v>495</v>
      </c>
      <c r="C175" t="s">
        <v>833</v>
      </c>
      <c r="D175" t="s">
        <v>33</v>
      </c>
      <c r="E175" s="162">
        <v>9.5</v>
      </c>
      <c r="F175" s="162">
        <v>95</v>
      </c>
      <c r="G175" s="165">
        <v>902.5</v>
      </c>
      <c r="H175" s="20">
        <v>54</v>
      </c>
      <c r="I175"/>
    </row>
    <row r="176" spans="1:9" x14ac:dyDescent="0.25">
      <c r="A176" s="228">
        <v>41915</v>
      </c>
      <c r="B176" s="161" t="s">
        <v>495</v>
      </c>
      <c r="C176" t="s">
        <v>833</v>
      </c>
      <c r="D176" t="s">
        <v>33</v>
      </c>
      <c r="E176" s="162">
        <v>6</v>
      </c>
      <c r="F176" s="162">
        <v>95</v>
      </c>
      <c r="G176" s="165">
        <v>570</v>
      </c>
      <c r="H176" s="20">
        <v>54</v>
      </c>
      <c r="I176"/>
    </row>
    <row r="177" spans="1:9" x14ac:dyDescent="0.25">
      <c r="A177" s="228">
        <v>41921</v>
      </c>
      <c r="B177" s="161" t="s">
        <v>829</v>
      </c>
      <c r="C177" t="s">
        <v>830</v>
      </c>
      <c r="D177" t="s">
        <v>33</v>
      </c>
      <c r="E177" s="162">
        <v>2</v>
      </c>
      <c r="F177" s="162">
        <v>110</v>
      </c>
      <c r="G177" s="165">
        <v>220</v>
      </c>
      <c r="H177" s="20">
        <v>54</v>
      </c>
      <c r="I177"/>
    </row>
    <row r="178" spans="1:9" x14ac:dyDescent="0.25">
      <c r="A178" s="228">
        <v>41921</v>
      </c>
      <c r="B178" s="161" t="s">
        <v>855</v>
      </c>
      <c r="C178" t="s">
        <v>856</v>
      </c>
      <c r="D178" t="s">
        <v>33</v>
      </c>
      <c r="E178" s="162">
        <v>1.5</v>
      </c>
      <c r="F178" s="162">
        <v>21.61</v>
      </c>
      <c r="G178" s="165">
        <v>32.414999999999999</v>
      </c>
      <c r="H178" s="20">
        <v>54</v>
      </c>
      <c r="I178"/>
    </row>
    <row r="179" spans="1:9" x14ac:dyDescent="0.25">
      <c r="A179" s="228">
        <v>41921</v>
      </c>
      <c r="B179" s="161" t="s">
        <v>831</v>
      </c>
      <c r="C179" t="s">
        <v>1471</v>
      </c>
      <c r="D179" t="s">
        <v>832</v>
      </c>
      <c r="E179" s="162">
        <v>6</v>
      </c>
      <c r="F179" s="162">
        <v>54.58</v>
      </c>
      <c r="G179" s="165">
        <v>327.48</v>
      </c>
      <c r="H179" s="20">
        <v>54</v>
      </c>
      <c r="I179"/>
    </row>
    <row r="180" spans="1:9" x14ac:dyDescent="0.25">
      <c r="A180" s="228">
        <v>41921</v>
      </c>
      <c r="B180" s="161" t="s">
        <v>838</v>
      </c>
      <c r="C180" t="s">
        <v>8</v>
      </c>
      <c r="D180" t="s">
        <v>33</v>
      </c>
      <c r="E180" s="162">
        <v>5.5</v>
      </c>
      <c r="F180" s="162">
        <v>39.979999999999997</v>
      </c>
      <c r="G180" s="165">
        <v>219.89</v>
      </c>
      <c r="H180" s="20">
        <v>54</v>
      </c>
      <c r="I180"/>
    </row>
    <row r="181" spans="1:9" x14ac:dyDescent="0.25">
      <c r="A181" s="228">
        <v>41921</v>
      </c>
      <c r="B181" s="161" t="s">
        <v>503</v>
      </c>
      <c r="C181" t="s">
        <v>840</v>
      </c>
      <c r="D181" t="s">
        <v>19</v>
      </c>
      <c r="E181" s="162">
        <v>9.5</v>
      </c>
      <c r="F181" s="162"/>
      <c r="G181" s="165"/>
      <c r="H181" s="20">
        <v>54</v>
      </c>
      <c r="I181"/>
    </row>
    <row r="182" spans="1:9" x14ac:dyDescent="0.25">
      <c r="A182" s="228">
        <v>41921</v>
      </c>
      <c r="B182" s="161" t="s">
        <v>495</v>
      </c>
      <c r="C182" t="s">
        <v>833</v>
      </c>
      <c r="D182" t="s">
        <v>33</v>
      </c>
      <c r="E182" s="162">
        <v>9</v>
      </c>
      <c r="F182" s="162">
        <v>95</v>
      </c>
      <c r="G182" s="165">
        <v>855</v>
      </c>
      <c r="H182" s="20">
        <v>54</v>
      </c>
      <c r="I182"/>
    </row>
    <row r="183" spans="1:9" x14ac:dyDescent="0.25">
      <c r="A183" s="228">
        <v>41921</v>
      </c>
      <c r="B183" s="161" t="s">
        <v>837</v>
      </c>
      <c r="C183" t="s">
        <v>8</v>
      </c>
      <c r="D183" t="s">
        <v>33</v>
      </c>
      <c r="E183" s="162">
        <v>1.5</v>
      </c>
      <c r="F183" s="162">
        <v>42.72</v>
      </c>
      <c r="G183" s="165">
        <v>64.08</v>
      </c>
      <c r="H183" s="20">
        <v>54</v>
      </c>
      <c r="I183"/>
    </row>
    <row r="184" spans="1:9" x14ac:dyDescent="0.25">
      <c r="A184" s="228">
        <v>41921</v>
      </c>
      <c r="B184" s="161" t="s">
        <v>843</v>
      </c>
      <c r="C184" t="s">
        <v>8</v>
      </c>
      <c r="D184" t="s">
        <v>33</v>
      </c>
      <c r="E184" s="162">
        <v>4</v>
      </c>
      <c r="F184" s="162">
        <v>35.11</v>
      </c>
      <c r="G184" s="165">
        <v>140.44</v>
      </c>
      <c r="H184" s="20">
        <v>54</v>
      </c>
      <c r="I184"/>
    </row>
    <row r="185" spans="1:9" x14ac:dyDescent="0.25">
      <c r="A185" s="228">
        <v>41925</v>
      </c>
      <c r="B185" s="161" t="s">
        <v>831</v>
      </c>
      <c r="C185" t="s">
        <v>1471</v>
      </c>
      <c r="D185" t="s">
        <v>832</v>
      </c>
      <c r="E185" s="162">
        <v>5</v>
      </c>
      <c r="F185" s="162">
        <v>54.58</v>
      </c>
      <c r="G185" s="165">
        <v>272.89999999999998</v>
      </c>
      <c r="H185" s="20">
        <v>54</v>
      </c>
      <c r="I185"/>
    </row>
    <row r="186" spans="1:9" x14ac:dyDescent="0.25">
      <c r="A186" s="228">
        <v>41925</v>
      </c>
      <c r="B186" s="161" t="s">
        <v>857</v>
      </c>
      <c r="C186" t="s">
        <v>858</v>
      </c>
      <c r="D186" t="s">
        <v>33</v>
      </c>
      <c r="E186" s="162">
        <v>5</v>
      </c>
      <c r="F186" s="162">
        <v>120</v>
      </c>
      <c r="G186" s="165">
        <v>600</v>
      </c>
      <c r="H186" s="20">
        <v>54</v>
      </c>
      <c r="I186"/>
    </row>
    <row r="187" spans="1:9" x14ac:dyDescent="0.25">
      <c r="A187" s="228">
        <v>41926</v>
      </c>
      <c r="B187" s="161" t="s">
        <v>503</v>
      </c>
      <c r="C187" t="s">
        <v>840</v>
      </c>
      <c r="D187" t="s">
        <v>19</v>
      </c>
      <c r="E187" s="162">
        <v>9.5</v>
      </c>
      <c r="F187" s="162"/>
      <c r="G187" s="165"/>
      <c r="H187" s="20">
        <v>54</v>
      </c>
      <c r="I187"/>
    </row>
    <row r="188" spans="1:9" x14ac:dyDescent="0.25">
      <c r="A188" s="228">
        <v>41926</v>
      </c>
      <c r="B188" s="161" t="s">
        <v>829</v>
      </c>
      <c r="C188" t="s">
        <v>830</v>
      </c>
      <c r="D188" t="s">
        <v>33</v>
      </c>
      <c r="E188" s="162">
        <v>9.5</v>
      </c>
      <c r="F188" s="162">
        <v>110</v>
      </c>
      <c r="G188" s="165">
        <v>1045</v>
      </c>
      <c r="H188" s="20">
        <v>54</v>
      </c>
      <c r="I188"/>
    </row>
    <row r="189" spans="1:9" x14ac:dyDescent="0.25">
      <c r="A189" s="228">
        <v>41926</v>
      </c>
      <c r="B189" s="161" t="s">
        <v>843</v>
      </c>
      <c r="C189" t="s">
        <v>8</v>
      </c>
      <c r="D189" t="s">
        <v>33</v>
      </c>
      <c r="E189" s="162">
        <v>9.5</v>
      </c>
      <c r="F189" s="162">
        <v>35.11</v>
      </c>
      <c r="G189" s="165">
        <v>333.54500000000002</v>
      </c>
      <c r="H189" s="20">
        <v>54</v>
      </c>
      <c r="I189"/>
    </row>
    <row r="190" spans="1:9" x14ac:dyDescent="0.25">
      <c r="A190" s="228">
        <v>41926</v>
      </c>
      <c r="B190" s="161" t="s">
        <v>495</v>
      </c>
      <c r="C190" t="s">
        <v>833</v>
      </c>
      <c r="D190" t="s">
        <v>33</v>
      </c>
      <c r="E190" s="162">
        <v>9.5</v>
      </c>
      <c r="F190" s="162">
        <v>95</v>
      </c>
      <c r="G190" s="165">
        <v>902.5</v>
      </c>
      <c r="H190" s="20">
        <v>54</v>
      </c>
      <c r="I190"/>
    </row>
    <row r="191" spans="1:9" x14ac:dyDescent="0.25">
      <c r="A191" s="228">
        <v>41926</v>
      </c>
      <c r="B191" s="161" t="s">
        <v>855</v>
      </c>
      <c r="C191" t="s">
        <v>856</v>
      </c>
      <c r="D191" t="s">
        <v>33</v>
      </c>
      <c r="E191" s="162">
        <v>9</v>
      </c>
      <c r="F191" s="162">
        <v>21.61</v>
      </c>
      <c r="G191" s="165">
        <v>194.49</v>
      </c>
      <c r="H191" s="20">
        <v>54</v>
      </c>
      <c r="I191"/>
    </row>
    <row r="192" spans="1:9" x14ac:dyDescent="0.25">
      <c r="A192" s="228">
        <v>41926</v>
      </c>
      <c r="B192" s="161" t="s">
        <v>831</v>
      </c>
      <c r="C192" t="s">
        <v>1471</v>
      </c>
      <c r="D192" t="s">
        <v>832</v>
      </c>
      <c r="E192" s="162">
        <v>9.5</v>
      </c>
      <c r="F192" s="162">
        <v>54.58</v>
      </c>
      <c r="G192" s="165">
        <v>518.51</v>
      </c>
      <c r="H192" s="20">
        <v>54</v>
      </c>
      <c r="I192"/>
    </row>
    <row r="193" spans="1:9" x14ac:dyDescent="0.25">
      <c r="A193" s="228">
        <v>41927</v>
      </c>
      <c r="B193" s="161" t="s">
        <v>843</v>
      </c>
      <c r="C193" t="s">
        <v>8</v>
      </c>
      <c r="D193" t="s">
        <v>33</v>
      </c>
      <c r="E193" s="162">
        <v>2</v>
      </c>
      <c r="F193" s="162">
        <v>35.11</v>
      </c>
      <c r="G193" s="165">
        <v>70.22</v>
      </c>
      <c r="H193" s="20">
        <v>54</v>
      </c>
      <c r="I193"/>
    </row>
    <row r="194" spans="1:9" x14ac:dyDescent="0.25">
      <c r="A194" s="228">
        <v>41927</v>
      </c>
      <c r="B194" s="161" t="s">
        <v>855</v>
      </c>
      <c r="C194" t="s">
        <v>856</v>
      </c>
      <c r="D194" t="s">
        <v>33</v>
      </c>
      <c r="E194" s="162">
        <v>9.5</v>
      </c>
      <c r="F194" s="162">
        <v>21.61</v>
      </c>
      <c r="G194" s="165">
        <v>205.29499999999999</v>
      </c>
      <c r="H194" s="20">
        <v>54</v>
      </c>
      <c r="I194"/>
    </row>
    <row r="195" spans="1:9" x14ac:dyDescent="0.25">
      <c r="A195" s="228">
        <v>41927</v>
      </c>
      <c r="B195" s="161" t="s">
        <v>857</v>
      </c>
      <c r="C195" t="s">
        <v>858</v>
      </c>
      <c r="D195" t="s">
        <v>33</v>
      </c>
      <c r="E195" s="162">
        <v>4</v>
      </c>
      <c r="F195" s="162">
        <v>120</v>
      </c>
      <c r="G195" s="165">
        <v>480</v>
      </c>
      <c r="H195" s="20">
        <v>54</v>
      </c>
      <c r="I195"/>
    </row>
    <row r="196" spans="1:9" x14ac:dyDescent="0.25">
      <c r="A196" s="228">
        <v>41927</v>
      </c>
      <c r="B196" s="161" t="s">
        <v>838</v>
      </c>
      <c r="C196" t="s">
        <v>8</v>
      </c>
      <c r="D196" t="s">
        <v>33</v>
      </c>
      <c r="E196" s="162">
        <v>10</v>
      </c>
      <c r="F196" s="162">
        <v>39.979999999999997</v>
      </c>
      <c r="G196" s="165">
        <v>399.8</v>
      </c>
      <c r="H196" s="20">
        <v>54</v>
      </c>
      <c r="I196"/>
    </row>
    <row r="197" spans="1:9" x14ac:dyDescent="0.25">
      <c r="A197" s="228">
        <v>41927</v>
      </c>
      <c r="B197" s="161" t="s">
        <v>831</v>
      </c>
      <c r="C197" t="s">
        <v>1471</v>
      </c>
      <c r="D197" t="s">
        <v>832</v>
      </c>
      <c r="E197" s="162">
        <v>10</v>
      </c>
      <c r="F197" s="162">
        <v>54.58</v>
      </c>
      <c r="G197" s="165">
        <v>545.79999999999995</v>
      </c>
      <c r="H197" s="20">
        <v>54</v>
      </c>
      <c r="I197"/>
    </row>
    <row r="198" spans="1:9" x14ac:dyDescent="0.25">
      <c r="A198" s="228">
        <v>41927</v>
      </c>
      <c r="B198" s="161" t="s">
        <v>495</v>
      </c>
      <c r="C198" t="s">
        <v>833</v>
      </c>
      <c r="D198" t="s">
        <v>33</v>
      </c>
      <c r="E198" s="162">
        <v>11</v>
      </c>
      <c r="F198" s="162">
        <v>95</v>
      </c>
      <c r="G198" s="165">
        <v>1045</v>
      </c>
      <c r="H198" s="20">
        <v>54</v>
      </c>
      <c r="I198"/>
    </row>
    <row r="199" spans="1:9" x14ac:dyDescent="0.25">
      <c r="A199" s="228">
        <v>41927</v>
      </c>
      <c r="B199" s="161" t="s">
        <v>503</v>
      </c>
      <c r="C199" t="s">
        <v>840</v>
      </c>
      <c r="D199" t="s">
        <v>19</v>
      </c>
      <c r="E199" s="162">
        <v>10</v>
      </c>
      <c r="F199" s="162"/>
      <c r="G199" s="165"/>
      <c r="H199" s="20">
        <v>54</v>
      </c>
      <c r="I199"/>
    </row>
    <row r="200" spans="1:9" x14ac:dyDescent="0.25">
      <c r="A200" s="228">
        <v>41928</v>
      </c>
      <c r="B200" s="161" t="s">
        <v>843</v>
      </c>
      <c r="C200" t="s">
        <v>8</v>
      </c>
      <c r="D200" t="s">
        <v>33</v>
      </c>
      <c r="E200" s="162">
        <v>2</v>
      </c>
      <c r="F200" s="162">
        <v>35.11</v>
      </c>
      <c r="G200" s="165">
        <v>70.22</v>
      </c>
      <c r="H200" s="20">
        <v>54</v>
      </c>
      <c r="I200"/>
    </row>
    <row r="201" spans="1:9" x14ac:dyDescent="0.25">
      <c r="A201" s="228">
        <v>41935</v>
      </c>
      <c r="B201" s="161" t="s">
        <v>863</v>
      </c>
      <c r="C201" t="s">
        <v>864</v>
      </c>
      <c r="D201" t="s">
        <v>33</v>
      </c>
      <c r="E201" s="162">
        <v>0.5</v>
      </c>
      <c r="F201" s="162">
        <v>46.5</v>
      </c>
      <c r="G201" s="165">
        <v>23.25</v>
      </c>
      <c r="H201" s="20">
        <v>54</v>
      </c>
      <c r="I201"/>
    </row>
    <row r="202" spans="1:9" x14ac:dyDescent="0.25">
      <c r="A202" s="228">
        <v>41940</v>
      </c>
      <c r="B202" s="161" t="s">
        <v>865</v>
      </c>
      <c r="C202" t="s">
        <v>821</v>
      </c>
      <c r="D202" t="s">
        <v>747</v>
      </c>
      <c r="E202" s="162">
        <v>43.5</v>
      </c>
      <c r="F202" s="162">
        <v>115</v>
      </c>
      <c r="G202" s="165">
        <v>5002.5</v>
      </c>
      <c r="H202" s="20">
        <v>54</v>
      </c>
      <c r="I202"/>
    </row>
    <row r="203" spans="1:9" x14ac:dyDescent="0.25">
      <c r="A203" s="228">
        <v>41956</v>
      </c>
      <c r="B203" s="161" t="s">
        <v>495</v>
      </c>
      <c r="C203" t="s">
        <v>833</v>
      </c>
      <c r="D203" t="s">
        <v>33</v>
      </c>
      <c r="E203" s="162">
        <v>3</v>
      </c>
      <c r="F203" s="162">
        <v>95</v>
      </c>
      <c r="G203" s="165">
        <v>285</v>
      </c>
      <c r="H203" s="20">
        <v>54</v>
      </c>
      <c r="I203"/>
    </row>
    <row r="204" spans="1:9" x14ac:dyDescent="0.25">
      <c r="A204" s="228">
        <v>41984</v>
      </c>
      <c r="B204" s="161" t="s">
        <v>829</v>
      </c>
      <c r="C204" t="s">
        <v>830</v>
      </c>
      <c r="D204" t="s">
        <v>33</v>
      </c>
      <c r="E204" s="162">
        <v>4.75</v>
      </c>
      <c r="F204" s="162">
        <v>110</v>
      </c>
      <c r="G204" s="165">
        <v>522.5</v>
      </c>
      <c r="H204" s="20">
        <v>54</v>
      </c>
      <c r="I204"/>
    </row>
    <row r="205" spans="1:9" x14ac:dyDescent="0.25">
      <c r="A205" s="228">
        <v>41984</v>
      </c>
      <c r="B205" s="161" t="s">
        <v>495</v>
      </c>
      <c r="C205" t="s">
        <v>833</v>
      </c>
      <c r="D205" t="s">
        <v>33</v>
      </c>
      <c r="E205" s="162">
        <v>3</v>
      </c>
      <c r="F205" s="162">
        <v>95</v>
      </c>
      <c r="G205" s="165">
        <v>285</v>
      </c>
      <c r="H205" s="20">
        <v>54</v>
      </c>
      <c r="I205"/>
    </row>
    <row r="206" spans="1:9" x14ac:dyDescent="0.25">
      <c r="A206" s="228">
        <v>41984</v>
      </c>
      <c r="B206" s="161" t="s">
        <v>843</v>
      </c>
      <c r="C206" t="s">
        <v>8</v>
      </c>
      <c r="D206" t="s">
        <v>33</v>
      </c>
      <c r="E206" s="162">
        <v>2.5</v>
      </c>
      <c r="F206" s="162">
        <v>35.11</v>
      </c>
      <c r="G206" s="165">
        <v>87.775000000000006</v>
      </c>
      <c r="H206" s="20">
        <v>54</v>
      </c>
      <c r="I206"/>
    </row>
    <row r="207" spans="1:9" x14ac:dyDescent="0.25">
      <c r="A207" s="230" t="s">
        <v>642</v>
      </c>
      <c r="B207" s="231" t="s">
        <v>866</v>
      </c>
      <c r="C207" s="232" t="s">
        <v>642</v>
      </c>
      <c r="D207" s="232" t="s">
        <v>642</v>
      </c>
      <c r="E207" s="233"/>
      <c r="F207" s="233"/>
      <c r="G207" s="234">
        <v>36701.550000000003</v>
      </c>
      <c r="H207" s="235" t="s">
        <v>642</v>
      </c>
      <c r="I207"/>
    </row>
    <row r="208" spans="1:9" x14ac:dyDescent="0.25">
      <c r="A208" s="228" t="s">
        <v>642</v>
      </c>
      <c r="B208" s="161" t="s">
        <v>642</v>
      </c>
      <c r="C208" t="s">
        <v>642</v>
      </c>
      <c r="D208" t="s">
        <v>642</v>
      </c>
      <c r="E208" s="162"/>
      <c r="F208" s="162"/>
      <c r="G208" s="165"/>
      <c r="H208" s="20" t="s">
        <v>642</v>
      </c>
      <c r="I208"/>
    </row>
    <row r="209" spans="1:9" x14ac:dyDescent="0.25">
      <c r="A209" s="226" t="s">
        <v>642</v>
      </c>
      <c r="B209" s="159" t="s">
        <v>867</v>
      </c>
      <c r="C209" s="64" t="s">
        <v>642</v>
      </c>
      <c r="D209" s="64" t="s">
        <v>642</v>
      </c>
      <c r="E209" s="227"/>
      <c r="F209" s="227"/>
      <c r="G209" s="166"/>
      <c r="H209" s="160" t="s">
        <v>642</v>
      </c>
      <c r="I209"/>
    </row>
    <row r="210" spans="1:9" x14ac:dyDescent="0.25">
      <c r="A210" s="228">
        <v>41915</v>
      </c>
      <c r="B210" s="161" t="s">
        <v>829</v>
      </c>
      <c r="C210" t="s">
        <v>830</v>
      </c>
      <c r="D210" t="s">
        <v>33</v>
      </c>
      <c r="E210" s="162">
        <v>2</v>
      </c>
      <c r="F210" s="162">
        <v>110</v>
      </c>
      <c r="G210" s="165">
        <v>220</v>
      </c>
      <c r="H210" s="20">
        <v>57</v>
      </c>
      <c r="I210"/>
    </row>
    <row r="211" spans="1:9" x14ac:dyDescent="0.25">
      <c r="A211" s="230" t="s">
        <v>642</v>
      </c>
      <c r="B211" s="231" t="s">
        <v>868</v>
      </c>
      <c r="C211" s="232" t="s">
        <v>642</v>
      </c>
      <c r="D211" s="232" t="s">
        <v>642</v>
      </c>
      <c r="E211" s="233"/>
      <c r="F211" s="233"/>
      <c r="G211" s="234">
        <v>220</v>
      </c>
      <c r="H211" s="235" t="s">
        <v>642</v>
      </c>
      <c r="I211"/>
    </row>
    <row r="212" spans="1:9" x14ac:dyDescent="0.25">
      <c r="A212" s="228" t="s">
        <v>642</v>
      </c>
      <c r="B212" s="161" t="s">
        <v>642</v>
      </c>
      <c r="C212" t="s">
        <v>642</v>
      </c>
      <c r="D212" t="s">
        <v>642</v>
      </c>
      <c r="E212" s="162"/>
      <c r="F212" s="162"/>
      <c r="G212" s="165"/>
      <c r="H212" s="20" t="s">
        <v>642</v>
      </c>
      <c r="I212"/>
    </row>
    <row r="213" spans="1:9" x14ac:dyDescent="0.25">
      <c r="A213" s="226" t="s">
        <v>642</v>
      </c>
      <c r="B213" s="159" t="s">
        <v>869</v>
      </c>
      <c r="C213" s="64" t="s">
        <v>642</v>
      </c>
      <c r="D213" s="64" t="s">
        <v>642</v>
      </c>
      <c r="E213" s="227"/>
      <c r="F213" s="227"/>
      <c r="G213" s="166"/>
      <c r="H213" s="160" t="s">
        <v>642</v>
      </c>
      <c r="I213"/>
    </row>
    <row r="214" spans="1:9" x14ac:dyDescent="0.25">
      <c r="A214" s="228">
        <v>41793</v>
      </c>
      <c r="B214" s="161" t="s">
        <v>495</v>
      </c>
      <c r="C214" t="s">
        <v>833</v>
      </c>
      <c r="D214" t="s">
        <v>33</v>
      </c>
      <c r="E214" s="162">
        <v>9.5</v>
      </c>
      <c r="F214" s="162">
        <v>95</v>
      </c>
      <c r="G214" s="165">
        <v>902.5</v>
      </c>
      <c r="H214" s="20">
        <v>59</v>
      </c>
      <c r="I214"/>
    </row>
    <row r="215" spans="1:9" x14ac:dyDescent="0.25">
      <c r="A215" s="228">
        <v>41806</v>
      </c>
      <c r="B215" s="161" t="s">
        <v>831</v>
      </c>
      <c r="C215" t="s">
        <v>1471</v>
      </c>
      <c r="D215" t="s">
        <v>832</v>
      </c>
      <c r="E215" s="162">
        <v>2.5</v>
      </c>
      <c r="F215" s="162">
        <v>54.58</v>
      </c>
      <c r="G215" s="165">
        <v>136.44999999999999</v>
      </c>
      <c r="H215" s="20">
        <v>59</v>
      </c>
      <c r="I215"/>
    </row>
    <row r="216" spans="1:9" x14ac:dyDescent="0.25">
      <c r="A216" s="228">
        <v>41807</v>
      </c>
      <c r="B216" s="161" t="s">
        <v>831</v>
      </c>
      <c r="C216" t="s">
        <v>1471</v>
      </c>
      <c r="D216" t="s">
        <v>832</v>
      </c>
      <c r="E216" s="162">
        <v>5</v>
      </c>
      <c r="F216" s="162">
        <v>54.58</v>
      </c>
      <c r="G216" s="165">
        <v>272.89999999999998</v>
      </c>
      <c r="H216" s="20">
        <v>59</v>
      </c>
      <c r="I216"/>
    </row>
    <row r="217" spans="1:9" x14ac:dyDescent="0.25">
      <c r="A217" s="228">
        <v>41807</v>
      </c>
      <c r="B217" s="161" t="s">
        <v>857</v>
      </c>
      <c r="C217" t="s">
        <v>858</v>
      </c>
      <c r="D217" t="s">
        <v>33</v>
      </c>
      <c r="E217" s="162">
        <v>4</v>
      </c>
      <c r="F217" s="162">
        <v>120</v>
      </c>
      <c r="G217" s="165">
        <v>480</v>
      </c>
      <c r="H217" s="20">
        <v>59</v>
      </c>
      <c r="I217"/>
    </row>
    <row r="218" spans="1:9" x14ac:dyDescent="0.25">
      <c r="A218" s="228">
        <v>41807</v>
      </c>
      <c r="B218" s="161" t="s">
        <v>829</v>
      </c>
      <c r="C218" t="s">
        <v>830</v>
      </c>
      <c r="D218" t="s">
        <v>33</v>
      </c>
      <c r="E218" s="162">
        <v>5.25</v>
      </c>
      <c r="F218" s="162">
        <v>110</v>
      </c>
      <c r="G218" s="165">
        <v>577.5</v>
      </c>
      <c r="H218" s="20">
        <v>59</v>
      </c>
      <c r="I218"/>
    </row>
    <row r="219" spans="1:9" x14ac:dyDescent="0.25">
      <c r="A219" s="228">
        <v>41808</v>
      </c>
      <c r="B219" s="161" t="s">
        <v>857</v>
      </c>
      <c r="C219" t="s">
        <v>858</v>
      </c>
      <c r="D219" t="s">
        <v>33</v>
      </c>
      <c r="E219" s="162">
        <v>1</v>
      </c>
      <c r="F219" s="162">
        <v>120</v>
      </c>
      <c r="G219" s="165">
        <v>120</v>
      </c>
      <c r="H219" s="20">
        <v>59</v>
      </c>
      <c r="I219"/>
    </row>
    <row r="220" spans="1:9" x14ac:dyDescent="0.25">
      <c r="A220" s="228">
        <v>41813</v>
      </c>
      <c r="B220" s="161" t="s">
        <v>838</v>
      </c>
      <c r="C220" t="s">
        <v>8</v>
      </c>
      <c r="D220" t="s">
        <v>33</v>
      </c>
      <c r="E220" s="162">
        <v>3</v>
      </c>
      <c r="F220" s="162">
        <v>39.979999999999997</v>
      </c>
      <c r="G220" s="165">
        <v>119.94</v>
      </c>
      <c r="H220" s="20">
        <v>59</v>
      </c>
      <c r="I220"/>
    </row>
    <row r="221" spans="1:9" x14ac:dyDescent="0.25">
      <c r="A221" s="228">
        <v>41813</v>
      </c>
      <c r="B221" s="161" t="s">
        <v>837</v>
      </c>
      <c r="C221" t="s">
        <v>8</v>
      </c>
      <c r="D221" t="s">
        <v>33</v>
      </c>
      <c r="E221" s="162">
        <v>2</v>
      </c>
      <c r="F221" s="162">
        <v>42.72</v>
      </c>
      <c r="G221" s="165">
        <v>85.44</v>
      </c>
      <c r="H221" s="20">
        <v>59</v>
      </c>
      <c r="I221"/>
    </row>
    <row r="222" spans="1:9" x14ac:dyDescent="0.25">
      <c r="A222" s="228">
        <v>41813</v>
      </c>
      <c r="B222" s="161" t="s">
        <v>831</v>
      </c>
      <c r="C222" t="s">
        <v>1471</v>
      </c>
      <c r="D222" t="s">
        <v>832</v>
      </c>
      <c r="E222" s="162">
        <v>2</v>
      </c>
      <c r="F222" s="162">
        <v>54.58</v>
      </c>
      <c r="G222" s="165">
        <v>109.16</v>
      </c>
      <c r="H222" s="20">
        <v>59</v>
      </c>
      <c r="I222"/>
    </row>
    <row r="223" spans="1:9" x14ac:dyDescent="0.25">
      <c r="A223" s="228">
        <v>41827</v>
      </c>
      <c r="B223" s="161" t="s">
        <v>870</v>
      </c>
      <c r="C223" t="s">
        <v>871</v>
      </c>
      <c r="D223" t="s">
        <v>33</v>
      </c>
      <c r="E223" s="162">
        <v>3</v>
      </c>
      <c r="F223" s="162">
        <v>42.79</v>
      </c>
      <c r="G223" s="165">
        <v>128.37</v>
      </c>
      <c r="H223" s="20">
        <v>59</v>
      </c>
      <c r="I223"/>
    </row>
    <row r="224" spans="1:9" x14ac:dyDescent="0.25">
      <c r="A224" s="228">
        <v>41848</v>
      </c>
      <c r="B224" s="161" t="s">
        <v>857</v>
      </c>
      <c r="C224" t="s">
        <v>858</v>
      </c>
      <c r="D224" t="s">
        <v>33</v>
      </c>
      <c r="E224" s="162">
        <v>1</v>
      </c>
      <c r="F224" s="162">
        <v>120</v>
      </c>
      <c r="G224" s="165">
        <v>120</v>
      </c>
      <c r="H224" s="20">
        <v>59</v>
      </c>
      <c r="I224"/>
    </row>
    <row r="225" spans="1:9" x14ac:dyDescent="0.25">
      <c r="A225" s="228">
        <v>41848</v>
      </c>
      <c r="B225" s="161" t="s">
        <v>870</v>
      </c>
      <c r="C225" t="s">
        <v>871</v>
      </c>
      <c r="D225" t="s">
        <v>33</v>
      </c>
      <c r="E225" s="162">
        <v>5.5</v>
      </c>
      <c r="F225" s="162">
        <v>42.79</v>
      </c>
      <c r="G225" s="165">
        <v>235.345</v>
      </c>
      <c r="H225" s="20">
        <v>59</v>
      </c>
      <c r="I225"/>
    </row>
    <row r="226" spans="1:9" x14ac:dyDescent="0.25">
      <c r="A226" s="228">
        <v>41848</v>
      </c>
      <c r="B226" s="161" t="s">
        <v>837</v>
      </c>
      <c r="C226" t="s">
        <v>8</v>
      </c>
      <c r="D226" t="s">
        <v>33</v>
      </c>
      <c r="E226" s="162">
        <v>5</v>
      </c>
      <c r="F226" s="162">
        <v>42.72</v>
      </c>
      <c r="G226" s="165">
        <v>213.6</v>
      </c>
      <c r="H226" s="20">
        <v>59</v>
      </c>
      <c r="I226"/>
    </row>
    <row r="227" spans="1:9" x14ac:dyDescent="0.25">
      <c r="A227" s="228">
        <v>41849</v>
      </c>
      <c r="B227" s="161" t="s">
        <v>857</v>
      </c>
      <c r="C227" t="s">
        <v>858</v>
      </c>
      <c r="D227" t="s">
        <v>33</v>
      </c>
      <c r="E227" s="162">
        <v>7.5</v>
      </c>
      <c r="F227" s="162">
        <v>120</v>
      </c>
      <c r="G227" s="165">
        <v>900</v>
      </c>
      <c r="H227" s="20">
        <v>59</v>
      </c>
      <c r="I227"/>
    </row>
    <row r="228" spans="1:9" x14ac:dyDescent="0.25">
      <c r="A228" s="228">
        <v>41849</v>
      </c>
      <c r="B228" s="161" t="s">
        <v>870</v>
      </c>
      <c r="C228" t="s">
        <v>871</v>
      </c>
      <c r="D228" t="s">
        <v>33</v>
      </c>
      <c r="E228" s="162">
        <v>7.5</v>
      </c>
      <c r="F228" s="162">
        <v>42.79</v>
      </c>
      <c r="G228" s="165">
        <v>320.92500000000001</v>
      </c>
      <c r="H228" s="20">
        <v>59</v>
      </c>
      <c r="I228"/>
    </row>
    <row r="229" spans="1:9" x14ac:dyDescent="0.25">
      <c r="A229" s="228">
        <v>41850</v>
      </c>
      <c r="B229" s="161" t="s">
        <v>857</v>
      </c>
      <c r="C229" t="s">
        <v>858</v>
      </c>
      <c r="D229" t="s">
        <v>33</v>
      </c>
      <c r="E229" s="162">
        <v>5.5</v>
      </c>
      <c r="F229" s="162">
        <v>120</v>
      </c>
      <c r="G229" s="165">
        <v>660</v>
      </c>
      <c r="H229" s="20">
        <v>59</v>
      </c>
      <c r="I229"/>
    </row>
    <row r="230" spans="1:9" x14ac:dyDescent="0.25">
      <c r="A230" s="228">
        <v>41850</v>
      </c>
      <c r="B230" s="161" t="s">
        <v>870</v>
      </c>
      <c r="C230" t="s">
        <v>871</v>
      </c>
      <c r="D230" t="s">
        <v>33</v>
      </c>
      <c r="E230" s="162">
        <v>5.5</v>
      </c>
      <c r="F230" s="162">
        <v>42.79</v>
      </c>
      <c r="G230" s="165">
        <v>235.345</v>
      </c>
      <c r="H230" s="20">
        <v>59</v>
      </c>
      <c r="I230"/>
    </row>
    <row r="231" spans="1:9" x14ac:dyDescent="0.25">
      <c r="A231" s="228">
        <v>41852</v>
      </c>
      <c r="B231" s="161" t="s">
        <v>855</v>
      </c>
      <c r="C231" t="s">
        <v>856</v>
      </c>
      <c r="D231" t="s">
        <v>33</v>
      </c>
      <c r="E231" s="162">
        <v>5</v>
      </c>
      <c r="F231" s="162">
        <v>21.61</v>
      </c>
      <c r="G231" s="165">
        <v>108.05</v>
      </c>
      <c r="H231" s="20">
        <v>59</v>
      </c>
      <c r="I231"/>
    </row>
    <row r="232" spans="1:9" x14ac:dyDescent="0.25">
      <c r="A232" s="228">
        <v>41885</v>
      </c>
      <c r="B232" s="161" t="s">
        <v>831</v>
      </c>
      <c r="C232" t="s">
        <v>1471</v>
      </c>
      <c r="D232" t="s">
        <v>832</v>
      </c>
      <c r="E232" s="162">
        <v>2</v>
      </c>
      <c r="F232" s="162">
        <v>54.58</v>
      </c>
      <c r="G232" s="165">
        <v>109.16</v>
      </c>
      <c r="H232" s="20">
        <v>59</v>
      </c>
      <c r="I232"/>
    </row>
    <row r="233" spans="1:9" x14ac:dyDescent="0.25">
      <c r="A233" s="228">
        <v>41885</v>
      </c>
      <c r="B233" s="161" t="s">
        <v>837</v>
      </c>
      <c r="C233" t="s">
        <v>8</v>
      </c>
      <c r="D233" t="s">
        <v>33</v>
      </c>
      <c r="E233" s="162">
        <v>2.5</v>
      </c>
      <c r="F233" s="162">
        <v>42.72</v>
      </c>
      <c r="G233" s="165">
        <v>106.8</v>
      </c>
      <c r="H233" s="20">
        <v>59</v>
      </c>
      <c r="I233"/>
    </row>
    <row r="234" spans="1:9" x14ac:dyDescent="0.25">
      <c r="A234" s="228">
        <v>41900</v>
      </c>
      <c r="B234" s="161" t="s">
        <v>831</v>
      </c>
      <c r="C234" t="s">
        <v>1471</v>
      </c>
      <c r="D234" t="s">
        <v>832</v>
      </c>
      <c r="E234" s="162">
        <v>2.5</v>
      </c>
      <c r="F234" s="162">
        <v>54.58</v>
      </c>
      <c r="G234" s="165">
        <v>136.44999999999999</v>
      </c>
      <c r="H234" s="20">
        <v>59</v>
      </c>
      <c r="I234"/>
    </row>
    <row r="235" spans="1:9" x14ac:dyDescent="0.25">
      <c r="A235" s="228">
        <v>41900</v>
      </c>
      <c r="B235" s="161" t="s">
        <v>857</v>
      </c>
      <c r="C235" t="s">
        <v>858</v>
      </c>
      <c r="D235" t="s">
        <v>33</v>
      </c>
      <c r="E235" s="162">
        <v>6.5</v>
      </c>
      <c r="F235" s="162">
        <v>120</v>
      </c>
      <c r="G235" s="165">
        <v>780</v>
      </c>
      <c r="H235" s="20">
        <v>59</v>
      </c>
      <c r="I235"/>
    </row>
    <row r="236" spans="1:9" x14ac:dyDescent="0.25">
      <c r="A236" s="228">
        <v>41900</v>
      </c>
      <c r="B236" s="161" t="s">
        <v>872</v>
      </c>
      <c r="C236" t="s">
        <v>864</v>
      </c>
      <c r="D236" t="s">
        <v>33</v>
      </c>
      <c r="E236" s="162">
        <v>8.5</v>
      </c>
      <c r="F236" s="162">
        <v>46.5</v>
      </c>
      <c r="G236" s="165">
        <v>395.25</v>
      </c>
      <c r="H236" s="20">
        <v>59</v>
      </c>
      <c r="I236"/>
    </row>
    <row r="237" spans="1:9" x14ac:dyDescent="0.25">
      <c r="A237" s="228">
        <v>41900</v>
      </c>
      <c r="B237" s="161" t="s">
        <v>855</v>
      </c>
      <c r="C237" t="s">
        <v>856</v>
      </c>
      <c r="D237" t="s">
        <v>33</v>
      </c>
      <c r="E237" s="162">
        <v>6.5</v>
      </c>
      <c r="F237" s="162">
        <v>21.61</v>
      </c>
      <c r="G237" s="165">
        <v>140.465</v>
      </c>
      <c r="H237" s="20">
        <v>59</v>
      </c>
      <c r="I237"/>
    </row>
    <row r="238" spans="1:9" x14ac:dyDescent="0.25">
      <c r="A238" s="228">
        <v>41900</v>
      </c>
      <c r="B238" s="161" t="s">
        <v>837</v>
      </c>
      <c r="C238" t="s">
        <v>8</v>
      </c>
      <c r="D238" t="s">
        <v>33</v>
      </c>
      <c r="E238" s="162">
        <v>7</v>
      </c>
      <c r="F238" s="162">
        <v>42.72</v>
      </c>
      <c r="G238" s="165">
        <v>299.04000000000002</v>
      </c>
      <c r="H238" s="20">
        <v>59</v>
      </c>
      <c r="I238"/>
    </row>
    <row r="239" spans="1:9" x14ac:dyDescent="0.25">
      <c r="A239" s="228">
        <v>41900</v>
      </c>
      <c r="B239" s="161" t="s">
        <v>838</v>
      </c>
      <c r="C239" t="s">
        <v>8</v>
      </c>
      <c r="D239" t="s">
        <v>33</v>
      </c>
      <c r="E239" s="162">
        <v>6.5</v>
      </c>
      <c r="F239" s="162">
        <v>39.979999999999997</v>
      </c>
      <c r="G239" s="165">
        <v>259.87</v>
      </c>
      <c r="H239" s="20">
        <v>59</v>
      </c>
      <c r="I239"/>
    </row>
    <row r="240" spans="1:9" x14ac:dyDescent="0.25">
      <c r="A240" s="228">
        <v>41900</v>
      </c>
      <c r="B240" s="161" t="s">
        <v>843</v>
      </c>
      <c r="C240" t="s">
        <v>8</v>
      </c>
      <c r="D240" t="s">
        <v>33</v>
      </c>
      <c r="E240" s="162">
        <v>6.5</v>
      </c>
      <c r="F240" s="162">
        <v>35.11</v>
      </c>
      <c r="G240" s="165">
        <v>228.215</v>
      </c>
      <c r="H240" s="20">
        <v>59</v>
      </c>
      <c r="I240"/>
    </row>
    <row r="241" spans="1:9" x14ac:dyDescent="0.25">
      <c r="A241" s="228">
        <v>41908</v>
      </c>
      <c r="B241" s="161" t="s">
        <v>503</v>
      </c>
      <c r="C241" t="s">
        <v>840</v>
      </c>
      <c r="D241" t="s">
        <v>19</v>
      </c>
      <c r="E241" s="162">
        <v>8</v>
      </c>
      <c r="F241" s="162"/>
      <c r="G241" s="165"/>
      <c r="H241" s="20">
        <v>59</v>
      </c>
      <c r="I241"/>
    </row>
    <row r="242" spans="1:9" x14ac:dyDescent="0.25">
      <c r="A242" s="228">
        <v>41908</v>
      </c>
      <c r="B242" s="161" t="s">
        <v>855</v>
      </c>
      <c r="C242" t="s">
        <v>856</v>
      </c>
      <c r="D242" t="s">
        <v>33</v>
      </c>
      <c r="E242" s="162">
        <v>4</v>
      </c>
      <c r="F242" s="162">
        <v>21.61</v>
      </c>
      <c r="G242" s="165">
        <v>86.44</v>
      </c>
      <c r="H242" s="20">
        <v>59</v>
      </c>
      <c r="I242"/>
    </row>
    <row r="243" spans="1:9" x14ac:dyDescent="0.25">
      <c r="A243" s="228">
        <v>41908</v>
      </c>
      <c r="B243" s="161" t="s">
        <v>863</v>
      </c>
      <c r="C243" t="s">
        <v>864</v>
      </c>
      <c r="D243" t="s">
        <v>33</v>
      </c>
      <c r="E243" s="162">
        <v>1.5</v>
      </c>
      <c r="F243" s="162">
        <v>46.5</v>
      </c>
      <c r="G243" s="165">
        <v>69.75</v>
      </c>
      <c r="H243" s="20">
        <v>59</v>
      </c>
      <c r="I243"/>
    </row>
    <row r="244" spans="1:9" x14ac:dyDescent="0.25">
      <c r="A244" s="228">
        <v>41908</v>
      </c>
      <c r="B244" s="161" t="s">
        <v>831</v>
      </c>
      <c r="C244" t="s">
        <v>1471</v>
      </c>
      <c r="D244" t="s">
        <v>832</v>
      </c>
      <c r="E244" s="162">
        <v>8</v>
      </c>
      <c r="F244" s="162">
        <v>54.58</v>
      </c>
      <c r="G244" s="165">
        <v>436.64</v>
      </c>
      <c r="H244" s="20">
        <v>59</v>
      </c>
      <c r="I244"/>
    </row>
    <row r="245" spans="1:9" x14ac:dyDescent="0.25">
      <c r="A245" s="228">
        <v>41908</v>
      </c>
      <c r="B245" s="161" t="s">
        <v>838</v>
      </c>
      <c r="C245" t="s">
        <v>8</v>
      </c>
      <c r="D245" t="s">
        <v>33</v>
      </c>
      <c r="E245" s="162">
        <v>1.5</v>
      </c>
      <c r="F245" s="162">
        <v>39.979999999999997</v>
      </c>
      <c r="G245" s="165">
        <v>59.97</v>
      </c>
      <c r="H245" s="20">
        <v>59</v>
      </c>
      <c r="I245"/>
    </row>
    <row r="246" spans="1:9" x14ac:dyDescent="0.25">
      <c r="A246" s="228">
        <v>41913</v>
      </c>
      <c r="B246" s="161" t="s">
        <v>855</v>
      </c>
      <c r="C246" t="s">
        <v>856</v>
      </c>
      <c r="D246" t="s">
        <v>33</v>
      </c>
      <c r="E246" s="162">
        <v>2</v>
      </c>
      <c r="F246" s="162">
        <v>21.61</v>
      </c>
      <c r="G246" s="165">
        <v>43.22</v>
      </c>
      <c r="H246" s="20">
        <v>59</v>
      </c>
      <c r="I246"/>
    </row>
    <row r="247" spans="1:9" x14ac:dyDescent="0.25">
      <c r="A247" s="228">
        <v>41913</v>
      </c>
      <c r="B247" s="161" t="s">
        <v>837</v>
      </c>
      <c r="C247" t="s">
        <v>8</v>
      </c>
      <c r="D247" t="s">
        <v>33</v>
      </c>
      <c r="E247" s="162">
        <v>2.5</v>
      </c>
      <c r="F247" s="162">
        <v>42.72</v>
      </c>
      <c r="G247" s="165">
        <v>106.8</v>
      </c>
      <c r="H247" s="20">
        <v>59</v>
      </c>
      <c r="I247"/>
    </row>
    <row r="248" spans="1:9" x14ac:dyDescent="0.25">
      <c r="A248" s="228">
        <v>41920</v>
      </c>
      <c r="B248" s="161" t="s">
        <v>829</v>
      </c>
      <c r="C248" t="s">
        <v>830</v>
      </c>
      <c r="D248" t="s">
        <v>33</v>
      </c>
      <c r="E248" s="162">
        <v>6</v>
      </c>
      <c r="F248" s="162">
        <v>110</v>
      </c>
      <c r="G248" s="165">
        <v>660</v>
      </c>
      <c r="H248" s="20">
        <v>59</v>
      </c>
      <c r="I248"/>
    </row>
    <row r="249" spans="1:9" x14ac:dyDescent="0.25">
      <c r="A249" s="228">
        <v>41940</v>
      </c>
      <c r="B249" s="161" t="s">
        <v>873</v>
      </c>
      <c r="C249" t="s">
        <v>821</v>
      </c>
      <c r="D249" t="s">
        <v>747</v>
      </c>
      <c r="E249" s="162">
        <v>8</v>
      </c>
      <c r="F249" s="162">
        <v>115</v>
      </c>
      <c r="G249" s="165">
        <v>920</v>
      </c>
      <c r="H249" s="20">
        <v>59</v>
      </c>
      <c r="I249"/>
    </row>
    <row r="250" spans="1:9" x14ac:dyDescent="0.25">
      <c r="A250" s="228">
        <v>41950</v>
      </c>
      <c r="B250" s="161" t="s">
        <v>831</v>
      </c>
      <c r="C250" t="s">
        <v>1471</v>
      </c>
      <c r="D250" t="s">
        <v>832</v>
      </c>
      <c r="E250" s="162">
        <v>3</v>
      </c>
      <c r="F250" s="162">
        <v>54.58</v>
      </c>
      <c r="G250" s="165">
        <v>163.74</v>
      </c>
      <c r="H250" s="20">
        <v>59</v>
      </c>
      <c r="I250"/>
    </row>
    <row r="251" spans="1:9" x14ac:dyDescent="0.25">
      <c r="A251" s="228">
        <v>41950</v>
      </c>
      <c r="B251" s="161" t="s">
        <v>838</v>
      </c>
      <c r="C251" t="s">
        <v>8</v>
      </c>
      <c r="D251" t="s">
        <v>33</v>
      </c>
      <c r="E251" s="162">
        <v>3</v>
      </c>
      <c r="F251" s="162">
        <v>39.979999999999997</v>
      </c>
      <c r="G251" s="165">
        <v>119.94</v>
      </c>
      <c r="H251" s="20">
        <v>59</v>
      </c>
      <c r="I251"/>
    </row>
    <row r="252" spans="1:9" x14ac:dyDescent="0.25">
      <c r="A252" s="230" t="s">
        <v>642</v>
      </c>
      <c r="B252" s="231" t="s">
        <v>874</v>
      </c>
      <c r="C252" s="232" t="s">
        <v>642</v>
      </c>
      <c r="D252" s="232" t="s">
        <v>642</v>
      </c>
      <c r="E252" s="233"/>
      <c r="F252" s="233"/>
      <c r="G252" s="234">
        <v>10847.275</v>
      </c>
      <c r="H252" s="235" t="s">
        <v>642</v>
      </c>
      <c r="I252"/>
    </row>
    <row r="253" spans="1:9" x14ac:dyDescent="0.25">
      <c r="A253" s="228" t="s">
        <v>642</v>
      </c>
      <c r="B253" s="161" t="s">
        <v>642</v>
      </c>
      <c r="C253" t="s">
        <v>642</v>
      </c>
      <c r="D253" t="s">
        <v>642</v>
      </c>
      <c r="E253" s="162"/>
      <c r="F253" s="162"/>
      <c r="G253" s="165"/>
      <c r="H253" s="20" t="s">
        <v>642</v>
      </c>
      <c r="I253"/>
    </row>
    <row r="254" spans="1:9" x14ac:dyDescent="0.25">
      <c r="A254" s="226" t="s">
        <v>642</v>
      </c>
      <c r="B254" s="159" t="s">
        <v>875</v>
      </c>
      <c r="C254" s="64" t="s">
        <v>642</v>
      </c>
      <c r="D254" s="64" t="s">
        <v>642</v>
      </c>
      <c r="E254" s="227"/>
      <c r="F254" s="227"/>
      <c r="G254" s="166"/>
      <c r="H254" s="160" t="s">
        <v>642</v>
      </c>
      <c r="I254"/>
    </row>
    <row r="255" spans="1:9" x14ac:dyDescent="0.25">
      <c r="A255" s="228">
        <v>41820</v>
      </c>
      <c r="B255" s="161" t="s">
        <v>837</v>
      </c>
      <c r="C255" t="s">
        <v>8</v>
      </c>
      <c r="D255" t="s">
        <v>33</v>
      </c>
      <c r="E255" s="162">
        <v>3</v>
      </c>
      <c r="F255" s="162">
        <v>42.72</v>
      </c>
      <c r="G255" s="165">
        <v>128.16</v>
      </c>
      <c r="H255" s="20">
        <v>61</v>
      </c>
      <c r="I255"/>
    </row>
    <row r="256" spans="1:9" x14ac:dyDescent="0.25">
      <c r="A256" s="228">
        <v>41820</v>
      </c>
      <c r="B256" s="161" t="s">
        <v>855</v>
      </c>
      <c r="C256" t="s">
        <v>856</v>
      </c>
      <c r="D256" t="s">
        <v>33</v>
      </c>
      <c r="E256" s="162">
        <v>5</v>
      </c>
      <c r="F256" s="162">
        <v>21.61</v>
      </c>
      <c r="G256" s="165">
        <v>108.05</v>
      </c>
      <c r="H256" s="20">
        <v>61</v>
      </c>
      <c r="I256"/>
    </row>
    <row r="257" spans="1:9" x14ac:dyDescent="0.25">
      <c r="A257" s="228">
        <v>41871</v>
      </c>
      <c r="B257" s="161" t="s">
        <v>843</v>
      </c>
      <c r="C257" t="s">
        <v>8</v>
      </c>
      <c r="D257" t="s">
        <v>33</v>
      </c>
      <c r="E257" s="162">
        <v>8.5</v>
      </c>
      <c r="F257" s="162">
        <v>35.11</v>
      </c>
      <c r="G257" s="165">
        <v>298.435</v>
      </c>
      <c r="H257" s="20">
        <v>61</v>
      </c>
      <c r="I257"/>
    </row>
    <row r="258" spans="1:9" x14ac:dyDescent="0.25">
      <c r="A258" s="228">
        <v>41872</v>
      </c>
      <c r="B258" s="161" t="s">
        <v>855</v>
      </c>
      <c r="C258" t="s">
        <v>856</v>
      </c>
      <c r="D258" t="s">
        <v>33</v>
      </c>
      <c r="E258" s="162">
        <v>3.5</v>
      </c>
      <c r="F258" s="162">
        <v>21.61</v>
      </c>
      <c r="G258" s="165">
        <v>75.635000000000005</v>
      </c>
      <c r="H258" s="20">
        <v>61</v>
      </c>
      <c r="I258"/>
    </row>
    <row r="259" spans="1:9" x14ac:dyDescent="0.25">
      <c r="A259" s="228">
        <v>41872</v>
      </c>
      <c r="B259" s="161" t="s">
        <v>843</v>
      </c>
      <c r="C259" t="s">
        <v>8</v>
      </c>
      <c r="D259" t="s">
        <v>33</v>
      </c>
      <c r="E259" s="162">
        <v>9.5</v>
      </c>
      <c r="F259" s="162">
        <v>35.11</v>
      </c>
      <c r="G259" s="165">
        <v>333.54500000000002</v>
      </c>
      <c r="H259" s="20">
        <v>61</v>
      </c>
      <c r="I259"/>
    </row>
    <row r="260" spans="1:9" x14ac:dyDescent="0.25">
      <c r="A260" s="228">
        <v>41873</v>
      </c>
      <c r="B260" s="161" t="s">
        <v>495</v>
      </c>
      <c r="C260" t="s">
        <v>833</v>
      </c>
      <c r="D260" t="s">
        <v>33</v>
      </c>
      <c r="E260" s="162">
        <v>8.5</v>
      </c>
      <c r="F260" s="162">
        <v>95</v>
      </c>
      <c r="G260" s="165">
        <v>807.5</v>
      </c>
      <c r="H260" s="20">
        <v>61</v>
      </c>
      <c r="I260"/>
    </row>
    <row r="261" spans="1:9" x14ac:dyDescent="0.25">
      <c r="A261" s="228">
        <v>41876</v>
      </c>
      <c r="B261" s="161" t="s">
        <v>855</v>
      </c>
      <c r="C261" t="s">
        <v>856</v>
      </c>
      <c r="D261" t="s">
        <v>33</v>
      </c>
      <c r="E261" s="162">
        <v>8.5</v>
      </c>
      <c r="F261" s="162">
        <v>21.61</v>
      </c>
      <c r="G261" s="165">
        <v>183.685</v>
      </c>
      <c r="H261" s="20">
        <v>61</v>
      </c>
      <c r="I261"/>
    </row>
    <row r="262" spans="1:9" x14ac:dyDescent="0.25">
      <c r="A262" s="228">
        <v>41876</v>
      </c>
      <c r="B262" s="161" t="s">
        <v>837</v>
      </c>
      <c r="C262" t="s">
        <v>8</v>
      </c>
      <c r="D262" t="s">
        <v>33</v>
      </c>
      <c r="E262" s="162">
        <v>5</v>
      </c>
      <c r="F262" s="162">
        <v>35.11</v>
      </c>
      <c r="G262" s="165">
        <v>175.55</v>
      </c>
      <c r="H262" s="20">
        <v>61</v>
      </c>
      <c r="I262"/>
    </row>
    <row r="263" spans="1:9" x14ac:dyDescent="0.25">
      <c r="A263" s="228">
        <v>41876</v>
      </c>
      <c r="B263" s="161" t="s">
        <v>503</v>
      </c>
      <c r="C263" t="s">
        <v>840</v>
      </c>
      <c r="D263" t="s">
        <v>19</v>
      </c>
      <c r="E263" s="162">
        <v>8.5</v>
      </c>
      <c r="F263" s="162"/>
      <c r="G263" s="165"/>
      <c r="H263" s="20">
        <v>61</v>
      </c>
      <c r="I263"/>
    </row>
    <row r="264" spans="1:9" x14ac:dyDescent="0.25">
      <c r="A264" s="228">
        <v>41876</v>
      </c>
      <c r="B264" s="161" t="s">
        <v>831</v>
      </c>
      <c r="C264" t="s">
        <v>1471</v>
      </c>
      <c r="D264" t="s">
        <v>832</v>
      </c>
      <c r="E264" s="162">
        <v>4</v>
      </c>
      <c r="F264" s="162">
        <v>54.58</v>
      </c>
      <c r="G264" s="165">
        <v>218.32</v>
      </c>
      <c r="H264" s="20">
        <v>61</v>
      </c>
      <c r="I264"/>
    </row>
    <row r="265" spans="1:9" x14ac:dyDescent="0.25">
      <c r="A265" s="228">
        <v>41876</v>
      </c>
      <c r="B265" s="161" t="s">
        <v>838</v>
      </c>
      <c r="C265" t="s">
        <v>8</v>
      </c>
      <c r="D265" t="s">
        <v>33</v>
      </c>
      <c r="E265" s="162">
        <v>7.5</v>
      </c>
      <c r="F265" s="162">
        <v>39.979999999999997</v>
      </c>
      <c r="G265" s="165">
        <v>299.85000000000002</v>
      </c>
      <c r="H265" s="20">
        <v>61</v>
      </c>
      <c r="I265"/>
    </row>
    <row r="266" spans="1:9" x14ac:dyDescent="0.25">
      <c r="A266" s="228">
        <v>41877</v>
      </c>
      <c r="B266" s="161" t="s">
        <v>503</v>
      </c>
      <c r="C266" t="s">
        <v>840</v>
      </c>
      <c r="D266" t="s">
        <v>19</v>
      </c>
      <c r="E266" s="162">
        <v>9.5</v>
      </c>
      <c r="F266" s="162"/>
      <c r="G266" s="165"/>
      <c r="H266" s="20">
        <v>61</v>
      </c>
      <c r="I266"/>
    </row>
    <row r="267" spans="1:9" x14ac:dyDescent="0.25">
      <c r="A267" s="228">
        <v>41877</v>
      </c>
      <c r="B267" s="161" t="s">
        <v>855</v>
      </c>
      <c r="C267" t="s">
        <v>856</v>
      </c>
      <c r="D267" t="s">
        <v>33</v>
      </c>
      <c r="E267" s="162">
        <v>4.5</v>
      </c>
      <c r="F267" s="162">
        <v>21.61</v>
      </c>
      <c r="G267" s="165">
        <v>97.245000000000005</v>
      </c>
      <c r="H267" s="20">
        <v>61</v>
      </c>
      <c r="I267"/>
    </row>
    <row r="268" spans="1:9" x14ac:dyDescent="0.25">
      <c r="A268" s="228">
        <v>41877</v>
      </c>
      <c r="B268" s="161" t="s">
        <v>838</v>
      </c>
      <c r="C268" t="s">
        <v>8</v>
      </c>
      <c r="D268" t="s">
        <v>33</v>
      </c>
      <c r="E268" s="162">
        <v>3</v>
      </c>
      <c r="F268" s="162">
        <v>39.979999999999997</v>
      </c>
      <c r="G268" s="165">
        <v>119.94</v>
      </c>
      <c r="H268" s="20">
        <v>61</v>
      </c>
      <c r="I268"/>
    </row>
    <row r="269" spans="1:9" x14ac:dyDescent="0.25">
      <c r="A269" s="228">
        <v>41877</v>
      </c>
      <c r="B269" s="161" t="s">
        <v>857</v>
      </c>
      <c r="C269" t="s">
        <v>858</v>
      </c>
      <c r="D269" t="s">
        <v>33</v>
      </c>
      <c r="E269" s="162">
        <v>4</v>
      </c>
      <c r="F269" s="162">
        <v>120</v>
      </c>
      <c r="G269" s="165">
        <v>480</v>
      </c>
      <c r="H269" s="20">
        <v>61</v>
      </c>
      <c r="I269"/>
    </row>
    <row r="270" spans="1:9" x14ac:dyDescent="0.25">
      <c r="A270" s="228">
        <v>41877</v>
      </c>
      <c r="B270" s="161" t="s">
        <v>820</v>
      </c>
      <c r="C270" t="s">
        <v>821</v>
      </c>
      <c r="D270" t="s">
        <v>747</v>
      </c>
      <c r="E270" s="162">
        <v>32.5</v>
      </c>
      <c r="F270" s="162">
        <v>125</v>
      </c>
      <c r="G270" s="165">
        <v>4062.5</v>
      </c>
      <c r="H270" s="20">
        <v>61</v>
      </c>
      <c r="I270"/>
    </row>
    <row r="271" spans="1:9" x14ac:dyDescent="0.25">
      <c r="A271" s="228">
        <v>41878</v>
      </c>
      <c r="B271" s="161" t="s">
        <v>851</v>
      </c>
      <c r="C271" t="s">
        <v>852</v>
      </c>
      <c r="D271" t="s">
        <v>33</v>
      </c>
      <c r="E271" s="162">
        <v>1</v>
      </c>
      <c r="F271" s="162">
        <v>25.78</v>
      </c>
      <c r="G271" s="165">
        <v>25.78</v>
      </c>
      <c r="H271" s="20">
        <v>61</v>
      </c>
      <c r="I271"/>
    </row>
    <row r="272" spans="1:9" x14ac:dyDescent="0.25">
      <c r="A272" s="228">
        <v>41878</v>
      </c>
      <c r="B272" s="161" t="s">
        <v>503</v>
      </c>
      <c r="C272" t="s">
        <v>840</v>
      </c>
      <c r="D272" t="s">
        <v>19</v>
      </c>
      <c r="E272" s="162">
        <v>9.5</v>
      </c>
      <c r="F272" s="162"/>
      <c r="G272" s="165"/>
      <c r="H272" s="20">
        <v>61</v>
      </c>
      <c r="I272"/>
    </row>
    <row r="273" spans="1:9" x14ac:dyDescent="0.25">
      <c r="A273" s="228">
        <v>41878</v>
      </c>
      <c r="B273" s="161" t="s">
        <v>837</v>
      </c>
      <c r="C273" t="s">
        <v>8</v>
      </c>
      <c r="D273" t="s">
        <v>33</v>
      </c>
      <c r="E273" s="162">
        <v>3</v>
      </c>
      <c r="F273" s="162">
        <v>35.11</v>
      </c>
      <c r="G273" s="165">
        <v>105.33</v>
      </c>
      <c r="H273" s="20">
        <v>61</v>
      </c>
      <c r="I273"/>
    </row>
    <row r="274" spans="1:9" x14ac:dyDescent="0.25">
      <c r="A274" s="228">
        <v>41878</v>
      </c>
      <c r="B274" s="161" t="s">
        <v>838</v>
      </c>
      <c r="C274" t="s">
        <v>8</v>
      </c>
      <c r="D274" t="s">
        <v>33</v>
      </c>
      <c r="E274" s="162">
        <v>4.5</v>
      </c>
      <c r="F274" s="162">
        <v>39.979999999999997</v>
      </c>
      <c r="G274" s="165">
        <v>179.91</v>
      </c>
      <c r="H274" s="20">
        <v>61</v>
      </c>
      <c r="I274"/>
    </row>
    <row r="275" spans="1:9" x14ac:dyDescent="0.25">
      <c r="A275" s="228">
        <v>41879</v>
      </c>
      <c r="B275" s="161" t="s">
        <v>837</v>
      </c>
      <c r="C275" t="s">
        <v>8</v>
      </c>
      <c r="D275" t="s">
        <v>33</v>
      </c>
      <c r="E275" s="162">
        <v>3</v>
      </c>
      <c r="F275" s="162">
        <v>35.11</v>
      </c>
      <c r="G275" s="165">
        <v>105.33</v>
      </c>
      <c r="H275" s="20">
        <v>61</v>
      </c>
      <c r="I275"/>
    </row>
    <row r="276" spans="1:9" x14ac:dyDescent="0.25">
      <c r="A276" s="228">
        <v>41879</v>
      </c>
      <c r="B276" s="161" t="s">
        <v>831</v>
      </c>
      <c r="C276" t="s">
        <v>1471</v>
      </c>
      <c r="D276" t="s">
        <v>832</v>
      </c>
      <c r="E276" s="162">
        <v>1.5</v>
      </c>
      <c r="F276" s="162">
        <v>54.58</v>
      </c>
      <c r="G276" s="165">
        <v>81.87</v>
      </c>
      <c r="H276" s="20">
        <v>61</v>
      </c>
      <c r="I276"/>
    </row>
    <row r="277" spans="1:9" x14ac:dyDescent="0.25">
      <c r="A277" s="228">
        <v>41880</v>
      </c>
      <c r="B277" s="161" t="s">
        <v>831</v>
      </c>
      <c r="C277" t="s">
        <v>1471</v>
      </c>
      <c r="D277" t="s">
        <v>832</v>
      </c>
      <c r="E277" s="162">
        <v>1.5</v>
      </c>
      <c r="F277" s="162">
        <v>54.58</v>
      </c>
      <c r="G277" s="165">
        <v>81.87</v>
      </c>
      <c r="H277" s="20">
        <v>61</v>
      </c>
      <c r="I277"/>
    </row>
    <row r="278" spans="1:9" x14ac:dyDescent="0.25">
      <c r="A278" s="228">
        <v>41880</v>
      </c>
      <c r="B278" s="161" t="s">
        <v>843</v>
      </c>
      <c r="C278" t="s">
        <v>8</v>
      </c>
      <c r="D278" t="s">
        <v>33</v>
      </c>
      <c r="E278" s="162">
        <v>9.5</v>
      </c>
      <c r="F278" s="162">
        <v>35.11</v>
      </c>
      <c r="G278" s="165">
        <v>333.54500000000002</v>
      </c>
      <c r="H278" s="20">
        <v>61</v>
      </c>
      <c r="I278"/>
    </row>
    <row r="279" spans="1:9" x14ac:dyDescent="0.25">
      <c r="A279" s="228">
        <v>41880</v>
      </c>
      <c r="B279" s="161" t="s">
        <v>503</v>
      </c>
      <c r="C279" t="s">
        <v>840</v>
      </c>
      <c r="D279" t="s">
        <v>19</v>
      </c>
      <c r="E279" s="162">
        <v>9</v>
      </c>
      <c r="F279" s="162"/>
      <c r="G279" s="165"/>
      <c r="H279" s="20">
        <v>61</v>
      </c>
      <c r="I279"/>
    </row>
    <row r="280" spans="1:9" x14ac:dyDescent="0.25">
      <c r="A280" s="228">
        <v>41880</v>
      </c>
      <c r="B280" s="161" t="s">
        <v>857</v>
      </c>
      <c r="C280" t="s">
        <v>858</v>
      </c>
      <c r="D280" t="s">
        <v>33</v>
      </c>
      <c r="E280" s="162">
        <v>1</v>
      </c>
      <c r="F280" s="162">
        <v>120</v>
      </c>
      <c r="G280" s="165">
        <v>120</v>
      </c>
      <c r="H280" s="20">
        <v>61</v>
      </c>
      <c r="I280"/>
    </row>
    <row r="281" spans="1:9" x14ac:dyDescent="0.25">
      <c r="A281" s="228">
        <v>41880</v>
      </c>
      <c r="B281" s="161" t="s">
        <v>870</v>
      </c>
      <c r="C281" t="s">
        <v>871</v>
      </c>
      <c r="D281" t="s">
        <v>33</v>
      </c>
      <c r="E281" s="162">
        <v>9.5</v>
      </c>
      <c r="F281" s="162">
        <v>42.79</v>
      </c>
      <c r="G281" s="165">
        <v>406.505</v>
      </c>
      <c r="H281" s="20">
        <v>61</v>
      </c>
      <c r="I281"/>
    </row>
    <row r="282" spans="1:9" x14ac:dyDescent="0.25">
      <c r="A282" s="228">
        <v>41894</v>
      </c>
      <c r="B282" s="161" t="s">
        <v>837</v>
      </c>
      <c r="C282" t="s">
        <v>8</v>
      </c>
      <c r="D282" t="s">
        <v>33</v>
      </c>
      <c r="E282" s="162">
        <v>2.5</v>
      </c>
      <c r="F282" s="162">
        <v>42.72</v>
      </c>
      <c r="G282" s="165">
        <v>106.8</v>
      </c>
      <c r="H282" s="20">
        <v>61</v>
      </c>
      <c r="I282"/>
    </row>
    <row r="283" spans="1:9" x14ac:dyDescent="0.25">
      <c r="A283" s="228">
        <v>41897</v>
      </c>
      <c r="B283" s="161" t="s">
        <v>831</v>
      </c>
      <c r="C283" t="s">
        <v>1471</v>
      </c>
      <c r="D283" t="s">
        <v>832</v>
      </c>
      <c r="E283" s="162">
        <v>6</v>
      </c>
      <c r="F283" s="162">
        <v>54.58</v>
      </c>
      <c r="G283" s="165">
        <v>327.48</v>
      </c>
      <c r="H283" s="20">
        <v>61</v>
      </c>
      <c r="I283"/>
    </row>
    <row r="284" spans="1:9" x14ac:dyDescent="0.25">
      <c r="A284" s="228">
        <v>41897</v>
      </c>
      <c r="B284" s="161" t="s">
        <v>837</v>
      </c>
      <c r="C284" t="s">
        <v>8</v>
      </c>
      <c r="D284" t="s">
        <v>33</v>
      </c>
      <c r="E284" s="162">
        <v>3</v>
      </c>
      <c r="F284" s="162">
        <v>42.72</v>
      </c>
      <c r="G284" s="165">
        <v>128.16</v>
      </c>
      <c r="H284" s="20">
        <v>61</v>
      </c>
      <c r="I284"/>
    </row>
    <row r="285" spans="1:9" x14ac:dyDescent="0.25">
      <c r="A285" s="228">
        <v>41933</v>
      </c>
      <c r="B285" s="161" t="s">
        <v>831</v>
      </c>
      <c r="C285" t="s">
        <v>1471</v>
      </c>
      <c r="D285" t="s">
        <v>832</v>
      </c>
      <c r="E285" s="162">
        <v>3</v>
      </c>
      <c r="F285" s="162">
        <v>54.58</v>
      </c>
      <c r="G285" s="165">
        <v>163.74</v>
      </c>
      <c r="H285" s="20">
        <v>61</v>
      </c>
      <c r="I285"/>
    </row>
    <row r="286" spans="1:9" x14ac:dyDescent="0.25">
      <c r="A286" s="228">
        <v>41933</v>
      </c>
      <c r="B286" s="161" t="s">
        <v>829</v>
      </c>
      <c r="C286" t="s">
        <v>830</v>
      </c>
      <c r="D286" t="s">
        <v>33</v>
      </c>
      <c r="E286" s="162">
        <v>9</v>
      </c>
      <c r="F286" s="162">
        <v>110</v>
      </c>
      <c r="G286" s="165">
        <v>990</v>
      </c>
      <c r="H286" s="20">
        <v>61</v>
      </c>
      <c r="I286"/>
    </row>
    <row r="287" spans="1:9" x14ac:dyDescent="0.25">
      <c r="A287" s="228">
        <v>41957</v>
      </c>
      <c r="B287" s="161" t="s">
        <v>829</v>
      </c>
      <c r="C287" t="s">
        <v>830</v>
      </c>
      <c r="D287" t="s">
        <v>33</v>
      </c>
      <c r="E287" s="162">
        <v>2</v>
      </c>
      <c r="F287" s="162">
        <v>110</v>
      </c>
      <c r="G287" s="165">
        <v>220</v>
      </c>
      <c r="H287" s="20">
        <v>61</v>
      </c>
      <c r="I287"/>
    </row>
    <row r="288" spans="1:9" x14ac:dyDescent="0.25">
      <c r="A288" s="228">
        <v>41969</v>
      </c>
      <c r="B288" s="161" t="s">
        <v>831</v>
      </c>
      <c r="C288" t="s">
        <v>1471</v>
      </c>
      <c r="D288" t="s">
        <v>832</v>
      </c>
      <c r="E288" s="162">
        <v>2</v>
      </c>
      <c r="F288" s="162">
        <v>54.58</v>
      </c>
      <c r="G288" s="165">
        <v>109.16</v>
      </c>
      <c r="H288" s="20">
        <v>61</v>
      </c>
      <c r="I288"/>
    </row>
    <row r="289" spans="1:9" x14ac:dyDescent="0.25">
      <c r="A289" s="228">
        <v>41976</v>
      </c>
      <c r="B289" s="161" t="s">
        <v>829</v>
      </c>
      <c r="C289" t="s">
        <v>830</v>
      </c>
      <c r="D289" t="s">
        <v>33</v>
      </c>
      <c r="E289" s="162">
        <v>3</v>
      </c>
      <c r="F289" s="162">
        <v>110</v>
      </c>
      <c r="G289" s="165">
        <v>330</v>
      </c>
      <c r="H289" s="20">
        <v>61</v>
      </c>
      <c r="I289"/>
    </row>
    <row r="290" spans="1:9" x14ac:dyDescent="0.25">
      <c r="A290" s="228">
        <v>41976</v>
      </c>
      <c r="B290" s="161" t="s">
        <v>831</v>
      </c>
      <c r="C290" t="s">
        <v>1471</v>
      </c>
      <c r="D290" t="s">
        <v>832</v>
      </c>
      <c r="E290" s="162">
        <v>3</v>
      </c>
      <c r="F290" s="162">
        <v>54.58</v>
      </c>
      <c r="G290" s="165">
        <v>163.74</v>
      </c>
      <c r="H290" s="20">
        <v>61</v>
      </c>
      <c r="I290"/>
    </row>
    <row r="291" spans="1:9" x14ac:dyDescent="0.25">
      <c r="A291" s="228">
        <v>41977</v>
      </c>
      <c r="B291" s="161" t="s">
        <v>829</v>
      </c>
      <c r="C291" t="s">
        <v>830</v>
      </c>
      <c r="D291" t="s">
        <v>33</v>
      </c>
      <c r="E291" s="162">
        <v>6</v>
      </c>
      <c r="F291" s="162">
        <v>110</v>
      </c>
      <c r="G291" s="165">
        <v>660</v>
      </c>
      <c r="H291" s="20">
        <v>61</v>
      </c>
      <c r="I291"/>
    </row>
    <row r="292" spans="1:9" x14ac:dyDescent="0.25">
      <c r="A292" s="228">
        <v>41977</v>
      </c>
      <c r="B292" s="161" t="s">
        <v>831</v>
      </c>
      <c r="C292" t="s">
        <v>1471</v>
      </c>
      <c r="D292" t="s">
        <v>832</v>
      </c>
      <c r="E292" s="162">
        <v>6</v>
      </c>
      <c r="F292" s="162">
        <v>54.58</v>
      </c>
      <c r="G292" s="165">
        <v>327.48</v>
      </c>
      <c r="H292" s="20">
        <v>61</v>
      </c>
      <c r="I292"/>
    </row>
    <row r="293" spans="1:9" x14ac:dyDescent="0.25">
      <c r="A293" s="230" t="s">
        <v>642</v>
      </c>
      <c r="B293" s="231" t="s">
        <v>876</v>
      </c>
      <c r="C293" s="232" t="s">
        <v>642</v>
      </c>
      <c r="D293" s="232" t="s">
        <v>642</v>
      </c>
      <c r="E293" s="233"/>
      <c r="F293" s="233"/>
      <c r="G293" s="234">
        <v>12355.115</v>
      </c>
      <c r="H293" s="235" t="s">
        <v>642</v>
      </c>
      <c r="I293"/>
    </row>
    <row r="294" spans="1:9" x14ac:dyDescent="0.25">
      <c r="A294" s="228" t="s">
        <v>642</v>
      </c>
      <c r="B294" s="161" t="s">
        <v>642</v>
      </c>
      <c r="C294" t="s">
        <v>642</v>
      </c>
      <c r="D294" t="s">
        <v>642</v>
      </c>
      <c r="E294" s="162"/>
      <c r="F294" s="162"/>
      <c r="G294" s="165"/>
      <c r="H294" s="20" t="s">
        <v>642</v>
      </c>
      <c r="I294"/>
    </row>
    <row r="295" spans="1:9" x14ac:dyDescent="0.25">
      <c r="A295" s="226" t="s">
        <v>642</v>
      </c>
      <c r="B295" s="159" t="s">
        <v>877</v>
      </c>
      <c r="C295" s="64" t="s">
        <v>642</v>
      </c>
      <c r="D295" s="64" t="s">
        <v>642</v>
      </c>
      <c r="E295" s="227"/>
      <c r="F295" s="227"/>
      <c r="G295" s="166"/>
      <c r="H295" s="160" t="s">
        <v>642</v>
      </c>
      <c r="I295"/>
    </row>
    <row r="296" spans="1:9" x14ac:dyDescent="0.25">
      <c r="A296" s="228">
        <v>41808</v>
      </c>
      <c r="B296" s="161" t="s">
        <v>829</v>
      </c>
      <c r="C296" t="s">
        <v>830</v>
      </c>
      <c r="D296" t="s">
        <v>33</v>
      </c>
      <c r="E296" s="162">
        <v>5</v>
      </c>
      <c r="F296" s="162">
        <v>110</v>
      </c>
      <c r="G296" s="165">
        <v>550</v>
      </c>
      <c r="H296" s="20">
        <v>62</v>
      </c>
      <c r="I296"/>
    </row>
    <row r="297" spans="1:9" x14ac:dyDescent="0.25">
      <c r="A297" s="228">
        <v>41870</v>
      </c>
      <c r="B297" s="161" t="s">
        <v>838</v>
      </c>
      <c r="C297" t="s">
        <v>8</v>
      </c>
      <c r="D297" t="s">
        <v>33</v>
      </c>
      <c r="E297" s="162">
        <v>3.5</v>
      </c>
      <c r="F297" s="162">
        <v>39.979999999999997</v>
      </c>
      <c r="G297" s="165">
        <v>139.93</v>
      </c>
      <c r="H297" s="20">
        <v>62</v>
      </c>
      <c r="I297"/>
    </row>
    <row r="298" spans="1:9" x14ac:dyDescent="0.25">
      <c r="A298" s="228">
        <v>41870</v>
      </c>
      <c r="B298" s="161" t="s">
        <v>843</v>
      </c>
      <c r="C298" t="s">
        <v>8</v>
      </c>
      <c r="D298" t="s">
        <v>33</v>
      </c>
      <c r="E298" s="162">
        <v>3.5</v>
      </c>
      <c r="F298" s="162">
        <v>35.11</v>
      </c>
      <c r="G298" s="165">
        <v>122.88500000000001</v>
      </c>
      <c r="H298" s="20">
        <v>62</v>
      </c>
      <c r="I298"/>
    </row>
    <row r="299" spans="1:9" x14ac:dyDescent="0.25">
      <c r="A299" s="228">
        <v>41870</v>
      </c>
      <c r="B299" s="161" t="s">
        <v>843</v>
      </c>
      <c r="C299" t="s">
        <v>8</v>
      </c>
      <c r="D299" t="s">
        <v>33</v>
      </c>
      <c r="E299" s="162">
        <v>3.5</v>
      </c>
      <c r="F299" s="162">
        <v>42.72</v>
      </c>
      <c r="G299" s="165">
        <v>149.52000000000001</v>
      </c>
      <c r="H299" s="20">
        <v>62</v>
      </c>
      <c r="I299"/>
    </row>
    <row r="300" spans="1:9" x14ac:dyDescent="0.25">
      <c r="A300" s="228">
        <v>41870</v>
      </c>
      <c r="B300" s="161" t="s">
        <v>831</v>
      </c>
      <c r="C300" t="s">
        <v>1471</v>
      </c>
      <c r="D300" t="s">
        <v>832</v>
      </c>
      <c r="E300" s="162">
        <v>3</v>
      </c>
      <c r="F300" s="162">
        <v>54.58</v>
      </c>
      <c r="G300" s="165">
        <v>163.74</v>
      </c>
      <c r="H300" s="20">
        <v>62</v>
      </c>
      <c r="I300"/>
    </row>
    <row r="301" spans="1:9" x14ac:dyDescent="0.25">
      <c r="A301" s="228">
        <v>41885</v>
      </c>
      <c r="B301" s="161" t="s">
        <v>843</v>
      </c>
      <c r="C301" t="s">
        <v>8</v>
      </c>
      <c r="D301" t="s">
        <v>33</v>
      </c>
      <c r="E301" s="162">
        <v>8</v>
      </c>
      <c r="F301" s="162">
        <v>35.11</v>
      </c>
      <c r="G301" s="165">
        <v>280.88</v>
      </c>
      <c r="H301" s="20">
        <v>62</v>
      </c>
      <c r="I301"/>
    </row>
    <row r="302" spans="1:9" x14ac:dyDescent="0.25">
      <c r="A302" s="228">
        <v>41885</v>
      </c>
      <c r="B302" s="161" t="s">
        <v>829</v>
      </c>
      <c r="C302" t="s">
        <v>830</v>
      </c>
      <c r="D302" t="s">
        <v>33</v>
      </c>
      <c r="E302" s="162">
        <v>9.5</v>
      </c>
      <c r="F302" s="162">
        <v>110</v>
      </c>
      <c r="G302" s="165">
        <v>1045</v>
      </c>
      <c r="H302" s="20">
        <v>62</v>
      </c>
      <c r="I302"/>
    </row>
    <row r="303" spans="1:9" x14ac:dyDescent="0.25">
      <c r="A303" s="228">
        <v>41885</v>
      </c>
      <c r="B303" s="161" t="s">
        <v>855</v>
      </c>
      <c r="C303" t="s">
        <v>856</v>
      </c>
      <c r="D303" t="s">
        <v>33</v>
      </c>
      <c r="E303" s="162">
        <v>9.5</v>
      </c>
      <c r="F303" s="162">
        <v>21.61</v>
      </c>
      <c r="G303" s="165">
        <v>205.29499999999999</v>
      </c>
      <c r="H303" s="20">
        <v>62</v>
      </c>
      <c r="I303"/>
    </row>
    <row r="304" spans="1:9" x14ac:dyDescent="0.25">
      <c r="A304" s="228">
        <v>41885</v>
      </c>
      <c r="B304" s="161" t="s">
        <v>831</v>
      </c>
      <c r="C304" t="s">
        <v>1471</v>
      </c>
      <c r="D304" t="s">
        <v>832</v>
      </c>
      <c r="E304" s="162">
        <v>7.5</v>
      </c>
      <c r="F304" s="162">
        <v>54.58</v>
      </c>
      <c r="G304" s="165">
        <v>409.35</v>
      </c>
      <c r="H304" s="20">
        <v>62</v>
      </c>
      <c r="I304"/>
    </row>
    <row r="305" spans="1:9" x14ac:dyDescent="0.25">
      <c r="A305" s="228">
        <v>41885</v>
      </c>
      <c r="B305" s="161" t="s">
        <v>843</v>
      </c>
      <c r="C305" t="s">
        <v>8</v>
      </c>
      <c r="D305" t="s">
        <v>33</v>
      </c>
      <c r="E305" s="162">
        <v>1.5</v>
      </c>
      <c r="F305" s="162">
        <v>35.11</v>
      </c>
      <c r="G305" s="165">
        <v>52.664999999999999</v>
      </c>
      <c r="H305" s="20">
        <v>62</v>
      </c>
      <c r="I305"/>
    </row>
    <row r="306" spans="1:9" x14ac:dyDescent="0.25">
      <c r="A306" s="228">
        <v>41885</v>
      </c>
      <c r="B306" s="161" t="s">
        <v>838</v>
      </c>
      <c r="C306" t="s">
        <v>8</v>
      </c>
      <c r="D306" t="s">
        <v>33</v>
      </c>
      <c r="E306" s="162">
        <v>9.5</v>
      </c>
      <c r="F306" s="162">
        <v>39.979999999999997</v>
      </c>
      <c r="G306" s="165">
        <v>379.81</v>
      </c>
      <c r="H306" s="20">
        <v>62</v>
      </c>
      <c r="I306"/>
    </row>
    <row r="307" spans="1:9" x14ac:dyDescent="0.25">
      <c r="A307" s="228">
        <v>41885</v>
      </c>
      <c r="B307" s="161" t="s">
        <v>837</v>
      </c>
      <c r="C307" t="s">
        <v>8</v>
      </c>
      <c r="D307" t="s">
        <v>33</v>
      </c>
      <c r="E307" s="162">
        <v>6.5</v>
      </c>
      <c r="F307" s="162">
        <v>42.72</v>
      </c>
      <c r="G307" s="165">
        <v>277.68</v>
      </c>
      <c r="H307" s="20">
        <v>62</v>
      </c>
      <c r="I307"/>
    </row>
    <row r="308" spans="1:9" x14ac:dyDescent="0.25">
      <c r="A308" s="228">
        <v>41886</v>
      </c>
      <c r="B308" s="161" t="s">
        <v>843</v>
      </c>
      <c r="C308" t="s">
        <v>8</v>
      </c>
      <c r="D308" t="s">
        <v>33</v>
      </c>
      <c r="E308" s="162">
        <v>9.5</v>
      </c>
      <c r="F308" s="162">
        <v>35.11</v>
      </c>
      <c r="G308" s="165">
        <v>333.54500000000002</v>
      </c>
      <c r="H308" s="20">
        <v>62</v>
      </c>
      <c r="I308"/>
    </row>
    <row r="309" spans="1:9" x14ac:dyDescent="0.25">
      <c r="A309" s="228">
        <v>41886</v>
      </c>
      <c r="B309" s="161" t="s">
        <v>829</v>
      </c>
      <c r="C309" t="s">
        <v>830</v>
      </c>
      <c r="D309" t="s">
        <v>33</v>
      </c>
      <c r="E309" s="162">
        <v>8.5</v>
      </c>
      <c r="F309" s="162">
        <v>110</v>
      </c>
      <c r="G309" s="165">
        <v>935</v>
      </c>
      <c r="H309" s="20">
        <v>62</v>
      </c>
      <c r="I309"/>
    </row>
    <row r="310" spans="1:9" x14ac:dyDescent="0.25">
      <c r="A310" s="228">
        <v>41886</v>
      </c>
      <c r="B310" s="161" t="s">
        <v>503</v>
      </c>
      <c r="C310" t="s">
        <v>840</v>
      </c>
      <c r="D310" t="s">
        <v>19</v>
      </c>
      <c r="E310" s="162">
        <v>3.5</v>
      </c>
      <c r="F310" s="162"/>
      <c r="G310" s="165"/>
      <c r="H310" s="20">
        <v>62</v>
      </c>
      <c r="I310"/>
    </row>
    <row r="311" spans="1:9" x14ac:dyDescent="0.25">
      <c r="A311" s="228">
        <v>41886</v>
      </c>
      <c r="B311" s="161" t="s">
        <v>838</v>
      </c>
      <c r="C311" t="s">
        <v>8</v>
      </c>
      <c r="D311" t="s">
        <v>33</v>
      </c>
      <c r="E311" s="162">
        <v>9.5</v>
      </c>
      <c r="F311" s="162">
        <v>39.979999999999997</v>
      </c>
      <c r="G311" s="165">
        <v>379.81</v>
      </c>
      <c r="H311" s="20">
        <v>62</v>
      </c>
      <c r="I311"/>
    </row>
    <row r="312" spans="1:9" x14ac:dyDescent="0.25">
      <c r="A312" s="228">
        <v>41886</v>
      </c>
      <c r="B312" s="161" t="s">
        <v>855</v>
      </c>
      <c r="C312" t="s">
        <v>856</v>
      </c>
      <c r="D312" t="s">
        <v>33</v>
      </c>
      <c r="E312" s="162">
        <v>9.5</v>
      </c>
      <c r="F312" s="162">
        <v>21.61</v>
      </c>
      <c r="G312" s="165">
        <v>205.29499999999999</v>
      </c>
      <c r="H312" s="20">
        <v>62</v>
      </c>
      <c r="I312"/>
    </row>
    <row r="313" spans="1:9" x14ac:dyDescent="0.25">
      <c r="A313" s="228">
        <v>41886</v>
      </c>
      <c r="B313" s="161" t="s">
        <v>837</v>
      </c>
      <c r="C313" t="s">
        <v>8</v>
      </c>
      <c r="D313" t="s">
        <v>33</v>
      </c>
      <c r="E313" s="162">
        <v>6.5</v>
      </c>
      <c r="F313" s="162">
        <v>42.72</v>
      </c>
      <c r="G313" s="165">
        <v>277.68</v>
      </c>
      <c r="H313" s="20">
        <v>62</v>
      </c>
      <c r="I313"/>
    </row>
    <row r="314" spans="1:9" x14ac:dyDescent="0.25">
      <c r="A314" s="228">
        <v>41886</v>
      </c>
      <c r="B314" s="161" t="s">
        <v>831</v>
      </c>
      <c r="C314" t="s">
        <v>1471</v>
      </c>
      <c r="D314" t="s">
        <v>832</v>
      </c>
      <c r="E314" s="162">
        <v>6</v>
      </c>
      <c r="F314" s="162">
        <v>54.58</v>
      </c>
      <c r="G314" s="165">
        <v>327.48</v>
      </c>
      <c r="H314" s="20">
        <v>62</v>
      </c>
      <c r="I314"/>
    </row>
    <row r="315" spans="1:9" x14ac:dyDescent="0.25">
      <c r="A315" s="228">
        <v>41886</v>
      </c>
      <c r="B315" s="161" t="s">
        <v>831</v>
      </c>
      <c r="C315" t="s">
        <v>1471</v>
      </c>
      <c r="D315" t="s">
        <v>832</v>
      </c>
      <c r="E315" s="162">
        <v>3.5</v>
      </c>
      <c r="F315" s="162">
        <v>54.58</v>
      </c>
      <c r="G315" s="165">
        <v>191.03</v>
      </c>
      <c r="H315" s="20">
        <v>62</v>
      </c>
      <c r="I315"/>
    </row>
    <row r="316" spans="1:9" x14ac:dyDescent="0.25">
      <c r="A316" s="228">
        <v>41887</v>
      </c>
      <c r="B316" s="161" t="s">
        <v>843</v>
      </c>
      <c r="C316" t="s">
        <v>8</v>
      </c>
      <c r="D316" t="s">
        <v>33</v>
      </c>
      <c r="E316" s="162">
        <v>6</v>
      </c>
      <c r="F316" s="162">
        <v>35.11</v>
      </c>
      <c r="G316" s="165">
        <v>210.66</v>
      </c>
      <c r="H316" s="20">
        <v>62</v>
      </c>
      <c r="I316"/>
    </row>
    <row r="317" spans="1:9" x14ac:dyDescent="0.25">
      <c r="A317" s="228">
        <v>41887</v>
      </c>
      <c r="B317" s="161" t="s">
        <v>855</v>
      </c>
      <c r="C317" t="s">
        <v>856</v>
      </c>
      <c r="D317" t="s">
        <v>33</v>
      </c>
      <c r="E317" s="162">
        <v>9</v>
      </c>
      <c r="F317" s="162">
        <v>21.61</v>
      </c>
      <c r="G317" s="165">
        <v>194.49</v>
      </c>
      <c r="H317" s="20">
        <v>62</v>
      </c>
      <c r="I317"/>
    </row>
    <row r="318" spans="1:9" x14ac:dyDescent="0.25">
      <c r="A318" s="228">
        <v>41887</v>
      </c>
      <c r="B318" s="161" t="s">
        <v>503</v>
      </c>
      <c r="C318" t="s">
        <v>840</v>
      </c>
      <c r="D318" t="s">
        <v>19</v>
      </c>
      <c r="E318" s="162">
        <v>3.5</v>
      </c>
      <c r="F318" s="162"/>
      <c r="G318" s="165"/>
      <c r="H318" s="20">
        <v>62</v>
      </c>
      <c r="I318"/>
    </row>
    <row r="319" spans="1:9" x14ac:dyDescent="0.25">
      <c r="A319" s="228">
        <v>41887</v>
      </c>
      <c r="B319" s="161" t="s">
        <v>829</v>
      </c>
      <c r="C319" t="s">
        <v>830</v>
      </c>
      <c r="D319" t="s">
        <v>33</v>
      </c>
      <c r="E319" s="162">
        <v>8.5</v>
      </c>
      <c r="F319" s="162">
        <v>110</v>
      </c>
      <c r="G319" s="165">
        <v>935</v>
      </c>
      <c r="H319" s="20">
        <v>62</v>
      </c>
      <c r="I319"/>
    </row>
    <row r="320" spans="1:9" x14ac:dyDescent="0.25">
      <c r="A320" s="228">
        <v>41887</v>
      </c>
      <c r="B320" s="161" t="s">
        <v>838</v>
      </c>
      <c r="C320" t="s">
        <v>8</v>
      </c>
      <c r="D320" t="s">
        <v>33</v>
      </c>
      <c r="E320" s="162">
        <v>9.5</v>
      </c>
      <c r="F320" s="162">
        <v>39.979999999999997</v>
      </c>
      <c r="G320" s="165">
        <v>379.81</v>
      </c>
      <c r="H320" s="20">
        <v>62</v>
      </c>
      <c r="I320"/>
    </row>
    <row r="321" spans="1:9" x14ac:dyDescent="0.25">
      <c r="A321" s="228">
        <v>41887</v>
      </c>
      <c r="B321" s="161" t="s">
        <v>831</v>
      </c>
      <c r="C321" t="s">
        <v>1471</v>
      </c>
      <c r="D321" t="s">
        <v>832</v>
      </c>
      <c r="E321" s="162">
        <v>6</v>
      </c>
      <c r="F321" s="162">
        <v>54.58</v>
      </c>
      <c r="G321" s="165">
        <v>327.48</v>
      </c>
      <c r="H321" s="20">
        <v>62</v>
      </c>
      <c r="I321"/>
    </row>
    <row r="322" spans="1:9" x14ac:dyDescent="0.25">
      <c r="A322" s="228">
        <v>41887</v>
      </c>
      <c r="B322" s="161" t="s">
        <v>838</v>
      </c>
      <c r="C322" t="s">
        <v>8</v>
      </c>
      <c r="D322" t="s">
        <v>33</v>
      </c>
      <c r="E322" s="162">
        <v>3</v>
      </c>
      <c r="F322" s="162">
        <v>39.979999999999997</v>
      </c>
      <c r="G322" s="165">
        <v>119.94</v>
      </c>
      <c r="H322" s="20">
        <v>62</v>
      </c>
      <c r="I322"/>
    </row>
    <row r="323" spans="1:9" x14ac:dyDescent="0.25">
      <c r="A323" s="228">
        <v>41890</v>
      </c>
      <c r="B323" s="161" t="s">
        <v>855</v>
      </c>
      <c r="C323" t="s">
        <v>856</v>
      </c>
      <c r="D323" t="s">
        <v>33</v>
      </c>
      <c r="E323" s="162">
        <v>4</v>
      </c>
      <c r="F323" s="162">
        <v>21.61</v>
      </c>
      <c r="G323" s="165">
        <v>86.44</v>
      </c>
      <c r="H323" s="20">
        <v>62</v>
      </c>
      <c r="I323"/>
    </row>
    <row r="324" spans="1:9" x14ac:dyDescent="0.25">
      <c r="A324" s="228">
        <v>41890</v>
      </c>
      <c r="B324" s="161" t="s">
        <v>843</v>
      </c>
      <c r="C324" t="s">
        <v>8</v>
      </c>
      <c r="D324" t="s">
        <v>33</v>
      </c>
      <c r="E324" s="162">
        <v>5</v>
      </c>
      <c r="F324" s="162">
        <v>35.11</v>
      </c>
      <c r="G324" s="165">
        <v>175.55</v>
      </c>
      <c r="H324" s="20">
        <v>62</v>
      </c>
      <c r="I324"/>
    </row>
    <row r="325" spans="1:9" x14ac:dyDescent="0.25">
      <c r="A325" s="228">
        <v>41891</v>
      </c>
      <c r="B325" s="161" t="s">
        <v>829</v>
      </c>
      <c r="C325" t="s">
        <v>830</v>
      </c>
      <c r="D325" t="s">
        <v>33</v>
      </c>
      <c r="E325" s="162">
        <v>8</v>
      </c>
      <c r="F325" s="162">
        <v>110</v>
      </c>
      <c r="G325" s="165">
        <v>880</v>
      </c>
      <c r="H325" s="20">
        <v>62</v>
      </c>
      <c r="I325"/>
    </row>
    <row r="326" spans="1:9" x14ac:dyDescent="0.25">
      <c r="A326" s="228">
        <v>41894</v>
      </c>
      <c r="B326" s="161" t="s">
        <v>878</v>
      </c>
      <c r="C326" t="s">
        <v>879</v>
      </c>
      <c r="D326" t="s">
        <v>747</v>
      </c>
      <c r="E326" s="162">
        <v>1</v>
      </c>
      <c r="F326" s="162">
        <v>83.85</v>
      </c>
      <c r="G326" s="165">
        <v>83.85</v>
      </c>
      <c r="H326" s="20">
        <v>62</v>
      </c>
      <c r="I326"/>
    </row>
    <row r="327" spans="1:9" ht="30" x14ac:dyDescent="0.25">
      <c r="A327" s="228">
        <v>41894</v>
      </c>
      <c r="B327" s="161" t="s">
        <v>880</v>
      </c>
      <c r="C327" t="s">
        <v>881</v>
      </c>
      <c r="D327" t="s">
        <v>747</v>
      </c>
      <c r="E327" s="162">
        <v>1</v>
      </c>
      <c r="F327" s="162">
        <v>1288</v>
      </c>
      <c r="G327" s="165">
        <v>1288</v>
      </c>
      <c r="H327" s="20">
        <v>62</v>
      </c>
      <c r="I327"/>
    </row>
    <row r="328" spans="1:9" x14ac:dyDescent="0.25">
      <c r="A328" s="228">
        <v>41897</v>
      </c>
      <c r="B328" s="161" t="s">
        <v>843</v>
      </c>
      <c r="C328" t="s">
        <v>8</v>
      </c>
      <c r="D328" t="s">
        <v>33</v>
      </c>
      <c r="E328" s="162">
        <v>2.5</v>
      </c>
      <c r="F328" s="162">
        <v>35.11</v>
      </c>
      <c r="G328" s="165">
        <v>87.775000000000006</v>
      </c>
      <c r="H328" s="20">
        <v>62</v>
      </c>
      <c r="I328"/>
    </row>
    <row r="329" spans="1:9" x14ac:dyDescent="0.25">
      <c r="A329" s="228">
        <v>41898</v>
      </c>
      <c r="B329" s="161" t="s">
        <v>863</v>
      </c>
      <c r="C329" t="s">
        <v>864</v>
      </c>
      <c r="D329" t="s">
        <v>33</v>
      </c>
      <c r="E329" s="162">
        <v>9.5</v>
      </c>
      <c r="F329" s="162">
        <v>46.5</v>
      </c>
      <c r="G329" s="165">
        <v>441.75</v>
      </c>
      <c r="H329" s="20">
        <v>62</v>
      </c>
      <c r="I329"/>
    </row>
    <row r="330" spans="1:9" x14ac:dyDescent="0.25">
      <c r="A330" s="228">
        <v>41898</v>
      </c>
      <c r="B330" s="161" t="s">
        <v>855</v>
      </c>
      <c r="C330" t="s">
        <v>856</v>
      </c>
      <c r="D330" t="s">
        <v>33</v>
      </c>
      <c r="E330" s="162">
        <v>6</v>
      </c>
      <c r="F330" s="162">
        <v>21.61</v>
      </c>
      <c r="G330" s="165">
        <v>129.66</v>
      </c>
      <c r="H330" s="20">
        <v>62</v>
      </c>
      <c r="I330"/>
    </row>
    <row r="331" spans="1:9" x14ac:dyDescent="0.25">
      <c r="A331" s="228">
        <v>41898</v>
      </c>
      <c r="B331" s="161" t="s">
        <v>837</v>
      </c>
      <c r="C331" t="s">
        <v>8</v>
      </c>
      <c r="D331" t="s">
        <v>33</v>
      </c>
      <c r="E331" s="162">
        <v>9.5</v>
      </c>
      <c r="F331" s="162">
        <v>42.72</v>
      </c>
      <c r="G331" s="165">
        <v>405.84</v>
      </c>
      <c r="H331" s="20">
        <v>62</v>
      </c>
      <c r="I331"/>
    </row>
    <row r="332" spans="1:9" x14ac:dyDescent="0.25">
      <c r="A332" s="228">
        <v>41898</v>
      </c>
      <c r="B332" s="161" t="s">
        <v>843</v>
      </c>
      <c r="C332" t="s">
        <v>8</v>
      </c>
      <c r="D332" t="s">
        <v>33</v>
      </c>
      <c r="E332" s="162">
        <v>9.5</v>
      </c>
      <c r="F332" s="162">
        <v>35.11</v>
      </c>
      <c r="G332" s="165">
        <v>333.54500000000002</v>
      </c>
      <c r="H332" s="20">
        <v>62</v>
      </c>
      <c r="I332"/>
    </row>
    <row r="333" spans="1:9" x14ac:dyDescent="0.25">
      <c r="A333" s="228">
        <v>41898</v>
      </c>
      <c r="B333" s="161" t="s">
        <v>831</v>
      </c>
      <c r="C333" t="s">
        <v>1471</v>
      </c>
      <c r="D333" t="s">
        <v>832</v>
      </c>
      <c r="E333" s="162">
        <v>9.5</v>
      </c>
      <c r="F333" s="162">
        <v>54.58</v>
      </c>
      <c r="G333" s="165">
        <v>518.51</v>
      </c>
      <c r="H333" s="20">
        <v>62</v>
      </c>
      <c r="I333"/>
    </row>
    <row r="334" spans="1:9" x14ac:dyDescent="0.25">
      <c r="A334" s="228">
        <v>41898</v>
      </c>
      <c r="B334" s="161" t="s">
        <v>838</v>
      </c>
      <c r="C334" t="s">
        <v>8</v>
      </c>
      <c r="D334" t="s">
        <v>33</v>
      </c>
      <c r="E334" s="162">
        <v>9.5</v>
      </c>
      <c r="F334" s="162">
        <v>39.979999999999997</v>
      </c>
      <c r="G334" s="165">
        <v>379.81</v>
      </c>
      <c r="H334" s="20">
        <v>62</v>
      </c>
      <c r="I334"/>
    </row>
    <row r="335" spans="1:9" x14ac:dyDescent="0.25">
      <c r="A335" s="228">
        <v>41899</v>
      </c>
      <c r="B335" s="161" t="s">
        <v>843</v>
      </c>
      <c r="C335" t="s">
        <v>8</v>
      </c>
      <c r="D335" t="s">
        <v>33</v>
      </c>
      <c r="E335" s="162">
        <v>8.5</v>
      </c>
      <c r="F335" s="162">
        <v>35.11</v>
      </c>
      <c r="G335" s="165">
        <v>298.435</v>
      </c>
      <c r="H335" s="20">
        <v>62</v>
      </c>
      <c r="I335"/>
    </row>
    <row r="336" spans="1:9" x14ac:dyDescent="0.25">
      <c r="A336" s="228">
        <v>41899</v>
      </c>
      <c r="B336" s="161" t="s">
        <v>838</v>
      </c>
      <c r="C336" t="s">
        <v>8</v>
      </c>
      <c r="D336" t="s">
        <v>33</v>
      </c>
      <c r="E336" s="162">
        <v>8.5</v>
      </c>
      <c r="F336" s="162">
        <v>39.979999999999997</v>
      </c>
      <c r="G336" s="165">
        <v>339.83</v>
      </c>
      <c r="H336" s="20">
        <v>62</v>
      </c>
      <c r="I336"/>
    </row>
    <row r="337" spans="1:9" x14ac:dyDescent="0.25">
      <c r="A337" s="228">
        <v>41899</v>
      </c>
      <c r="B337" s="161" t="s">
        <v>837</v>
      </c>
      <c r="C337" t="s">
        <v>8</v>
      </c>
      <c r="D337" t="s">
        <v>33</v>
      </c>
      <c r="E337" s="162">
        <v>5</v>
      </c>
      <c r="F337" s="162">
        <v>42.72</v>
      </c>
      <c r="G337" s="165">
        <v>213.6</v>
      </c>
      <c r="H337" s="20">
        <v>62</v>
      </c>
      <c r="I337"/>
    </row>
    <row r="338" spans="1:9" x14ac:dyDescent="0.25">
      <c r="A338" s="228">
        <v>41899</v>
      </c>
      <c r="B338" s="161" t="s">
        <v>857</v>
      </c>
      <c r="C338" t="s">
        <v>858</v>
      </c>
      <c r="D338" t="s">
        <v>33</v>
      </c>
      <c r="E338" s="162">
        <v>5</v>
      </c>
      <c r="F338" s="162">
        <v>120</v>
      </c>
      <c r="G338" s="165">
        <v>600</v>
      </c>
      <c r="H338" s="20">
        <v>62</v>
      </c>
      <c r="I338"/>
    </row>
    <row r="339" spans="1:9" x14ac:dyDescent="0.25">
      <c r="A339" s="228">
        <v>41899</v>
      </c>
      <c r="B339" s="161" t="s">
        <v>831</v>
      </c>
      <c r="C339" t="s">
        <v>1471</v>
      </c>
      <c r="D339" t="s">
        <v>832</v>
      </c>
      <c r="E339" s="162">
        <v>8.5</v>
      </c>
      <c r="F339" s="162">
        <v>54.58</v>
      </c>
      <c r="G339" s="165">
        <v>463.93</v>
      </c>
      <c r="H339" s="20">
        <v>62</v>
      </c>
      <c r="I339"/>
    </row>
    <row r="340" spans="1:9" x14ac:dyDescent="0.25">
      <c r="A340" s="228">
        <v>41900</v>
      </c>
      <c r="B340" s="161" t="s">
        <v>843</v>
      </c>
      <c r="C340" t="s">
        <v>8</v>
      </c>
      <c r="D340" t="s">
        <v>33</v>
      </c>
      <c r="E340" s="162">
        <v>2</v>
      </c>
      <c r="F340" s="162">
        <v>35.11</v>
      </c>
      <c r="G340" s="165">
        <v>70.22</v>
      </c>
      <c r="H340" s="20">
        <v>62</v>
      </c>
      <c r="I340"/>
    </row>
    <row r="341" spans="1:9" x14ac:dyDescent="0.25">
      <c r="A341" s="228">
        <v>41900</v>
      </c>
      <c r="B341" s="161" t="s">
        <v>838</v>
      </c>
      <c r="C341" t="s">
        <v>8</v>
      </c>
      <c r="D341" t="s">
        <v>33</v>
      </c>
      <c r="E341" s="162">
        <v>2</v>
      </c>
      <c r="F341" s="162">
        <v>39.979999999999997</v>
      </c>
      <c r="G341" s="165">
        <v>79.959999999999994</v>
      </c>
      <c r="H341" s="20">
        <v>62</v>
      </c>
      <c r="I341"/>
    </row>
    <row r="342" spans="1:9" x14ac:dyDescent="0.25">
      <c r="A342" s="228">
        <v>41907</v>
      </c>
      <c r="B342" s="161" t="s">
        <v>857</v>
      </c>
      <c r="C342" t="s">
        <v>858</v>
      </c>
      <c r="D342" t="s">
        <v>33</v>
      </c>
      <c r="E342" s="162">
        <v>9</v>
      </c>
      <c r="F342" s="162">
        <v>120</v>
      </c>
      <c r="G342" s="165">
        <v>1080</v>
      </c>
      <c r="H342" s="20">
        <v>62</v>
      </c>
      <c r="I342"/>
    </row>
    <row r="343" spans="1:9" x14ac:dyDescent="0.25">
      <c r="A343" s="228">
        <v>41907</v>
      </c>
      <c r="B343" s="161" t="s">
        <v>837</v>
      </c>
      <c r="C343" t="s">
        <v>8</v>
      </c>
      <c r="D343" t="s">
        <v>33</v>
      </c>
      <c r="E343" s="162">
        <v>9.25</v>
      </c>
      <c r="F343" s="162">
        <v>42.72</v>
      </c>
      <c r="G343" s="165">
        <v>395.16</v>
      </c>
      <c r="H343" s="20">
        <v>62</v>
      </c>
      <c r="I343"/>
    </row>
    <row r="344" spans="1:9" x14ac:dyDescent="0.25">
      <c r="A344" s="228">
        <v>41907</v>
      </c>
      <c r="B344" s="161" t="s">
        <v>831</v>
      </c>
      <c r="C344" t="s">
        <v>1471</v>
      </c>
      <c r="D344" t="s">
        <v>832</v>
      </c>
      <c r="E344" s="162">
        <v>6</v>
      </c>
      <c r="F344" s="162">
        <v>54.58</v>
      </c>
      <c r="G344" s="165">
        <v>327.48</v>
      </c>
      <c r="H344" s="20">
        <v>62</v>
      </c>
      <c r="I344"/>
    </row>
    <row r="345" spans="1:9" x14ac:dyDescent="0.25">
      <c r="A345" s="228">
        <v>41907</v>
      </c>
      <c r="B345" s="161" t="s">
        <v>855</v>
      </c>
      <c r="C345" t="s">
        <v>856</v>
      </c>
      <c r="D345" t="s">
        <v>33</v>
      </c>
      <c r="E345" s="162">
        <v>9.25</v>
      </c>
      <c r="F345" s="162">
        <v>21.61</v>
      </c>
      <c r="G345" s="165">
        <v>199.89250000000001</v>
      </c>
      <c r="H345" s="20">
        <v>62</v>
      </c>
      <c r="I345"/>
    </row>
    <row r="346" spans="1:9" x14ac:dyDescent="0.25">
      <c r="A346" s="228">
        <v>41908</v>
      </c>
      <c r="B346" s="161" t="s">
        <v>882</v>
      </c>
      <c r="C346" t="s">
        <v>883</v>
      </c>
      <c r="D346" t="s">
        <v>747</v>
      </c>
      <c r="E346" s="162">
        <v>1</v>
      </c>
      <c r="F346" s="162">
        <v>1276.8</v>
      </c>
      <c r="G346" s="165">
        <v>1276.8</v>
      </c>
      <c r="H346" s="20">
        <v>62</v>
      </c>
      <c r="I346"/>
    </row>
    <row r="347" spans="1:9" x14ac:dyDescent="0.25">
      <c r="A347" s="228">
        <v>41908</v>
      </c>
      <c r="B347" s="161" t="s">
        <v>884</v>
      </c>
      <c r="C347" t="s">
        <v>883</v>
      </c>
      <c r="D347" t="s">
        <v>747</v>
      </c>
      <c r="E347" s="162">
        <v>1</v>
      </c>
      <c r="F347" s="162">
        <v>1693.02</v>
      </c>
      <c r="G347" s="165">
        <v>1693.02</v>
      </c>
      <c r="H347" s="20">
        <v>62</v>
      </c>
      <c r="I347"/>
    </row>
    <row r="348" spans="1:9" x14ac:dyDescent="0.25">
      <c r="A348" s="228">
        <v>41908</v>
      </c>
      <c r="B348" s="161" t="s">
        <v>843</v>
      </c>
      <c r="C348" t="s">
        <v>8</v>
      </c>
      <c r="D348" t="s">
        <v>33</v>
      </c>
      <c r="E348" s="162">
        <v>3.5</v>
      </c>
      <c r="F348" s="162">
        <v>35.11</v>
      </c>
      <c r="G348" s="165">
        <v>122.88500000000001</v>
      </c>
      <c r="H348" s="20">
        <v>62</v>
      </c>
      <c r="I348"/>
    </row>
    <row r="349" spans="1:9" x14ac:dyDescent="0.25">
      <c r="A349" s="228">
        <v>41911</v>
      </c>
      <c r="B349" s="161" t="s">
        <v>855</v>
      </c>
      <c r="C349" t="s">
        <v>856</v>
      </c>
      <c r="D349" t="s">
        <v>33</v>
      </c>
      <c r="E349" s="162">
        <v>4</v>
      </c>
      <c r="F349" s="162">
        <v>21.61</v>
      </c>
      <c r="G349" s="165">
        <v>86.44</v>
      </c>
      <c r="H349" s="20">
        <v>62</v>
      </c>
      <c r="I349"/>
    </row>
    <row r="350" spans="1:9" x14ac:dyDescent="0.25">
      <c r="A350" s="228">
        <v>41911</v>
      </c>
      <c r="B350" s="161" t="s">
        <v>843</v>
      </c>
      <c r="C350" t="s">
        <v>8</v>
      </c>
      <c r="D350" t="s">
        <v>33</v>
      </c>
      <c r="E350" s="162">
        <v>8.5</v>
      </c>
      <c r="F350" s="162">
        <v>35.11</v>
      </c>
      <c r="G350" s="165">
        <v>298.435</v>
      </c>
      <c r="H350" s="20">
        <v>62</v>
      </c>
      <c r="I350"/>
    </row>
    <row r="351" spans="1:9" x14ac:dyDescent="0.25">
      <c r="A351" s="228">
        <v>41911</v>
      </c>
      <c r="B351" s="161" t="s">
        <v>857</v>
      </c>
      <c r="C351" t="s">
        <v>858</v>
      </c>
      <c r="D351" t="s">
        <v>33</v>
      </c>
      <c r="E351" s="162">
        <v>3</v>
      </c>
      <c r="F351" s="162">
        <v>120</v>
      </c>
      <c r="G351" s="165">
        <v>360</v>
      </c>
      <c r="H351" s="20">
        <v>62</v>
      </c>
      <c r="I351"/>
    </row>
    <row r="352" spans="1:9" x14ac:dyDescent="0.25">
      <c r="A352" s="228">
        <v>41912</v>
      </c>
      <c r="B352" s="161" t="s">
        <v>885</v>
      </c>
      <c r="C352" t="s">
        <v>883</v>
      </c>
      <c r="D352" t="s">
        <v>747</v>
      </c>
      <c r="E352" s="162">
        <v>1</v>
      </c>
      <c r="F352" s="162">
        <v>852.6</v>
      </c>
      <c r="G352" s="165">
        <v>852.6</v>
      </c>
      <c r="H352" s="20">
        <v>62</v>
      </c>
      <c r="I352"/>
    </row>
    <row r="353" spans="1:9" x14ac:dyDescent="0.25">
      <c r="A353" s="228">
        <v>41915</v>
      </c>
      <c r="B353" s="161" t="s">
        <v>886</v>
      </c>
      <c r="C353" t="s">
        <v>883</v>
      </c>
      <c r="D353" t="s">
        <v>747</v>
      </c>
      <c r="E353" s="162">
        <v>1</v>
      </c>
      <c r="F353" s="162">
        <v>568.4</v>
      </c>
      <c r="G353" s="165">
        <v>568.4</v>
      </c>
      <c r="H353" s="20">
        <v>62</v>
      </c>
      <c r="I353"/>
    </row>
    <row r="354" spans="1:9" ht="30" x14ac:dyDescent="0.25">
      <c r="A354" s="228">
        <v>41922</v>
      </c>
      <c r="B354" s="161" t="s">
        <v>887</v>
      </c>
      <c r="C354" t="s">
        <v>883</v>
      </c>
      <c r="D354" t="s">
        <v>747</v>
      </c>
      <c r="E354" s="162">
        <v>1</v>
      </c>
      <c r="F354" s="162">
        <v>1</v>
      </c>
      <c r="G354" s="165">
        <v>353.17</v>
      </c>
      <c r="H354" s="20">
        <v>62</v>
      </c>
      <c r="I354"/>
    </row>
    <row r="355" spans="1:9" x14ac:dyDescent="0.25">
      <c r="A355" s="230" t="s">
        <v>642</v>
      </c>
      <c r="B355" s="231" t="s">
        <v>888</v>
      </c>
      <c r="C355" s="232" t="s">
        <v>642</v>
      </c>
      <c r="D355" s="232" t="s">
        <v>642</v>
      </c>
      <c r="E355" s="233"/>
      <c r="F355" s="233"/>
      <c r="G355" s="234">
        <v>23084.962500000001</v>
      </c>
      <c r="H355" s="235" t="s">
        <v>642</v>
      </c>
      <c r="I355"/>
    </row>
    <row r="356" spans="1:9" x14ac:dyDescent="0.25">
      <c r="A356" s="228" t="s">
        <v>642</v>
      </c>
      <c r="B356" s="161" t="s">
        <v>642</v>
      </c>
      <c r="C356" t="s">
        <v>642</v>
      </c>
      <c r="D356" t="s">
        <v>642</v>
      </c>
      <c r="E356" s="162"/>
      <c r="F356" s="162"/>
      <c r="G356" s="165"/>
      <c r="H356" s="20" t="s">
        <v>642</v>
      </c>
      <c r="I356"/>
    </row>
    <row r="357" spans="1:9" x14ac:dyDescent="0.25">
      <c r="A357" s="226" t="s">
        <v>642</v>
      </c>
      <c r="B357" s="159" t="s">
        <v>889</v>
      </c>
      <c r="C357" s="64" t="s">
        <v>642</v>
      </c>
      <c r="D357" s="64" t="s">
        <v>642</v>
      </c>
      <c r="E357" s="227"/>
      <c r="F357" s="227"/>
      <c r="G357" s="166"/>
      <c r="H357" s="160" t="s">
        <v>642</v>
      </c>
      <c r="I357"/>
    </row>
    <row r="358" spans="1:9" x14ac:dyDescent="0.25">
      <c r="A358" s="228">
        <v>41813</v>
      </c>
      <c r="B358" s="161" t="s">
        <v>857</v>
      </c>
      <c r="C358" t="s">
        <v>858</v>
      </c>
      <c r="D358" t="s">
        <v>33</v>
      </c>
      <c r="E358" s="162">
        <v>1</v>
      </c>
      <c r="F358" s="162">
        <v>120</v>
      </c>
      <c r="G358" s="165">
        <v>120</v>
      </c>
      <c r="H358" s="20">
        <v>63</v>
      </c>
      <c r="I358"/>
    </row>
    <row r="359" spans="1:9" x14ac:dyDescent="0.25">
      <c r="A359" s="228">
        <v>41852</v>
      </c>
      <c r="B359" s="161" t="s">
        <v>831</v>
      </c>
      <c r="C359" t="s">
        <v>1471</v>
      </c>
      <c r="D359" t="s">
        <v>832</v>
      </c>
      <c r="E359" s="162">
        <v>5</v>
      </c>
      <c r="F359" s="162">
        <v>54.58</v>
      </c>
      <c r="G359" s="165">
        <v>272.89999999999998</v>
      </c>
      <c r="H359" s="20">
        <v>63</v>
      </c>
      <c r="I359"/>
    </row>
    <row r="360" spans="1:9" x14ac:dyDescent="0.25">
      <c r="A360" s="228">
        <v>41852</v>
      </c>
      <c r="B360" s="161" t="s">
        <v>838</v>
      </c>
      <c r="C360" t="s">
        <v>8</v>
      </c>
      <c r="D360" t="s">
        <v>33</v>
      </c>
      <c r="E360" s="162">
        <v>5</v>
      </c>
      <c r="F360" s="162">
        <v>42.72</v>
      </c>
      <c r="G360" s="165">
        <v>213.6</v>
      </c>
      <c r="H360" s="20">
        <v>63</v>
      </c>
      <c r="I360"/>
    </row>
    <row r="361" spans="1:9" x14ac:dyDescent="0.25">
      <c r="A361" s="228">
        <v>41852</v>
      </c>
      <c r="B361" s="161" t="s">
        <v>837</v>
      </c>
      <c r="C361" t="s">
        <v>8</v>
      </c>
      <c r="D361" t="s">
        <v>33</v>
      </c>
      <c r="E361" s="162">
        <v>5</v>
      </c>
      <c r="F361" s="162">
        <v>35.11</v>
      </c>
      <c r="G361" s="165">
        <v>175.55</v>
      </c>
      <c r="H361" s="20">
        <v>63</v>
      </c>
      <c r="I361"/>
    </row>
    <row r="362" spans="1:9" x14ac:dyDescent="0.25">
      <c r="A362" s="228">
        <v>41855</v>
      </c>
      <c r="B362" s="161" t="s">
        <v>857</v>
      </c>
      <c r="C362" t="s">
        <v>858</v>
      </c>
      <c r="D362" t="s">
        <v>33</v>
      </c>
      <c r="E362" s="162">
        <v>3.5</v>
      </c>
      <c r="F362" s="162">
        <v>120</v>
      </c>
      <c r="G362" s="165">
        <v>420</v>
      </c>
      <c r="H362" s="20">
        <v>63</v>
      </c>
      <c r="I362"/>
    </row>
    <row r="363" spans="1:9" x14ac:dyDescent="0.25">
      <c r="A363" s="228">
        <v>41855</v>
      </c>
      <c r="B363" s="161" t="s">
        <v>837</v>
      </c>
      <c r="C363" t="s">
        <v>8</v>
      </c>
      <c r="D363" t="s">
        <v>33</v>
      </c>
      <c r="E363" s="162">
        <v>3.5</v>
      </c>
      <c r="F363" s="162">
        <v>42.72</v>
      </c>
      <c r="G363" s="165">
        <v>149.52000000000001</v>
      </c>
      <c r="H363" s="20">
        <v>63</v>
      </c>
      <c r="I363"/>
    </row>
    <row r="364" spans="1:9" x14ac:dyDescent="0.25">
      <c r="A364" s="228">
        <v>41857</v>
      </c>
      <c r="B364" s="161" t="s">
        <v>837</v>
      </c>
      <c r="C364" t="s">
        <v>8</v>
      </c>
      <c r="D364" t="s">
        <v>33</v>
      </c>
      <c r="E364" s="162">
        <v>4</v>
      </c>
      <c r="F364" s="162">
        <v>42.72</v>
      </c>
      <c r="G364" s="165">
        <v>170.88</v>
      </c>
      <c r="H364" s="20">
        <v>63</v>
      </c>
      <c r="I364"/>
    </row>
    <row r="365" spans="1:9" x14ac:dyDescent="0.25">
      <c r="A365" s="228">
        <v>41859</v>
      </c>
      <c r="B365" s="161" t="s">
        <v>855</v>
      </c>
      <c r="C365" t="s">
        <v>856</v>
      </c>
      <c r="D365" t="s">
        <v>33</v>
      </c>
      <c r="E365" s="162">
        <v>2</v>
      </c>
      <c r="F365" s="162">
        <v>21.61</v>
      </c>
      <c r="G365" s="165">
        <v>43.22</v>
      </c>
      <c r="H365" s="20">
        <v>63</v>
      </c>
      <c r="I365"/>
    </row>
    <row r="366" spans="1:9" x14ac:dyDescent="0.25">
      <c r="A366" s="228">
        <v>41878</v>
      </c>
      <c r="B366" s="161" t="s">
        <v>857</v>
      </c>
      <c r="C366" t="s">
        <v>858</v>
      </c>
      <c r="D366" t="s">
        <v>33</v>
      </c>
      <c r="E366" s="162">
        <v>1</v>
      </c>
      <c r="F366" s="162">
        <v>120</v>
      </c>
      <c r="G366" s="165">
        <v>120</v>
      </c>
      <c r="H366" s="20">
        <v>63</v>
      </c>
      <c r="I366"/>
    </row>
    <row r="367" spans="1:9" x14ac:dyDescent="0.25">
      <c r="A367" s="228">
        <v>41885</v>
      </c>
      <c r="B367" s="161" t="s">
        <v>851</v>
      </c>
      <c r="C367" t="s">
        <v>852</v>
      </c>
      <c r="D367" t="s">
        <v>33</v>
      </c>
      <c r="E367" s="162">
        <v>1</v>
      </c>
      <c r="F367" s="162">
        <v>25.78</v>
      </c>
      <c r="G367" s="165">
        <v>25.78</v>
      </c>
      <c r="H367" s="20">
        <v>63</v>
      </c>
      <c r="I367"/>
    </row>
    <row r="368" spans="1:9" x14ac:dyDescent="0.25">
      <c r="A368" s="228">
        <v>41886</v>
      </c>
      <c r="B368" s="161" t="s">
        <v>857</v>
      </c>
      <c r="C368" t="s">
        <v>858</v>
      </c>
      <c r="D368" t="s">
        <v>33</v>
      </c>
      <c r="E368" s="162">
        <v>4</v>
      </c>
      <c r="F368" s="162">
        <v>120</v>
      </c>
      <c r="G368" s="165">
        <v>480</v>
      </c>
      <c r="H368" s="20">
        <v>63</v>
      </c>
      <c r="I368"/>
    </row>
    <row r="369" spans="1:9" x14ac:dyDescent="0.25">
      <c r="A369" s="228">
        <v>41887</v>
      </c>
      <c r="B369" s="161" t="s">
        <v>857</v>
      </c>
      <c r="C369" t="s">
        <v>858</v>
      </c>
      <c r="D369" t="s">
        <v>33</v>
      </c>
      <c r="E369" s="162">
        <v>5</v>
      </c>
      <c r="F369" s="162">
        <v>120</v>
      </c>
      <c r="G369" s="165">
        <v>600</v>
      </c>
      <c r="H369" s="20">
        <v>63</v>
      </c>
      <c r="I369"/>
    </row>
    <row r="370" spans="1:9" x14ac:dyDescent="0.25">
      <c r="A370" s="228">
        <v>41890</v>
      </c>
      <c r="B370" s="161" t="s">
        <v>890</v>
      </c>
      <c r="C370" t="s">
        <v>891</v>
      </c>
      <c r="D370" t="s">
        <v>33</v>
      </c>
      <c r="E370" s="162">
        <v>4</v>
      </c>
      <c r="F370" s="162">
        <v>48</v>
      </c>
      <c r="G370" s="165">
        <v>192</v>
      </c>
      <c r="H370" s="20">
        <v>63</v>
      </c>
      <c r="I370"/>
    </row>
    <row r="371" spans="1:9" x14ac:dyDescent="0.25">
      <c r="A371" s="228">
        <v>41890</v>
      </c>
      <c r="B371" s="161" t="s">
        <v>838</v>
      </c>
      <c r="C371" t="s">
        <v>8</v>
      </c>
      <c r="D371" t="s">
        <v>33</v>
      </c>
      <c r="E371" s="162">
        <v>7</v>
      </c>
      <c r="F371" s="162">
        <v>39.979999999999997</v>
      </c>
      <c r="G371" s="165">
        <v>279.86</v>
      </c>
      <c r="H371" s="20">
        <v>63</v>
      </c>
      <c r="I371"/>
    </row>
    <row r="372" spans="1:9" x14ac:dyDescent="0.25">
      <c r="A372" s="228">
        <v>41890</v>
      </c>
      <c r="B372" s="161" t="s">
        <v>837</v>
      </c>
      <c r="C372" t="s">
        <v>8</v>
      </c>
      <c r="D372" t="s">
        <v>33</v>
      </c>
      <c r="E372" s="162">
        <v>5</v>
      </c>
      <c r="F372" s="162">
        <v>42.72</v>
      </c>
      <c r="G372" s="165">
        <v>213.6</v>
      </c>
      <c r="H372" s="20">
        <v>63</v>
      </c>
      <c r="I372"/>
    </row>
    <row r="373" spans="1:9" x14ac:dyDescent="0.25">
      <c r="A373" s="228">
        <v>41890</v>
      </c>
      <c r="B373" s="161" t="s">
        <v>855</v>
      </c>
      <c r="C373" t="s">
        <v>856</v>
      </c>
      <c r="D373" t="s">
        <v>33</v>
      </c>
      <c r="E373" s="162">
        <v>4</v>
      </c>
      <c r="F373" s="162">
        <v>21.61</v>
      </c>
      <c r="G373" s="165">
        <v>86.44</v>
      </c>
      <c r="H373" s="20">
        <v>63</v>
      </c>
      <c r="I373"/>
    </row>
    <row r="374" spans="1:9" x14ac:dyDescent="0.25">
      <c r="A374" s="228">
        <v>41890</v>
      </c>
      <c r="B374" s="161" t="s">
        <v>857</v>
      </c>
      <c r="C374" t="s">
        <v>858</v>
      </c>
      <c r="D374" t="s">
        <v>33</v>
      </c>
      <c r="E374" s="162">
        <v>2</v>
      </c>
      <c r="F374" s="162">
        <v>120</v>
      </c>
      <c r="G374" s="165">
        <v>240</v>
      </c>
      <c r="H374" s="20">
        <v>63</v>
      </c>
      <c r="I374"/>
    </row>
    <row r="375" spans="1:9" x14ac:dyDescent="0.25">
      <c r="A375" s="228">
        <v>41890</v>
      </c>
      <c r="B375" s="161" t="s">
        <v>831</v>
      </c>
      <c r="C375" t="s">
        <v>1471</v>
      </c>
      <c r="D375" t="s">
        <v>832</v>
      </c>
      <c r="E375" s="162">
        <v>6</v>
      </c>
      <c r="F375" s="162">
        <v>54.58</v>
      </c>
      <c r="G375" s="165">
        <v>327.48</v>
      </c>
      <c r="H375" s="20">
        <v>63</v>
      </c>
      <c r="I375"/>
    </row>
    <row r="376" spans="1:9" x14ac:dyDescent="0.25">
      <c r="A376" s="228">
        <v>41897</v>
      </c>
      <c r="B376" s="161" t="s">
        <v>838</v>
      </c>
      <c r="C376" t="s">
        <v>8</v>
      </c>
      <c r="D376" t="s">
        <v>33</v>
      </c>
      <c r="E376" s="162">
        <v>9</v>
      </c>
      <c r="F376" s="162">
        <v>39.979999999999997</v>
      </c>
      <c r="G376" s="165">
        <v>359.82</v>
      </c>
      <c r="H376" s="20">
        <v>63</v>
      </c>
      <c r="I376"/>
    </row>
    <row r="377" spans="1:9" x14ac:dyDescent="0.25">
      <c r="A377" s="228">
        <v>41897</v>
      </c>
      <c r="B377" s="161" t="s">
        <v>843</v>
      </c>
      <c r="C377" t="s">
        <v>8</v>
      </c>
      <c r="D377" t="s">
        <v>33</v>
      </c>
      <c r="E377" s="162">
        <v>3</v>
      </c>
      <c r="F377" s="162">
        <v>35.11</v>
      </c>
      <c r="G377" s="165">
        <v>105.33</v>
      </c>
      <c r="H377" s="20">
        <v>63</v>
      </c>
      <c r="I377"/>
    </row>
    <row r="378" spans="1:9" x14ac:dyDescent="0.25">
      <c r="A378" s="228">
        <v>41897</v>
      </c>
      <c r="B378" s="161" t="s">
        <v>855</v>
      </c>
      <c r="C378" t="s">
        <v>856</v>
      </c>
      <c r="D378" t="s">
        <v>33</v>
      </c>
      <c r="E378" s="162">
        <v>9</v>
      </c>
      <c r="F378" s="162">
        <v>21.61</v>
      </c>
      <c r="G378" s="165">
        <v>194.49</v>
      </c>
      <c r="H378" s="20">
        <v>63</v>
      </c>
      <c r="I378"/>
    </row>
    <row r="379" spans="1:9" x14ac:dyDescent="0.25">
      <c r="A379" s="228">
        <v>41899</v>
      </c>
      <c r="B379" s="161" t="s">
        <v>837</v>
      </c>
      <c r="C379" t="s">
        <v>8</v>
      </c>
      <c r="D379" t="s">
        <v>33</v>
      </c>
      <c r="E379" s="162">
        <v>3.5</v>
      </c>
      <c r="F379" s="162">
        <v>42.72</v>
      </c>
      <c r="G379" s="165">
        <v>149.52000000000001</v>
      </c>
      <c r="H379" s="20">
        <v>63</v>
      </c>
      <c r="I379"/>
    </row>
    <row r="380" spans="1:9" x14ac:dyDescent="0.25">
      <c r="A380" s="228">
        <v>41899</v>
      </c>
      <c r="B380" s="161" t="s">
        <v>855</v>
      </c>
      <c r="C380" t="s">
        <v>856</v>
      </c>
      <c r="D380" t="s">
        <v>33</v>
      </c>
      <c r="E380" s="162">
        <v>8.5</v>
      </c>
      <c r="F380" s="162">
        <v>21.61</v>
      </c>
      <c r="G380" s="165">
        <v>183.685</v>
      </c>
      <c r="H380" s="20">
        <v>63</v>
      </c>
      <c r="I380"/>
    </row>
    <row r="381" spans="1:9" x14ac:dyDescent="0.25">
      <c r="A381" s="228">
        <v>41899</v>
      </c>
      <c r="B381" s="161" t="s">
        <v>857</v>
      </c>
      <c r="C381" t="s">
        <v>858</v>
      </c>
      <c r="D381" t="s">
        <v>33</v>
      </c>
      <c r="E381" s="162">
        <v>3.5</v>
      </c>
      <c r="F381" s="162">
        <v>120</v>
      </c>
      <c r="G381" s="165">
        <v>420</v>
      </c>
      <c r="H381" s="20">
        <v>63</v>
      </c>
      <c r="I381"/>
    </row>
    <row r="382" spans="1:9" x14ac:dyDescent="0.25">
      <c r="A382" s="228">
        <v>41899</v>
      </c>
      <c r="B382" s="161" t="s">
        <v>872</v>
      </c>
      <c r="C382" t="s">
        <v>864</v>
      </c>
      <c r="D382" t="s">
        <v>33</v>
      </c>
      <c r="E382" s="162">
        <v>8.5</v>
      </c>
      <c r="F382" s="162">
        <v>46.5</v>
      </c>
      <c r="G382" s="165">
        <v>395.25</v>
      </c>
      <c r="H382" s="20">
        <v>63</v>
      </c>
      <c r="I382"/>
    </row>
    <row r="383" spans="1:9" x14ac:dyDescent="0.25">
      <c r="A383" s="228">
        <v>41900</v>
      </c>
      <c r="B383" s="161" t="s">
        <v>831</v>
      </c>
      <c r="C383" t="s">
        <v>1471</v>
      </c>
      <c r="D383" t="s">
        <v>832</v>
      </c>
      <c r="E383" s="162">
        <v>2</v>
      </c>
      <c r="F383" s="162">
        <v>54.58</v>
      </c>
      <c r="G383" s="165">
        <v>109.16</v>
      </c>
      <c r="H383" s="20">
        <v>63</v>
      </c>
      <c r="I383"/>
    </row>
    <row r="384" spans="1:9" x14ac:dyDescent="0.25">
      <c r="A384" s="228">
        <v>41900</v>
      </c>
      <c r="B384" s="161" t="s">
        <v>855</v>
      </c>
      <c r="C384" t="s">
        <v>856</v>
      </c>
      <c r="D384" t="s">
        <v>33</v>
      </c>
      <c r="E384" s="162">
        <v>2</v>
      </c>
      <c r="F384" s="162">
        <v>21.61</v>
      </c>
      <c r="G384" s="165">
        <v>43.22</v>
      </c>
      <c r="H384" s="20">
        <v>63</v>
      </c>
      <c r="I384"/>
    </row>
    <row r="385" spans="1:9" x14ac:dyDescent="0.25">
      <c r="A385" s="228">
        <v>41900</v>
      </c>
      <c r="B385" s="161" t="s">
        <v>857</v>
      </c>
      <c r="C385" t="s">
        <v>858</v>
      </c>
      <c r="D385" t="s">
        <v>33</v>
      </c>
      <c r="E385" s="162">
        <v>2</v>
      </c>
      <c r="F385" s="162">
        <v>120</v>
      </c>
      <c r="G385" s="165">
        <v>240</v>
      </c>
      <c r="H385" s="20">
        <v>63</v>
      </c>
      <c r="I385"/>
    </row>
    <row r="386" spans="1:9" x14ac:dyDescent="0.25">
      <c r="A386" s="228">
        <v>41901</v>
      </c>
      <c r="B386" s="161" t="s">
        <v>857</v>
      </c>
      <c r="C386" t="s">
        <v>858</v>
      </c>
      <c r="D386" t="s">
        <v>33</v>
      </c>
      <c r="E386" s="162">
        <v>8.5</v>
      </c>
      <c r="F386" s="162">
        <v>120</v>
      </c>
      <c r="G386" s="165">
        <v>1020</v>
      </c>
      <c r="H386" s="20">
        <v>63</v>
      </c>
      <c r="I386"/>
    </row>
    <row r="387" spans="1:9" x14ac:dyDescent="0.25">
      <c r="A387" s="228">
        <v>41901</v>
      </c>
      <c r="B387" s="161" t="s">
        <v>838</v>
      </c>
      <c r="C387" t="s">
        <v>8</v>
      </c>
      <c r="D387" t="s">
        <v>33</v>
      </c>
      <c r="E387" s="162">
        <v>4</v>
      </c>
      <c r="F387" s="162">
        <v>39.979999999999997</v>
      </c>
      <c r="G387" s="165">
        <v>159.91999999999999</v>
      </c>
      <c r="H387" s="20">
        <v>63</v>
      </c>
      <c r="I387"/>
    </row>
    <row r="388" spans="1:9" x14ac:dyDescent="0.25">
      <c r="A388" s="228">
        <v>41901</v>
      </c>
      <c r="B388" s="161" t="s">
        <v>831</v>
      </c>
      <c r="C388" t="s">
        <v>1471</v>
      </c>
      <c r="D388" t="s">
        <v>832</v>
      </c>
      <c r="E388" s="162">
        <v>4.5</v>
      </c>
      <c r="F388" s="162">
        <v>54.58</v>
      </c>
      <c r="G388" s="165">
        <v>245.61</v>
      </c>
      <c r="H388" s="20">
        <v>63</v>
      </c>
      <c r="I388"/>
    </row>
    <row r="389" spans="1:9" x14ac:dyDescent="0.25">
      <c r="A389" s="228">
        <v>41901</v>
      </c>
      <c r="B389" s="161" t="s">
        <v>843</v>
      </c>
      <c r="C389" t="s">
        <v>8</v>
      </c>
      <c r="D389" t="s">
        <v>33</v>
      </c>
      <c r="E389" s="162">
        <v>2</v>
      </c>
      <c r="F389" s="162">
        <v>35.11</v>
      </c>
      <c r="G389" s="165">
        <v>70.22</v>
      </c>
      <c r="H389" s="20">
        <v>63</v>
      </c>
      <c r="I389"/>
    </row>
    <row r="390" spans="1:9" x14ac:dyDescent="0.25">
      <c r="A390" s="228">
        <v>41901</v>
      </c>
      <c r="B390" s="161" t="s">
        <v>872</v>
      </c>
      <c r="C390" t="s">
        <v>864</v>
      </c>
      <c r="D390" t="s">
        <v>33</v>
      </c>
      <c r="E390" s="162">
        <v>6</v>
      </c>
      <c r="F390" s="162">
        <v>46.5</v>
      </c>
      <c r="G390" s="165">
        <v>279</v>
      </c>
      <c r="H390" s="20">
        <v>63</v>
      </c>
      <c r="I390"/>
    </row>
    <row r="391" spans="1:9" x14ac:dyDescent="0.25">
      <c r="A391" s="228">
        <v>41901</v>
      </c>
      <c r="B391" s="161" t="s">
        <v>855</v>
      </c>
      <c r="C391" t="s">
        <v>856</v>
      </c>
      <c r="D391" t="s">
        <v>33</v>
      </c>
      <c r="E391" s="162">
        <v>6</v>
      </c>
      <c r="F391" s="162">
        <v>21.61</v>
      </c>
      <c r="G391" s="165">
        <v>129.66</v>
      </c>
      <c r="H391" s="20">
        <v>63</v>
      </c>
      <c r="I391"/>
    </row>
    <row r="392" spans="1:9" x14ac:dyDescent="0.25">
      <c r="A392" s="228">
        <v>41901</v>
      </c>
      <c r="B392" s="161" t="s">
        <v>837</v>
      </c>
      <c r="C392" t="s">
        <v>8</v>
      </c>
      <c r="D392" t="s">
        <v>33</v>
      </c>
      <c r="E392" s="162">
        <v>7</v>
      </c>
      <c r="F392" s="162">
        <v>42.72</v>
      </c>
      <c r="G392" s="165">
        <v>299.04000000000002</v>
      </c>
      <c r="H392" s="20">
        <v>63</v>
      </c>
      <c r="I392"/>
    </row>
    <row r="393" spans="1:9" x14ac:dyDescent="0.25">
      <c r="A393" s="228">
        <v>41904</v>
      </c>
      <c r="B393" s="161" t="s">
        <v>857</v>
      </c>
      <c r="C393" t="s">
        <v>858</v>
      </c>
      <c r="D393" t="s">
        <v>33</v>
      </c>
      <c r="E393" s="162">
        <v>7</v>
      </c>
      <c r="F393" s="162">
        <v>120</v>
      </c>
      <c r="G393" s="165">
        <v>840</v>
      </c>
      <c r="H393" s="20">
        <v>63</v>
      </c>
      <c r="I393"/>
    </row>
    <row r="394" spans="1:9" x14ac:dyDescent="0.25">
      <c r="A394" s="228">
        <v>41904</v>
      </c>
      <c r="B394" s="161" t="s">
        <v>855</v>
      </c>
      <c r="C394" t="s">
        <v>856</v>
      </c>
      <c r="D394" t="s">
        <v>33</v>
      </c>
      <c r="E394" s="162">
        <v>5</v>
      </c>
      <c r="F394" s="162">
        <v>21.61</v>
      </c>
      <c r="G394" s="165">
        <v>108.05</v>
      </c>
      <c r="H394" s="20">
        <v>63</v>
      </c>
      <c r="I394"/>
    </row>
    <row r="395" spans="1:9" x14ac:dyDescent="0.25">
      <c r="A395" s="228">
        <v>41904</v>
      </c>
      <c r="B395" s="161" t="s">
        <v>831</v>
      </c>
      <c r="C395" t="s">
        <v>1471</v>
      </c>
      <c r="D395" t="s">
        <v>832</v>
      </c>
      <c r="E395" s="162">
        <v>2</v>
      </c>
      <c r="F395" s="162">
        <v>54.58</v>
      </c>
      <c r="G395" s="165">
        <v>109.16</v>
      </c>
      <c r="H395" s="20">
        <v>63</v>
      </c>
      <c r="I395"/>
    </row>
    <row r="396" spans="1:9" x14ac:dyDescent="0.25">
      <c r="A396" s="228">
        <v>41906</v>
      </c>
      <c r="B396" s="161" t="s">
        <v>831</v>
      </c>
      <c r="C396" t="s">
        <v>1471</v>
      </c>
      <c r="D396" t="s">
        <v>832</v>
      </c>
      <c r="E396" s="162">
        <v>3.5</v>
      </c>
      <c r="F396" s="162">
        <v>54.58</v>
      </c>
      <c r="G396" s="165">
        <v>191.03</v>
      </c>
      <c r="H396" s="20">
        <v>63</v>
      </c>
      <c r="I396"/>
    </row>
    <row r="397" spans="1:9" x14ac:dyDescent="0.25">
      <c r="A397" s="228">
        <v>41908</v>
      </c>
      <c r="B397" s="161" t="s">
        <v>855</v>
      </c>
      <c r="C397" t="s">
        <v>856</v>
      </c>
      <c r="D397" t="s">
        <v>33</v>
      </c>
      <c r="E397" s="162">
        <v>4</v>
      </c>
      <c r="F397" s="162">
        <v>21.61</v>
      </c>
      <c r="G397" s="165">
        <v>86.44</v>
      </c>
      <c r="H397" s="20">
        <v>63</v>
      </c>
      <c r="I397"/>
    </row>
    <row r="398" spans="1:9" x14ac:dyDescent="0.25">
      <c r="A398" s="228">
        <v>41908</v>
      </c>
      <c r="B398" s="161" t="s">
        <v>857</v>
      </c>
      <c r="C398" t="s">
        <v>858</v>
      </c>
      <c r="D398" t="s">
        <v>33</v>
      </c>
      <c r="E398" s="162">
        <v>5</v>
      </c>
      <c r="F398" s="162">
        <v>120</v>
      </c>
      <c r="G398" s="165">
        <v>600</v>
      </c>
      <c r="H398" s="20">
        <v>63</v>
      </c>
      <c r="I398"/>
    </row>
    <row r="399" spans="1:9" x14ac:dyDescent="0.25">
      <c r="A399" s="228">
        <v>41908</v>
      </c>
      <c r="B399" s="161" t="s">
        <v>863</v>
      </c>
      <c r="C399" t="s">
        <v>864</v>
      </c>
      <c r="D399" t="s">
        <v>33</v>
      </c>
      <c r="E399" s="162">
        <v>6.5</v>
      </c>
      <c r="F399" s="162">
        <v>46.5</v>
      </c>
      <c r="G399" s="165">
        <v>302.25</v>
      </c>
      <c r="H399" s="20">
        <v>63</v>
      </c>
      <c r="I399"/>
    </row>
    <row r="400" spans="1:9" x14ac:dyDescent="0.25">
      <c r="A400" s="228">
        <v>41908</v>
      </c>
      <c r="B400" s="161" t="s">
        <v>843</v>
      </c>
      <c r="C400" t="s">
        <v>8</v>
      </c>
      <c r="D400" t="s">
        <v>33</v>
      </c>
      <c r="E400" s="162">
        <v>2</v>
      </c>
      <c r="F400" s="162">
        <v>35.11</v>
      </c>
      <c r="G400" s="165">
        <v>70.22</v>
      </c>
      <c r="H400" s="20">
        <v>63</v>
      </c>
      <c r="I400"/>
    </row>
    <row r="401" spans="1:9" x14ac:dyDescent="0.25">
      <c r="A401" s="228">
        <v>41908</v>
      </c>
      <c r="B401" s="161" t="s">
        <v>838</v>
      </c>
      <c r="C401" t="s">
        <v>8</v>
      </c>
      <c r="D401" t="s">
        <v>33</v>
      </c>
      <c r="E401" s="162">
        <v>6.5</v>
      </c>
      <c r="F401" s="162">
        <v>39.979999999999997</v>
      </c>
      <c r="G401" s="165">
        <v>259.87</v>
      </c>
      <c r="H401" s="20">
        <v>63</v>
      </c>
      <c r="I401"/>
    </row>
    <row r="402" spans="1:9" x14ac:dyDescent="0.25">
      <c r="A402" s="228">
        <v>41908</v>
      </c>
      <c r="B402" s="161" t="s">
        <v>837</v>
      </c>
      <c r="C402" t="s">
        <v>8</v>
      </c>
      <c r="D402" t="s">
        <v>33</v>
      </c>
      <c r="E402" s="162">
        <v>8</v>
      </c>
      <c r="F402" s="162">
        <v>42.72</v>
      </c>
      <c r="G402" s="165">
        <v>341.76</v>
      </c>
      <c r="H402" s="20">
        <v>63</v>
      </c>
      <c r="I402"/>
    </row>
    <row r="403" spans="1:9" x14ac:dyDescent="0.25">
      <c r="A403" s="228">
        <v>41911</v>
      </c>
      <c r="B403" s="161" t="s">
        <v>855</v>
      </c>
      <c r="C403" t="s">
        <v>856</v>
      </c>
      <c r="D403" t="s">
        <v>33</v>
      </c>
      <c r="E403" s="162">
        <v>4.5</v>
      </c>
      <c r="F403" s="162">
        <v>21.61</v>
      </c>
      <c r="G403" s="165">
        <v>97.245000000000005</v>
      </c>
      <c r="H403" s="20">
        <v>63</v>
      </c>
      <c r="I403"/>
    </row>
    <row r="404" spans="1:9" x14ac:dyDescent="0.25">
      <c r="A404" s="228">
        <v>41911</v>
      </c>
      <c r="B404" s="161" t="s">
        <v>837</v>
      </c>
      <c r="C404" t="s">
        <v>8</v>
      </c>
      <c r="D404" t="s">
        <v>33</v>
      </c>
      <c r="E404" s="162">
        <v>8.5</v>
      </c>
      <c r="F404" s="162">
        <v>42.72</v>
      </c>
      <c r="G404" s="165">
        <v>363.12</v>
      </c>
      <c r="H404" s="20">
        <v>63</v>
      </c>
      <c r="I404"/>
    </row>
    <row r="405" spans="1:9" x14ac:dyDescent="0.25">
      <c r="A405" s="228">
        <v>41911</v>
      </c>
      <c r="B405" s="161" t="s">
        <v>831</v>
      </c>
      <c r="C405" t="s">
        <v>1471</v>
      </c>
      <c r="D405" t="s">
        <v>832</v>
      </c>
      <c r="E405" s="162">
        <v>7</v>
      </c>
      <c r="F405" s="162">
        <v>54.58</v>
      </c>
      <c r="G405" s="165">
        <v>382.06</v>
      </c>
      <c r="H405" s="20">
        <v>63</v>
      </c>
      <c r="I405"/>
    </row>
    <row r="406" spans="1:9" x14ac:dyDescent="0.25">
      <c r="A406" s="228">
        <v>41911</v>
      </c>
      <c r="B406" s="161" t="s">
        <v>838</v>
      </c>
      <c r="C406" t="s">
        <v>8</v>
      </c>
      <c r="D406" t="s">
        <v>33</v>
      </c>
      <c r="E406" s="162">
        <v>8.5</v>
      </c>
      <c r="F406" s="162">
        <v>39.979999999999997</v>
      </c>
      <c r="G406" s="165">
        <v>339.83</v>
      </c>
      <c r="H406" s="20">
        <v>63</v>
      </c>
      <c r="I406"/>
    </row>
    <row r="407" spans="1:9" x14ac:dyDescent="0.25">
      <c r="A407" s="228">
        <v>41911</v>
      </c>
      <c r="B407" s="161" t="s">
        <v>863</v>
      </c>
      <c r="C407" t="s">
        <v>864</v>
      </c>
      <c r="D407" t="s">
        <v>33</v>
      </c>
      <c r="E407" s="162">
        <v>8.5</v>
      </c>
      <c r="F407" s="162">
        <v>46.5</v>
      </c>
      <c r="G407" s="165">
        <v>395.25</v>
      </c>
      <c r="H407" s="20">
        <v>63</v>
      </c>
      <c r="I407"/>
    </row>
    <row r="408" spans="1:9" x14ac:dyDescent="0.25">
      <c r="A408" s="228">
        <v>41912</v>
      </c>
      <c r="B408" s="161" t="s">
        <v>863</v>
      </c>
      <c r="C408" t="s">
        <v>864</v>
      </c>
      <c r="D408" t="s">
        <v>33</v>
      </c>
      <c r="E408" s="162">
        <v>8.5</v>
      </c>
      <c r="F408" s="162">
        <v>46.5</v>
      </c>
      <c r="G408" s="165">
        <v>395.25</v>
      </c>
      <c r="H408" s="20">
        <v>63</v>
      </c>
      <c r="I408"/>
    </row>
    <row r="409" spans="1:9" x14ac:dyDescent="0.25">
      <c r="A409" s="228">
        <v>41912</v>
      </c>
      <c r="B409" s="161" t="s">
        <v>855</v>
      </c>
      <c r="C409" t="s">
        <v>856</v>
      </c>
      <c r="D409" t="s">
        <v>33</v>
      </c>
      <c r="E409" s="162">
        <v>8.5</v>
      </c>
      <c r="F409" s="162">
        <v>21.61</v>
      </c>
      <c r="G409" s="165">
        <v>183.685</v>
      </c>
      <c r="H409" s="20">
        <v>63</v>
      </c>
      <c r="I409"/>
    </row>
    <row r="410" spans="1:9" x14ac:dyDescent="0.25">
      <c r="A410" s="228">
        <v>41912</v>
      </c>
      <c r="B410" s="161" t="s">
        <v>838</v>
      </c>
      <c r="C410" t="s">
        <v>8</v>
      </c>
      <c r="D410" t="s">
        <v>33</v>
      </c>
      <c r="E410" s="162">
        <v>8.5</v>
      </c>
      <c r="F410" s="162">
        <v>39.979999999999997</v>
      </c>
      <c r="G410" s="165">
        <v>339.83</v>
      </c>
      <c r="H410" s="20">
        <v>63</v>
      </c>
      <c r="I410"/>
    </row>
    <row r="411" spans="1:9" x14ac:dyDescent="0.25">
      <c r="A411" s="228">
        <v>41912</v>
      </c>
      <c r="B411" s="161" t="s">
        <v>837</v>
      </c>
      <c r="C411" t="s">
        <v>8</v>
      </c>
      <c r="D411" t="s">
        <v>33</v>
      </c>
      <c r="E411" s="162">
        <v>8.5</v>
      </c>
      <c r="F411" s="162">
        <v>42.72</v>
      </c>
      <c r="G411" s="165">
        <v>363.12</v>
      </c>
      <c r="H411" s="20">
        <v>63</v>
      </c>
      <c r="I411"/>
    </row>
    <row r="412" spans="1:9" x14ac:dyDescent="0.25">
      <c r="A412" s="228">
        <v>41913</v>
      </c>
      <c r="B412" s="161" t="s">
        <v>831</v>
      </c>
      <c r="C412" t="s">
        <v>1471</v>
      </c>
      <c r="D412" t="s">
        <v>832</v>
      </c>
      <c r="E412" s="162">
        <v>7.5</v>
      </c>
      <c r="F412" s="162">
        <v>54.58</v>
      </c>
      <c r="G412" s="165">
        <v>409.35</v>
      </c>
      <c r="H412" s="20">
        <v>63</v>
      </c>
      <c r="I412"/>
    </row>
    <row r="413" spans="1:9" x14ac:dyDescent="0.25">
      <c r="A413" s="228">
        <v>41913</v>
      </c>
      <c r="B413" s="161" t="s">
        <v>857</v>
      </c>
      <c r="C413" t="s">
        <v>858</v>
      </c>
      <c r="D413" t="s">
        <v>33</v>
      </c>
      <c r="E413" s="162">
        <v>1</v>
      </c>
      <c r="F413" s="162">
        <v>120</v>
      </c>
      <c r="G413" s="165">
        <v>120</v>
      </c>
      <c r="H413" s="20">
        <v>63</v>
      </c>
      <c r="I413"/>
    </row>
    <row r="414" spans="1:9" x14ac:dyDescent="0.25">
      <c r="A414" s="228">
        <v>41913</v>
      </c>
      <c r="B414" s="161" t="s">
        <v>837</v>
      </c>
      <c r="C414" t="s">
        <v>8</v>
      </c>
      <c r="D414" t="s">
        <v>33</v>
      </c>
      <c r="E414" s="162">
        <v>6</v>
      </c>
      <c r="F414" s="162">
        <v>42.72</v>
      </c>
      <c r="G414" s="165">
        <v>256.32</v>
      </c>
      <c r="H414" s="20">
        <v>63</v>
      </c>
      <c r="I414"/>
    </row>
    <row r="415" spans="1:9" x14ac:dyDescent="0.25">
      <c r="A415" s="228">
        <v>41913</v>
      </c>
      <c r="B415" s="161" t="s">
        <v>843</v>
      </c>
      <c r="C415" t="s">
        <v>8</v>
      </c>
      <c r="D415" t="s">
        <v>33</v>
      </c>
      <c r="E415" s="162">
        <v>6</v>
      </c>
      <c r="F415" s="162">
        <v>35.11</v>
      </c>
      <c r="G415" s="165">
        <v>210.66</v>
      </c>
      <c r="H415" s="20">
        <v>63</v>
      </c>
      <c r="I415"/>
    </row>
    <row r="416" spans="1:9" x14ac:dyDescent="0.25">
      <c r="A416" s="228">
        <v>41913</v>
      </c>
      <c r="B416" s="161" t="s">
        <v>863</v>
      </c>
      <c r="C416" t="s">
        <v>864</v>
      </c>
      <c r="D416" t="s">
        <v>33</v>
      </c>
      <c r="E416" s="162">
        <v>8.5</v>
      </c>
      <c r="F416" s="162">
        <v>46.5</v>
      </c>
      <c r="G416" s="165">
        <v>395.25</v>
      </c>
      <c r="H416" s="20">
        <v>63</v>
      </c>
      <c r="I416"/>
    </row>
    <row r="417" spans="1:9" x14ac:dyDescent="0.25">
      <c r="A417" s="228">
        <v>41913</v>
      </c>
      <c r="B417" s="161" t="s">
        <v>855</v>
      </c>
      <c r="C417" t="s">
        <v>856</v>
      </c>
      <c r="D417" t="s">
        <v>33</v>
      </c>
      <c r="E417" s="162">
        <v>6.5</v>
      </c>
      <c r="F417" s="162">
        <v>21.61</v>
      </c>
      <c r="G417" s="165">
        <v>140.465</v>
      </c>
      <c r="H417" s="20">
        <v>63</v>
      </c>
      <c r="I417"/>
    </row>
    <row r="418" spans="1:9" x14ac:dyDescent="0.25">
      <c r="A418" s="228">
        <v>41913</v>
      </c>
      <c r="B418" s="161" t="s">
        <v>838</v>
      </c>
      <c r="C418" t="s">
        <v>8</v>
      </c>
      <c r="D418" t="s">
        <v>33</v>
      </c>
      <c r="E418" s="162">
        <v>8.5</v>
      </c>
      <c r="F418" s="162">
        <v>39.979999999999997</v>
      </c>
      <c r="G418" s="165">
        <v>339.83</v>
      </c>
      <c r="H418" s="20">
        <v>63</v>
      </c>
      <c r="I418"/>
    </row>
    <row r="419" spans="1:9" x14ac:dyDescent="0.25">
      <c r="A419" s="228">
        <v>41914</v>
      </c>
      <c r="B419" s="161" t="s">
        <v>855</v>
      </c>
      <c r="C419" t="s">
        <v>856</v>
      </c>
      <c r="D419" t="s">
        <v>33</v>
      </c>
      <c r="E419" s="162">
        <v>1</v>
      </c>
      <c r="F419" s="162">
        <v>21.61</v>
      </c>
      <c r="G419" s="165">
        <v>21.61</v>
      </c>
      <c r="H419" s="20">
        <v>63</v>
      </c>
      <c r="I419"/>
    </row>
    <row r="420" spans="1:9" x14ac:dyDescent="0.25">
      <c r="A420" s="228">
        <v>41914</v>
      </c>
      <c r="B420" s="161" t="s">
        <v>837</v>
      </c>
      <c r="C420" t="s">
        <v>8</v>
      </c>
      <c r="D420" t="s">
        <v>33</v>
      </c>
      <c r="E420" s="162">
        <v>1</v>
      </c>
      <c r="F420" s="162">
        <v>42.72</v>
      </c>
      <c r="G420" s="165">
        <v>42.72</v>
      </c>
      <c r="H420" s="20">
        <v>63</v>
      </c>
      <c r="I420"/>
    </row>
    <row r="421" spans="1:9" x14ac:dyDescent="0.25">
      <c r="A421" s="228">
        <v>41914</v>
      </c>
      <c r="B421" s="161" t="s">
        <v>857</v>
      </c>
      <c r="C421" t="s">
        <v>858</v>
      </c>
      <c r="D421" t="s">
        <v>33</v>
      </c>
      <c r="E421" s="162">
        <v>1</v>
      </c>
      <c r="F421" s="162">
        <v>120</v>
      </c>
      <c r="G421" s="165">
        <v>120</v>
      </c>
      <c r="H421" s="20">
        <v>63</v>
      </c>
      <c r="I421"/>
    </row>
    <row r="422" spans="1:9" x14ac:dyDescent="0.25">
      <c r="A422" s="228">
        <v>41921</v>
      </c>
      <c r="B422" s="161" t="s">
        <v>843</v>
      </c>
      <c r="C422" t="s">
        <v>8</v>
      </c>
      <c r="D422" t="s">
        <v>33</v>
      </c>
      <c r="E422" s="162">
        <v>4</v>
      </c>
      <c r="F422" s="162">
        <v>35.11</v>
      </c>
      <c r="G422" s="165">
        <v>140.44</v>
      </c>
      <c r="H422" s="20">
        <v>63</v>
      </c>
      <c r="I422"/>
    </row>
    <row r="423" spans="1:9" x14ac:dyDescent="0.25">
      <c r="A423" s="228">
        <v>41921</v>
      </c>
      <c r="B423" s="161" t="s">
        <v>837</v>
      </c>
      <c r="C423" t="s">
        <v>8</v>
      </c>
      <c r="D423" t="s">
        <v>33</v>
      </c>
      <c r="E423" s="162">
        <v>4</v>
      </c>
      <c r="F423" s="162">
        <v>42.72</v>
      </c>
      <c r="G423" s="165">
        <v>170.88</v>
      </c>
      <c r="H423" s="20">
        <v>63</v>
      </c>
      <c r="I423"/>
    </row>
    <row r="424" spans="1:9" x14ac:dyDescent="0.25">
      <c r="A424" s="228">
        <v>41921</v>
      </c>
      <c r="B424" s="161" t="s">
        <v>831</v>
      </c>
      <c r="C424" t="s">
        <v>1471</v>
      </c>
      <c r="D424" t="s">
        <v>832</v>
      </c>
      <c r="E424" s="162">
        <v>2</v>
      </c>
      <c r="F424" s="162">
        <v>54.58</v>
      </c>
      <c r="G424" s="165">
        <v>109.16</v>
      </c>
      <c r="H424" s="20">
        <v>63</v>
      </c>
      <c r="I424"/>
    </row>
    <row r="425" spans="1:9" x14ac:dyDescent="0.25">
      <c r="A425" s="228">
        <v>41925</v>
      </c>
      <c r="B425" s="161" t="s">
        <v>831</v>
      </c>
      <c r="C425" t="s">
        <v>1471</v>
      </c>
      <c r="D425" t="s">
        <v>832</v>
      </c>
      <c r="E425" s="162">
        <v>3</v>
      </c>
      <c r="F425" s="162">
        <v>54.58</v>
      </c>
      <c r="G425" s="165">
        <v>163.74</v>
      </c>
      <c r="H425" s="20">
        <v>63</v>
      </c>
      <c r="I425"/>
    </row>
    <row r="426" spans="1:9" x14ac:dyDescent="0.25">
      <c r="A426" s="228">
        <v>41925</v>
      </c>
      <c r="B426" s="161" t="s">
        <v>855</v>
      </c>
      <c r="C426" t="s">
        <v>856</v>
      </c>
      <c r="D426" t="s">
        <v>33</v>
      </c>
      <c r="E426" s="162">
        <v>8</v>
      </c>
      <c r="F426" s="162">
        <v>21.61</v>
      </c>
      <c r="G426" s="165">
        <v>172.88</v>
      </c>
      <c r="H426" s="20">
        <v>63</v>
      </c>
      <c r="I426"/>
    </row>
    <row r="427" spans="1:9" x14ac:dyDescent="0.25">
      <c r="A427" s="228">
        <v>41925</v>
      </c>
      <c r="B427" s="161" t="s">
        <v>838</v>
      </c>
      <c r="C427" t="s">
        <v>8</v>
      </c>
      <c r="D427" t="s">
        <v>33</v>
      </c>
      <c r="E427" s="162">
        <v>5</v>
      </c>
      <c r="F427" s="162">
        <v>39.979999999999997</v>
      </c>
      <c r="G427" s="165">
        <v>199.9</v>
      </c>
      <c r="H427" s="20">
        <v>63</v>
      </c>
      <c r="I427"/>
    </row>
    <row r="428" spans="1:9" x14ac:dyDescent="0.25">
      <c r="A428" s="228">
        <v>41925</v>
      </c>
      <c r="B428" s="161" t="s">
        <v>857</v>
      </c>
      <c r="C428" t="s">
        <v>858</v>
      </c>
      <c r="D428" t="s">
        <v>33</v>
      </c>
      <c r="E428" s="162">
        <v>1.5</v>
      </c>
      <c r="F428" s="162">
        <v>120</v>
      </c>
      <c r="G428" s="165">
        <v>180</v>
      </c>
      <c r="H428" s="20">
        <v>63</v>
      </c>
      <c r="I428"/>
    </row>
    <row r="429" spans="1:9" x14ac:dyDescent="0.25">
      <c r="A429" s="228">
        <v>41925</v>
      </c>
      <c r="B429" s="161" t="s">
        <v>890</v>
      </c>
      <c r="C429" t="s">
        <v>891</v>
      </c>
      <c r="D429" t="s">
        <v>33</v>
      </c>
      <c r="E429" s="162">
        <v>4</v>
      </c>
      <c r="F429" s="162">
        <v>48</v>
      </c>
      <c r="G429" s="165">
        <v>192</v>
      </c>
      <c r="H429" s="20">
        <v>63</v>
      </c>
      <c r="I429"/>
    </row>
    <row r="430" spans="1:9" x14ac:dyDescent="0.25">
      <c r="A430" s="228">
        <v>41925</v>
      </c>
      <c r="B430" s="161" t="s">
        <v>843</v>
      </c>
      <c r="C430" t="s">
        <v>8</v>
      </c>
      <c r="D430" t="s">
        <v>33</v>
      </c>
      <c r="E430" s="162">
        <v>8</v>
      </c>
      <c r="F430" s="162">
        <v>35.11</v>
      </c>
      <c r="G430" s="165">
        <v>280.88</v>
      </c>
      <c r="H430" s="20">
        <v>63</v>
      </c>
      <c r="I430"/>
    </row>
    <row r="431" spans="1:9" x14ac:dyDescent="0.25">
      <c r="A431" s="228">
        <v>41925</v>
      </c>
      <c r="B431" s="161" t="s">
        <v>841</v>
      </c>
      <c r="C431" t="s">
        <v>842</v>
      </c>
      <c r="D431" t="s">
        <v>33</v>
      </c>
      <c r="E431" s="162">
        <v>4</v>
      </c>
      <c r="F431" s="162">
        <v>25.78</v>
      </c>
      <c r="G431" s="165">
        <v>103.12</v>
      </c>
      <c r="H431" s="20">
        <v>63</v>
      </c>
      <c r="I431"/>
    </row>
    <row r="432" spans="1:9" x14ac:dyDescent="0.25">
      <c r="A432" s="228">
        <v>41928</v>
      </c>
      <c r="B432" s="161" t="s">
        <v>855</v>
      </c>
      <c r="C432" t="s">
        <v>856</v>
      </c>
      <c r="D432" t="s">
        <v>33</v>
      </c>
      <c r="E432" s="162">
        <v>8</v>
      </c>
      <c r="F432" s="162">
        <v>21.61</v>
      </c>
      <c r="G432" s="165">
        <v>172.88</v>
      </c>
      <c r="H432" s="20">
        <v>63</v>
      </c>
      <c r="I432"/>
    </row>
    <row r="433" spans="1:9" x14ac:dyDescent="0.25">
      <c r="A433" s="228">
        <v>41928</v>
      </c>
      <c r="B433" s="161" t="s">
        <v>857</v>
      </c>
      <c r="C433" t="s">
        <v>858</v>
      </c>
      <c r="D433" t="s">
        <v>33</v>
      </c>
      <c r="E433" s="162">
        <v>2</v>
      </c>
      <c r="F433" s="162">
        <v>120</v>
      </c>
      <c r="G433" s="165">
        <v>240</v>
      </c>
      <c r="H433" s="20">
        <v>63</v>
      </c>
      <c r="I433"/>
    </row>
    <row r="434" spans="1:9" x14ac:dyDescent="0.25">
      <c r="A434" s="228">
        <v>41928</v>
      </c>
      <c r="B434" s="161" t="s">
        <v>890</v>
      </c>
      <c r="C434" t="s">
        <v>864</v>
      </c>
      <c r="D434" t="s">
        <v>33</v>
      </c>
      <c r="E434" s="162">
        <v>6</v>
      </c>
      <c r="F434" s="162">
        <v>46.5</v>
      </c>
      <c r="G434" s="165">
        <v>279</v>
      </c>
      <c r="H434" s="20">
        <v>63</v>
      </c>
      <c r="I434"/>
    </row>
    <row r="435" spans="1:9" x14ac:dyDescent="0.25">
      <c r="A435" s="228">
        <v>41928</v>
      </c>
      <c r="B435" s="161" t="s">
        <v>838</v>
      </c>
      <c r="C435" t="s">
        <v>8</v>
      </c>
      <c r="D435" t="s">
        <v>33</v>
      </c>
      <c r="E435" s="162">
        <v>6</v>
      </c>
      <c r="F435" s="162">
        <v>39.979999999999997</v>
      </c>
      <c r="G435" s="165">
        <v>239.88</v>
      </c>
      <c r="H435" s="20">
        <v>63</v>
      </c>
      <c r="I435"/>
    </row>
    <row r="436" spans="1:9" x14ac:dyDescent="0.25">
      <c r="A436" s="228">
        <v>41928</v>
      </c>
      <c r="B436" s="161" t="s">
        <v>843</v>
      </c>
      <c r="C436" t="s">
        <v>8</v>
      </c>
      <c r="D436" t="s">
        <v>33</v>
      </c>
      <c r="E436" s="162">
        <v>1</v>
      </c>
      <c r="F436" s="162">
        <v>35.11</v>
      </c>
      <c r="G436" s="165">
        <v>35.11</v>
      </c>
      <c r="H436" s="20">
        <v>63</v>
      </c>
      <c r="I436"/>
    </row>
    <row r="437" spans="1:9" x14ac:dyDescent="0.25">
      <c r="A437" s="228">
        <v>41940</v>
      </c>
      <c r="B437" s="161" t="s">
        <v>873</v>
      </c>
      <c r="C437" t="s">
        <v>821</v>
      </c>
      <c r="D437" t="s">
        <v>747</v>
      </c>
      <c r="E437" s="162">
        <v>1.5</v>
      </c>
      <c r="F437" s="162">
        <v>115</v>
      </c>
      <c r="G437" s="165">
        <v>172.5</v>
      </c>
      <c r="H437" s="20">
        <v>63</v>
      </c>
      <c r="I437"/>
    </row>
    <row r="438" spans="1:9" x14ac:dyDescent="0.25">
      <c r="A438" s="228">
        <v>41941</v>
      </c>
      <c r="B438" s="161" t="s">
        <v>831</v>
      </c>
      <c r="C438" t="s">
        <v>1471</v>
      </c>
      <c r="D438" t="s">
        <v>832</v>
      </c>
      <c r="E438" s="162">
        <v>1.5</v>
      </c>
      <c r="F438" s="162">
        <v>54.58</v>
      </c>
      <c r="G438" s="165">
        <v>81.87</v>
      </c>
      <c r="H438" s="20">
        <v>63</v>
      </c>
      <c r="I438"/>
    </row>
    <row r="439" spans="1:9" x14ac:dyDescent="0.25">
      <c r="A439" s="228">
        <v>41941</v>
      </c>
      <c r="B439" s="161" t="s">
        <v>855</v>
      </c>
      <c r="C439" t="s">
        <v>856</v>
      </c>
      <c r="D439" t="s">
        <v>33</v>
      </c>
      <c r="E439" s="162">
        <v>2</v>
      </c>
      <c r="F439" s="162">
        <v>21.61</v>
      </c>
      <c r="G439" s="165">
        <v>43.22</v>
      </c>
      <c r="H439" s="20">
        <v>63</v>
      </c>
      <c r="I439"/>
    </row>
    <row r="440" spans="1:9" x14ac:dyDescent="0.25">
      <c r="A440" s="228">
        <v>41941</v>
      </c>
      <c r="B440" s="161" t="s">
        <v>829</v>
      </c>
      <c r="C440" t="s">
        <v>830</v>
      </c>
      <c r="D440" t="s">
        <v>33</v>
      </c>
      <c r="E440" s="162">
        <v>3.25</v>
      </c>
      <c r="F440" s="162">
        <v>110</v>
      </c>
      <c r="G440" s="165">
        <v>357.5</v>
      </c>
      <c r="H440" s="20">
        <v>63</v>
      </c>
      <c r="I440"/>
    </row>
    <row r="441" spans="1:9" x14ac:dyDescent="0.25">
      <c r="A441" s="228">
        <v>41941</v>
      </c>
      <c r="B441" s="161" t="s">
        <v>843</v>
      </c>
      <c r="C441" t="s">
        <v>8</v>
      </c>
      <c r="D441" t="s">
        <v>33</v>
      </c>
      <c r="E441" s="162">
        <v>5.5</v>
      </c>
      <c r="F441" s="162">
        <v>35.11</v>
      </c>
      <c r="G441" s="165">
        <v>193.10499999999999</v>
      </c>
      <c r="H441" s="20">
        <v>63</v>
      </c>
      <c r="I441"/>
    </row>
    <row r="442" spans="1:9" x14ac:dyDescent="0.25">
      <c r="A442" s="228">
        <v>41949</v>
      </c>
      <c r="B442" s="161" t="s">
        <v>838</v>
      </c>
      <c r="C442" t="s">
        <v>8</v>
      </c>
      <c r="D442" t="s">
        <v>33</v>
      </c>
      <c r="E442" s="162">
        <v>1</v>
      </c>
      <c r="F442" s="162">
        <v>39.979999999999997</v>
      </c>
      <c r="G442" s="165">
        <v>39.979999999999997</v>
      </c>
      <c r="H442" s="20">
        <v>63</v>
      </c>
      <c r="I442"/>
    </row>
    <row r="443" spans="1:9" x14ac:dyDescent="0.25">
      <c r="A443" s="228">
        <v>41949</v>
      </c>
      <c r="B443" s="161" t="s">
        <v>843</v>
      </c>
      <c r="C443" t="s">
        <v>8</v>
      </c>
      <c r="D443" t="s">
        <v>33</v>
      </c>
      <c r="E443" s="162">
        <v>2.5</v>
      </c>
      <c r="F443" s="162">
        <v>35.11</v>
      </c>
      <c r="G443" s="165">
        <v>87.775000000000006</v>
      </c>
      <c r="H443" s="20">
        <v>63</v>
      </c>
      <c r="I443"/>
    </row>
    <row r="444" spans="1:9" x14ac:dyDescent="0.25">
      <c r="A444" s="228">
        <v>41953</v>
      </c>
      <c r="B444" s="161" t="s">
        <v>857</v>
      </c>
      <c r="C444" t="s">
        <v>858</v>
      </c>
      <c r="D444" t="s">
        <v>33</v>
      </c>
      <c r="E444" s="162">
        <v>2</v>
      </c>
      <c r="F444" s="162">
        <v>120</v>
      </c>
      <c r="G444" s="165">
        <v>240</v>
      </c>
      <c r="H444" s="20">
        <v>63</v>
      </c>
      <c r="I444"/>
    </row>
    <row r="445" spans="1:9" x14ac:dyDescent="0.25">
      <c r="A445" s="228">
        <v>41953</v>
      </c>
      <c r="B445" s="161" t="s">
        <v>838</v>
      </c>
      <c r="C445" t="s">
        <v>8</v>
      </c>
      <c r="D445" t="s">
        <v>33</v>
      </c>
      <c r="E445" s="162">
        <v>4</v>
      </c>
      <c r="F445" s="162">
        <v>39.979999999999997</v>
      </c>
      <c r="G445" s="165">
        <v>159.91999999999999</v>
      </c>
      <c r="H445" s="20">
        <v>63</v>
      </c>
      <c r="I445"/>
    </row>
    <row r="446" spans="1:9" x14ac:dyDescent="0.25">
      <c r="A446" s="228">
        <v>41953</v>
      </c>
      <c r="B446" s="161" t="s">
        <v>843</v>
      </c>
      <c r="C446" t="s">
        <v>8</v>
      </c>
      <c r="D446" t="s">
        <v>33</v>
      </c>
      <c r="E446" s="162">
        <v>4</v>
      </c>
      <c r="F446" s="162">
        <v>35.11</v>
      </c>
      <c r="G446" s="165">
        <v>140.44</v>
      </c>
      <c r="H446" s="20">
        <v>63</v>
      </c>
      <c r="I446"/>
    </row>
    <row r="447" spans="1:9" x14ac:dyDescent="0.25">
      <c r="A447" s="228">
        <v>41953</v>
      </c>
      <c r="B447" s="161" t="s">
        <v>831</v>
      </c>
      <c r="C447" t="s">
        <v>1471</v>
      </c>
      <c r="D447" t="s">
        <v>832</v>
      </c>
      <c r="E447" s="162">
        <v>4</v>
      </c>
      <c r="F447" s="162">
        <v>54.58</v>
      </c>
      <c r="G447" s="165">
        <v>218.32</v>
      </c>
      <c r="H447" s="20">
        <v>63</v>
      </c>
      <c r="I447"/>
    </row>
    <row r="448" spans="1:9" x14ac:dyDescent="0.25">
      <c r="A448" s="228">
        <v>41957</v>
      </c>
      <c r="B448" s="161" t="s">
        <v>831</v>
      </c>
      <c r="C448" t="s">
        <v>1471</v>
      </c>
      <c r="D448" t="s">
        <v>832</v>
      </c>
      <c r="E448" s="162">
        <v>2</v>
      </c>
      <c r="F448" s="162">
        <v>54.58</v>
      </c>
      <c r="G448" s="165">
        <v>109.16</v>
      </c>
      <c r="H448" s="20">
        <v>63</v>
      </c>
      <c r="I448"/>
    </row>
    <row r="449" spans="1:9" x14ac:dyDescent="0.25">
      <c r="A449" s="228">
        <v>41957</v>
      </c>
      <c r="B449" s="161" t="s">
        <v>843</v>
      </c>
      <c r="C449" t="s">
        <v>8</v>
      </c>
      <c r="D449" t="s">
        <v>33</v>
      </c>
      <c r="E449" s="162">
        <v>2</v>
      </c>
      <c r="F449" s="162">
        <v>35.11</v>
      </c>
      <c r="G449" s="165">
        <v>70.22</v>
      </c>
      <c r="H449" s="20">
        <v>63</v>
      </c>
      <c r="I449"/>
    </row>
    <row r="450" spans="1:9" x14ac:dyDescent="0.25">
      <c r="A450" s="228">
        <v>41957</v>
      </c>
      <c r="B450" s="161" t="s">
        <v>838</v>
      </c>
      <c r="C450" t="s">
        <v>8</v>
      </c>
      <c r="D450" t="s">
        <v>33</v>
      </c>
      <c r="E450" s="162">
        <v>2</v>
      </c>
      <c r="F450" s="162">
        <v>39.979999999999997</v>
      </c>
      <c r="G450" s="165">
        <v>79.959999999999994</v>
      </c>
      <c r="H450" s="20">
        <v>63</v>
      </c>
      <c r="I450"/>
    </row>
    <row r="451" spans="1:9" x14ac:dyDescent="0.25">
      <c r="A451" s="228">
        <v>41976</v>
      </c>
      <c r="B451" s="161" t="s">
        <v>831</v>
      </c>
      <c r="C451" t="s">
        <v>1471</v>
      </c>
      <c r="D451" t="s">
        <v>832</v>
      </c>
      <c r="E451" s="162">
        <v>3</v>
      </c>
      <c r="F451" s="162">
        <v>54.58</v>
      </c>
      <c r="G451" s="165">
        <v>163.74</v>
      </c>
      <c r="H451" s="20">
        <v>63</v>
      </c>
      <c r="I451"/>
    </row>
    <row r="452" spans="1:9" x14ac:dyDescent="0.25">
      <c r="A452" s="228">
        <v>41976</v>
      </c>
      <c r="B452" s="161" t="s">
        <v>829</v>
      </c>
      <c r="C452" t="s">
        <v>830</v>
      </c>
      <c r="D452" t="s">
        <v>33</v>
      </c>
      <c r="E452" s="162">
        <v>3</v>
      </c>
      <c r="F452" s="162">
        <v>110</v>
      </c>
      <c r="G452" s="165">
        <v>330</v>
      </c>
      <c r="H452" s="20">
        <v>63</v>
      </c>
      <c r="I452"/>
    </row>
    <row r="453" spans="1:9" x14ac:dyDescent="0.25">
      <c r="A453" s="230" t="s">
        <v>642</v>
      </c>
      <c r="B453" s="231" t="s">
        <v>892</v>
      </c>
      <c r="C453" s="232" t="s">
        <v>642</v>
      </c>
      <c r="D453" s="232" t="s">
        <v>642</v>
      </c>
      <c r="E453" s="233"/>
      <c r="F453" s="233"/>
      <c r="G453" s="234">
        <v>21526.71</v>
      </c>
      <c r="H453" s="235" t="s">
        <v>642</v>
      </c>
      <c r="I453"/>
    </row>
    <row r="454" spans="1:9" x14ac:dyDescent="0.25">
      <c r="A454" s="228" t="s">
        <v>642</v>
      </c>
      <c r="B454" s="161" t="s">
        <v>642</v>
      </c>
      <c r="C454" t="s">
        <v>642</v>
      </c>
      <c r="D454" t="s">
        <v>642</v>
      </c>
      <c r="E454" s="162"/>
      <c r="F454" s="162"/>
      <c r="G454" s="165"/>
      <c r="H454" s="20" t="s">
        <v>642</v>
      </c>
      <c r="I454"/>
    </row>
    <row r="455" spans="1:9" x14ac:dyDescent="0.25">
      <c r="A455" s="226" t="s">
        <v>642</v>
      </c>
      <c r="B455" s="159" t="s">
        <v>893</v>
      </c>
      <c r="C455" s="64" t="s">
        <v>642</v>
      </c>
      <c r="D455" s="64" t="s">
        <v>642</v>
      </c>
      <c r="E455" s="227"/>
      <c r="F455" s="227"/>
      <c r="G455" s="166"/>
      <c r="H455" s="160" t="s">
        <v>642</v>
      </c>
      <c r="I455"/>
    </row>
    <row r="456" spans="1:9" x14ac:dyDescent="0.25">
      <c r="A456" s="228">
        <v>41922</v>
      </c>
      <c r="B456" s="161" t="s">
        <v>831</v>
      </c>
      <c r="C456" t="s">
        <v>1471</v>
      </c>
      <c r="D456" t="s">
        <v>832</v>
      </c>
      <c r="E456" s="162">
        <v>1</v>
      </c>
      <c r="F456" s="162">
        <v>54.58</v>
      </c>
      <c r="G456" s="165">
        <v>54.58</v>
      </c>
      <c r="H456" s="20">
        <v>64</v>
      </c>
      <c r="I456"/>
    </row>
    <row r="457" spans="1:9" x14ac:dyDescent="0.25">
      <c r="A457" s="228">
        <v>41922</v>
      </c>
      <c r="B457" s="161" t="s">
        <v>894</v>
      </c>
      <c r="C457" t="s">
        <v>895</v>
      </c>
      <c r="D457" t="s">
        <v>33</v>
      </c>
      <c r="E457" s="162">
        <v>987</v>
      </c>
      <c r="F457" s="162">
        <v>6.32</v>
      </c>
      <c r="G457" s="165">
        <v>6237.84</v>
      </c>
      <c r="H457" s="20">
        <v>64</v>
      </c>
      <c r="I457"/>
    </row>
    <row r="458" spans="1:9" x14ac:dyDescent="0.25">
      <c r="A458" s="228">
        <v>41922</v>
      </c>
      <c r="B458" s="161" t="s">
        <v>838</v>
      </c>
      <c r="C458" t="s">
        <v>8</v>
      </c>
      <c r="D458" t="s">
        <v>33</v>
      </c>
      <c r="E458" s="162">
        <v>1</v>
      </c>
      <c r="F458" s="162">
        <v>39.979999999999997</v>
      </c>
      <c r="G458" s="165">
        <v>39.979999999999997</v>
      </c>
      <c r="H458" s="20">
        <v>64</v>
      </c>
      <c r="I458"/>
    </row>
    <row r="459" spans="1:9" x14ac:dyDescent="0.25">
      <c r="A459" s="228">
        <v>41922</v>
      </c>
      <c r="B459" s="161" t="s">
        <v>843</v>
      </c>
      <c r="C459" t="s">
        <v>8</v>
      </c>
      <c r="D459" t="s">
        <v>33</v>
      </c>
      <c r="E459" s="162">
        <v>1</v>
      </c>
      <c r="F459" s="162">
        <v>35.11</v>
      </c>
      <c r="G459" s="165">
        <v>35.11</v>
      </c>
      <c r="H459" s="20">
        <v>64</v>
      </c>
      <c r="I459"/>
    </row>
    <row r="460" spans="1:9" x14ac:dyDescent="0.25">
      <c r="A460" s="228">
        <v>41922</v>
      </c>
      <c r="B460" s="161" t="s">
        <v>855</v>
      </c>
      <c r="C460" t="s">
        <v>856</v>
      </c>
      <c r="D460" t="s">
        <v>33</v>
      </c>
      <c r="E460" s="162">
        <v>4</v>
      </c>
      <c r="F460" s="162">
        <v>21.61</v>
      </c>
      <c r="G460" s="165">
        <v>86.44</v>
      </c>
      <c r="H460" s="20">
        <v>64</v>
      </c>
      <c r="I460"/>
    </row>
    <row r="461" spans="1:9" x14ac:dyDescent="0.25">
      <c r="A461" s="228">
        <v>41922</v>
      </c>
      <c r="B461" s="161" t="s">
        <v>837</v>
      </c>
      <c r="C461" t="s">
        <v>8</v>
      </c>
      <c r="D461" t="s">
        <v>33</v>
      </c>
      <c r="E461" s="162">
        <v>2</v>
      </c>
      <c r="F461" s="162">
        <v>42.72</v>
      </c>
      <c r="G461" s="165">
        <v>85.44</v>
      </c>
      <c r="H461" s="20">
        <v>64</v>
      </c>
      <c r="I461"/>
    </row>
    <row r="462" spans="1:9" x14ac:dyDescent="0.25">
      <c r="A462" s="230" t="s">
        <v>642</v>
      </c>
      <c r="B462" s="231" t="s">
        <v>896</v>
      </c>
      <c r="C462" s="232" t="s">
        <v>642</v>
      </c>
      <c r="D462" s="232" t="s">
        <v>642</v>
      </c>
      <c r="E462" s="233"/>
      <c r="F462" s="233"/>
      <c r="G462" s="234">
        <v>6539.39</v>
      </c>
      <c r="H462" s="235" t="s">
        <v>642</v>
      </c>
      <c r="I462"/>
    </row>
    <row r="463" spans="1:9" x14ac:dyDescent="0.25">
      <c r="A463" s="228" t="s">
        <v>642</v>
      </c>
      <c r="B463" s="161" t="s">
        <v>642</v>
      </c>
      <c r="C463" t="s">
        <v>642</v>
      </c>
      <c r="D463" t="s">
        <v>642</v>
      </c>
      <c r="E463" s="162"/>
      <c r="F463" s="162"/>
      <c r="G463" s="165"/>
      <c r="H463" s="20" t="s">
        <v>642</v>
      </c>
      <c r="I463"/>
    </row>
    <row r="464" spans="1:9" x14ac:dyDescent="0.25">
      <c r="A464" s="226" t="s">
        <v>642</v>
      </c>
      <c r="B464" s="159" t="s">
        <v>897</v>
      </c>
      <c r="C464" s="64" t="s">
        <v>642</v>
      </c>
      <c r="D464" s="64" t="s">
        <v>642</v>
      </c>
      <c r="E464" s="227"/>
      <c r="F464" s="227"/>
      <c r="G464" s="166"/>
      <c r="H464" s="160" t="s">
        <v>642</v>
      </c>
      <c r="I464"/>
    </row>
    <row r="465" spans="1:9" x14ac:dyDescent="0.25">
      <c r="A465" s="228">
        <v>41926</v>
      </c>
      <c r="B465" s="161" t="s">
        <v>898</v>
      </c>
      <c r="C465" t="s">
        <v>895</v>
      </c>
      <c r="D465" t="s">
        <v>33</v>
      </c>
      <c r="E465" s="162">
        <v>86.2</v>
      </c>
      <c r="F465" s="162">
        <v>396</v>
      </c>
      <c r="G465" s="165">
        <v>34135.199999999997</v>
      </c>
      <c r="H465" s="20">
        <v>65</v>
      </c>
      <c r="I465"/>
    </row>
    <row r="466" spans="1:9" x14ac:dyDescent="0.25">
      <c r="A466" s="228">
        <v>41926</v>
      </c>
      <c r="B466" s="161" t="s">
        <v>899</v>
      </c>
      <c r="C466" t="s">
        <v>895</v>
      </c>
      <c r="D466" t="s">
        <v>33</v>
      </c>
      <c r="E466" s="162">
        <v>49.2</v>
      </c>
      <c r="F466" s="162"/>
      <c r="G466" s="165"/>
      <c r="H466" s="20">
        <v>65</v>
      </c>
      <c r="I466"/>
    </row>
    <row r="467" spans="1:9" x14ac:dyDescent="0.25">
      <c r="A467" s="228">
        <v>41940</v>
      </c>
      <c r="B467" s="161" t="s">
        <v>831</v>
      </c>
      <c r="C467" t="s">
        <v>1471</v>
      </c>
      <c r="D467" t="s">
        <v>832</v>
      </c>
      <c r="E467" s="162">
        <v>3</v>
      </c>
      <c r="F467" s="162">
        <v>54.58</v>
      </c>
      <c r="G467" s="165">
        <v>163.74</v>
      </c>
      <c r="H467" s="20">
        <v>65</v>
      </c>
      <c r="I467"/>
    </row>
    <row r="468" spans="1:9" x14ac:dyDescent="0.25">
      <c r="A468" s="228">
        <v>41947</v>
      </c>
      <c r="B468" s="161" t="s">
        <v>829</v>
      </c>
      <c r="C468" t="s">
        <v>830</v>
      </c>
      <c r="D468" t="s">
        <v>33</v>
      </c>
      <c r="E468" s="162">
        <v>1</v>
      </c>
      <c r="F468" s="162">
        <v>110</v>
      </c>
      <c r="G468" s="165">
        <v>110</v>
      </c>
      <c r="H468" s="20">
        <v>65</v>
      </c>
      <c r="I468"/>
    </row>
    <row r="469" spans="1:9" x14ac:dyDescent="0.25">
      <c r="A469" s="228">
        <v>41947</v>
      </c>
      <c r="B469" s="161" t="s">
        <v>843</v>
      </c>
      <c r="C469" t="s">
        <v>8</v>
      </c>
      <c r="D469" t="s">
        <v>33</v>
      </c>
      <c r="E469" s="162">
        <v>1</v>
      </c>
      <c r="F469" s="162">
        <v>35.11</v>
      </c>
      <c r="G469" s="165">
        <v>35.11</v>
      </c>
      <c r="H469" s="20">
        <v>65</v>
      </c>
      <c r="I469"/>
    </row>
    <row r="470" spans="1:9" x14ac:dyDescent="0.25">
      <c r="A470" s="228">
        <v>41947</v>
      </c>
      <c r="B470" s="161" t="s">
        <v>855</v>
      </c>
      <c r="C470" t="s">
        <v>856</v>
      </c>
      <c r="D470" t="s">
        <v>33</v>
      </c>
      <c r="E470" s="162">
        <v>1</v>
      </c>
      <c r="F470" s="162">
        <v>21.61</v>
      </c>
      <c r="G470" s="165">
        <v>21.61</v>
      </c>
      <c r="H470" s="20">
        <v>65</v>
      </c>
      <c r="I470"/>
    </row>
    <row r="471" spans="1:9" x14ac:dyDescent="0.25">
      <c r="A471" s="228">
        <v>42023</v>
      </c>
      <c r="B471" s="161" t="s">
        <v>900</v>
      </c>
      <c r="C471" t="s">
        <v>901</v>
      </c>
      <c r="D471" t="s">
        <v>747</v>
      </c>
      <c r="E471" s="162">
        <v>1</v>
      </c>
      <c r="F471" s="162">
        <v>79.31</v>
      </c>
      <c r="G471" s="165">
        <v>79.31</v>
      </c>
      <c r="H471" s="20">
        <v>65</v>
      </c>
      <c r="I471"/>
    </row>
    <row r="472" spans="1:9" x14ac:dyDescent="0.25">
      <c r="A472" s="228">
        <v>42023</v>
      </c>
      <c r="B472" s="161" t="s">
        <v>831</v>
      </c>
      <c r="C472" t="s">
        <v>1471</v>
      </c>
      <c r="D472" t="s">
        <v>832</v>
      </c>
      <c r="E472" s="162">
        <v>4</v>
      </c>
      <c r="F472" s="162">
        <v>54.58</v>
      </c>
      <c r="G472" s="165">
        <v>218.32</v>
      </c>
      <c r="H472" s="20">
        <v>65</v>
      </c>
      <c r="I472"/>
    </row>
    <row r="473" spans="1:9" x14ac:dyDescent="0.25">
      <c r="A473" s="228">
        <v>42025</v>
      </c>
      <c r="B473" s="161" t="s">
        <v>902</v>
      </c>
      <c r="C473" t="s">
        <v>901</v>
      </c>
      <c r="D473" t="s">
        <v>747</v>
      </c>
      <c r="E473" s="162">
        <v>1</v>
      </c>
      <c r="F473" s="162">
        <v>86.59</v>
      </c>
      <c r="G473" s="165">
        <v>86.59</v>
      </c>
      <c r="H473" s="20">
        <v>65</v>
      </c>
      <c r="I473"/>
    </row>
    <row r="474" spans="1:9" x14ac:dyDescent="0.25">
      <c r="A474" s="228">
        <v>42033</v>
      </c>
      <c r="B474" s="161" t="s">
        <v>831</v>
      </c>
      <c r="C474" t="s">
        <v>1471</v>
      </c>
      <c r="D474" t="s">
        <v>832</v>
      </c>
      <c r="E474" s="162">
        <v>1</v>
      </c>
      <c r="F474" s="162">
        <v>54.58</v>
      </c>
      <c r="G474" s="165">
        <v>54.58</v>
      </c>
      <c r="H474" s="20">
        <v>65</v>
      </c>
      <c r="I474"/>
    </row>
    <row r="475" spans="1:9" x14ac:dyDescent="0.25">
      <c r="A475" s="230" t="s">
        <v>642</v>
      </c>
      <c r="B475" s="231" t="s">
        <v>903</v>
      </c>
      <c r="C475" s="232" t="s">
        <v>642</v>
      </c>
      <c r="D475" s="232" t="s">
        <v>642</v>
      </c>
      <c r="E475" s="233"/>
      <c r="F475" s="233"/>
      <c r="G475" s="234">
        <v>34904.46</v>
      </c>
      <c r="H475" s="235" t="s">
        <v>642</v>
      </c>
      <c r="I475"/>
    </row>
    <row r="476" spans="1:9" x14ac:dyDescent="0.25">
      <c r="A476" s="228" t="s">
        <v>642</v>
      </c>
      <c r="B476" s="161" t="s">
        <v>642</v>
      </c>
      <c r="C476" t="s">
        <v>642</v>
      </c>
      <c r="D476" t="s">
        <v>642</v>
      </c>
      <c r="E476" s="162"/>
      <c r="F476" s="162"/>
      <c r="G476" s="165"/>
      <c r="H476" s="20" t="s">
        <v>642</v>
      </c>
      <c r="I476"/>
    </row>
    <row r="477" spans="1:9" x14ac:dyDescent="0.25">
      <c r="A477" s="226" t="s">
        <v>642</v>
      </c>
      <c r="B477" s="159" t="s">
        <v>904</v>
      </c>
      <c r="C477" s="64" t="s">
        <v>642</v>
      </c>
      <c r="D477" s="64" t="s">
        <v>642</v>
      </c>
      <c r="E477" s="227"/>
      <c r="F477" s="227"/>
      <c r="G477" s="166"/>
      <c r="H477" s="160" t="s">
        <v>642</v>
      </c>
      <c r="I477"/>
    </row>
    <row r="478" spans="1:9" x14ac:dyDescent="0.25">
      <c r="A478" s="228">
        <v>41844</v>
      </c>
      <c r="B478" s="161" t="s">
        <v>905</v>
      </c>
      <c r="C478" t="s">
        <v>906</v>
      </c>
      <c r="D478" t="s">
        <v>747</v>
      </c>
      <c r="E478" s="162">
        <v>78.11</v>
      </c>
      <c r="F478" s="162">
        <v>1</v>
      </c>
      <c r="G478" s="165">
        <v>78.11</v>
      </c>
      <c r="H478" s="20">
        <v>71</v>
      </c>
      <c r="I478"/>
    </row>
    <row r="479" spans="1:9" x14ac:dyDescent="0.25">
      <c r="A479" s="228">
        <v>41887</v>
      </c>
      <c r="B479" s="161" t="s">
        <v>831</v>
      </c>
      <c r="C479" t="s">
        <v>1471</v>
      </c>
      <c r="D479" t="s">
        <v>832</v>
      </c>
      <c r="E479" s="162">
        <v>3</v>
      </c>
      <c r="F479" s="162">
        <v>54.58</v>
      </c>
      <c r="G479" s="165">
        <v>163.74</v>
      </c>
      <c r="H479" s="20">
        <v>71</v>
      </c>
      <c r="I479"/>
    </row>
    <row r="480" spans="1:9" x14ac:dyDescent="0.25">
      <c r="A480" s="228">
        <v>41897</v>
      </c>
      <c r="B480" s="161" t="s">
        <v>907</v>
      </c>
      <c r="C480" t="s">
        <v>908</v>
      </c>
      <c r="D480" t="s">
        <v>747</v>
      </c>
      <c r="E480" s="162">
        <v>1</v>
      </c>
      <c r="F480" s="162">
        <v>152.80000000000001</v>
      </c>
      <c r="G480" s="165">
        <v>152.80000000000001</v>
      </c>
      <c r="H480" s="20">
        <v>71</v>
      </c>
      <c r="I480"/>
    </row>
    <row r="481" spans="1:9" ht="30" x14ac:dyDescent="0.25">
      <c r="A481" s="228">
        <v>41905</v>
      </c>
      <c r="B481" s="161" t="s">
        <v>909</v>
      </c>
      <c r="C481" t="s">
        <v>910</v>
      </c>
      <c r="D481" t="s">
        <v>747</v>
      </c>
      <c r="E481" s="162">
        <v>1</v>
      </c>
      <c r="F481" s="162">
        <v>136.01</v>
      </c>
      <c r="G481" s="165">
        <v>136.01</v>
      </c>
      <c r="H481" s="20">
        <v>71</v>
      </c>
      <c r="I481"/>
    </row>
    <row r="482" spans="1:9" x14ac:dyDescent="0.25">
      <c r="A482" s="228">
        <v>41905</v>
      </c>
      <c r="B482" s="161" t="s">
        <v>857</v>
      </c>
      <c r="C482" t="s">
        <v>858</v>
      </c>
      <c r="D482" t="s">
        <v>33</v>
      </c>
      <c r="E482" s="162">
        <v>4</v>
      </c>
      <c r="F482" s="162">
        <v>120</v>
      </c>
      <c r="G482" s="165">
        <v>480</v>
      </c>
      <c r="H482" s="20">
        <v>71</v>
      </c>
      <c r="I482"/>
    </row>
    <row r="483" spans="1:9" x14ac:dyDescent="0.25">
      <c r="A483" s="228">
        <v>41905</v>
      </c>
      <c r="B483" s="161" t="s">
        <v>843</v>
      </c>
      <c r="C483" t="s">
        <v>8</v>
      </c>
      <c r="D483" t="s">
        <v>33</v>
      </c>
      <c r="E483" s="162">
        <v>8</v>
      </c>
      <c r="F483" s="162">
        <v>35.11</v>
      </c>
      <c r="G483" s="165">
        <v>280.88</v>
      </c>
      <c r="H483" s="20">
        <v>71</v>
      </c>
      <c r="I483"/>
    </row>
    <row r="484" spans="1:9" x14ac:dyDescent="0.25">
      <c r="A484" s="228">
        <v>41905</v>
      </c>
      <c r="B484" s="161" t="s">
        <v>855</v>
      </c>
      <c r="C484" t="s">
        <v>856</v>
      </c>
      <c r="D484" t="s">
        <v>33</v>
      </c>
      <c r="E484" s="162">
        <v>4</v>
      </c>
      <c r="F484" s="162">
        <v>21.61</v>
      </c>
      <c r="G484" s="165">
        <v>86.44</v>
      </c>
      <c r="H484" s="20">
        <v>71</v>
      </c>
      <c r="I484"/>
    </row>
    <row r="485" spans="1:9" x14ac:dyDescent="0.25">
      <c r="A485" s="228">
        <v>41905</v>
      </c>
      <c r="B485" s="161" t="s">
        <v>872</v>
      </c>
      <c r="C485" t="s">
        <v>864</v>
      </c>
      <c r="D485" t="s">
        <v>33</v>
      </c>
      <c r="E485" s="162">
        <v>4</v>
      </c>
      <c r="F485" s="162">
        <v>46.5</v>
      </c>
      <c r="G485" s="165">
        <v>186</v>
      </c>
      <c r="H485" s="20">
        <v>71</v>
      </c>
      <c r="I485"/>
    </row>
    <row r="486" spans="1:9" x14ac:dyDescent="0.25">
      <c r="A486" s="228">
        <v>41905</v>
      </c>
      <c r="B486" s="161" t="s">
        <v>837</v>
      </c>
      <c r="C486" t="s">
        <v>8</v>
      </c>
      <c r="D486" t="s">
        <v>33</v>
      </c>
      <c r="E486" s="162">
        <v>3</v>
      </c>
      <c r="F486" s="162">
        <v>42.72</v>
      </c>
      <c r="G486" s="165">
        <v>128.16</v>
      </c>
      <c r="H486" s="20">
        <v>71</v>
      </c>
      <c r="I486"/>
    </row>
    <row r="487" spans="1:9" x14ac:dyDescent="0.25">
      <c r="A487" s="228">
        <v>41905</v>
      </c>
      <c r="B487" s="161" t="s">
        <v>838</v>
      </c>
      <c r="C487" t="s">
        <v>8</v>
      </c>
      <c r="D487" t="s">
        <v>33</v>
      </c>
      <c r="E487" s="162">
        <v>3</v>
      </c>
      <c r="F487" s="162">
        <v>39.979999999999997</v>
      </c>
      <c r="G487" s="165">
        <v>119.94</v>
      </c>
      <c r="H487" s="20">
        <v>71</v>
      </c>
      <c r="I487"/>
    </row>
    <row r="488" spans="1:9" x14ac:dyDescent="0.25">
      <c r="A488" s="228">
        <v>41905</v>
      </c>
      <c r="B488" s="161" t="s">
        <v>831</v>
      </c>
      <c r="C488" t="s">
        <v>1471</v>
      </c>
      <c r="D488" t="s">
        <v>832</v>
      </c>
      <c r="E488" s="162">
        <v>7.3</v>
      </c>
      <c r="F488" s="162">
        <v>54.58</v>
      </c>
      <c r="G488" s="165">
        <v>398.43400000000003</v>
      </c>
      <c r="H488" s="20">
        <v>71</v>
      </c>
      <c r="I488"/>
    </row>
    <row r="489" spans="1:9" x14ac:dyDescent="0.25">
      <c r="A489" s="228">
        <v>41906</v>
      </c>
      <c r="B489" s="161" t="s">
        <v>837</v>
      </c>
      <c r="C489" t="s">
        <v>8</v>
      </c>
      <c r="D489" t="s">
        <v>33</v>
      </c>
      <c r="E489" s="162">
        <v>2.5</v>
      </c>
      <c r="F489" s="162">
        <v>42.72</v>
      </c>
      <c r="G489" s="165">
        <v>106.8</v>
      </c>
      <c r="H489" s="20">
        <v>71</v>
      </c>
      <c r="I489"/>
    </row>
    <row r="490" spans="1:9" x14ac:dyDescent="0.25">
      <c r="A490" s="228">
        <v>41906</v>
      </c>
      <c r="B490" s="161" t="s">
        <v>863</v>
      </c>
      <c r="C490" t="s">
        <v>864</v>
      </c>
      <c r="D490" t="s">
        <v>33</v>
      </c>
      <c r="E490" s="162">
        <v>5</v>
      </c>
      <c r="F490" s="162">
        <v>46.5</v>
      </c>
      <c r="G490" s="165">
        <v>232.5</v>
      </c>
      <c r="H490" s="20">
        <v>71</v>
      </c>
      <c r="I490"/>
    </row>
    <row r="491" spans="1:9" x14ac:dyDescent="0.25">
      <c r="A491" s="228">
        <v>41906</v>
      </c>
      <c r="B491" s="161" t="s">
        <v>838</v>
      </c>
      <c r="C491" t="s">
        <v>8</v>
      </c>
      <c r="D491" t="s">
        <v>33</v>
      </c>
      <c r="E491" s="162">
        <v>6</v>
      </c>
      <c r="F491" s="162">
        <v>39.979999999999997</v>
      </c>
      <c r="G491" s="165">
        <v>239.88</v>
      </c>
      <c r="H491" s="20">
        <v>71</v>
      </c>
      <c r="I491"/>
    </row>
    <row r="492" spans="1:9" x14ac:dyDescent="0.25">
      <c r="A492" s="228">
        <v>41906</v>
      </c>
      <c r="B492" s="161" t="s">
        <v>843</v>
      </c>
      <c r="C492" t="s">
        <v>8</v>
      </c>
      <c r="D492" t="s">
        <v>33</v>
      </c>
      <c r="E492" s="162">
        <v>2</v>
      </c>
      <c r="F492" s="162">
        <v>35.11</v>
      </c>
      <c r="G492" s="165">
        <v>70.22</v>
      </c>
      <c r="H492" s="20">
        <v>71</v>
      </c>
      <c r="I492"/>
    </row>
    <row r="493" spans="1:9" x14ac:dyDescent="0.25">
      <c r="A493" s="228">
        <v>41906</v>
      </c>
      <c r="B493" s="161" t="s">
        <v>857</v>
      </c>
      <c r="C493" t="s">
        <v>858</v>
      </c>
      <c r="D493" t="s">
        <v>33</v>
      </c>
      <c r="E493" s="162">
        <v>5</v>
      </c>
      <c r="F493" s="162">
        <v>120</v>
      </c>
      <c r="G493" s="165">
        <v>600</v>
      </c>
      <c r="H493" s="20">
        <v>71</v>
      </c>
      <c r="I493"/>
    </row>
    <row r="494" spans="1:9" x14ac:dyDescent="0.25">
      <c r="A494" s="228">
        <v>41906</v>
      </c>
      <c r="B494" s="161" t="s">
        <v>831</v>
      </c>
      <c r="C494" t="s">
        <v>1471</v>
      </c>
      <c r="D494" t="s">
        <v>832</v>
      </c>
      <c r="E494" s="162">
        <v>5</v>
      </c>
      <c r="F494" s="162">
        <v>54.58</v>
      </c>
      <c r="G494" s="165">
        <v>272.89999999999998</v>
      </c>
      <c r="H494" s="20">
        <v>71</v>
      </c>
      <c r="I494"/>
    </row>
    <row r="495" spans="1:9" ht="30" x14ac:dyDescent="0.25">
      <c r="A495" s="228">
        <v>41908</v>
      </c>
      <c r="B495" s="161" t="s">
        <v>911</v>
      </c>
      <c r="C495" t="s">
        <v>912</v>
      </c>
      <c r="D495" t="s">
        <v>747</v>
      </c>
      <c r="E495" s="162">
        <v>1</v>
      </c>
      <c r="F495" s="162">
        <v>10400</v>
      </c>
      <c r="G495" s="165">
        <v>10400</v>
      </c>
      <c r="H495" s="20">
        <v>71</v>
      </c>
      <c r="I495"/>
    </row>
    <row r="496" spans="1:9" x14ac:dyDescent="0.25">
      <c r="A496" s="228">
        <v>41927</v>
      </c>
      <c r="B496" s="161" t="s">
        <v>843</v>
      </c>
      <c r="C496" t="s">
        <v>8</v>
      </c>
      <c r="D496" t="s">
        <v>33</v>
      </c>
      <c r="E496" s="162">
        <v>3.5</v>
      </c>
      <c r="F496" s="162">
        <v>35.11</v>
      </c>
      <c r="G496" s="165">
        <v>122.88500000000001</v>
      </c>
      <c r="H496" s="20">
        <v>71</v>
      </c>
      <c r="I496"/>
    </row>
    <row r="497" spans="1:9" x14ac:dyDescent="0.25">
      <c r="A497" s="228">
        <v>41948</v>
      </c>
      <c r="B497" s="161" t="s">
        <v>831</v>
      </c>
      <c r="C497" t="s">
        <v>1471</v>
      </c>
      <c r="D497" t="s">
        <v>832</v>
      </c>
      <c r="E497" s="162">
        <v>1.5</v>
      </c>
      <c r="F497" s="162">
        <v>54.58</v>
      </c>
      <c r="G497" s="165">
        <v>81.87</v>
      </c>
      <c r="H497" s="20">
        <v>71</v>
      </c>
      <c r="I497"/>
    </row>
    <row r="498" spans="1:9" x14ac:dyDescent="0.25">
      <c r="A498" s="228">
        <v>41948</v>
      </c>
      <c r="B498" s="161" t="s">
        <v>843</v>
      </c>
      <c r="C498" t="s">
        <v>8</v>
      </c>
      <c r="D498" t="s">
        <v>33</v>
      </c>
      <c r="E498" s="162">
        <v>1.5</v>
      </c>
      <c r="F498" s="162">
        <v>35.11</v>
      </c>
      <c r="G498" s="165">
        <v>52.664999999999999</v>
      </c>
      <c r="H498" s="20">
        <v>71</v>
      </c>
      <c r="I498"/>
    </row>
    <row r="499" spans="1:9" x14ac:dyDescent="0.25">
      <c r="A499" s="228">
        <v>41948</v>
      </c>
      <c r="B499" s="161" t="s">
        <v>838</v>
      </c>
      <c r="C499" t="s">
        <v>8</v>
      </c>
      <c r="D499" t="s">
        <v>33</v>
      </c>
      <c r="E499" s="162">
        <v>1.5</v>
      </c>
      <c r="F499" s="162">
        <v>39.979999999999997</v>
      </c>
      <c r="G499" s="165">
        <v>59.97</v>
      </c>
      <c r="H499" s="20">
        <v>71</v>
      </c>
      <c r="I499"/>
    </row>
    <row r="500" spans="1:9" x14ac:dyDescent="0.25">
      <c r="A500" s="228">
        <v>42016</v>
      </c>
      <c r="B500" s="161" t="s">
        <v>831</v>
      </c>
      <c r="C500" t="s">
        <v>1471</v>
      </c>
      <c r="D500" t="s">
        <v>832</v>
      </c>
      <c r="E500" s="162">
        <v>2</v>
      </c>
      <c r="F500" s="162">
        <v>54.58</v>
      </c>
      <c r="G500" s="165">
        <v>109.16</v>
      </c>
      <c r="H500" s="20">
        <v>71</v>
      </c>
      <c r="I500"/>
    </row>
    <row r="501" spans="1:9" x14ac:dyDescent="0.25">
      <c r="A501" s="228">
        <v>42016</v>
      </c>
      <c r="B501" s="161" t="s">
        <v>838</v>
      </c>
      <c r="C501" t="s">
        <v>8</v>
      </c>
      <c r="D501" t="s">
        <v>33</v>
      </c>
      <c r="E501" s="162">
        <v>2</v>
      </c>
      <c r="F501" s="162">
        <v>39.979999999999997</v>
      </c>
      <c r="G501" s="165">
        <v>79.959999999999994</v>
      </c>
      <c r="H501" s="20">
        <v>71</v>
      </c>
      <c r="I501"/>
    </row>
    <row r="502" spans="1:9" x14ac:dyDescent="0.25">
      <c r="A502" s="230" t="s">
        <v>642</v>
      </c>
      <c r="B502" s="231" t="s">
        <v>913</v>
      </c>
      <c r="C502" s="232" t="s">
        <v>642</v>
      </c>
      <c r="D502" s="232" t="s">
        <v>642</v>
      </c>
      <c r="E502" s="233"/>
      <c r="F502" s="233"/>
      <c r="G502" s="234">
        <v>14639.324000000001</v>
      </c>
      <c r="H502" s="235" t="s">
        <v>642</v>
      </c>
      <c r="I502"/>
    </row>
    <row r="503" spans="1:9" x14ac:dyDescent="0.25">
      <c r="A503" s="228" t="s">
        <v>642</v>
      </c>
      <c r="B503" s="161" t="s">
        <v>642</v>
      </c>
      <c r="C503" t="s">
        <v>642</v>
      </c>
      <c r="D503" t="s">
        <v>642</v>
      </c>
      <c r="E503" s="162"/>
      <c r="F503" s="162"/>
      <c r="G503" s="165"/>
      <c r="H503" s="20" t="s">
        <v>642</v>
      </c>
      <c r="I503"/>
    </row>
    <row r="504" spans="1:9" x14ac:dyDescent="0.25">
      <c r="A504" s="226" t="s">
        <v>642</v>
      </c>
      <c r="B504" s="159" t="s">
        <v>914</v>
      </c>
      <c r="C504" s="64" t="s">
        <v>642</v>
      </c>
      <c r="D504" s="64" t="s">
        <v>642</v>
      </c>
      <c r="E504" s="227"/>
      <c r="F504" s="227"/>
      <c r="G504" s="166"/>
      <c r="H504" s="160" t="s">
        <v>642</v>
      </c>
      <c r="I504"/>
    </row>
    <row r="505" spans="1:9" ht="30" x14ac:dyDescent="0.25">
      <c r="A505" s="228">
        <v>41850</v>
      </c>
      <c r="B505" s="161" t="s">
        <v>915</v>
      </c>
      <c r="C505" t="s">
        <v>821</v>
      </c>
      <c r="D505" t="s">
        <v>747</v>
      </c>
      <c r="E505" s="162">
        <v>1</v>
      </c>
      <c r="F505" s="162">
        <v>532.5</v>
      </c>
      <c r="G505" s="165">
        <v>532.5</v>
      </c>
      <c r="H505" s="20">
        <v>72</v>
      </c>
      <c r="I505"/>
    </row>
    <row r="506" spans="1:9" x14ac:dyDescent="0.25">
      <c r="A506" s="230" t="s">
        <v>642</v>
      </c>
      <c r="B506" s="231" t="s">
        <v>916</v>
      </c>
      <c r="C506" s="232" t="s">
        <v>642</v>
      </c>
      <c r="D506" s="232" t="s">
        <v>642</v>
      </c>
      <c r="E506" s="233"/>
      <c r="F506" s="233"/>
      <c r="G506" s="234">
        <v>532.5</v>
      </c>
      <c r="H506" s="235" t="s">
        <v>642</v>
      </c>
      <c r="I506"/>
    </row>
    <row r="507" spans="1:9" x14ac:dyDescent="0.25">
      <c r="A507" s="228" t="s">
        <v>642</v>
      </c>
      <c r="B507" s="161" t="s">
        <v>642</v>
      </c>
      <c r="C507" t="s">
        <v>642</v>
      </c>
      <c r="D507" t="s">
        <v>642</v>
      </c>
      <c r="E507" s="162"/>
      <c r="F507" s="162"/>
      <c r="G507" s="165"/>
      <c r="H507" s="20" t="s">
        <v>642</v>
      </c>
      <c r="I507"/>
    </row>
    <row r="508" spans="1:9" x14ac:dyDescent="0.25">
      <c r="A508" s="226" t="s">
        <v>642</v>
      </c>
      <c r="B508" s="159" t="s">
        <v>917</v>
      </c>
      <c r="C508" s="64" t="s">
        <v>642</v>
      </c>
      <c r="D508" s="64" t="s">
        <v>642</v>
      </c>
      <c r="E508" s="227"/>
      <c r="F508" s="227"/>
      <c r="G508" s="166"/>
      <c r="H508" s="160" t="s">
        <v>642</v>
      </c>
      <c r="I508"/>
    </row>
    <row r="509" spans="1:9" x14ac:dyDescent="0.25">
      <c r="A509" s="228">
        <v>41913</v>
      </c>
      <c r="B509" s="161" t="s">
        <v>843</v>
      </c>
      <c r="C509" t="s">
        <v>8</v>
      </c>
      <c r="D509" t="s">
        <v>33</v>
      </c>
      <c r="E509" s="162">
        <v>2.5</v>
      </c>
      <c r="F509" s="162">
        <v>35.11</v>
      </c>
      <c r="G509" s="165">
        <v>87.775000000000006</v>
      </c>
      <c r="H509" s="20">
        <v>73</v>
      </c>
      <c r="I509"/>
    </row>
    <row r="510" spans="1:9" x14ac:dyDescent="0.25">
      <c r="A510" s="228">
        <v>41919</v>
      </c>
      <c r="B510" s="161" t="s">
        <v>843</v>
      </c>
      <c r="C510" t="s">
        <v>8</v>
      </c>
      <c r="D510" t="s">
        <v>33</v>
      </c>
      <c r="E510" s="162">
        <v>8.5</v>
      </c>
      <c r="F510" s="162">
        <v>35.11</v>
      </c>
      <c r="G510" s="165">
        <v>298.435</v>
      </c>
      <c r="H510" s="20">
        <v>73</v>
      </c>
      <c r="I510"/>
    </row>
    <row r="511" spans="1:9" x14ac:dyDescent="0.25">
      <c r="A511" s="228">
        <v>41919</v>
      </c>
      <c r="B511" s="161" t="s">
        <v>855</v>
      </c>
      <c r="C511" t="s">
        <v>856</v>
      </c>
      <c r="D511" t="s">
        <v>33</v>
      </c>
      <c r="E511" s="162">
        <v>5.5</v>
      </c>
      <c r="F511" s="162">
        <v>21.61</v>
      </c>
      <c r="G511" s="165">
        <v>118.855</v>
      </c>
      <c r="H511" s="20">
        <v>73</v>
      </c>
      <c r="I511"/>
    </row>
    <row r="512" spans="1:9" x14ac:dyDescent="0.25">
      <c r="A512" s="228">
        <v>41919</v>
      </c>
      <c r="B512" s="161" t="s">
        <v>857</v>
      </c>
      <c r="C512" t="s">
        <v>858</v>
      </c>
      <c r="D512" t="s">
        <v>33</v>
      </c>
      <c r="E512" s="162">
        <v>2</v>
      </c>
      <c r="F512" s="162">
        <v>120</v>
      </c>
      <c r="G512" s="165">
        <v>240</v>
      </c>
      <c r="H512" s="20">
        <v>73</v>
      </c>
      <c r="I512"/>
    </row>
    <row r="513" spans="1:9" x14ac:dyDescent="0.25">
      <c r="A513" s="228">
        <v>41921</v>
      </c>
      <c r="B513" s="161" t="s">
        <v>855</v>
      </c>
      <c r="C513" t="s">
        <v>856</v>
      </c>
      <c r="D513" t="s">
        <v>33</v>
      </c>
      <c r="E513" s="162">
        <v>8</v>
      </c>
      <c r="F513" s="162">
        <v>21.61</v>
      </c>
      <c r="G513" s="165">
        <v>172.88</v>
      </c>
      <c r="H513" s="20">
        <v>73</v>
      </c>
      <c r="I513"/>
    </row>
    <row r="514" spans="1:9" x14ac:dyDescent="0.25">
      <c r="A514" s="228">
        <v>41928</v>
      </c>
      <c r="B514" s="161" t="s">
        <v>843</v>
      </c>
      <c r="C514" t="s">
        <v>8</v>
      </c>
      <c r="D514" t="s">
        <v>33</v>
      </c>
      <c r="E514" s="162">
        <v>2.5</v>
      </c>
      <c r="F514" s="162">
        <v>35.11</v>
      </c>
      <c r="G514" s="165">
        <v>87.775000000000006</v>
      </c>
      <c r="H514" s="20">
        <v>73</v>
      </c>
      <c r="I514"/>
    </row>
    <row r="515" spans="1:9" x14ac:dyDescent="0.25">
      <c r="A515" s="228">
        <v>41940</v>
      </c>
      <c r="B515" s="161" t="s">
        <v>873</v>
      </c>
      <c r="C515" t="s">
        <v>821</v>
      </c>
      <c r="D515" t="s">
        <v>747</v>
      </c>
      <c r="E515" s="162">
        <v>8.5</v>
      </c>
      <c r="F515" s="162">
        <v>115</v>
      </c>
      <c r="G515" s="165">
        <v>977.5</v>
      </c>
      <c r="H515" s="20">
        <v>73</v>
      </c>
      <c r="I515"/>
    </row>
    <row r="516" spans="1:9" x14ac:dyDescent="0.25">
      <c r="A516" s="228">
        <v>41941</v>
      </c>
      <c r="B516" s="161" t="s">
        <v>918</v>
      </c>
      <c r="C516" t="s">
        <v>919</v>
      </c>
      <c r="D516" t="s">
        <v>33</v>
      </c>
      <c r="E516" s="162">
        <v>21</v>
      </c>
      <c r="F516" s="162"/>
      <c r="G516" s="165"/>
      <c r="H516" s="20">
        <v>73</v>
      </c>
      <c r="I516"/>
    </row>
    <row r="517" spans="1:9" x14ac:dyDescent="0.25">
      <c r="A517" s="228">
        <v>41942</v>
      </c>
      <c r="B517" s="161" t="s">
        <v>918</v>
      </c>
      <c r="C517" t="s">
        <v>919</v>
      </c>
      <c r="D517" t="s">
        <v>33</v>
      </c>
      <c r="E517" s="162">
        <v>16</v>
      </c>
      <c r="F517" s="162"/>
      <c r="G517" s="165"/>
      <c r="H517" s="20">
        <v>73</v>
      </c>
      <c r="I517"/>
    </row>
    <row r="518" spans="1:9" x14ac:dyDescent="0.25">
      <c r="A518" s="228">
        <v>41942</v>
      </c>
      <c r="B518" s="161" t="s">
        <v>831</v>
      </c>
      <c r="C518" t="s">
        <v>1471</v>
      </c>
      <c r="D518" t="s">
        <v>832</v>
      </c>
      <c r="E518" s="162">
        <v>2</v>
      </c>
      <c r="F518" s="162">
        <v>54.58</v>
      </c>
      <c r="G518" s="165">
        <v>109.16</v>
      </c>
      <c r="H518" s="20">
        <v>73</v>
      </c>
      <c r="I518"/>
    </row>
    <row r="519" spans="1:9" x14ac:dyDescent="0.25">
      <c r="A519" s="228">
        <v>41942</v>
      </c>
      <c r="B519" s="161" t="s">
        <v>855</v>
      </c>
      <c r="C519" t="s">
        <v>856</v>
      </c>
      <c r="D519" t="s">
        <v>33</v>
      </c>
      <c r="E519" s="162">
        <v>2</v>
      </c>
      <c r="F519" s="162">
        <v>21.61</v>
      </c>
      <c r="G519" s="165">
        <v>43.22</v>
      </c>
      <c r="H519" s="20">
        <v>73</v>
      </c>
      <c r="I519"/>
    </row>
    <row r="520" spans="1:9" x14ac:dyDescent="0.25">
      <c r="A520" s="228">
        <v>41943</v>
      </c>
      <c r="B520" s="161" t="s">
        <v>855</v>
      </c>
      <c r="C520" t="s">
        <v>856</v>
      </c>
      <c r="D520" t="s">
        <v>33</v>
      </c>
      <c r="E520" s="162">
        <v>3.5</v>
      </c>
      <c r="F520" s="162">
        <v>21.61</v>
      </c>
      <c r="G520" s="165">
        <v>75.635000000000005</v>
      </c>
      <c r="H520" s="20">
        <v>73</v>
      </c>
      <c r="I520"/>
    </row>
    <row r="521" spans="1:9" x14ac:dyDescent="0.25">
      <c r="A521" s="228">
        <v>41943</v>
      </c>
      <c r="B521" s="161" t="s">
        <v>831</v>
      </c>
      <c r="C521" t="s">
        <v>1471</v>
      </c>
      <c r="D521" t="s">
        <v>832</v>
      </c>
      <c r="E521" s="162">
        <v>4</v>
      </c>
      <c r="F521" s="162">
        <v>54.58</v>
      </c>
      <c r="G521" s="165">
        <v>218.32</v>
      </c>
      <c r="H521" s="20">
        <v>73</v>
      </c>
      <c r="I521"/>
    </row>
    <row r="522" spans="1:9" x14ac:dyDescent="0.25">
      <c r="A522" s="228">
        <v>41943</v>
      </c>
      <c r="B522" s="161" t="s">
        <v>920</v>
      </c>
      <c r="C522" t="s">
        <v>921</v>
      </c>
      <c r="D522" t="s">
        <v>94</v>
      </c>
      <c r="E522" s="162">
        <v>140.80000000000001</v>
      </c>
      <c r="F522" s="162">
        <v>26</v>
      </c>
      <c r="G522" s="165">
        <v>3660.8</v>
      </c>
      <c r="H522" s="20">
        <v>73</v>
      </c>
      <c r="I522"/>
    </row>
    <row r="523" spans="1:9" x14ac:dyDescent="0.25">
      <c r="A523" s="228">
        <v>41943</v>
      </c>
      <c r="B523" s="161" t="s">
        <v>922</v>
      </c>
      <c r="C523" t="s">
        <v>921</v>
      </c>
      <c r="D523" t="s">
        <v>54</v>
      </c>
      <c r="E523" s="162">
        <v>1</v>
      </c>
      <c r="F523" s="162">
        <v>3240</v>
      </c>
      <c r="G523" s="165">
        <v>3240</v>
      </c>
      <c r="H523" s="20">
        <v>73</v>
      </c>
      <c r="I523"/>
    </row>
    <row r="524" spans="1:9" x14ac:dyDescent="0.25">
      <c r="A524" s="228">
        <v>41944</v>
      </c>
      <c r="B524" s="161" t="s">
        <v>923</v>
      </c>
      <c r="C524" t="s">
        <v>919</v>
      </c>
      <c r="D524" t="s">
        <v>33</v>
      </c>
      <c r="E524" s="162">
        <v>0.5</v>
      </c>
      <c r="F524" s="162"/>
      <c r="G524" s="165"/>
      <c r="H524" s="20">
        <v>73</v>
      </c>
      <c r="I524"/>
    </row>
    <row r="525" spans="1:9" x14ac:dyDescent="0.25">
      <c r="A525" s="228">
        <v>41946</v>
      </c>
      <c r="B525" s="161" t="s">
        <v>831</v>
      </c>
      <c r="C525" t="s">
        <v>1471</v>
      </c>
      <c r="D525" t="s">
        <v>832</v>
      </c>
      <c r="E525" s="162">
        <v>3</v>
      </c>
      <c r="F525" s="162">
        <v>54.58</v>
      </c>
      <c r="G525" s="165">
        <v>163.74</v>
      </c>
      <c r="H525" s="20">
        <v>73</v>
      </c>
      <c r="I525"/>
    </row>
    <row r="526" spans="1:9" x14ac:dyDescent="0.25">
      <c r="A526" s="228">
        <v>41946</v>
      </c>
      <c r="B526" s="161" t="s">
        <v>855</v>
      </c>
      <c r="C526" t="s">
        <v>856</v>
      </c>
      <c r="D526" t="s">
        <v>33</v>
      </c>
      <c r="E526" s="162">
        <v>3</v>
      </c>
      <c r="F526" s="162">
        <v>21.61</v>
      </c>
      <c r="G526" s="165">
        <v>64.83</v>
      </c>
      <c r="H526" s="20">
        <v>73</v>
      </c>
      <c r="I526"/>
    </row>
    <row r="527" spans="1:9" x14ac:dyDescent="0.25">
      <c r="A527" s="228">
        <v>41953</v>
      </c>
      <c r="B527" s="161" t="s">
        <v>831</v>
      </c>
      <c r="C527" t="s">
        <v>1471</v>
      </c>
      <c r="D527" t="s">
        <v>832</v>
      </c>
      <c r="E527" s="162">
        <v>1</v>
      </c>
      <c r="F527" s="162">
        <v>54.58</v>
      </c>
      <c r="G527" s="165">
        <v>54.58</v>
      </c>
      <c r="H527" s="20">
        <v>73</v>
      </c>
      <c r="I527"/>
    </row>
    <row r="528" spans="1:9" x14ac:dyDescent="0.25">
      <c r="A528" s="228">
        <v>41955</v>
      </c>
      <c r="B528" s="161" t="s">
        <v>831</v>
      </c>
      <c r="C528" t="s">
        <v>1471</v>
      </c>
      <c r="D528" t="s">
        <v>832</v>
      </c>
      <c r="E528" s="162">
        <v>2.5</v>
      </c>
      <c r="F528" s="162">
        <v>54.58</v>
      </c>
      <c r="G528" s="165">
        <v>136.44999999999999</v>
      </c>
      <c r="H528" s="20">
        <v>73</v>
      </c>
      <c r="I528"/>
    </row>
    <row r="529" spans="1:9" x14ac:dyDescent="0.25">
      <c r="A529" s="228">
        <v>41956</v>
      </c>
      <c r="B529" s="161" t="s">
        <v>863</v>
      </c>
      <c r="C529" t="s">
        <v>864</v>
      </c>
      <c r="D529" t="s">
        <v>33</v>
      </c>
      <c r="E529" s="162">
        <v>1</v>
      </c>
      <c r="F529" s="162">
        <v>46.5</v>
      </c>
      <c r="G529" s="165">
        <v>46.5</v>
      </c>
      <c r="H529" s="20">
        <v>73</v>
      </c>
      <c r="I529"/>
    </row>
    <row r="530" spans="1:9" x14ac:dyDescent="0.25">
      <c r="A530" s="228">
        <v>41956</v>
      </c>
      <c r="B530" s="161" t="s">
        <v>841</v>
      </c>
      <c r="C530" t="s">
        <v>842</v>
      </c>
      <c r="D530" t="s">
        <v>33</v>
      </c>
      <c r="E530" s="162">
        <v>2</v>
      </c>
      <c r="F530" s="162">
        <v>25.78</v>
      </c>
      <c r="G530" s="165">
        <v>51.56</v>
      </c>
      <c r="H530" s="20">
        <v>73</v>
      </c>
      <c r="I530"/>
    </row>
    <row r="531" spans="1:9" x14ac:dyDescent="0.25">
      <c r="A531" s="228">
        <v>41956</v>
      </c>
      <c r="B531" s="161" t="s">
        <v>843</v>
      </c>
      <c r="C531" t="s">
        <v>8</v>
      </c>
      <c r="D531" t="s">
        <v>33</v>
      </c>
      <c r="E531" s="162">
        <v>1.25</v>
      </c>
      <c r="F531" s="162">
        <v>35.11</v>
      </c>
      <c r="G531" s="165">
        <v>43.887500000000003</v>
      </c>
      <c r="H531" s="20">
        <v>73</v>
      </c>
      <c r="I531"/>
    </row>
    <row r="532" spans="1:9" x14ac:dyDescent="0.25">
      <c r="A532" s="228">
        <v>41956</v>
      </c>
      <c r="B532" s="161" t="s">
        <v>838</v>
      </c>
      <c r="C532" t="s">
        <v>8</v>
      </c>
      <c r="D532" t="s">
        <v>33</v>
      </c>
      <c r="E532" s="162">
        <v>1.25</v>
      </c>
      <c r="F532" s="162">
        <v>39.979999999999997</v>
      </c>
      <c r="G532" s="165">
        <v>49.975000000000001</v>
      </c>
      <c r="H532" s="20">
        <v>73</v>
      </c>
      <c r="I532"/>
    </row>
    <row r="533" spans="1:9" x14ac:dyDescent="0.25">
      <c r="A533" s="228">
        <v>41956</v>
      </c>
      <c r="B533" s="161" t="s">
        <v>831</v>
      </c>
      <c r="C533" t="s">
        <v>1471</v>
      </c>
      <c r="D533" t="s">
        <v>832</v>
      </c>
      <c r="E533" s="162">
        <v>6</v>
      </c>
      <c r="F533" s="162">
        <v>54.58</v>
      </c>
      <c r="G533" s="165">
        <v>327.48</v>
      </c>
      <c r="H533" s="20">
        <v>73</v>
      </c>
      <c r="I533"/>
    </row>
    <row r="534" spans="1:9" x14ac:dyDescent="0.25">
      <c r="A534" s="228">
        <v>41957</v>
      </c>
      <c r="B534" s="161" t="s">
        <v>829</v>
      </c>
      <c r="C534" t="s">
        <v>830</v>
      </c>
      <c r="D534" t="s">
        <v>33</v>
      </c>
      <c r="E534" s="162">
        <v>4</v>
      </c>
      <c r="F534" s="162">
        <v>110</v>
      </c>
      <c r="G534" s="165">
        <v>440</v>
      </c>
      <c r="H534" s="20">
        <v>73</v>
      </c>
      <c r="I534"/>
    </row>
    <row r="535" spans="1:9" x14ac:dyDescent="0.25">
      <c r="A535" s="228">
        <v>41957</v>
      </c>
      <c r="B535" s="161" t="s">
        <v>841</v>
      </c>
      <c r="C535" t="s">
        <v>842</v>
      </c>
      <c r="D535" t="s">
        <v>33</v>
      </c>
      <c r="E535" s="162">
        <v>3</v>
      </c>
      <c r="F535" s="162">
        <v>25.78</v>
      </c>
      <c r="G535" s="165">
        <v>77.34</v>
      </c>
      <c r="H535" s="20">
        <v>73</v>
      </c>
      <c r="I535"/>
    </row>
    <row r="536" spans="1:9" x14ac:dyDescent="0.25">
      <c r="A536" s="228">
        <v>41957</v>
      </c>
      <c r="B536" s="161" t="s">
        <v>831</v>
      </c>
      <c r="C536" t="s">
        <v>1471</v>
      </c>
      <c r="D536" t="s">
        <v>832</v>
      </c>
      <c r="E536" s="162">
        <v>2.5</v>
      </c>
      <c r="F536" s="162">
        <v>54.58</v>
      </c>
      <c r="G536" s="165">
        <v>136.44999999999999</v>
      </c>
      <c r="H536" s="20">
        <v>73</v>
      </c>
      <c r="I536"/>
    </row>
    <row r="537" spans="1:9" x14ac:dyDescent="0.25">
      <c r="A537" s="228">
        <v>41967</v>
      </c>
      <c r="B537" s="161" t="s">
        <v>924</v>
      </c>
      <c r="C537" t="s">
        <v>925</v>
      </c>
      <c r="D537" t="s">
        <v>747</v>
      </c>
      <c r="E537" s="162">
        <v>1</v>
      </c>
      <c r="F537" s="162">
        <v>56.4</v>
      </c>
      <c r="G537" s="165">
        <v>56.4</v>
      </c>
      <c r="H537" s="20">
        <v>73</v>
      </c>
      <c r="I537"/>
    </row>
    <row r="538" spans="1:9" x14ac:dyDescent="0.25">
      <c r="A538" s="228">
        <v>41968</v>
      </c>
      <c r="B538" s="161" t="s">
        <v>831</v>
      </c>
      <c r="C538" t="s">
        <v>1471</v>
      </c>
      <c r="D538" t="s">
        <v>832</v>
      </c>
      <c r="E538" s="162">
        <v>1</v>
      </c>
      <c r="F538" s="162">
        <v>54.58</v>
      </c>
      <c r="G538" s="165">
        <v>54.58</v>
      </c>
      <c r="H538" s="20">
        <v>73</v>
      </c>
      <c r="I538"/>
    </row>
    <row r="539" spans="1:9" x14ac:dyDescent="0.25">
      <c r="A539" s="228">
        <v>41969</v>
      </c>
      <c r="B539" s="161" t="s">
        <v>831</v>
      </c>
      <c r="C539" t="s">
        <v>1471</v>
      </c>
      <c r="D539" t="s">
        <v>832</v>
      </c>
      <c r="E539" s="162">
        <v>1</v>
      </c>
      <c r="F539" s="162">
        <v>54.58</v>
      </c>
      <c r="G539" s="165">
        <v>54.58</v>
      </c>
      <c r="H539" s="20">
        <v>73</v>
      </c>
      <c r="I539"/>
    </row>
    <row r="540" spans="1:9" x14ac:dyDescent="0.25">
      <c r="A540" s="228">
        <v>41971</v>
      </c>
      <c r="B540" s="161" t="s">
        <v>831</v>
      </c>
      <c r="C540" t="s">
        <v>1471</v>
      </c>
      <c r="D540" t="s">
        <v>832</v>
      </c>
      <c r="E540" s="162">
        <v>2</v>
      </c>
      <c r="F540" s="162">
        <v>54.58</v>
      </c>
      <c r="G540" s="165">
        <v>109.16</v>
      </c>
      <c r="H540" s="20">
        <v>73</v>
      </c>
      <c r="I540"/>
    </row>
    <row r="541" spans="1:9" x14ac:dyDescent="0.25">
      <c r="A541" s="228">
        <v>41972</v>
      </c>
      <c r="B541" s="161" t="s">
        <v>926</v>
      </c>
      <c r="C541" t="s">
        <v>925</v>
      </c>
      <c r="D541" t="s">
        <v>747</v>
      </c>
      <c r="E541" s="162">
        <v>1</v>
      </c>
      <c r="F541" s="162">
        <v>285.55</v>
      </c>
      <c r="G541" s="165">
        <v>285.55</v>
      </c>
      <c r="H541" s="20">
        <v>73</v>
      </c>
      <c r="I541"/>
    </row>
    <row r="542" spans="1:9" x14ac:dyDescent="0.25">
      <c r="A542" s="228">
        <v>41973</v>
      </c>
      <c r="B542" s="161" t="s">
        <v>927</v>
      </c>
      <c r="C542" t="s">
        <v>921</v>
      </c>
      <c r="D542" t="s">
        <v>94</v>
      </c>
      <c r="E542" s="162">
        <v>93</v>
      </c>
      <c r="F542" s="162">
        <v>26</v>
      </c>
      <c r="G542" s="165">
        <v>2418</v>
      </c>
      <c r="H542" s="20">
        <v>73</v>
      </c>
      <c r="I542"/>
    </row>
    <row r="543" spans="1:9" x14ac:dyDescent="0.25">
      <c r="A543" s="228">
        <v>41973</v>
      </c>
      <c r="B543" s="161" t="s">
        <v>928</v>
      </c>
      <c r="C543" t="s">
        <v>921</v>
      </c>
      <c r="D543" t="s">
        <v>929</v>
      </c>
      <c r="E543" s="162">
        <v>89</v>
      </c>
      <c r="F543" s="162">
        <v>65</v>
      </c>
      <c r="G543" s="165">
        <v>5785</v>
      </c>
      <c r="H543" s="20">
        <v>73</v>
      </c>
      <c r="I543"/>
    </row>
    <row r="544" spans="1:9" x14ac:dyDescent="0.25">
      <c r="A544" s="228">
        <v>41973</v>
      </c>
      <c r="B544" s="161" t="s">
        <v>930</v>
      </c>
      <c r="C544" t="s">
        <v>921</v>
      </c>
      <c r="D544" t="s">
        <v>94</v>
      </c>
      <c r="E544" s="162">
        <v>146</v>
      </c>
      <c r="F544" s="162">
        <v>32</v>
      </c>
      <c r="G544" s="165">
        <v>4672</v>
      </c>
      <c r="H544" s="20">
        <v>73</v>
      </c>
      <c r="I544"/>
    </row>
    <row r="545" spans="1:9" x14ac:dyDescent="0.25">
      <c r="A545" s="228">
        <v>41973</v>
      </c>
      <c r="B545" s="161" t="s">
        <v>931</v>
      </c>
      <c r="C545" t="s">
        <v>921</v>
      </c>
      <c r="D545" t="s">
        <v>94</v>
      </c>
      <c r="E545" s="162">
        <v>74</v>
      </c>
      <c r="F545" s="162">
        <v>26</v>
      </c>
      <c r="G545" s="165">
        <v>1924</v>
      </c>
      <c r="H545" s="20">
        <v>73</v>
      </c>
      <c r="I545"/>
    </row>
    <row r="546" spans="1:9" x14ac:dyDescent="0.25">
      <c r="A546" s="228">
        <v>41974</v>
      </c>
      <c r="B546" s="161" t="s">
        <v>923</v>
      </c>
      <c r="C546" t="s">
        <v>919</v>
      </c>
      <c r="D546" t="s">
        <v>33</v>
      </c>
      <c r="E546" s="162">
        <v>30</v>
      </c>
      <c r="F546" s="162"/>
      <c r="G546" s="165"/>
      <c r="H546" s="20">
        <v>73</v>
      </c>
      <c r="I546"/>
    </row>
    <row r="547" spans="1:9" x14ac:dyDescent="0.25">
      <c r="A547" s="228">
        <v>41974</v>
      </c>
      <c r="B547" s="161" t="s">
        <v>831</v>
      </c>
      <c r="C547" t="s">
        <v>1471</v>
      </c>
      <c r="D547" t="s">
        <v>832</v>
      </c>
      <c r="E547" s="162">
        <v>2</v>
      </c>
      <c r="F547" s="162">
        <v>54.58</v>
      </c>
      <c r="G547" s="165">
        <v>109.16</v>
      </c>
      <c r="H547" s="20">
        <v>73</v>
      </c>
      <c r="I547"/>
    </row>
    <row r="548" spans="1:9" x14ac:dyDescent="0.25">
      <c r="A548" s="228">
        <v>41975</v>
      </c>
      <c r="B548" s="161" t="s">
        <v>923</v>
      </c>
      <c r="C548" t="s">
        <v>919</v>
      </c>
      <c r="D548" t="s">
        <v>33</v>
      </c>
      <c r="E548" s="162">
        <v>19.5</v>
      </c>
      <c r="F548" s="162"/>
      <c r="G548" s="165"/>
      <c r="H548" s="20">
        <v>73</v>
      </c>
      <c r="I548"/>
    </row>
    <row r="549" spans="1:9" x14ac:dyDescent="0.25">
      <c r="A549" s="228">
        <v>41975</v>
      </c>
      <c r="B549" s="161" t="s">
        <v>831</v>
      </c>
      <c r="C549" t="s">
        <v>1471</v>
      </c>
      <c r="D549" t="s">
        <v>832</v>
      </c>
      <c r="E549" s="162">
        <v>1</v>
      </c>
      <c r="F549" s="162">
        <v>54.58</v>
      </c>
      <c r="G549" s="165">
        <v>54.58</v>
      </c>
      <c r="H549" s="20">
        <v>73</v>
      </c>
      <c r="I549"/>
    </row>
    <row r="550" spans="1:9" x14ac:dyDescent="0.25">
      <c r="A550" s="228">
        <v>41977</v>
      </c>
      <c r="B550" s="161" t="s">
        <v>829</v>
      </c>
      <c r="C550" t="s">
        <v>830</v>
      </c>
      <c r="D550" t="s">
        <v>33</v>
      </c>
      <c r="E550" s="162">
        <v>1</v>
      </c>
      <c r="F550" s="162">
        <v>110</v>
      </c>
      <c r="G550" s="165">
        <v>110</v>
      </c>
      <c r="H550" s="20">
        <v>73</v>
      </c>
      <c r="I550"/>
    </row>
    <row r="551" spans="1:9" x14ac:dyDescent="0.25">
      <c r="A551" s="228">
        <v>41977</v>
      </c>
      <c r="B551" s="161" t="s">
        <v>831</v>
      </c>
      <c r="C551" t="s">
        <v>1471</v>
      </c>
      <c r="D551" t="s">
        <v>832</v>
      </c>
      <c r="E551" s="162">
        <v>1</v>
      </c>
      <c r="F551" s="162">
        <v>54.58</v>
      </c>
      <c r="G551" s="165">
        <v>54.58</v>
      </c>
      <c r="H551" s="20">
        <v>73</v>
      </c>
      <c r="I551"/>
    </row>
    <row r="552" spans="1:9" x14ac:dyDescent="0.25">
      <c r="A552" s="228">
        <v>41978</v>
      </c>
      <c r="B552" s="161" t="s">
        <v>831</v>
      </c>
      <c r="C552" t="s">
        <v>1471</v>
      </c>
      <c r="D552" t="s">
        <v>832</v>
      </c>
      <c r="E552" s="162">
        <v>5</v>
      </c>
      <c r="F552" s="162">
        <v>54.58</v>
      </c>
      <c r="G552" s="165">
        <v>272.89999999999998</v>
      </c>
      <c r="H552" s="20">
        <v>73</v>
      </c>
      <c r="I552"/>
    </row>
    <row r="553" spans="1:9" x14ac:dyDescent="0.25">
      <c r="A553" s="228">
        <v>41981</v>
      </c>
      <c r="B553" s="161" t="s">
        <v>831</v>
      </c>
      <c r="C553" t="s">
        <v>1471</v>
      </c>
      <c r="D553" t="s">
        <v>832</v>
      </c>
      <c r="E553" s="162">
        <v>8.5</v>
      </c>
      <c r="F553" s="162">
        <v>54.58</v>
      </c>
      <c r="G553" s="165">
        <v>463.93</v>
      </c>
      <c r="H553" s="20">
        <v>73</v>
      </c>
      <c r="I553"/>
    </row>
    <row r="554" spans="1:9" x14ac:dyDescent="0.25">
      <c r="A554" s="228">
        <v>41982</v>
      </c>
      <c r="B554" s="161" t="s">
        <v>831</v>
      </c>
      <c r="C554" t="s">
        <v>1471</v>
      </c>
      <c r="D554" t="s">
        <v>832</v>
      </c>
      <c r="E554" s="162">
        <v>6.5</v>
      </c>
      <c r="F554" s="162">
        <v>54.58</v>
      </c>
      <c r="G554" s="165">
        <v>354.77</v>
      </c>
      <c r="H554" s="20">
        <v>73</v>
      </c>
      <c r="I554"/>
    </row>
    <row r="555" spans="1:9" x14ac:dyDescent="0.25">
      <c r="A555" s="228">
        <v>41982</v>
      </c>
      <c r="B555" s="161" t="s">
        <v>932</v>
      </c>
      <c r="C555" t="s">
        <v>925</v>
      </c>
      <c r="D555" t="s">
        <v>747</v>
      </c>
      <c r="E555" s="162">
        <v>1</v>
      </c>
      <c r="F555" s="162">
        <v>105.43</v>
      </c>
      <c r="G555" s="165">
        <v>105.43</v>
      </c>
      <c r="H555" s="20">
        <v>73</v>
      </c>
      <c r="I555"/>
    </row>
    <row r="556" spans="1:9" x14ac:dyDescent="0.25">
      <c r="A556" s="228">
        <v>41983</v>
      </c>
      <c r="B556" s="161" t="s">
        <v>831</v>
      </c>
      <c r="C556" t="s">
        <v>1471</v>
      </c>
      <c r="D556" t="s">
        <v>832</v>
      </c>
      <c r="E556" s="162">
        <v>5.5</v>
      </c>
      <c r="F556" s="162">
        <v>54.58</v>
      </c>
      <c r="G556" s="165">
        <v>300.19</v>
      </c>
      <c r="H556" s="20">
        <v>73</v>
      </c>
      <c r="I556"/>
    </row>
    <row r="557" spans="1:9" x14ac:dyDescent="0.25">
      <c r="A557" s="228">
        <v>41983</v>
      </c>
      <c r="B557" s="161" t="s">
        <v>933</v>
      </c>
      <c r="C557" t="s">
        <v>925</v>
      </c>
      <c r="D557" t="s">
        <v>747</v>
      </c>
      <c r="E557" s="162">
        <v>1</v>
      </c>
      <c r="F557" s="162">
        <v>162.19999999999999</v>
      </c>
      <c r="G557" s="165">
        <v>162.19999999999999</v>
      </c>
      <c r="H557" s="20">
        <v>73</v>
      </c>
      <c r="I557"/>
    </row>
    <row r="558" spans="1:9" x14ac:dyDescent="0.25">
      <c r="A558" s="228">
        <v>41984</v>
      </c>
      <c r="B558" s="161" t="s">
        <v>934</v>
      </c>
      <c r="C558" t="s">
        <v>925</v>
      </c>
      <c r="D558" t="s">
        <v>747</v>
      </c>
      <c r="E558" s="162">
        <v>1</v>
      </c>
      <c r="F558" s="162">
        <v>2.4700000000000002</v>
      </c>
      <c r="G558" s="165">
        <v>2.4700000000000002</v>
      </c>
      <c r="H558" s="20">
        <v>73</v>
      </c>
      <c r="I558"/>
    </row>
    <row r="559" spans="1:9" x14ac:dyDescent="0.25">
      <c r="A559" s="228">
        <v>41984</v>
      </c>
      <c r="B559" s="161" t="s">
        <v>935</v>
      </c>
      <c r="C559" t="s">
        <v>925</v>
      </c>
      <c r="D559" t="s">
        <v>747</v>
      </c>
      <c r="E559" s="162">
        <v>1</v>
      </c>
      <c r="F559" s="162">
        <v>90.36</v>
      </c>
      <c r="G559" s="165">
        <v>90.36</v>
      </c>
      <c r="H559" s="20">
        <v>73</v>
      </c>
      <c r="I559"/>
    </row>
    <row r="560" spans="1:9" x14ac:dyDescent="0.25">
      <c r="A560" s="228">
        <v>41984</v>
      </c>
      <c r="B560" s="161" t="s">
        <v>829</v>
      </c>
      <c r="C560" t="s">
        <v>830</v>
      </c>
      <c r="D560" t="s">
        <v>33</v>
      </c>
      <c r="E560" s="162">
        <v>4</v>
      </c>
      <c r="F560" s="162">
        <v>110</v>
      </c>
      <c r="G560" s="165">
        <v>440</v>
      </c>
      <c r="H560" s="20">
        <v>73</v>
      </c>
      <c r="I560"/>
    </row>
    <row r="561" spans="1:9" x14ac:dyDescent="0.25">
      <c r="A561" s="228">
        <v>41984</v>
      </c>
      <c r="B561" s="161" t="s">
        <v>831</v>
      </c>
      <c r="C561" t="s">
        <v>1471</v>
      </c>
      <c r="D561" t="s">
        <v>832</v>
      </c>
      <c r="E561" s="162">
        <v>6</v>
      </c>
      <c r="F561" s="162">
        <v>54.58</v>
      </c>
      <c r="G561" s="165">
        <v>327.48</v>
      </c>
      <c r="H561" s="20">
        <v>73</v>
      </c>
      <c r="I561"/>
    </row>
    <row r="562" spans="1:9" x14ac:dyDescent="0.25">
      <c r="A562" s="228">
        <v>41984</v>
      </c>
      <c r="B562" s="161" t="s">
        <v>843</v>
      </c>
      <c r="C562" t="s">
        <v>8</v>
      </c>
      <c r="D562" t="s">
        <v>33</v>
      </c>
      <c r="E562" s="162">
        <v>6</v>
      </c>
      <c r="F562" s="162">
        <v>35.11</v>
      </c>
      <c r="G562" s="165">
        <v>210.66</v>
      </c>
      <c r="H562" s="20">
        <v>73</v>
      </c>
      <c r="I562"/>
    </row>
    <row r="563" spans="1:9" x14ac:dyDescent="0.25">
      <c r="A563" s="228">
        <v>41985</v>
      </c>
      <c r="B563" s="161" t="s">
        <v>843</v>
      </c>
      <c r="C563" t="s">
        <v>8</v>
      </c>
      <c r="D563" t="s">
        <v>33</v>
      </c>
      <c r="E563" s="162">
        <v>6.5</v>
      </c>
      <c r="F563" s="162">
        <v>35.11</v>
      </c>
      <c r="G563" s="165">
        <v>228.215</v>
      </c>
      <c r="H563" s="20">
        <v>73</v>
      </c>
      <c r="I563"/>
    </row>
    <row r="564" spans="1:9" x14ac:dyDescent="0.25">
      <c r="A564" s="228">
        <v>41985</v>
      </c>
      <c r="B564" s="161" t="s">
        <v>831</v>
      </c>
      <c r="C564" t="s">
        <v>1471</v>
      </c>
      <c r="D564" t="s">
        <v>832</v>
      </c>
      <c r="E564" s="162">
        <v>6</v>
      </c>
      <c r="F564" s="162">
        <v>54.58</v>
      </c>
      <c r="G564" s="165">
        <v>327.48</v>
      </c>
      <c r="H564" s="20">
        <v>73</v>
      </c>
      <c r="I564"/>
    </row>
    <row r="565" spans="1:9" x14ac:dyDescent="0.25">
      <c r="A565" s="228">
        <v>41988</v>
      </c>
      <c r="B565" s="161" t="s">
        <v>936</v>
      </c>
      <c r="C565" t="s">
        <v>925</v>
      </c>
      <c r="D565" t="s">
        <v>747</v>
      </c>
      <c r="E565" s="162">
        <v>1</v>
      </c>
      <c r="F565" s="162">
        <v>22.1</v>
      </c>
      <c r="G565" s="165">
        <v>22.1</v>
      </c>
      <c r="H565" s="20">
        <v>73</v>
      </c>
      <c r="I565"/>
    </row>
    <row r="566" spans="1:9" x14ac:dyDescent="0.25">
      <c r="A566" s="228">
        <v>41988</v>
      </c>
      <c r="B566" s="161" t="s">
        <v>843</v>
      </c>
      <c r="C566" t="s">
        <v>8</v>
      </c>
      <c r="D566" t="s">
        <v>33</v>
      </c>
      <c r="E566" s="162">
        <v>6.5</v>
      </c>
      <c r="F566" s="162">
        <v>35.11</v>
      </c>
      <c r="G566" s="165">
        <v>228.215</v>
      </c>
      <c r="H566" s="20">
        <v>73</v>
      </c>
      <c r="I566"/>
    </row>
    <row r="567" spans="1:9" x14ac:dyDescent="0.25">
      <c r="A567" s="228">
        <v>41988</v>
      </c>
      <c r="B567" s="161" t="s">
        <v>831</v>
      </c>
      <c r="C567" t="s">
        <v>1471</v>
      </c>
      <c r="D567" t="s">
        <v>832</v>
      </c>
      <c r="E567" s="162">
        <v>2.5</v>
      </c>
      <c r="F567" s="162">
        <v>54.58</v>
      </c>
      <c r="G567" s="165">
        <v>136.44999999999999</v>
      </c>
      <c r="H567" s="20">
        <v>73</v>
      </c>
      <c r="I567"/>
    </row>
    <row r="568" spans="1:9" x14ac:dyDescent="0.25">
      <c r="A568" s="228">
        <v>41989</v>
      </c>
      <c r="B568" s="161" t="s">
        <v>831</v>
      </c>
      <c r="C568" t="s">
        <v>1471</v>
      </c>
      <c r="D568" t="s">
        <v>832</v>
      </c>
      <c r="E568" s="162">
        <v>2.5</v>
      </c>
      <c r="F568" s="162">
        <v>54.58</v>
      </c>
      <c r="G568" s="165">
        <v>136.44999999999999</v>
      </c>
      <c r="H568" s="20">
        <v>73</v>
      </c>
      <c r="I568"/>
    </row>
    <row r="569" spans="1:9" x14ac:dyDescent="0.25">
      <c r="A569" s="228">
        <v>41990</v>
      </c>
      <c r="B569" s="161" t="s">
        <v>937</v>
      </c>
      <c r="C569" t="s">
        <v>919</v>
      </c>
      <c r="D569" t="s">
        <v>747</v>
      </c>
      <c r="E569" s="162">
        <v>1</v>
      </c>
      <c r="F569" s="162">
        <v>6779.76</v>
      </c>
      <c r="G569" s="165">
        <v>6779.76</v>
      </c>
      <c r="H569" s="20">
        <v>73</v>
      </c>
      <c r="I569"/>
    </row>
    <row r="570" spans="1:9" x14ac:dyDescent="0.25">
      <c r="A570" s="228">
        <v>42082</v>
      </c>
      <c r="B570" s="161" t="s">
        <v>843</v>
      </c>
      <c r="C570" t="s">
        <v>8</v>
      </c>
      <c r="D570" t="s">
        <v>33</v>
      </c>
      <c r="E570" s="162">
        <v>5</v>
      </c>
      <c r="F570" s="162">
        <v>42.72</v>
      </c>
      <c r="G570" s="165">
        <v>213.6</v>
      </c>
      <c r="H570" s="20">
        <v>73</v>
      </c>
      <c r="I570"/>
    </row>
    <row r="571" spans="1:9" x14ac:dyDescent="0.25">
      <c r="A571" s="228">
        <v>42082</v>
      </c>
      <c r="B571" s="161" t="s">
        <v>831</v>
      </c>
      <c r="C571" t="s">
        <v>1471</v>
      </c>
      <c r="D571" t="s">
        <v>832</v>
      </c>
      <c r="E571" s="162">
        <v>1</v>
      </c>
      <c r="F571" s="162">
        <v>54.58</v>
      </c>
      <c r="G571" s="165">
        <v>54.58</v>
      </c>
      <c r="H571" s="20">
        <v>73</v>
      </c>
      <c r="I571"/>
    </row>
    <row r="572" spans="1:9" x14ac:dyDescent="0.25">
      <c r="A572" s="228">
        <v>42082</v>
      </c>
      <c r="B572" s="161" t="s">
        <v>829</v>
      </c>
      <c r="C572" t="s">
        <v>830</v>
      </c>
      <c r="D572" t="s">
        <v>33</v>
      </c>
      <c r="E572" s="162">
        <v>5</v>
      </c>
      <c r="F572" s="162">
        <v>110</v>
      </c>
      <c r="G572" s="165">
        <v>550</v>
      </c>
      <c r="H572" s="20">
        <v>73</v>
      </c>
      <c r="I572"/>
    </row>
    <row r="573" spans="1:9" x14ac:dyDescent="0.25">
      <c r="A573" s="228">
        <v>42089</v>
      </c>
      <c r="B573" s="161" t="s">
        <v>843</v>
      </c>
      <c r="C573" t="s">
        <v>8</v>
      </c>
      <c r="D573" t="s">
        <v>33</v>
      </c>
      <c r="E573" s="162">
        <v>1</v>
      </c>
      <c r="F573" s="162">
        <v>42.72</v>
      </c>
      <c r="G573" s="165">
        <v>42.72</v>
      </c>
      <c r="H573" s="20">
        <v>73</v>
      </c>
      <c r="I573"/>
    </row>
    <row r="574" spans="1:9" x14ac:dyDescent="0.25">
      <c r="A574" s="228">
        <v>42089</v>
      </c>
      <c r="B574" s="161" t="s">
        <v>829</v>
      </c>
      <c r="C574" t="s">
        <v>830</v>
      </c>
      <c r="D574" t="s">
        <v>747</v>
      </c>
      <c r="E574" s="162">
        <v>1</v>
      </c>
      <c r="F574" s="162">
        <v>110</v>
      </c>
      <c r="G574" s="165">
        <v>110</v>
      </c>
      <c r="H574" s="20">
        <v>73</v>
      </c>
      <c r="I574"/>
    </row>
    <row r="575" spans="1:9" x14ac:dyDescent="0.25">
      <c r="A575" s="228">
        <v>42089</v>
      </c>
      <c r="B575" s="161" t="s">
        <v>831</v>
      </c>
      <c r="C575" t="s">
        <v>1471</v>
      </c>
      <c r="D575" t="s">
        <v>832</v>
      </c>
      <c r="E575" s="162">
        <v>1</v>
      </c>
      <c r="F575" s="162">
        <v>54.58</v>
      </c>
      <c r="G575" s="165">
        <v>54.58</v>
      </c>
      <c r="H575" s="20">
        <v>73</v>
      </c>
      <c r="I575"/>
    </row>
    <row r="576" spans="1:9" x14ac:dyDescent="0.25">
      <c r="A576" s="230" t="s">
        <v>642</v>
      </c>
      <c r="B576" s="231" t="s">
        <v>938</v>
      </c>
      <c r="C576" s="232" t="s">
        <v>642</v>
      </c>
      <c r="D576" s="232" t="s">
        <v>642</v>
      </c>
      <c r="E576" s="233"/>
      <c r="F576" s="233"/>
      <c r="G576" s="234">
        <v>38225.277499999997</v>
      </c>
      <c r="H576" s="235" t="s">
        <v>642</v>
      </c>
      <c r="I576"/>
    </row>
    <row r="577" spans="1:9" x14ac:dyDescent="0.25">
      <c r="A577" s="228" t="s">
        <v>642</v>
      </c>
      <c r="B577" s="161" t="s">
        <v>642</v>
      </c>
      <c r="C577" t="s">
        <v>642</v>
      </c>
      <c r="D577" t="s">
        <v>642</v>
      </c>
      <c r="E577" s="162"/>
      <c r="F577" s="162"/>
      <c r="G577" s="165"/>
      <c r="H577" s="20" t="s">
        <v>642</v>
      </c>
      <c r="I577"/>
    </row>
    <row r="578" spans="1:9" x14ac:dyDescent="0.25">
      <c r="A578" s="226" t="s">
        <v>642</v>
      </c>
      <c r="B578" s="159" t="s">
        <v>939</v>
      </c>
      <c r="C578" s="64" t="s">
        <v>642</v>
      </c>
      <c r="D578" s="64" t="s">
        <v>642</v>
      </c>
      <c r="E578" s="227"/>
      <c r="F578" s="227"/>
      <c r="G578" s="166"/>
      <c r="H578" s="160" t="s">
        <v>642</v>
      </c>
      <c r="I578"/>
    </row>
    <row r="579" spans="1:9" x14ac:dyDescent="0.25">
      <c r="A579" s="228">
        <v>41767</v>
      </c>
      <c r="B579" s="161" t="s">
        <v>831</v>
      </c>
      <c r="C579" t="s">
        <v>1471</v>
      </c>
      <c r="D579" t="s">
        <v>832</v>
      </c>
      <c r="E579" s="162">
        <v>1.5</v>
      </c>
      <c r="F579" s="162">
        <v>54.58</v>
      </c>
      <c r="G579" s="165">
        <v>81.87</v>
      </c>
      <c r="H579" s="20">
        <v>81</v>
      </c>
      <c r="I579"/>
    </row>
    <row r="580" spans="1:9" x14ac:dyDescent="0.25">
      <c r="A580" s="228">
        <v>41767</v>
      </c>
      <c r="B580" s="161" t="s">
        <v>837</v>
      </c>
      <c r="C580" t="s">
        <v>8</v>
      </c>
      <c r="D580" t="s">
        <v>33</v>
      </c>
      <c r="E580" s="162">
        <v>1.5</v>
      </c>
      <c r="F580" s="162">
        <v>42.72</v>
      </c>
      <c r="G580" s="165">
        <v>64.08</v>
      </c>
      <c r="H580" s="20">
        <v>81</v>
      </c>
      <c r="I580"/>
    </row>
    <row r="581" spans="1:9" ht="30" x14ac:dyDescent="0.25">
      <c r="A581" s="228">
        <v>41773</v>
      </c>
      <c r="B581" s="161" t="s">
        <v>940</v>
      </c>
      <c r="C581" t="s">
        <v>941</v>
      </c>
      <c r="D581" t="s">
        <v>747</v>
      </c>
      <c r="E581" s="162">
        <v>1</v>
      </c>
      <c r="F581" s="162">
        <v>15965</v>
      </c>
      <c r="G581" s="165">
        <v>15965</v>
      </c>
      <c r="H581" s="20">
        <v>81</v>
      </c>
      <c r="I581"/>
    </row>
    <row r="582" spans="1:9" x14ac:dyDescent="0.25">
      <c r="A582" s="228">
        <v>41780</v>
      </c>
      <c r="B582" s="161" t="s">
        <v>831</v>
      </c>
      <c r="C582" t="s">
        <v>1471</v>
      </c>
      <c r="D582" t="s">
        <v>832</v>
      </c>
      <c r="E582" s="162">
        <v>2.5</v>
      </c>
      <c r="F582" s="162">
        <v>54.58</v>
      </c>
      <c r="G582" s="165">
        <v>136.44999999999999</v>
      </c>
      <c r="H582" s="20">
        <v>81</v>
      </c>
      <c r="I582"/>
    </row>
    <row r="583" spans="1:9" x14ac:dyDescent="0.25">
      <c r="A583" s="228">
        <v>41780</v>
      </c>
      <c r="B583" s="161" t="s">
        <v>843</v>
      </c>
      <c r="C583" t="s">
        <v>8</v>
      </c>
      <c r="D583" t="s">
        <v>33</v>
      </c>
      <c r="E583" s="162">
        <v>3</v>
      </c>
      <c r="F583" s="162">
        <v>42.72</v>
      </c>
      <c r="G583" s="165">
        <v>128.16</v>
      </c>
      <c r="H583" s="20">
        <v>81</v>
      </c>
      <c r="I583"/>
    </row>
    <row r="584" spans="1:9" x14ac:dyDescent="0.25">
      <c r="A584" s="228">
        <v>41780</v>
      </c>
      <c r="B584" s="161" t="s">
        <v>838</v>
      </c>
      <c r="C584" t="s">
        <v>8</v>
      </c>
      <c r="D584" t="s">
        <v>33</v>
      </c>
      <c r="E584" s="162">
        <v>3</v>
      </c>
      <c r="F584" s="162">
        <v>39.979999999999997</v>
      </c>
      <c r="G584" s="165">
        <v>119.94</v>
      </c>
      <c r="H584" s="20">
        <v>81</v>
      </c>
      <c r="I584"/>
    </row>
    <row r="585" spans="1:9" x14ac:dyDescent="0.25">
      <c r="A585" s="228">
        <v>41780</v>
      </c>
      <c r="B585" s="161" t="s">
        <v>843</v>
      </c>
      <c r="C585" t="s">
        <v>8</v>
      </c>
      <c r="D585" t="s">
        <v>33</v>
      </c>
      <c r="E585" s="162">
        <v>3</v>
      </c>
      <c r="F585" s="162">
        <v>35.11</v>
      </c>
      <c r="G585" s="165">
        <v>105.33</v>
      </c>
      <c r="H585" s="20">
        <v>81</v>
      </c>
      <c r="I585"/>
    </row>
    <row r="586" spans="1:9" x14ac:dyDescent="0.25">
      <c r="A586" s="230" t="s">
        <v>642</v>
      </c>
      <c r="B586" s="231" t="s">
        <v>942</v>
      </c>
      <c r="C586" s="232" t="s">
        <v>642</v>
      </c>
      <c r="D586" s="232" t="s">
        <v>642</v>
      </c>
      <c r="E586" s="233"/>
      <c r="F586" s="233"/>
      <c r="G586" s="234">
        <v>16600.830000000002</v>
      </c>
      <c r="H586" s="235" t="s">
        <v>642</v>
      </c>
      <c r="I586"/>
    </row>
    <row r="587" spans="1:9" x14ac:dyDescent="0.25">
      <c r="A587" s="228" t="s">
        <v>642</v>
      </c>
      <c r="B587" s="161" t="s">
        <v>642</v>
      </c>
      <c r="C587" t="s">
        <v>642</v>
      </c>
      <c r="D587" t="s">
        <v>642</v>
      </c>
      <c r="E587" s="162"/>
      <c r="F587" s="162"/>
      <c r="G587" s="165"/>
      <c r="H587" s="20" t="s">
        <v>642</v>
      </c>
      <c r="I587"/>
    </row>
    <row r="588" spans="1:9" x14ac:dyDescent="0.25">
      <c r="A588" s="226" t="s">
        <v>642</v>
      </c>
      <c r="B588" s="159" t="s">
        <v>943</v>
      </c>
      <c r="C588" s="64" t="s">
        <v>642</v>
      </c>
      <c r="D588" s="64" t="s">
        <v>642</v>
      </c>
      <c r="E588" s="227"/>
      <c r="F588" s="227"/>
      <c r="G588" s="166"/>
      <c r="H588" s="160" t="s">
        <v>642</v>
      </c>
      <c r="I588"/>
    </row>
    <row r="589" spans="1:9" x14ac:dyDescent="0.25">
      <c r="A589" s="228">
        <v>41767</v>
      </c>
      <c r="B589" s="161" t="s">
        <v>837</v>
      </c>
      <c r="C589" t="s">
        <v>8</v>
      </c>
      <c r="D589" t="s">
        <v>33</v>
      </c>
      <c r="E589" s="162">
        <v>1.5</v>
      </c>
      <c r="F589" s="162">
        <v>42.72</v>
      </c>
      <c r="G589" s="165">
        <v>64.08</v>
      </c>
      <c r="H589" s="20">
        <v>82</v>
      </c>
      <c r="I589"/>
    </row>
    <row r="590" spans="1:9" x14ac:dyDescent="0.25">
      <c r="A590" s="228">
        <v>41767</v>
      </c>
      <c r="B590" s="161" t="s">
        <v>831</v>
      </c>
      <c r="C590" t="s">
        <v>1471</v>
      </c>
      <c r="D590" t="s">
        <v>832</v>
      </c>
      <c r="E590" s="162">
        <v>1.5</v>
      </c>
      <c r="F590" s="162">
        <v>54.58</v>
      </c>
      <c r="G590" s="165">
        <v>81.87</v>
      </c>
      <c r="H590" s="20">
        <v>82</v>
      </c>
      <c r="I590"/>
    </row>
    <row r="591" spans="1:9" x14ac:dyDescent="0.25">
      <c r="A591" s="228">
        <v>41773</v>
      </c>
      <c r="B591" s="161" t="s">
        <v>944</v>
      </c>
      <c r="C591" t="s">
        <v>945</v>
      </c>
      <c r="D591" t="s">
        <v>747</v>
      </c>
      <c r="E591" s="162">
        <v>26</v>
      </c>
      <c r="F591" s="162">
        <v>375</v>
      </c>
      <c r="G591" s="165">
        <v>9750</v>
      </c>
      <c r="H591" s="20">
        <v>82</v>
      </c>
      <c r="I591"/>
    </row>
    <row r="592" spans="1:9" x14ac:dyDescent="0.25">
      <c r="A592" s="228">
        <v>41849</v>
      </c>
      <c r="B592" s="161" t="s">
        <v>503</v>
      </c>
      <c r="C592" t="s">
        <v>840</v>
      </c>
      <c r="D592" t="s">
        <v>19</v>
      </c>
      <c r="E592" s="162">
        <v>3</v>
      </c>
      <c r="F592" s="162"/>
      <c r="G592" s="165"/>
      <c r="H592" s="20">
        <v>82</v>
      </c>
      <c r="I592"/>
    </row>
    <row r="593" spans="1:9" x14ac:dyDescent="0.25">
      <c r="A593" s="228">
        <v>41850</v>
      </c>
      <c r="B593" s="161" t="s">
        <v>503</v>
      </c>
      <c r="C593" t="s">
        <v>840</v>
      </c>
      <c r="D593" t="s">
        <v>19</v>
      </c>
      <c r="E593" s="162">
        <v>20</v>
      </c>
      <c r="F593" s="162"/>
      <c r="G593" s="165"/>
      <c r="H593" s="20">
        <v>82</v>
      </c>
      <c r="I593"/>
    </row>
    <row r="594" spans="1:9" x14ac:dyDescent="0.25">
      <c r="A594" s="228">
        <v>41971</v>
      </c>
      <c r="B594" s="161" t="s">
        <v>831</v>
      </c>
      <c r="C594" t="s">
        <v>1471</v>
      </c>
      <c r="D594" t="s">
        <v>832</v>
      </c>
      <c r="E594" s="162">
        <v>2</v>
      </c>
      <c r="F594" s="162">
        <v>54.58</v>
      </c>
      <c r="G594" s="165">
        <v>109.16</v>
      </c>
      <c r="H594" s="20">
        <v>82</v>
      </c>
      <c r="I594"/>
    </row>
    <row r="595" spans="1:9" x14ac:dyDescent="0.25">
      <c r="A595" s="228">
        <v>41975</v>
      </c>
      <c r="B595" s="161" t="s">
        <v>831</v>
      </c>
      <c r="C595" t="s">
        <v>1471</v>
      </c>
      <c r="D595" t="s">
        <v>832</v>
      </c>
      <c r="E595" s="162">
        <v>6</v>
      </c>
      <c r="F595" s="162">
        <v>54.58</v>
      </c>
      <c r="G595" s="165">
        <v>327.48</v>
      </c>
      <c r="H595" s="20">
        <v>82</v>
      </c>
      <c r="I595"/>
    </row>
    <row r="596" spans="1:9" x14ac:dyDescent="0.25">
      <c r="A596" s="230" t="s">
        <v>642</v>
      </c>
      <c r="B596" s="231" t="s">
        <v>946</v>
      </c>
      <c r="C596" s="232" t="s">
        <v>642</v>
      </c>
      <c r="D596" s="232" t="s">
        <v>642</v>
      </c>
      <c r="E596" s="233"/>
      <c r="F596" s="233"/>
      <c r="G596" s="234">
        <v>10332.59</v>
      </c>
      <c r="H596" s="235" t="s">
        <v>642</v>
      </c>
      <c r="I596"/>
    </row>
    <row r="597" spans="1:9" x14ac:dyDescent="0.25">
      <c r="A597" s="228" t="s">
        <v>642</v>
      </c>
      <c r="B597" s="161" t="s">
        <v>642</v>
      </c>
      <c r="C597" t="s">
        <v>642</v>
      </c>
      <c r="D597" t="s">
        <v>642</v>
      </c>
      <c r="E597" s="162"/>
      <c r="F597" s="162"/>
      <c r="G597" s="165"/>
      <c r="H597" s="20" t="s">
        <v>642</v>
      </c>
      <c r="I597"/>
    </row>
    <row r="598" spans="1:9" x14ac:dyDescent="0.25">
      <c r="A598" s="226" t="s">
        <v>642</v>
      </c>
      <c r="B598" s="159" t="s">
        <v>947</v>
      </c>
      <c r="C598" s="64" t="s">
        <v>642</v>
      </c>
      <c r="D598" s="64" t="s">
        <v>642</v>
      </c>
      <c r="E598" s="227"/>
      <c r="F598" s="227"/>
      <c r="G598" s="166"/>
      <c r="H598" s="160" t="s">
        <v>642</v>
      </c>
      <c r="I598"/>
    </row>
    <row r="599" spans="1:9" x14ac:dyDescent="0.25">
      <c r="A599" s="228">
        <v>41865</v>
      </c>
      <c r="B599" s="161" t="s">
        <v>831</v>
      </c>
      <c r="C599" t="s">
        <v>1471</v>
      </c>
      <c r="D599" t="s">
        <v>832</v>
      </c>
      <c r="E599" s="162">
        <v>1</v>
      </c>
      <c r="F599" s="162">
        <v>54.58</v>
      </c>
      <c r="G599" s="165">
        <v>54.58</v>
      </c>
      <c r="H599" s="20">
        <v>85</v>
      </c>
      <c r="I599"/>
    </row>
    <row r="600" spans="1:9" x14ac:dyDescent="0.25">
      <c r="A600" s="228">
        <v>41865</v>
      </c>
      <c r="B600" s="161" t="s">
        <v>843</v>
      </c>
      <c r="C600" t="s">
        <v>8</v>
      </c>
      <c r="D600" t="s">
        <v>33</v>
      </c>
      <c r="E600" s="162">
        <v>1</v>
      </c>
      <c r="F600" s="162">
        <v>42.72</v>
      </c>
      <c r="G600" s="165">
        <v>42.72</v>
      </c>
      <c r="H600" s="20">
        <v>85</v>
      </c>
      <c r="I600"/>
    </row>
    <row r="601" spans="1:9" x14ac:dyDescent="0.25">
      <c r="A601" s="228">
        <v>41890</v>
      </c>
      <c r="B601" s="161" t="s">
        <v>831</v>
      </c>
      <c r="C601" t="s">
        <v>1471</v>
      </c>
      <c r="D601" t="s">
        <v>832</v>
      </c>
      <c r="E601" s="162">
        <v>1</v>
      </c>
      <c r="F601" s="162">
        <v>54.58</v>
      </c>
      <c r="G601" s="165">
        <v>54.58</v>
      </c>
      <c r="H601" s="20">
        <v>85</v>
      </c>
      <c r="I601"/>
    </row>
    <row r="602" spans="1:9" x14ac:dyDescent="0.25">
      <c r="A602" s="228">
        <v>41912</v>
      </c>
      <c r="B602" s="161" t="s">
        <v>831</v>
      </c>
      <c r="C602" t="s">
        <v>1471</v>
      </c>
      <c r="D602" t="s">
        <v>832</v>
      </c>
      <c r="E602" s="162">
        <v>8.5</v>
      </c>
      <c r="F602" s="162">
        <v>54.58</v>
      </c>
      <c r="G602" s="165">
        <v>463.93</v>
      </c>
      <c r="H602" s="20">
        <v>85</v>
      </c>
      <c r="I602"/>
    </row>
    <row r="603" spans="1:9" x14ac:dyDescent="0.25">
      <c r="A603" s="228">
        <v>41912</v>
      </c>
      <c r="B603" s="161" t="s">
        <v>843</v>
      </c>
      <c r="C603" t="s">
        <v>8</v>
      </c>
      <c r="D603" t="s">
        <v>33</v>
      </c>
      <c r="E603" s="162">
        <v>8.5</v>
      </c>
      <c r="F603" s="162">
        <v>35.11</v>
      </c>
      <c r="G603" s="165">
        <v>298.435</v>
      </c>
      <c r="H603" s="20">
        <v>85</v>
      </c>
      <c r="I603"/>
    </row>
    <row r="604" spans="1:9" x14ac:dyDescent="0.25">
      <c r="A604" s="228">
        <v>41913</v>
      </c>
      <c r="B604" s="161" t="s">
        <v>831</v>
      </c>
      <c r="C604" t="s">
        <v>1471</v>
      </c>
      <c r="D604" t="s">
        <v>832</v>
      </c>
      <c r="E604" s="162">
        <v>1</v>
      </c>
      <c r="F604" s="162">
        <v>54.58</v>
      </c>
      <c r="G604" s="165">
        <v>54.58</v>
      </c>
      <c r="H604" s="20">
        <v>85</v>
      </c>
      <c r="I604"/>
    </row>
    <row r="605" spans="1:9" x14ac:dyDescent="0.25">
      <c r="A605" s="228">
        <v>41914</v>
      </c>
      <c r="B605" s="161" t="s">
        <v>829</v>
      </c>
      <c r="C605" t="s">
        <v>830</v>
      </c>
      <c r="D605" t="s">
        <v>33</v>
      </c>
      <c r="E605" s="162">
        <v>1.25</v>
      </c>
      <c r="F605" s="162">
        <v>110</v>
      </c>
      <c r="G605" s="165">
        <v>137.5</v>
      </c>
      <c r="H605" s="20">
        <v>85</v>
      </c>
      <c r="I605"/>
    </row>
    <row r="606" spans="1:9" x14ac:dyDescent="0.25">
      <c r="A606" s="228">
        <v>41914</v>
      </c>
      <c r="B606" s="161" t="s">
        <v>855</v>
      </c>
      <c r="C606" t="s">
        <v>856</v>
      </c>
      <c r="D606" t="s">
        <v>33</v>
      </c>
      <c r="E606" s="162">
        <v>4.5</v>
      </c>
      <c r="F606" s="162">
        <v>21.61</v>
      </c>
      <c r="G606" s="165">
        <v>97.245000000000005</v>
      </c>
      <c r="H606" s="20">
        <v>85</v>
      </c>
      <c r="I606"/>
    </row>
    <row r="607" spans="1:9" x14ac:dyDescent="0.25">
      <c r="A607" s="228">
        <v>41914</v>
      </c>
      <c r="B607" s="161" t="s">
        <v>837</v>
      </c>
      <c r="C607" t="s">
        <v>8</v>
      </c>
      <c r="D607" t="s">
        <v>33</v>
      </c>
      <c r="E607" s="162">
        <v>4.5</v>
      </c>
      <c r="F607" s="162">
        <v>42.72</v>
      </c>
      <c r="G607" s="165">
        <v>192.24</v>
      </c>
      <c r="H607" s="20">
        <v>85</v>
      </c>
      <c r="I607"/>
    </row>
    <row r="608" spans="1:9" x14ac:dyDescent="0.25">
      <c r="A608" s="228">
        <v>41914</v>
      </c>
      <c r="B608" s="161" t="s">
        <v>831</v>
      </c>
      <c r="C608" t="s">
        <v>1471</v>
      </c>
      <c r="D608" t="s">
        <v>832</v>
      </c>
      <c r="E608" s="162">
        <v>9.5</v>
      </c>
      <c r="F608" s="162">
        <v>54.58</v>
      </c>
      <c r="G608" s="165">
        <v>518.51</v>
      </c>
      <c r="H608" s="20">
        <v>85</v>
      </c>
      <c r="I608"/>
    </row>
    <row r="609" spans="1:9" x14ac:dyDescent="0.25">
      <c r="A609" s="228">
        <v>41915</v>
      </c>
      <c r="B609" s="161" t="s">
        <v>829</v>
      </c>
      <c r="C609" t="s">
        <v>830</v>
      </c>
      <c r="D609" t="s">
        <v>33</v>
      </c>
      <c r="E609" s="162">
        <v>3</v>
      </c>
      <c r="F609" s="162">
        <v>110</v>
      </c>
      <c r="G609" s="165">
        <v>330</v>
      </c>
      <c r="H609" s="20">
        <v>85</v>
      </c>
      <c r="I609"/>
    </row>
    <row r="610" spans="1:9" x14ac:dyDescent="0.25">
      <c r="A610" s="228">
        <v>41915</v>
      </c>
      <c r="B610" s="161" t="s">
        <v>837</v>
      </c>
      <c r="C610" t="s">
        <v>8</v>
      </c>
      <c r="D610" t="s">
        <v>33</v>
      </c>
      <c r="E610" s="162">
        <v>8</v>
      </c>
      <c r="F610" s="162">
        <v>42.72</v>
      </c>
      <c r="G610" s="165">
        <v>341.76</v>
      </c>
      <c r="H610" s="20">
        <v>85</v>
      </c>
      <c r="I610"/>
    </row>
    <row r="611" spans="1:9" x14ac:dyDescent="0.25">
      <c r="A611" s="228">
        <v>41915</v>
      </c>
      <c r="B611" s="161" t="s">
        <v>855</v>
      </c>
      <c r="C611" t="s">
        <v>856</v>
      </c>
      <c r="D611" t="s">
        <v>33</v>
      </c>
      <c r="E611" s="162">
        <v>8</v>
      </c>
      <c r="F611" s="162">
        <v>21.61</v>
      </c>
      <c r="G611" s="165">
        <v>172.88</v>
      </c>
      <c r="H611" s="20">
        <v>85</v>
      </c>
      <c r="I611"/>
    </row>
    <row r="612" spans="1:9" x14ac:dyDescent="0.25">
      <c r="A612" s="228">
        <v>41915</v>
      </c>
      <c r="B612" s="161" t="s">
        <v>843</v>
      </c>
      <c r="C612" t="s">
        <v>8</v>
      </c>
      <c r="D612" t="s">
        <v>33</v>
      </c>
      <c r="E612" s="162">
        <v>8</v>
      </c>
      <c r="F612" s="162">
        <v>35.11</v>
      </c>
      <c r="G612" s="165">
        <v>280.88</v>
      </c>
      <c r="H612" s="20">
        <v>85</v>
      </c>
      <c r="I612"/>
    </row>
    <row r="613" spans="1:9" x14ac:dyDescent="0.25">
      <c r="A613" s="228">
        <v>41915</v>
      </c>
      <c r="B613" s="161" t="s">
        <v>831</v>
      </c>
      <c r="C613" t="s">
        <v>1471</v>
      </c>
      <c r="D613" t="s">
        <v>832</v>
      </c>
      <c r="E613" s="162">
        <v>8</v>
      </c>
      <c r="F613" s="162">
        <v>54.58</v>
      </c>
      <c r="G613" s="165">
        <v>436.64</v>
      </c>
      <c r="H613" s="20">
        <v>85</v>
      </c>
      <c r="I613"/>
    </row>
    <row r="614" spans="1:9" x14ac:dyDescent="0.25">
      <c r="A614" s="228">
        <v>41919</v>
      </c>
      <c r="B614" s="161" t="s">
        <v>837</v>
      </c>
      <c r="C614" t="s">
        <v>8</v>
      </c>
      <c r="D614" t="s">
        <v>33</v>
      </c>
      <c r="E614" s="162">
        <v>4.5</v>
      </c>
      <c r="F614" s="162">
        <v>42.72</v>
      </c>
      <c r="G614" s="165">
        <v>192.24</v>
      </c>
      <c r="H614" s="20">
        <v>85</v>
      </c>
      <c r="I614"/>
    </row>
    <row r="615" spans="1:9" x14ac:dyDescent="0.25">
      <c r="A615" s="228">
        <v>41919</v>
      </c>
      <c r="B615" s="161" t="s">
        <v>831</v>
      </c>
      <c r="C615" t="s">
        <v>1471</v>
      </c>
      <c r="D615" t="s">
        <v>832</v>
      </c>
      <c r="E615" s="162">
        <v>4.5</v>
      </c>
      <c r="F615" s="162">
        <v>54.58</v>
      </c>
      <c r="G615" s="165">
        <v>245.61</v>
      </c>
      <c r="H615" s="20">
        <v>85</v>
      </c>
      <c r="I615"/>
    </row>
    <row r="616" spans="1:9" x14ac:dyDescent="0.25">
      <c r="A616" s="228">
        <v>41920</v>
      </c>
      <c r="B616" s="161" t="s">
        <v>855</v>
      </c>
      <c r="C616" t="s">
        <v>856</v>
      </c>
      <c r="D616" t="s">
        <v>33</v>
      </c>
      <c r="E616" s="162">
        <v>4</v>
      </c>
      <c r="F616" s="162">
        <v>21.61</v>
      </c>
      <c r="G616" s="165">
        <v>86.44</v>
      </c>
      <c r="H616" s="20">
        <v>85</v>
      </c>
      <c r="I616"/>
    </row>
    <row r="617" spans="1:9" x14ac:dyDescent="0.25">
      <c r="A617" s="228">
        <v>41920</v>
      </c>
      <c r="B617" s="161" t="s">
        <v>831</v>
      </c>
      <c r="C617" t="s">
        <v>1471</v>
      </c>
      <c r="D617" t="s">
        <v>832</v>
      </c>
      <c r="E617" s="162">
        <v>1.5</v>
      </c>
      <c r="F617" s="162">
        <v>54.58</v>
      </c>
      <c r="G617" s="165">
        <v>81.87</v>
      </c>
      <c r="H617" s="20">
        <v>85</v>
      </c>
      <c r="I617"/>
    </row>
    <row r="618" spans="1:9" x14ac:dyDescent="0.25">
      <c r="A618" s="228">
        <v>41920</v>
      </c>
      <c r="B618" s="161" t="s">
        <v>837</v>
      </c>
      <c r="C618" t="s">
        <v>8</v>
      </c>
      <c r="D618" t="s">
        <v>33</v>
      </c>
      <c r="E618" s="162">
        <v>5</v>
      </c>
      <c r="F618" s="162">
        <v>42.72</v>
      </c>
      <c r="G618" s="165">
        <v>213.6</v>
      </c>
      <c r="H618" s="20">
        <v>85</v>
      </c>
      <c r="I618"/>
    </row>
    <row r="619" spans="1:9" x14ac:dyDescent="0.25">
      <c r="A619" s="228">
        <v>41920</v>
      </c>
      <c r="B619" s="161" t="s">
        <v>838</v>
      </c>
      <c r="C619" t="s">
        <v>8</v>
      </c>
      <c r="D619" t="s">
        <v>33</v>
      </c>
      <c r="E619" s="162">
        <v>5</v>
      </c>
      <c r="F619" s="162">
        <v>39.979999999999997</v>
      </c>
      <c r="G619" s="165">
        <v>199.9</v>
      </c>
      <c r="H619" s="20">
        <v>85</v>
      </c>
      <c r="I619"/>
    </row>
    <row r="620" spans="1:9" x14ac:dyDescent="0.25">
      <c r="A620" s="228">
        <v>41921</v>
      </c>
      <c r="B620" s="161" t="s">
        <v>493</v>
      </c>
      <c r="C620" t="s">
        <v>879</v>
      </c>
      <c r="D620" t="s">
        <v>747</v>
      </c>
      <c r="E620" s="162">
        <v>1</v>
      </c>
      <c r="F620" s="162">
        <v>152.09</v>
      </c>
      <c r="G620" s="165">
        <v>152.09</v>
      </c>
      <c r="H620" s="20">
        <v>85</v>
      </c>
      <c r="I620"/>
    </row>
    <row r="621" spans="1:9" x14ac:dyDescent="0.25">
      <c r="A621" s="228">
        <v>41927</v>
      </c>
      <c r="B621" s="161" t="s">
        <v>843</v>
      </c>
      <c r="C621" t="s">
        <v>8</v>
      </c>
      <c r="D621" t="s">
        <v>33</v>
      </c>
      <c r="E621" s="162">
        <v>4</v>
      </c>
      <c r="F621" s="162">
        <v>35.11</v>
      </c>
      <c r="G621" s="165">
        <v>140.44</v>
      </c>
      <c r="H621" s="20">
        <v>85</v>
      </c>
      <c r="I621"/>
    </row>
    <row r="622" spans="1:9" x14ac:dyDescent="0.25">
      <c r="A622" s="228">
        <v>41928</v>
      </c>
      <c r="B622" s="161" t="s">
        <v>843</v>
      </c>
      <c r="C622" t="s">
        <v>8</v>
      </c>
      <c r="D622" t="s">
        <v>33</v>
      </c>
      <c r="E622" s="162">
        <v>3</v>
      </c>
      <c r="F622" s="162">
        <v>35.11</v>
      </c>
      <c r="G622" s="165">
        <v>105.33</v>
      </c>
      <c r="H622" s="20">
        <v>85</v>
      </c>
      <c r="I622"/>
    </row>
    <row r="623" spans="1:9" x14ac:dyDescent="0.25">
      <c r="A623" s="228">
        <v>41949</v>
      </c>
      <c r="B623" s="161" t="s">
        <v>843</v>
      </c>
      <c r="C623" t="s">
        <v>8</v>
      </c>
      <c r="D623" t="s">
        <v>33</v>
      </c>
      <c r="E623" s="162">
        <v>2.5</v>
      </c>
      <c r="F623" s="162">
        <v>35.11</v>
      </c>
      <c r="G623" s="165">
        <v>87.775000000000006</v>
      </c>
      <c r="H623" s="20">
        <v>85</v>
      </c>
      <c r="I623"/>
    </row>
    <row r="624" spans="1:9" x14ac:dyDescent="0.25">
      <c r="A624" s="228">
        <v>41949</v>
      </c>
      <c r="B624" s="161" t="s">
        <v>831</v>
      </c>
      <c r="C624" t="s">
        <v>1471</v>
      </c>
      <c r="D624" t="s">
        <v>832</v>
      </c>
      <c r="E624" s="162">
        <v>2</v>
      </c>
      <c r="F624" s="162">
        <v>54.58</v>
      </c>
      <c r="G624" s="165">
        <v>109.16</v>
      </c>
      <c r="H624" s="20">
        <v>85</v>
      </c>
      <c r="I624"/>
    </row>
    <row r="625" spans="1:9" x14ac:dyDescent="0.25">
      <c r="A625" s="228">
        <v>41949</v>
      </c>
      <c r="B625" s="161" t="s">
        <v>838</v>
      </c>
      <c r="C625" t="s">
        <v>8</v>
      </c>
      <c r="D625" t="s">
        <v>33</v>
      </c>
      <c r="E625" s="162">
        <v>3</v>
      </c>
      <c r="F625" s="162">
        <v>39.979999999999997</v>
      </c>
      <c r="G625" s="165">
        <v>119.94</v>
      </c>
      <c r="H625" s="20">
        <v>85</v>
      </c>
      <c r="I625"/>
    </row>
    <row r="626" spans="1:9" x14ac:dyDescent="0.25">
      <c r="A626" s="228">
        <v>41954</v>
      </c>
      <c r="B626" s="161" t="s">
        <v>843</v>
      </c>
      <c r="C626" t="s">
        <v>8</v>
      </c>
      <c r="D626" t="s">
        <v>33</v>
      </c>
      <c r="E626" s="162">
        <v>5</v>
      </c>
      <c r="F626" s="162">
        <v>35.11</v>
      </c>
      <c r="G626" s="165">
        <v>175.55</v>
      </c>
      <c r="H626" s="20">
        <v>85</v>
      </c>
      <c r="I626"/>
    </row>
    <row r="627" spans="1:9" x14ac:dyDescent="0.25">
      <c r="A627" s="228">
        <v>41954</v>
      </c>
      <c r="B627" s="161" t="s">
        <v>831</v>
      </c>
      <c r="C627" t="s">
        <v>1471</v>
      </c>
      <c r="D627" t="s">
        <v>832</v>
      </c>
      <c r="E627" s="162">
        <v>3</v>
      </c>
      <c r="F627" s="162">
        <v>54.58</v>
      </c>
      <c r="G627" s="165">
        <v>163.74</v>
      </c>
      <c r="H627" s="20">
        <v>85</v>
      </c>
      <c r="I627"/>
    </row>
    <row r="628" spans="1:9" x14ac:dyDescent="0.25">
      <c r="A628" s="228">
        <v>41954</v>
      </c>
      <c r="B628" s="161" t="s">
        <v>838</v>
      </c>
      <c r="C628" t="s">
        <v>8</v>
      </c>
      <c r="D628" t="s">
        <v>33</v>
      </c>
      <c r="E628" s="162">
        <v>4</v>
      </c>
      <c r="F628" s="162">
        <v>39.979999999999997</v>
      </c>
      <c r="G628" s="165">
        <v>159.91999999999999</v>
      </c>
      <c r="H628" s="20">
        <v>85</v>
      </c>
      <c r="I628"/>
    </row>
    <row r="629" spans="1:9" x14ac:dyDescent="0.25">
      <c r="A629" s="228">
        <v>41961</v>
      </c>
      <c r="B629" s="161" t="s">
        <v>831</v>
      </c>
      <c r="C629" t="s">
        <v>1471</v>
      </c>
      <c r="D629" t="s">
        <v>832</v>
      </c>
      <c r="E629" s="162">
        <v>3.5</v>
      </c>
      <c r="F629" s="162">
        <v>54.58</v>
      </c>
      <c r="G629" s="165">
        <v>191.03</v>
      </c>
      <c r="H629" s="20">
        <v>85</v>
      </c>
      <c r="I629"/>
    </row>
    <row r="630" spans="1:9" x14ac:dyDescent="0.25">
      <c r="A630" s="228">
        <v>41962</v>
      </c>
      <c r="B630" s="161" t="s">
        <v>831</v>
      </c>
      <c r="C630" t="s">
        <v>1471</v>
      </c>
      <c r="D630" t="s">
        <v>832</v>
      </c>
      <c r="E630" s="162">
        <v>3</v>
      </c>
      <c r="F630" s="162">
        <v>54.58</v>
      </c>
      <c r="G630" s="165">
        <v>163.74</v>
      </c>
      <c r="H630" s="20">
        <v>85</v>
      </c>
      <c r="I630"/>
    </row>
    <row r="631" spans="1:9" x14ac:dyDescent="0.25">
      <c r="A631" s="230" t="s">
        <v>642</v>
      </c>
      <c r="B631" s="231" t="s">
        <v>948</v>
      </c>
      <c r="C631" s="232" t="s">
        <v>642</v>
      </c>
      <c r="D631" s="232" t="s">
        <v>642</v>
      </c>
      <c r="E631" s="233"/>
      <c r="F631" s="233"/>
      <c r="G631" s="234">
        <v>6064.8549999999996</v>
      </c>
      <c r="H631" s="235" t="s">
        <v>642</v>
      </c>
      <c r="I631"/>
    </row>
    <row r="632" spans="1:9" x14ac:dyDescent="0.25">
      <c r="A632" s="228" t="s">
        <v>642</v>
      </c>
      <c r="B632" s="161" t="s">
        <v>642</v>
      </c>
      <c r="C632" t="s">
        <v>642</v>
      </c>
      <c r="D632" t="s">
        <v>642</v>
      </c>
      <c r="E632" s="162"/>
      <c r="F632" s="162"/>
      <c r="G632" s="165"/>
      <c r="H632" s="20" t="s">
        <v>642</v>
      </c>
      <c r="I632"/>
    </row>
    <row r="633" spans="1:9" x14ac:dyDescent="0.25">
      <c r="A633" s="226" t="s">
        <v>642</v>
      </c>
      <c r="B633" s="159" t="s">
        <v>949</v>
      </c>
      <c r="C633" s="64" t="s">
        <v>642</v>
      </c>
      <c r="D633" s="64" t="s">
        <v>642</v>
      </c>
      <c r="E633" s="227"/>
      <c r="F633" s="227"/>
      <c r="G633" s="166"/>
      <c r="H633" s="160" t="s">
        <v>642</v>
      </c>
      <c r="I633"/>
    </row>
    <row r="634" spans="1:9" x14ac:dyDescent="0.25">
      <c r="A634" s="228">
        <v>41767</v>
      </c>
      <c r="B634" s="161" t="s">
        <v>950</v>
      </c>
      <c r="C634" t="s">
        <v>951</v>
      </c>
      <c r="D634" t="s">
        <v>30</v>
      </c>
      <c r="E634" s="162">
        <v>24.38</v>
      </c>
      <c r="F634" s="162">
        <v>33.5</v>
      </c>
      <c r="G634" s="165">
        <v>816.73</v>
      </c>
      <c r="H634" s="20">
        <v>86</v>
      </c>
      <c r="I634"/>
    </row>
    <row r="635" spans="1:9" x14ac:dyDescent="0.25">
      <c r="A635" s="228">
        <v>41767</v>
      </c>
      <c r="B635" s="161" t="s">
        <v>950</v>
      </c>
      <c r="C635" t="s">
        <v>951</v>
      </c>
      <c r="D635" t="s">
        <v>30</v>
      </c>
      <c r="E635" s="162">
        <v>24.18</v>
      </c>
      <c r="F635" s="162">
        <v>33.5</v>
      </c>
      <c r="G635" s="165">
        <v>810.03</v>
      </c>
      <c r="H635" s="20">
        <v>86</v>
      </c>
      <c r="I635"/>
    </row>
    <row r="636" spans="1:9" x14ac:dyDescent="0.25">
      <c r="A636" s="228">
        <v>41771</v>
      </c>
      <c r="B636" s="161" t="s">
        <v>950</v>
      </c>
      <c r="C636" t="s">
        <v>951</v>
      </c>
      <c r="D636" t="s">
        <v>30</v>
      </c>
      <c r="E636" s="162">
        <v>48.74</v>
      </c>
      <c r="F636" s="162">
        <v>33.5</v>
      </c>
      <c r="G636" s="165">
        <v>1632.79</v>
      </c>
      <c r="H636" s="20">
        <v>86</v>
      </c>
      <c r="I636"/>
    </row>
    <row r="637" spans="1:9" x14ac:dyDescent="0.25">
      <c r="A637" s="228">
        <v>41772</v>
      </c>
      <c r="B637" s="161" t="s">
        <v>950</v>
      </c>
      <c r="C637" t="s">
        <v>951</v>
      </c>
      <c r="D637" t="s">
        <v>30</v>
      </c>
      <c r="E637" s="162">
        <v>24.72</v>
      </c>
      <c r="F637" s="162">
        <v>33.5</v>
      </c>
      <c r="G637" s="165">
        <v>828.12</v>
      </c>
      <c r="H637" s="20">
        <v>86</v>
      </c>
      <c r="I637"/>
    </row>
    <row r="638" spans="1:9" x14ac:dyDescent="0.25">
      <c r="A638" s="228">
        <v>41781</v>
      </c>
      <c r="B638" s="161" t="s">
        <v>843</v>
      </c>
      <c r="C638" t="s">
        <v>8</v>
      </c>
      <c r="D638" t="s">
        <v>33</v>
      </c>
      <c r="E638" s="162">
        <v>3</v>
      </c>
      <c r="F638" s="162">
        <v>35.11</v>
      </c>
      <c r="G638" s="165">
        <v>105.33</v>
      </c>
      <c r="H638" s="20">
        <v>86</v>
      </c>
      <c r="I638"/>
    </row>
    <row r="639" spans="1:9" x14ac:dyDescent="0.25">
      <c r="A639" s="228">
        <v>41782</v>
      </c>
      <c r="B639" s="161" t="s">
        <v>952</v>
      </c>
      <c r="C639" t="s">
        <v>953</v>
      </c>
      <c r="D639" t="s">
        <v>747</v>
      </c>
      <c r="E639" s="162">
        <v>1</v>
      </c>
      <c r="F639" s="162">
        <v>817.2</v>
      </c>
      <c r="G639" s="165">
        <v>817.2</v>
      </c>
      <c r="H639" s="20">
        <v>86</v>
      </c>
      <c r="I639"/>
    </row>
    <row r="640" spans="1:9" x14ac:dyDescent="0.25">
      <c r="A640" s="228">
        <v>41788</v>
      </c>
      <c r="B640" s="161" t="s">
        <v>950</v>
      </c>
      <c r="C640" t="s">
        <v>951</v>
      </c>
      <c r="D640" t="s">
        <v>30</v>
      </c>
      <c r="E640" s="162">
        <v>25</v>
      </c>
      <c r="F640" s="162">
        <v>25</v>
      </c>
      <c r="G640" s="165">
        <v>625</v>
      </c>
      <c r="H640" s="20">
        <v>86</v>
      </c>
      <c r="I640"/>
    </row>
    <row r="641" spans="1:9" x14ac:dyDescent="0.25">
      <c r="A641" s="228">
        <v>41808</v>
      </c>
      <c r="B641" s="161" t="s">
        <v>954</v>
      </c>
      <c r="C641" t="s">
        <v>955</v>
      </c>
      <c r="D641" t="s">
        <v>747</v>
      </c>
      <c r="E641" s="162">
        <v>1</v>
      </c>
      <c r="F641" s="162">
        <v>440</v>
      </c>
      <c r="G641" s="165">
        <v>440</v>
      </c>
      <c r="H641" s="20">
        <v>86</v>
      </c>
      <c r="I641"/>
    </row>
    <row r="642" spans="1:9" ht="30" x14ac:dyDescent="0.25">
      <c r="A642" s="228">
        <v>41816</v>
      </c>
      <c r="B642" s="161" t="s">
        <v>956</v>
      </c>
      <c r="C642" t="s">
        <v>957</v>
      </c>
      <c r="D642" t="s">
        <v>747</v>
      </c>
      <c r="E642" s="162">
        <v>0.5</v>
      </c>
      <c r="F642" s="162">
        <v>4030</v>
      </c>
      <c r="G642" s="165">
        <v>2015</v>
      </c>
      <c r="H642" s="20">
        <v>86</v>
      </c>
      <c r="I642"/>
    </row>
    <row r="643" spans="1:9" x14ac:dyDescent="0.25">
      <c r="A643" s="228">
        <v>41893</v>
      </c>
      <c r="B643" s="161" t="s">
        <v>503</v>
      </c>
      <c r="C643" t="s">
        <v>840</v>
      </c>
      <c r="D643" t="s">
        <v>19</v>
      </c>
      <c r="E643" s="162">
        <v>38</v>
      </c>
      <c r="F643" s="162"/>
      <c r="G643" s="165"/>
      <c r="H643" s="20">
        <v>86</v>
      </c>
      <c r="I643"/>
    </row>
    <row r="644" spans="1:9" x14ac:dyDescent="0.25">
      <c r="A644" s="228">
        <v>41911</v>
      </c>
      <c r="B644" s="161" t="s">
        <v>503</v>
      </c>
      <c r="C644" t="s">
        <v>840</v>
      </c>
      <c r="D644" t="s">
        <v>19</v>
      </c>
      <c r="E644" s="162">
        <v>36</v>
      </c>
      <c r="F644" s="162"/>
      <c r="G644" s="165"/>
      <c r="H644" s="20">
        <v>86</v>
      </c>
      <c r="I644"/>
    </row>
    <row r="645" spans="1:9" x14ac:dyDescent="0.25">
      <c r="A645" s="228">
        <v>41912</v>
      </c>
      <c r="B645" s="161" t="s">
        <v>503</v>
      </c>
      <c r="C645" t="s">
        <v>840</v>
      </c>
      <c r="D645" t="s">
        <v>19</v>
      </c>
      <c r="E645" s="162">
        <v>34</v>
      </c>
      <c r="F645" s="162"/>
      <c r="G645" s="165"/>
      <c r="H645" s="20">
        <v>86</v>
      </c>
      <c r="I645"/>
    </row>
    <row r="646" spans="1:9" x14ac:dyDescent="0.25">
      <c r="A646" s="228">
        <v>41912</v>
      </c>
      <c r="B646" s="161" t="s">
        <v>958</v>
      </c>
      <c r="C646" t="s">
        <v>821</v>
      </c>
      <c r="D646" t="s">
        <v>747</v>
      </c>
      <c r="E646" s="162">
        <v>1</v>
      </c>
      <c r="F646" s="162">
        <v>14553</v>
      </c>
      <c r="G646" s="165">
        <v>14553</v>
      </c>
      <c r="H646" s="20">
        <v>86</v>
      </c>
      <c r="I646"/>
    </row>
    <row r="647" spans="1:9" x14ac:dyDescent="0.25">
      <c r="A647" s="228">
        <v>41913</v>
      </c>
      <c r="B647" s="161" t="s">
        <v>503</v>
      </c>
      <c r="C647" t="s">
        <v>840</v>
      </c>
      <c r="D647" t="s">
        <v>19</v>
      </c>
      <c r="E647" s="162">
        <v>27</v>
      </c>
      <c r="F647" s="162"/>
      <c r="G647" s="165"/>
      <c r="H647" s="20">
        <v>86</v>
      </c>
      <c r="I647"/>
    </row>
    <row r="648" spans="1:9" x14ac:dyDescent="0.25">
      <c r="A648" s="228">
        <v>41974</v>
      </c>
      <c r="B648" s="161" t="s">
        <v>831</v>
      </c>
      <c r="C648" t="s">
        <v>1471</v>
      </c>
      <c r="D648" t="s">
        <v>832</v>
      </c>
      <c r="E648" s="162">
        <v>2</v>
      </c>
      <c r="F648" s="162">
        <v>54.58</v>
      </c>
      <c r="G648" s="165">
        <v>109.16</v>
      </c>
      <c r="H648" s="20">
        <v>86</v>
      </c>
      <c r="I648"/>
    </row>
    <row r="649" spans="1:9" x14ac:dyDescent="0.25">
      <c r="A649" s="230" t="s">
        <v>642</v>
      </c>
      <c r="B649" s="231" t="s">
        <v>959</v>
      </c>
      <c r="C649" s="232" t="s">
        <v>642</v>
      </c>
      <c r="D649" s="232" t="s">
        <v>642</v>
      </c>
      <c r="E649" s="233"/>
      <c r="F649" s="233"/>
      <c r="G649" s="234">
        <v>22752.36</v>
      </c>
      <c r="H649" s="235" t="s">
        <v>642</v>
      </c>
      <c r="I649"/>
    </row>
    <row r="650" spans="1:9" x14ac:dyDescent="0.25">
      <c r="A650" s="228" t="s">
        <v>642</v>
      </c>
      <c r="B650" s="161" t="s">
        <v>642</v>
      </c>
      <c r="C650" t="s">
        <v>642</v>
      </c>
      <c r="D650" t="s">
        <v>642</v>
      </c>
      <c r="E650" s="162"/>
      <c r="F650" s="162"/>
      <c r="G650" s="165"/>
      <c r="H650" s="20" t="s">
        <v>642</v>
      </c>
      <c r="I650"/>
    </row>
    <row r="651" spans="1:9" x14ac:dyDescent="0.25">
      <c r="A651" s="226" t="s">
        <v>642</v>
      </c>
      <c r="B651" s="159" t="s">
        <v>960</v>
      </c>
      <c r="C651" s="64" t="s">
        <v>642</v>
      </c>
      <c r="D651" s="64" t="s">
        <v>642</v>
      </c>
      <c r="E651" s="227"/>
      <c r="F651" s="227"/>
      <c r="G651" s="166"/>
      <c r="H651" s="160" t="s">
        <v>642</v>
      </c>
      <c r="I651"/>
    </row>
    <row r="652" spans="1:9" x14ac:dyDescent="0.25">
      <c r="A652" s="228">
        <v>41780</v>
      </c>
      <c r="B652" s="161" t="s">
        <v>961</v>
      </c>
      <c r="C652" t="s">
        <v>962</v>
      </c>
      <c r="D652" t="s">
        <v>747</v>
      </c>
      <c r="E652" s="162">
        <v>2</v>
      </c>
      <c r="F652" s="162">
        <v>329</v>
      </c>
      <c r="G652" s="165">
        <v>658</v>
      </c>
      <c r="H652" s="20">
        <v>87</v>
      </c>
      <c r="I652"/>
    </row>
    <row r="653" spans="1:9" x14ac:dyDescent="0.25">
      <c r="A653" s="228">
        <v>41793</v>
      </c>
      <c r="B653" s="161" t="s">
        <v>836</v>
      </c>
      <c r="C653" t="s">
        <v>8</v>
      </c>
      <c r="D653" t="s">
        <v>33</v>
      </c>
      <c r="E653" s="162">
        <v>3.5</v>
      </c>
      <c r="F653" s="162">
        <v>38.450000000000003</v>
      </c>
      <c r="G653" s="165">
        <v>134.57499999999999</v>
      </c>
      <c r="H653" s="20">
        <v>87</v>
      </c>
      <c r="I653"/>
    </row>
    <row r="654" spans="1:9" x14ac:dyDescent="0.25">
      <c r="A654" s="228">
        <v>41794</v>
      </c>
      <c r="B654" s="161" t="s">
        <v>836</v>
      </c>
      <c r="C654" t="s">
        <v>8</v>
      </c>
      <c r="D654" t="s">
        <v>33</v>
      </c>
      <c r="E654" s="162">
        <v>2</v>
      </c>
      <c r="F654" s="162">
        <v>38.450000000000003</v>
      </c>
      <c r="G654" s="165">
        <v>76.900000000000006</v>
      </c>
      <c r="H654" s="20">
        <v>87</v>
      </c>
      <c r="I654"/>
    </row>
    <row r="655" spans="1:9" x14ac:dyDescent="0.25">
      <c r="A655" s="228">
        <v>41796</v>
      </c>
      <c r="B655" s="161" t="s">
        <v>963</v>
      </c>
      <c r="C655" t="s">
        <v>8</v>
      </c>
      <c r="D655" t="s">
        <v>33</v>
      </c>
      <c r="E655" s="162">
        <v>1</v>
      </c>
      <c r="F655" s="162">
        <v>651</v>
      </c>
      <c r="G655" s="165">
        <v>651</v>
      </c>
      <c r="H655" s="20">
        <v>87</v>
      </c>
      <c r="I655"/>
    </row>
    <row r="656" spans="1:9" x14ac:dyDescent="0.25">
      <c r="A656" s="228">
        <v>41796</v>
      </c>
      <c r="B656" s="161" t="s">
        <v>964</v>
      </c>
      <c r="C656" t="s">
        <v>8</v>
      </c>
      <c r="D656" t="s">
        <v>33</v>
      </c>
      <c r="E656" s="162">
        <v>1</v>
      </c>
      <c r="F656" s="162">
        <v>234.36</v>
      </c>
      <c r="G656" s="165">
        <v>234.36</v>
      </c>
      <c r="H656" s="20">
        <v>87</v>
      </c>
      <c r="I656"/>
    </row>
    <row r="657" spans="1:9" x14ac:dyDescent="0.25">
      <c r="A657" s="228">
        <v>41796</v>
      </c>
      <c r="B657" s="161" t="s">
        <v>836</v>
      </c>
      <c r="C657" t="s">
        <v>8</v>
      </c>
      <c r="D657" t="s">
        <v>33</v>
      </c>
      <c r="E657" s="162">
        <v>2.5</v>
      </c>
      <c r="F657" s="162">
        <v>38.450000000000003</v>
      </c>
      <c r="G657" s="165">
        <v>96.125</v>
      </c>
      <c r="H657" s="20">
        <v>87</v>
      </c>
      <c r="I657"/>
    </row>
    <row r="658" spans="1:9" x14ac:dyDescent="0.25">
      <c r="A658" s="228">
        <v>41796</v>
      </c>
      <c r="B658" s="161" t="s">
        <v>963</v>
      </c>
      <c r="C658" t="s">
        <v>8</v>
      </c>
      <c r="D658" t="s">
        <v>33</v>
      </c>
      <c r="E658" s="162">
        <v>1</v>
      </c>
      <c r="F658" s="162">
        <v>668.36</v>
      </c>
      <c r="G658" s="165">
        <v>668.36</v>
      </c>
      <c r="H658" s="20">
        <v>87</v>
      </c>
      <c r="I658"/>
    </row>
    <row r="659" spans="1:9" x14ac:dyDescent="0.25">
      <c r="A659" s="228">
        <v>41813</v>
      </c>
      <c r="B659" s="161" t="s">
        <v>836</v>
      </c>
      <c r="C659" t="s">
        <v>8</v>
      </c>
      <c r="D659" t="s">
        <v>33</v>
      </c>
      <c r="E659" s="162">
        <v>2</v>
      </c>
      <c r="F659" s="162">
        <v>38.450000000000003</v>
      </c>
      <c r="G659" s="165">
        <v>76.900000000000006</v>
      </c>
      <c r="H659" s="20">
        <v>87</v>
      </c>
      <c r="I659"/>
    </row>
    <row r="660" spans="1:9" x14ac:dyDescent="0.25">
      <c r="A660" s="228">
        <v>41813</v>
      </c>
      <c r="B660" s="161" t="s">
        <v>837</v>
      </c>
      <c r="C660" t="s">
        <v>8</v>
      </c>
      <c r="D660" t="s">
        <v>33</v>
      </c>
      <c r="E660" s="162">
        <v>1.5</v>
      </c>
      <c r="F660" s="162">
        <v>42.72</v>
      </c>
      <c r="G660" s="165">
        <v>64.08</v>
      </c>
      <c r="H660" s="20">
        <v>87</v>
      </c>
      <c r="I660"/>
    </row>
    <row r="661" spans="1:9" x14ac:dyDescent="0.25">
      <c r="A661" s="228">
        <v>41813</v>
      </c>
      <c r="B661" s="161" t="s">
        <v>831</v>
      </c>
      <c r="C661" t="s">
        <v>1471</v>
      </c>
      <c r="D661" t="s">
        <v>832</v>
      </c>
      <c r="E661" s="162">
        <v>1.5</v>
      </c>
      <c r="F661" s="162">
        <v>54.58</v>
      </c>
      <c r="G661" s="165">
        <v>81.87</v>
      </c>
      <c r="H661" s="20">
        <v>87</v>
      </c>
      <c r="I661"/>
    </row>
    <row r="662" spans="1:9" x14ac:dyDescent="0.25">
      <c r="A662" s="228">
        <v>41814</v>
      </c>
      <c r="B662" s="161" t="s">
        <v>836</v>
      </c>
      <c r="C662" t="s">
        <v>8</v>
      </c>
      <c r="D662" t="s">
        <v>33</v>
      </c>
      <c r="E662" s="162">
        <v>6.5</v>
      </c>
      <c r="F662" s="162">
        <v>38.450000000000003</v>
      </c>
      <c r="G662" s="165">
        <v>249.92500000000001</v>
      </c>
      <c r="H662" s="20">
        <v>87</v>
      </c>
      <c r="I662"/>
    </row>
    <row r="663" spans="1:9" ht="30" x14ac:dyDescent="0.25">
      <c r="A663" s="228">
        <v>41814</v>
      </c>
      <c r="B663" s="161" t="s">
        <v>956</v>
      </c>
      <c r="C663" t="s">
        <v>965</v>
      </c>
      <c r="D663" t="s">
        <v>747</v>
      </c>
      <c r="E663" s="162">
        <v>0.5</v>
      </c>
      <c r="F663" s="162">
        <v>3141</v>
      </c>
      <c r="G663" s="165">
        <v>1570.5</v>
      </c>
      <c r="H663" s="20">
        <v>87</v>
      </c>
      <c r="I663"/>
    </row>
    <row r="664" spans="1:9" x14ac:dyDescent="0.25">
      <c r="A664" s="228">
        <v>41827</v>
      </c>
      <c r="B664" s="161" t="s">
        <v>836</v>
      </c>
      <c r="C664" t="s">
        <v>8</v>
      </c>
      <c r="D664" t="s">
        <v>33</v>
      </c>
      <c r="E664" s="162">
        <v>4</v>
      </c>
      <c r="F664" s="162">
        <v>38.450000000000003</v>
      </c>
      <c r="G664" s="165">
        <v>153.80000000000001</v>
      </c>
      <c r="H664" s="20">
        <v>87</v>
      </c>
      <c r="I664"/>
    </row>
    <row r="665" spans="1:9" x14ac:dyDescent="0.25">
      <c r="A665" s="228">
        <v>41827</v>
      </c>
      <c r="B665" s="161" t="s">
        <v>837</v>
      </c>
      <c r="C665" t="s">
        <v>8</v>
      </c>
      <c r="D665" t="s">
        <v>33</v>
      </c>
      <c r="E665" s="162">
        <v>3</v>
      </c>
      <c r="F665" s="162">
        <v>42.72</v>
      </c>
      <c r="G665" s="165">
        <v>128.16</v>
      </c>
      <c r="H665" s="20">
        <v>87</v>
      </c>
      <c r="I665"/>
    </row>
    <row r="666" spans="1:9" x14ac:dyDescent="0.25">
      <c r="A666" s="228">
        <v>41830</v>
      </c>
      <c r="B666" s="161" t="s">
        <v>841</v>
      </c>
      <c r="C666" t="s">
        <v>842</v>
      </c>
      <c r="D666" t="s">
        <v>33</v>
      </c>
      <c r="E666" s="162">
        <v>2</v>
      </c>
      <c r="F666" s="162">
        <v>25.78</v>
      </c>
      <c r="G666" s="165">
        <v>51.56</v>
      </c>
      <c r="H666" s="20">
        <v>87</v>
      </c>
      <c r="I666"/>
    </row>
    <row r="667" spans="1:9" x14ac:dyDescent="0.25">
      <c r="A667" s="228">
        <v>41830</v>
      </c>
      <c r="B667" s="161" t="s">
        <v>837</v>
      </c>
      <c r="C667" t="s">
        <v>8</v>
      </c>
      <c r="D667" t="s">
        <v>33</v>
      </c>
      <c r="E667" s="162">
        <v>2</v>
      </c>
      <c r="F667" s="162">
        <v>42.72</v>
      </c>
      <c r="G667" s="165">
        <v>85.44</v>
      </c>
      <c r="H667" s="20">
        <v>87</v>
      </c>
      <c r="I667"/>
    </row>
    <row r="668" spans="1:9" x14ac:dyDescent="0.25">
      <c r="A668" s="228">
        <v>41830</v>
      </c>
      <c r="B668" s="161" t="s">
        <v>838</v>
      </c>
      <c r="C668" t="s">
        <v>8</v>
      </c>
      <c r="D668" t="s">
        <v>33</v>
      </c>
      <c r="E668" s="162">
        <v>1</v>
      </c>
      <c r="F668" s="162">
        <v>39.979999999999997</v>
      </c>
      <c r="G668" s="165">
        <v>39.979999999999997</v>
      </c>
      <c r="H668" s="20">
        <v>87</v>
      </c>
      <c r="I668"/>
    </row>
    <row r="669" spans="1:9" x14ac:dyDescent="0.25">
      <c r="A669" s="228">
        <v>41830</v>
      </c>
      <c r="B669" s="161" t="s">
        <v>836</v>
      </c>
      <c r="C669" t="s">
        <v>8</v>
      </c>
      <c r="D669" t="s">
        <v>33</v>
      </c>
      <c r="E669" s="162">
        <v>2.5</v>
      </c>
      <c r="F669" s="162">
        <v>38.450000000000003</v>
      </c>
      <c r="G669" s="165">
        <v>96.125</v>
      </c>
      <c r="H669" s="20">
        <v>87</v>
      </c>
      <c r="I669"/>
    </row>
    <row r="670" spans="1:9" x14ac:dyDescent="0.25">
      <c r="A670" s="228">
        <v>41844</v>
      </c>
      <c r="B670" s="161" t="s">
        <v>831</v>
      </c>
      <c r="C670" t="s">
        <v>1471</v>
      </c>
      <c r="D670" t="s">
        <v>832</v>
      </c>
      <c r="E670" s="162">
        <v>2</v>
      </c>
      <c r="F670" s="162">
        <v>54.58</v>
      </c>
      <c r="G670" s="165">
        <v>109.16</v>
      </c>
      <c r="H670" s="20">
        <v>87</v>
      </c>
      <c r="I670"/>
    </row>
    <row r="671" spans="1:9" x14ac:dyDescent="0.25">
      <c r="A671" s="228">
        <v>41850</v>
      </c>
      <c r="B671" s="161" t="s">
        <v>844</v>
      </c>
      <c r="C671" t="s">
        <v>821</v>
      </c>
      <c r="D671" t="s">
        <v>747</v>
      </c>
      <c r="E671" s="162">
        <v>7.5</v>
      </c>
      <c r="F671" s="162">
        <v>125</v>
      </c>
      <c r="G671" s="165">
        <v>937.5</v>
      </c>
      <c r="H671" s="20">
        <v>87</v>
      </c>
      <c r="I671"/>
    </row>
    <row r="672" spans="1:9" x14ac:dyDescent="0.25">
      <c r="A672" s="228">
        <v>41863</v>
      </c>
      <c r="B672" s="161" t="s">
        <v>831</v>
      </c>
      <c r="C672" t="s">
        <v>1471</v>
      </c>
      <c r="D672" t="s">
        <v>832</v>
      </c>
      <c r="E672" s="162">
        <v>3.5</v>
      </c>
      <c r="F672" s="162">
        <v>54.58</v>
      </c>
      <c r="G672" s="165">
        <v>191.03</v>
      </c>
      <c r="H672" s="20">
        <v>87</v>
      </c>
      <c r="I672"/>
    </row>
    <row r="673" spans="1:9" x14ac:dyDescent="0.25">
      <c r="A673" s="228">
        <v>41863</v>
      </c>
      <c r="B673" s="161" t="s">
        <v>837</v>
      </c>
      <c r="C673" t="s">
        <v>8</v>
      </c>
      <c r="D673" t="s">
        <v>33</v>
      </c>
      <c r="E673" s="162">
        <v>2</v>
      </c>
      <c r="F673" s="162">
        <v>42.72</v>
      </c>
      <c r="G673" s="165">
        <v>85.44</v>
      </c>
      <c r="H673" s="20">
        <v>87</v>
      </c>
      <c r="I673"/>
    </row>
    <row r="674" spans="1:9" x14ac:dyDescent="0.25">
      <c r="A674" s="228">
        <v>41890</v>
      </c>
      <c r="B674" s="161" t="s">
        <v>838</v>
      </c>
      <c r="C674" t="s">
        <v>8</v>
      </c>
      <c r="D674" t="s">
        <v>33</v>
      </c>
      <c r="E674" s="162">
        <v>1</v>
      </c>
      <c r="F674" s="162">
        <v>39.979999999999997</v>
      </c>
      <c r="G674" s="165">
        <v>39.979999999999997</v>
      </c>
      <c r="H674" s="20">
        <v>87</v>
      </c>
      <c r="I674"/>
    </row>
    <row r="675" spans="1:9" x14ac:dyDescent="0.25">
      <c r="A675" s="228">
        <v>41890</v>
      </c>
      <c r="B675" s="161" t="s">
        <v>837</v>
      </c>
      <c r="C675" t="s">
        <v>8</v>
      </c>
      <c r="D675" t="s">
        <v>33</v>
      </c>
      <c r="E675" s="162">
        <v>1</v>
      </c>
      <c r="F675" s="162">
        <v>42.72</v>
      </c>
      <c r="G675" s="165">
        <v>42.72</v>
      </c>
      <c r="H675" s="20">
        <v>87</v>
      </c>
      <c r="I675"/>
    </row>
    <row r="676" spans="1:9" x14ac:dyDescent="0.25">
      <c r="A676" s="228">
        <v>41890</v>
      </c>
      <c r="B676" s="161" t="s">
        <v>831</v>
      </c>
      <c r="C676" t="s">
        <v>1471</v>
      </c>
      <c r="D676" t="s">
        <v>832</v>
      </c>
      <c r="E676" s="162">
        <v>1</v>
      </c>
      <c r="F676" s="162">
        <v>54.58</v>
      </c>
      <c r="G676" s="165">
        <v>54.58</v>
      </c>
      <c r="H676" s="20">
        <v>87</v>
      </c>
      <c r="I676"/>
    </row>
    <row r="677" spans="1:9" x14ac:dyDescent="0.25">
      <c r="A677" s="228">
        <v>41890</v>
      </c>
      <c r="B677" s="161" t="s">
        <v>843</v>
      </c>
      <c r="C677" t="s">
        <v>8</v>
      </c>
      <c r="D677" t="s">
        <v>33</v>
      </c>
      <c r="E677" s="162">
        <v>1</v>
      </c>
      <c r="F677" s="162">
        <v>35.11</v>
      </c>
      <c r="G677" s="165">
        <v>35.11</v>
      </c>
      <c r="H677" s="20">
        <v>87</v>
      </c>
      <c r="I677"/>
    </row>
    <row r="678" spans="1:9" x14ac:dyDescent="0.25">
      <c r="A678" s="228">
        <v>41891</v>
      </c>
      <c r="B678" s="161" t="s">
        <v>843</v>
      </c>
      <c r="C678" t="s">
        <v>8</v>
      </c>
      <c r="D678" t="s">
        <v>33</v>
      </c>
      <c r="E678" s="162">
        <v>8</v>
      </c>
      <c r="F678" s="162">
        <v>35.11</v>
      </c>
      <c r="G678" s="165">
        <v>280.88</v>
      </c>
      <c r="H678" s="20">
        <v>87</v>
      </c>
      <c r="I678"/>
    </row>
    <row r="679" spans="1:9" x14ac:dyDescent="0.25">
      <c r="A679" s="228">
        <v>41891</v>
      </c>
      <c r="B679" s="161" t="s">
        <v>831</v>
      </c>
      <c r="C679" t="s">
        <v>1471</v>
      </c>
      <c r="D679" t="s">
        <v>832</v>
      </c>
      <c r="E679" s="162">
        <v>8</v>
      </c>
      <c r="F679" s="162">
        <v>54.58</v>
      </c>
      <c r="G679" s="165">
        <v>436.64</v>
      </c>
      <c r="H679" s="20">
        <v>87</v>
      </c>
      <c r="I679"/>
    </row>
    <row r="680" spans="1:9" x14ac:dyDescent="0.25">
      <c r="A680" s="228">
        <v>41891</v>
      </c>
      <c r="B680" s="161" t="s">
        <v>855</v>
      </c>
      <c r="C680" t="s">
        <v>856</v>
      </c>
      <c r="D680" t="s">
        <v>33</v>
      </c>
      <c r="E680" s="162">
        <v>8</v>
      </c>
      <c r="F680" s="162">
        <v>21.61</v>
      </c>
      <c r="G680" s="165">
        <v>172.88</v>
      </c>
      <c r="H680" s="20">
        <v>87</v>
      </c>
      <c r="I680"/>
    </row>
    <row r="681" spans="1:9" x14ac:dyDescent="0.25">
      <c r="A681" s="228">
        <v>41891</v>
      </c>
      <c r="B681" s="161" t="s">
        <v>966</v>
      </c>
      <c r="C681" t="s">
        <v>967</v>
      </c>
      <c r="D681" t="s">
        <v>747</v>
      </c>
      <c r="E681" s="162">
        <v>6</v>
      </c>
      <c r="F681" s="162">
        <v>7.52</v>
      </c>
      <c r="G681" s="165">
        <v>45.11</v>
      </c>
      <c r="H681" s="20">
        <v>87</v>
      </c>
      <c r="I681"/>
    </row>
    <row r="682" spans="1:9" x14ac:dyDescent="0.25">
      <c r="A682" s="228">
        <v>41891</v>
      </c>
      <c r="B682" s="161" t="s">
        <v>890</v>
      </c>
      <c r="C682" t="s">
        <v>891</v>
      </c>
      <c r="D682" t="s">
        <v>33</v>
      </c>
      <c r="E682" s="162">
        <v>8</v>
      </c>
      <c r="F682" s="162">
        <v>48</v>
      </c>
      <c r="G682" s="165">
        <v>384</v>
      </c>
      <c r="H682" s="20">
        <v>87</v>
      </c>
      <c r="I682"/>
    </row>
    <row r="683" spans="1:9" x14ac:dyDescent="0.25">
      <c r="A683" s="228">
        <v>41891</v>
      </c>
      <c r="B683" s="161" t="s">
        <v>838</v>
      </c>
      <c r="C683" t="s">
        <v>8</v>
      </c>
      <c r="D683" t="s">
        <v>33</v>
      </c>
      <c r="E683" s="162">
        <v>8</v>
      </c>
      <c r="F683" s="162">
        <v>39.979999999999997</v>
      </c>
      <c r="G683" s="165">
        <v>319.83999999999997</v>
      </c>
      <c r="H683" s="20">
        <v>87</v>
      </c>
      <c r="I683"/>
    </row>
    <row r="684" spans="1:9" x14ac:dyDescent="0.25">
      <c r="A684" s="228">
        <v>41891</v>
      </c>
      <c r="B684" s="161" t="s">
        <v>837</v>
      </c>
      <c r="C684" t="s">
        <v>8</v>
      </c>
      <c r="D684" t="s">
        <v>33</v>
      </c>
      <c r="E684" s="162">
        <v>8</v>
      </c>
      <c r="F684" s="162">
        <v>42.72</v>
      </c>
      <c r="G684" s="165">
        <v>341.76</v>
      </c>
      <c r="H684" s="20">
        <v>87</v>
      </c>
      <c r="I684"/>
    </row>
    <row r="685" spans="1:9" x14ac:dyDescent="0.25">
      <c r="A685" s="228">
        <v>41892</v>
      </c>
      <c r="B685" s="161" t="s">
        <v>838</v>
      </c>
      <c r="C685" t="s">
        <v>8</v>
      </c>
      <c r="D685" t="s">
        <v>33</v>
      </c>
      <c r="E685" s="162">
        <v>4.5</v>
      </c>
      <c r="F685" s="162">
        <v>39.979999999999997</v>
      </c>
      <c r="G685" s="165">
        <v>179.91</v>
      </c>
      <c r="H685" s="20">
        <v>87</v>
      </c>
      <c r="I685"/>
    </row>
    <row r="686" spans="1:9" x14ac:dyDescent="0.25">
      <c r="A686" s="228">
        <v>41892</v>
      </c>
      <c r="B686" s="161" t="s">
        <v>837</v>
      </c>
      <c r="C686" t="s">
        <v>8</v>
      </c>
      <c r="D686" t="s">
        <v>33</v>
      </c>
      <c r="E686" s="162">
        <v>9.5</v>
      </c>
      <c r="F686" s="162">
        <v>42.72</v>
      </c>
      <c r="G686" s="165">
        <v>405.84</v>
      </c>
      <c r="H686" s="20">
        <v>87</v>
      </c>
      <c r="I686"/>
    </row>
    <row r="687" spans="1:9" x14ac:dyDescent="0.25">
      <c r="A687" s="228">
        <v>41892</v>
      </c>
      <c r="B687" s="161" t="s">
        <v>843</v>
      </c>
      <c r="C687" t="s">
        <v>8</v>
      </c>
      <c r="D687" t="s">
        <v>33</v>
      </c>
      <c r="E687" s="162">
        <v>9.5</v>
      </c>
      <c r="F687" s="162">
        <v>35.11</v>
      </c>
      <c r="G687" s="165">
        <v>333.54500000000002</v>
      </c>
      <c r="H687" s="20">
        <v>87</v>
      </c>
      <c r="I687"/>
    </row>
    <row r="688" spans="1:9" x14ac:dyDescent="0.25">
      <c r="A688" s="228">
        <v>41892</v>
      </c>
      <c r="B688" s="161" t="s">
        <v>831</v>
      </c>
      <c r="C688" t="s">
        <v>1471</v>
      </c>
      <c r="D688" t="s">
        <v>832</v>
      </c>
      <c r="E688" s="162">
        <v>9.5</v>
      </c>
      <c r="F688" s="162">
        <v>54.58</v>
      </c>
      <c r="G688" s="165">
        <v>518.51</v>
      </c>
      <c r="H688" s="20">
        <v>87</v>
      </c>
      <c r="I688"/>
    </row>
    <row r="689" spans="1:9" x14ac:dyDescent="0.25">
      <c r="A689" s="228">
        <v>41892</v>
      </c>
      <c r="B689" s="161" t="s">
        <v>829</v>
      </c>
      <c r="C689" t="s">
        <v>830</v>
      </c>
      <c r="D689" t="s">
        <v>33</v>
      </c>
      <c r="E689" s="162">
        <v>9.5</v>
      </c>
      <c r="F689" s="162">
        <v>110</v>
      </c>
      <c r="G689" s="165">
        <v>1045</v>
      </c>
      <c r="H689" s="20">
        <v>87</v>
      </c>
      <c r="I689"/>
    </row>
    <row r="690" spans="1:9" x14ac:dyDescent="0.25">
      <c r="A690" s="228">
        <v>41892</v>
      </c>
      <c r="B690" s="161" t="s">
        <v>890</v>
      </c>
      <c r="C690" t="s">
        <v>891</v>
      </c>
      <c r="D690" t="s">
        <v>33</v>
      </c>
      <c r="E690" s="162">
        <v>5</v>
      </c>
      <c r="F690" s="162">
        <v>48</v>
      </c>
      <c r="G690" s="165">
        <v>240</v>
      </c>
      <c r="H690" s="20">
        <v>87</v>
      </c>
      <c r="I690"/>
    </row>
    <row r="691" spans="1:9" x14ac:dyDescent="0.25">
      <c r="A691" s="228">
        <v>41892</v>
      </c>
      <c r="B691" s="161" t="s">
        <v>855</v>
      </c>
      <c r="C691" t="s">
        <v>856</v>
      </c>
      <c r="D691" t="s">
        <v>33</v>
      </c>
      <c r="E691" s="162">
        <v>4</v>
      </c>
      <c r="F691" s="162">
        <v>21.61</v>
      </c>
      <c r="G691" s="165">
        <v>86.44</v>
      </c>
      <c r="H691" s="20">
        <v>87</v>
      </c>
      <c r="I691"/>
    </row>
    <row r="692" spans="1:9" x14ac:dyDescent="0.25">
      <c r="A692" s="228">
        <v>41893</v>
      </c>
      <c r="B692" s="161" t="s">
        <v>829</v>
      </c>
      <c r="C692" t="s">
        <v>830</v>
      </c>
      <c r="D692" t="s">
        <v>33</v>
      </c>
      <c r="E692" s="162">
        <v>7</v>
      </c>
      <c r="F692" s="162">
        <v>110</v>
      </c>
      <c r="G692" s="165">
        <v>770</v>
      </c>
      <c r="H692" s="20">
        <v>87</v>
      </c>
      <c r="I692"/>
    </row>
    <row r="693" spans="1:9" x14ac:dyDescent="0.25">
      <c r="A693" s="228">
        <v>41893</v>
      </c>
      <c r="B693" s="161" t="s">
        <v>837</v>
      </c>
      <c r="C693" t="s">
        <v>8</v>
      </c>
      <c r="D693" t="s">
        <v>33</v>
      </c>
      <c r="E693" s="162">
        <v>7</v>
      </c>
      <c r="F693" s="162">
        <v>42.72</v>
      </c>
      <c r="G693" s="165">
        <v>299.04000000000002</v>
      </c>
      <c r="H693" s="20">
        <v>87</v>
      </c>
      <c r="I693"/>
    </row>
    <row r="694" spans="1:9" x14ac:dyDescent="0.25">
      <c r="A694" s="228">
        <v>41893</v>
      </c>
      <c r="B694" s="161" t="s">
        <v>855</v>
      </c>
      <c r="C694" t="s">
        <v>856</v>
      </c>
      <c r="D694" t="s">
        <v>33</v>
      </c>
      <c r="E694" s="162">
        <v>9.5</v>
      </c>
      <c r="F694" s="162">
        <v>21.61</v>
      </c>
      <c r="G694" s="165">
        <v>205.29499999999999</v>
      </c>
      <c r="H694" s="20">
        <v>87</v>
      </c>
      <c r="I694"/>
    </row>
    <row r="695" spans="1:9" x14ac:dyDescent="0.25">
      <c r="A695" s="228">
        <v>41893</v>
      </c>
      <c r="B695" s="161" t="s">
        <v>890</v>
      </c>
      <c r="C695" t="s">
        <v>891</v>
      </c>
      <c r="D695" t="s">
        <v>33</v>
      </c>
      <c r="E695" s="162">
        <v>9.5</v>
      </c>
      <c r="F695" s="162">
        <v>48</v>
      </c>
      <c r="G695" s="165">
        <v>456</v>
      </c>
      <c r="H695" s="20">
        <v>87</v>
      </c>
      <c r="I695"/>
    </row>
    <row r="696" spans="1:9" x14ac:dyDescent="0.25">
      <c r="A696" s="228">
        <v>41893</v>
      </c>
      <c r="B696" s="161" t="s">
        <v>843</v>
      </c>
      <c r="C696" t="s">
        <v>8</v>
      </c>
      <c r="D696" t="s">
        <v>33</v>
      </c>
      <c r="E696" s="162">
        <v>9.5</v>
      </c>
      <c r="F696" s="162">
        <v>35.11</v>
      </c>
      <c r="G696" s="165">
        <v>333.54500000000002</v>
      </c>
      <c r="H696" s="20">
        <v>87</v>
      </c>
      <c r="I696"/>
    </row>
    <row r="697" spans="1:9" x14ac:dyDescent="0.25">
      <c r="A697" s="228">
        <v>41893</v>
      </c>
      <c r="B697" s="161" t="s">
        <v>831</v>
      </c>
      <c r="C697" t="s">
        <v>1471</v>
      </c>
      <c r="D697" t="s">
        <v>832</v>
      </c>
      <c r="E697" s="162">
        <v>7</v>
      </c>
      <c r="F697" s="162">
        <v>54.58</v>
      </c>
      <c r="G697" s="165">
        <v>382.06</v>
      </c>
      <c r="H697" s="20">
        <v>87</v>
      </c>
      <c r="I697"/>
    </row>
    <row r="698" spans="1:9" x14ac:dyDescent="0.25">
      <c r="A698" s="228">
        <v>41893</v>
      </c>
      <c r="B698" s="161" t="s">
        <v>838</v>
      </c>
      <c r="C698" t="s">
        <v>8</v>
      </c>
      <c r="D698" t="s">
        <v>33</v>
      </c>
      <c r="E698" s="162">
        <v>9.5</v>
      </c>
      <c r="F698" s="162">
        <v>39.979999999999997</v>
      </c>
      <c r="G698" s="165">
        <v>379.81</v>
      </c>
      <c r="H698" s="20">
        <v>87</v>
      </c>
      <c r="I698"/>
    </row>
    <row r="699" spans="1:9" x14ac:dyDescent="0.25">
      <c r="A699" s="228">
        <v>41894</v>
      </c>
      <c r="B699" s="161" t="s">
        <v>855</v>
      </c>
      <c r="C699" t="s">
        <v>856</v>
      </c>
      <c r="D699" t="s">
        <v>33</v>
      </c>
      <c r="E699" s="162">
        <v>5.5</v>
      </c>
      <c r="F699" s="162">
        <v>21.61</v>
      </c>
      <c r="G699" s="165">
        <v>118.855</v>
      </c>
      <c r="H699" s="20">
        <v>87</v>
      </c>
      <c r="I699"/>
    </row>
    <row r="700" spans="1:9" x14ac:dyDescent="0.25">
      <c r="A700" s="228">
        <v>41894</v>
      </c>
      <c r="B700" s="161" t="s">
        <v>890</v>
      </c>
      <c r="C700" t="s">
        <v>891</v>
      </c>
      <c r="D700" t="s">
        <v>33</v>
      </c>
      <c r="E700" s="162">
        <v>6.5</v>
      </c>
      <c r="F700" s="162">
        <v>48</v>
      </c>
      <c r="G700" s="165">
        <v>312</v>
      </c>
      <c r="H700" s="20">
        <v>87</v>
      </c>
      <c r="I700"/>
    </row>
    <row r="701" spans="1:9" x14ac:dyDescent="0.25">
      <c r="A701" s="228">
        <v>41894</v>
      </c>
      <c r="B701" s="161" t="s">
        <v>829</v>
      </c>
      <c r="C701" t="s">
        <v>830</v>
      </c>
      <c r="D701" t="s">
        <v>33</v>
      </c>
      <c r="E701" s="162">
        <v>5.5</v>
      </c>
      <c r="F701" s="162">
        <v>110</v>
      </c>
      <c r="G701" s="165">
        <v>605</v>
      </c>
      <c r="H701" s="20">
        <v>87</v>
      </c>
      <c r="I701"/>
    </row>
    <row r="702" spans="1:9" x14ac:dyDescent="0.25">
      <c r="A702" s="228">
        <v>41894</v>
      </c>
      <c r="B702" s="161" t="s">
        <v>843</v>
      </c>
      <c r="C702" t="s">
        <v>8</v>
      </c>
      <c r="D702" t="s">
        <v>33</v>
      </c>
      <c r="E702" s="162">
        <v>6</v>
      </c>
      <c r="F702" s="162">
        <v>35.11</v>
      </c>
      <c r="G702" s="165">
        <v>210.66</v>
      </c>
      <c r="H702" s="20">
        <v>87</v>
      </c>
      <c r="I702"/>
    </row>
    <row r="703" spans="1:9" x14ac:dyDescent="0.25">
      <c r="A703" s="228">
        <v>41894</v>
      </c>
      <c r="B703" s="161" t="s">
        <v>831</v>
      </c>
      <c r="C703" t="s">
        <v>1471</v>
      </c>
      <c r="D703" t="s">
        <v>832</v>
      </c>
      <c r="E703" s="162">
        <v>6</v>
      </c>
      <c r="F703" s="162">
        <v>54.58</v>
      </c>
      <c r="G703" s="165">
        <v>327.48</v>
      </c>
      <c r="H703" s="20">
        <v>87</v>
      </c>
      <c r="I703"/>
    </row>
    <row r="704" spans="1:9" x14ac:dyDescent="0.25">
      <c r="A704" s="228">
        <v>41894</v>
      </c>
      <c r="B704" s="161" t="s">
        <v>838</v>
      </c>
      <c r="C704" t="s">
        <v>8</v>
      </c>
      <c r="D704" t="s">
        <v>33</v>
      </c>
      <c r="E704" s="162">
        <v>6</v>
      </c>
      <c r="F704" s="162">
        <v>39.979999999999997</v>
      </c>
      <c r="G704" s="165">
        <v>239.88</v>
      </c>
      <c r="H704" s="20">
        <v>87</v>
      </c>
      <c r="I704"/>
    </row>
    <row r="705" spans="1:9" x14ac:dyDescent="0.25">
      <c r="A705" s="228">
        <v>41894</v>
      </c>
      <c r="B705" s="161" t="s">
        <v>837</v>
      </c>
      <c r="C705" t="s">
        <v>8</v>
      </c>
      <c r="D705" t="s">
        <v>33</v>
      </c>
      <c r="E705" s="162">
        <v>6</v>
      </c>
      <c r="F705" s="162">
        <v>42.72</v>
      </c>
      <c r="G705" s="165">
        <v>256.32</v>
      </c>
      <c r="H705" s="20">
        <v>87</v>
      </c>
      <c r="I705"/>
    </row>
    <row r="706" spans="1:9" x14ac:dyDescent="0.25">
      <c r="A706" s="228">
        <v>41897</v>
      </c>
      <c r="B706" s="161" t="s">
        <v>829</v>
      </c>
      <c r="C706" t="s">
        <v>830</v>
      </c>
      <c r="D706" t="s">
        <v>33</v>
      </c>
      <c r="E706" s="162">
        <v>2.5</v>
      </c>
      <c r="F706" s="162">
        <v>110</v>
      </c>
      <c r="G706" s="165">
        <v>275</v>
      </c>
      <c r="H706" s="20">
        <v>87</v>
      </c>
      <c r="I706"/>
    </row>
    <row r="707" spans="1:9" x14ac:dyDescent="0.25">
      <c r="A707" s="228">
        <v>41920</v>
      </c>
      <c r="B707" s="161" t="s">
        <v>968</v>
      </c>
      <c r="C707" t="s">
        <v>962</v>
      </c>
      <c r="D707" t="s">
        <v>747</v>
      </c>
      <c r="E707" s="162">
        <v>3</v>
      </c>
      <c r="F707" s="162">
        <v>329.5</v>
      </c>
      <c r="G707" s="165">
        <v>988.5</v>
      </c>
      <c r="H707" s="20">
        <v>87</v>
      </c>
      <c r="I707"/>
    </row>
    <row r="708" spans="1:9" x14ac:dyDescent="0.25">
      <c r="A708" s="230" t="s">
        <v>642</v>
      </c>
      <c r="B708" s="231" t="s">
        <v>969</v>
      </c>
      <c r="C708" s="232" t="s">
        <v>642</v>
      </c>
      <c r="D708" s="232" t="s">
        <v>642</v>
      </c>
      <c r="E708" s="233"/>
      <c r="F708" s="233"/>
      <c r="G708" s="234">
        <v>17562.98</v>
      </c>
      <c r="H708" s="235" t="s">
        <v>642</v>
      </c>
      <c r="I708"/>
    </row>
    <row r="709" spans="1:9" x14ac:dyDescent="0.25">
      <c r="A709" s="228" t="s">
        <v>642</v>
      </c>
      <c r="B709" s="161" t="s">
        <v>642</v>
      </c>
      <c r="C709" t="s">
        <v>642</v>
      </c>
      <c r="D709" t="s">
        <v>642</v>
      </c>
      <c r="E709" s="162"/>
      <c r="F709" s="162"/>
      <c r="G709" s="165"/>
      <c r="H709" s="20" t="s">
        <v>642</v>
      </c>
      <c r="I709"/>
    </row>
    <row r="710" spans="1:9" x14ac:dyDescent="0.25">
      <c r="A710" s="226" t="s">
        <v>642</v>
      </c>
      <c r="B710" s="159" t="s">
        <v>970</v>
      </c>
      <c r="C710" s="64" t="s">
        <v>642</v>
      </c>
      <c r="D710" s="64" t="s">
        <v>642</v>
      </c>
      <c r="E710" s="227"/>
      <c r="F710" s="227"/>
      <c r="G710" s="166"/>
      <c r="H710" s="160" t="s">
        <v>642</v>
      </c>
      <c r="I710"/>
    </row>
    <row r="711" spans="1:9" ht="30" x14ac:dyDescent="0.25">
      <c r="A711" s="228">
        <v>41789</v>
      </c>
      <c r="B711" s="161" t="s">
        <v>971</v>
      </c>
      <c r="C711" t="s">
        <v>821</v>
      </c>
      <c r="D711" t="s">
        <v>747</v>
      </c>
      <c r="E711" s="162">
        <v>1</v>
      </c>
      <c r="F711" s="162">
        <v>26013.4</v>
      </c>
      <c r="G711" s="165">
        <v>26013.4</v>
      </c>
      <c r="H711" s="20">
        <v>95</v>
      </c>
      <c r="I711"/>
    </row>
    <row r="712" spans="1:9" x14ac:dyDescent="0.25">
      <c r="A712" s="228">
        <v>41790</v>
      </c>
      <c r="B712" s="161" t="s">
        <v>972</v>
      </c>
      <c r="C712" t="s">
        <v>921</v>
      </c>
      <c r="D712" t="s">
        <v>26</v>
      </c>
      <c r="E712" s="162">
        <v>133</v>
      </c>
      <c r="F712" s="162">
        <v>9</v>
      </c>
      <c r="G712" s="165">
        <v>1197</v>
      </c>
      <c r="H712" s="20">
        <v>95</v>
      </c>
      <c r="I712"/>
    </row>
    <row r="713" spans="1:9" x14ac:dyDescent="0.25">
      <c r="A713" s="228">
        <v>41790</v>
      </c>
      <c r="B713" s="161" t="s">
        <v>973</v>
      </c>
      <c r="C713" t="s">
        <v>921</v>
      </c>
      <c r="D713" t="s">
        <v>26</v>
      </c>
      <c r="E713" s="162">
        <v>177.75</v>
      </c>
      <c r="F713" s="162">
        <v>59</v>
      </c>
      <c r="G713" s="165">
        <v>10487.25</v>
      </c>
      <c r="H713" s="20">
        <v>95</v>
      </c>
      <c r="I713"/>
    </row>
    <row r="714" spans="1:9" x14ac:dyDescent="0.25">
      <c r="A714" s="228">
        <v>41790</v>
      </c>
      <c r="B714" s="161" t="s">
        <v>974</v>
      </c>
      <c r="C714" t="s">
        <v>921</v>
      </c>
      <c r="D714" t="s">
        <v>17</v>
      </c>
      <c r="E714" s="162">
        <v>1</v>
      </c>
      <c r="F714" s="162">
        <v>1500</v>
      </c>
      <c r="G714" s="165">
        <v>1500</v>
      </c>
      <c r="H714" s="20">
        <v>95</v>
      </c>
      <c r="I714"/>
    </row>
    <row r="715" spans="1:9" x14ac:dyDescent="0.25">
      <c r="A715" s="228">
        <v>41790</v>
      </c>
      <c r="B715" s="161" t="s">
        <v>975</v>
      </c>
      <c r="C715" t="s">
        <v>921</v>
      </c>
      <c r="D715" t="s">
        <v>26</v>
      </c>
      <c r="E715" s="162">
        <v>237</v>
      </c>
      <c r="F715" s="162">
        <v>9.5</v>
      </c>
      <c r="G715" s="165">
        <v>2251.5</v>
      </c>
      <c r="H715" s="20">
        <v>95</v>
      </c>
      <c r="I715"/>
    </row>
    <row r="716" spans="1:9" x14ac:dyDescent="0.25">
      <c r="A716" s="228">
        <v>41790</v>
      </c>
      <c r="B716" s="161" t="s">
        <v>976</v>
      </c>
      <c r="C716" t="s">
        <v>921</v>
      </c>
      <c r="D716" t="s">
        <v>26</v>
      </c>
      <c r="E716" s="162">
        <v>99.75</v>
      </c>
      <c r="F716" s="162">
        <v>55</v>
      </c>
      <c r="G716" s="165">
        <v>5486.25</v>
      </c>
      <c r="H716" s="20">
        <v>95</v>
      </c>
      <c r="I716"/>
    </row>
    <row r="717" spans="1:9" x14ac:dyDescent="0.25">
      <c r="A717" s="228">
        <v>41790</v>
      </c>
      <c r="B717" s="161" t="s">
        <v>977</v>
      </c>
      <c r="C717" t="s">
        <v>921</v>
      </c>
      <c r="D717" t="s">
        <v>26</v>
      </c>
      <c r="E717" s="162">
        <v>5.3</v>
      </c>
      <c r="F717" s="162">
        <v>250</v>
      </c>
      <c r="G717" s="165">
        <v>1325</v>
      </c>
      <c r="H717" s="20">
        <v>95</v>
      </c>
      <c r="I717"/>
    </row>
    <row r="718" spans="1:9" x14ac:dyDescent="0.25">
      <c r="A718" s="228">
        <v>41790</v>
      </c>
      <c r="B718" s="161" t="s">
        <v>978</v>
      </c>
      <c r="C718" t="s">
        <v>921</v>
      </c>
      <c r="D718" t="s">
        <v>26</v>
      </c>
      <c r="E718" s="162">
        <v>5.3</v>
      </c>
      <c r="F718" s="162">
        <v>50</v>
      </c>
      <c r="G718" s="165">
        <v>265</v>
      </c>
      <c r="H718" s="20">
        <v>95</v>
      </c>
      <c r="I718"/>
    </row>
    <row r="719" spans="1:9" x14ac:dyDescent="0.25">
      <c r="A719" s="228">
        <v>41790</v>
      </c>
      <c r="B719" s="161" t="s">
        <v>979</v>
      </c>
      <c r="C719" t="s">
        <v>921</v>
      </c>
      <c r="D719" t="s">
        <v>26</v>
      </c>
      <c r="E719" s="162">
        <v>5.3</v>
      </c>
      <c r="F719" s="162">
        <v>38</v>
      </c>
      <c r="G719" s="165">
        <v>201.4</v>
      </c>
      <c r="H719" s="20">
        <v>95</v>
      </c>
      <c r="I719"/>
    </row>
    <row r="720" spans="1:9" x14ac:dyDescent="0.25">
      <c r="A720" s="228">
        <v>41790</v>
      </c>
      <c r="B720" s="161" t="s">
        <v>980</v>
      </c>
      <c r="C720" t="s">
        <v>921</v>
      </c>
      <c r="D720" t="s">
        <v>204</v>
      </c>
      <c r="E720" s="162">
        <v>0.75</v>
      </c>
      <c r="F720" s="162">
        <v>4400</v>
      </c>
      <c r="G720" s="165">
        <v>3300</v>
      </c>
      <c r="H720" s="20">
        <v>95</v>
      </c>
      <c r="I720"/>
    </row>
    <row r="721" spans="1:9" x14ac:dyDescent="0.25">
      <c r="A721" s="228">
        <v>41820</v>
      </c>
      <c r="B721" s="161" t="s">
        <v>981</v>
      </c>
      <c r="C721" t="s">
        <v>921</v>
      </c>
      <c r="D721" t="s">
        <v>204</v>
      </c>
      <c r="E721" s="162">
        <v>1</v>
      </c>
      <c r="F721" s="162">
        <v>1850</v>
      </c>
      <c r="G721" s="165">
        <v>1850</v>
      </c>
      <c r="H721" s="20">
        <v>95</v>
      </c>
      <c r="I721"/>
    </row>
    <row r="722" spans="1:9" x14ac:dyDescent="0.25">
      <c r="A722" s="228">
        <v>41820</v>
      </c>
      <c r="B722" s="161" t="s">
        <v>982</v>
      </c>
      <c r="C722" t="s">
        <v>921</v>
      </c>
      <c r="D722" t="s">
        <v>204</v>
      </c>
      <c r="E722" s="162">
        <v>22</v>
      </c>
      <c r="F722" s="162">
        <v>900</v>
      </c>
      <c r="G722" s="165">
        <v>19800</v>
      </c>
      <c r="H722" s="20">
        <v>95</v>
      </c>
      <c r="I722"/>
    </row>
    <row r="723" spans="1:9" x14ac:dyDescent="0.25">
      <c r="A723" s="228">
        <v>41820</v>
      </c>
      <c r="B723" s="161" t="s">
        <v>983</v>
      </c>
      <c r="C723" t="s">
        <v>921</v>
      </c>
      <c r="D723" t="s">
        <v>26</v>
      </c>
      <c r="E723" s="162">
        <v>35.549999999999997</v>
      </c>
      <c r="F723" s="162">
        <v>59</v>
      </c>
      <c r="G723" s="165">
        <v>2097.4499999999998</v>
      </c>
      <c r="H723" s="20">
        <v>95</v>
      </c>
      <c r="I723"/>
    </row>
    <row r="724" spans="1:9" x14ac:dyDescent="0.25">
      <c r="A724" s="228">
        <v>41820</v>
      </c>
      <c r="B724" s="161" t="s">
        <v>984</v>
      </c>
      <c r="C724" t="s">
        <v>921</v>
      </c>
      <c r="D724" t="s">
        <v>26</v>
      </c>
      <c r="E724" s="162">
        <v>33.25</v>
      </c>
      <c r="F724" s="162">
        <v>55</v>
      </c>
      <c r="G724" s="165">
        <v>1828.75</v>
      </c>
      <c r="H724" s="20">
        <v>95</v>
      </c>
      <c r="I724"/>
    </row>
    <row r="725" spans="1:9" x14ac:dyDescent="0.25">
      <c r="A725" s="228">
        <v>41820</v>
      </c>
      <c r="B725" s="161" t="s">
        <v>985</v>
      </c>
      <c r="C725" t="s">
        <v>921</v>
      </c>
      <c r="D725" t="s">
        <v>204</v>
      </c>
      <c r="E725" s="162">
        <v>1</v>
      </c>
      <c r="F725" s="162">
        <v>1780</v>
      </c>
      <c r="G725" s="165">
        <v>1780</v>
      </c>
      <c r="H725" s="20">
        <v>95</v>
      </c>
      <c r="I725"/>
    </row>
    <row r="726" spans="1:9" x14ac:dyDescent="0.25">
      <c r="A726" s="228">
        <v>41852</v>
      </c>
      <c r="B726" s="161" t="s">
        <v>829</v>
      </c>
      <c r="C726" t="s">
        <v>830</v>
      </c>
      <c r="D726" t="s">
        <v>747</v>
      </c>
      <c r="E726" s="162">
        <v>5</v>
      </c>
      <c r="F726" s="162">
        <v>110</v>
      </c>
      <c r="G726" s="165">
        <v>550</v>
      </c>
      <c r="H726" s="20">
        <v>95</v>
      </c>
      <c r="I726"/>
    </row>
    <row r="727" spans="1:9" x14ac:dyDescent="0.25">
      <c r="A727" s="228">
        <v>41863</v>
      </c>
      <c r="B727" s="161" t="s">
        <v>831</v>
      </c>
      <c r="C727" t="s">
        <v>1471</v>
      </c>
      <c r="D727" t="s">
        <v>832</v>
      </c>
      <c r="E727" s="162">
        <v>1</v>
      </c>
      <c r="F727" s="162">
        <v>54.58</v>
      </c>
      <c r="G727" s="165">
        <v>54.58</v>
      </c>
      <c r="H727" s="20">
        <v>95</v>
      </c>
      <c r="I727"/>
    </row>
    <row r="728" spans="1:9" x14ac:dyDescent="0.25">
      <c r="A728" s="228">
        <v>41914</v>
      </c>
      <c r="B728" s="161" t="s">
        <v>503</v>
      </c>
      <c r="C728" t="s">
        <v>840</v>
      </c>
      <c r="D728" t="s">
        <v>19</v>
      </c>
      <c r="E728" s="162">
        <v>27</v>
      </c>
      <c r="F728" s="162"/>
      <c r="G728" s="165"/>
      <c r="H728" s="20">
        <v>95</v>
      </c>
      <c r="I728"/>
    </row>
    <row r="729" spans="1:9" x14ac:dyDescent="0.25">
      <c r="A729" s="228">
        <v>41943</v>
      </c>
      <c r="B729" s="161" t="s">
        <v>986</v>
      </c>
      <c r="C729" t="s">
        <v>921</v>
      </c>
      <c r="D729" t="s">
        <v>26</v>
      </c>
      <c r="E729" s="162">
        <v>6</v>
      </c>
      <c r="F729" s="162">
        <v>250</v>
      </c>
      <c r="G729" s="165">
        <v>1500</v>
      </c>
      <c r="H729" s="20">
        <v>95</v>
      </c>
      <c r="I729"/>
    </row>
    <row r="730" spans="1:9" x14ac:dyDescent="0.25">
      <c r="A730" s="228">
        <v>41943</v>
      </c>
      <c r="B730" s="161" t="s">
        <v>987</v>
      </c>
      <c r="C730" t="s">
        <v>921</v>
      </c>
      <c r="D730" t="s">
        <v>204</v>
      </c>
      <c r="E730" s="162">
        <v>0.25</v>
      </c>
      <c r="F730" s="162">
        <v>4400</v>
      </c>
      <c r="G730" s="165">
        <v>1100</v>
      </c>
      <c r="H730" s="20">
        <v>95</v>
      </c>
      <c r="I730"/>
    </row>
    <row r="731" spans="1:9" x14ac:dyDescent="0.25">
      <c r="A731" s="228">
        <v>42004</v>
      </c>
      <c r="B731" s="161" t="s">
        <v>988</v>
      </c>
      <c r="C731" t="s">
        <v>921</v>
      </c>
      <c r="D731" t="s">
        <v>26</v>
      </c>
      <c r="E731" s="162">
        <v>23.7</v>
      </c>
      <c r="F731" s="162">
        <v>59</v>
      </c>
      <c r="G731" s="165">
        <v>1398.3</v>
      </c>
      <c r="H731" s="20">
        <v>95</v>
      </c>
      <c r="I731"/>
    </row>
    <row r="732" spans="1:9" x14ac:dyDescent="0.25">
      <c r="A732" s="228">
        <v>42004</v>
      </c>
      <c r="B732" s="161" t="s">
        <v>989</v>
      </c>
      <c r="C732" t="s">
        <v>921</v>
      </c>
      <c r="D732" t="s">
        <v>204</v>
      </c>
      <c r="E732" s="162">
        <v>1</v>
      </c>
      <c r="F732" s="162">
        <v>1850</v>
      </c>
      <c r="G732" s="165">
        <v>1850</v>
      </c>
      <c r="H732" s="20">
        <v>95</v>
      </c>
      <c r="I732"/>
    </row>
    <row r="733" spans="1:9" x14ac:dyDescent="0.25">
      <c r="A733" s="230" t="s">
        <v>642</v>
      </c>
      <c r="B733" s="231" t="s">
        <v>990</v>
      </c>
      <c r="C733" s="232" t="s">
        <v>642</v>
      </c>
      <c r="D733" s="232" t="s">
        <v>642</v>
      </c>
      <c r="E733" s="233"/>
      <c r="F733" s="233"/>
      <c r="G733" s="234">
        <v>85835.88</v>
      </c>
      <c r="H733" s="235" t="s">
        <v>642</v>
      </c>
      <c r="I733"/>
    </row>
    <row r="734" spans="1:9" x14ac:dyDescent="0.25">
      <c r="A734" s="228" t="s">
        <v>642</v>
      </c>
      <c r="B734" s="161" t="s">
        <v>642</v>
      </c>
      <c r="C734" t="s">
        <v>642</v>
      </c>
      <c r="D734" t="s">
        <v>642</v>
      </c>
      <c r="E734" s="162"/>
      <c r="F734" s="162"/>
      <c r="G734" s="165"/>
      <c r="H734" s="20" t="s">
        <v>642</v>
      </c>
      <c r="I734"/>
    </row>
    <row r="735" spans="1:9" x14ac:dyDescent="0.25">
      <c r="A735" s="226" t="s">
        <v>642</v>
      </c>
      <c r="B735" s="159" t="s">
        <v>991</v>
      </c>
      <c r="C735" s="64" t="s">
        <v>642</v>
      </c>
      <c r="D735" s="64" t="s">
        <v>642</v>
      </c>
      <c r="E735" s="227"/>
      <c r="F735" s="227"/>
      <c r="G735" s="166"/>
      <c r="H735" s="160" t="s">
        <v>642</v>
      </c>
      <c r="I735"/>
    </row>
    <row r="736" spans="1:9" x14ac:dyDescent="0.25">
      <c r="A736" s="228">
        <v>41772</v>
      </c>
      <c r="B736" s="161" t="s">
        <v>843</v>
      </c>
      <c r="C736" t="s">
        <v>8</v>
      </c>
      <c r="D736" t="s">
        <v>33</v>
      </c>
      <c r="E736" s="162">
        <v>5</v>
      </c>
      <c r="F736" s="162">
        <v>42.72</v>
      </c>
      <c r="G736" s="165">
        <v>213.6</v>
      </c>
      <c r="H736" s="20">
        <v>103</v>
      </c>
      <c r="I736"/>
    </row>
    <row r="737" spans="1:9" x14ac:dyDescent="0.25">
      <c r="A737" s="228">
        <v>41814</v>
      </c>
      <c r="B737" s="161" t="s">
        <v>992</v>
      </c>
      <c r="C737" t="s">
        <v>993</v>
      </c>
      <c r="D737" t="s">
        <v>747</v>
      </c>
      <c r="E737" s="162">
        <v>1</v>
      </c>
      <c r="F737" s="162">
        <v>405</v>
      </c>
      <c r="G737" s="165">
        <v>405</v>
      </c>
      <c r="H737" s="20">
        <v>103</v>
      </c>
      <c r="I737"/>
    </row>
    <row r="738" spans="1:9" x14ac:dyDescent="0.25">
      <c r="A738" s="228">
        <v>41820</v>
      </c>
      <c r="B738" s="161" t="s">
        <v>994</v>
      </c>
      <c r="C738" t="s">
        <v>921</v>
      </c>
      <c r="D738" t="s">
        <v>204</v>
      </c>
      <c r="E738" s="162">
        <v>0.77780000000000005</v>
      </c>
      <c r="F738" s="162">
        <v>180</v>
      </c>
      <c r="G738" s="165">
        <v>140.00399999999999</v>
      </c>
      <c r="H738" s="20">
        <v>103</v>
      </c>
      <c r="I738"/>
    </row>
    <row r="739" spans="1:9" x14ac:dyDescent="0.25">
      <c r="A739" s="228">
        <v>41820</v>
      </c>
      <c r="B739" s="161" t="s">
        <v>995</v>
      </c>
      <c r="C739" t="s">
        <v>921</v>
      </c>
      <c r="D739" t="s">
        <v>26</v>
      </c>
      <c r="E739" s="162">
        <v>253</v>
      </c>
      <c r="F739" s="162">
        <v>80</v>
      </c>
      <c r="G739" s="165">
        <v>20240</v>
      </c>
      <c r="H739" s="20">
        <v>103</v>
      </c>
      <c r="I739"/>
    </row>
    <row r="740" spans="1:9" x14ac:dyDescent="0.25">
      <c r="A740" s="228">
        <v>41820</v>
      </c>
      <c r="B740" s="161" t="s">
        <v>996</v>
      </c>
      <c r="C740" t="s">
        <v>921</v>
      </c>
      <c r="D740" t="s">
        <v>204</v>
      </c>
      <c r="E740" s="162">
        <v>3</v>
      </c>
      <c r="F740" s="162">
        <v>280</v>
      </c>
      <c r="G740" s="165">
        <v>840</v>
      </c>
      <c r="H740" s="20">
        <v>103</v>
      </c>
      <c r="I740"/>
    </row>
    <row r="741" spans="1:9" x14ac:dyDescent="0.25">
      <c r="A741" s="228">
        <v>41820</v>
      </c>
      <c r="B741" s="161" t="s">
        <v>997</v>
      </c>
      <c r="C741" t="s">
        <v>921</v>
      </c>
      <c r="D741" t="s">
        <v>204</v>
      </c>
      <c r="E741" s="162">
        <v>2</v>
      </c>
      <c r="F741" s="162">
        <v>100</v>
      </c>
      <c r="G741" s="165">
        <v>200</v>
      </c>
      <c r="H741" s="20">
        <v>103</v>
      </c>
      <c r="I741"/>
    </row>
    <row r="742" spans="1:9" x14ac:dyDescent="0.25">
      <c r="A742" s="228">
        <v>41820</v>
      </c>
      <c r="B742" s="161" t="s">
        <v>998</v>
      </c>
      <c r="C742" t="s">
        <v>921</v>
      </c>
      <c r="D742" t="s">
        <v>204</v>
      </c>
      <c r="E742" s="162">
        <v>6</v>
      </c>
      <c r="F742" s="162">
        <v>100</v>
      </c>
      <c r="G742" s="165">
        <v>600</v>
      </c>
      <c r="H742" s="20">
        <v>103</v>
      </c>
      <c r="I742"/>
    </row>
    <row r="743" spans="1:9" x14ac:dyDescent="0.25">
      <c r="A743" s="228">
        <v>41820</v>
      </c>
      <c r="B743" s="161" t="s">
        <v>999</v>
      </c>
      <c r="C743" t="s">
        <v>921</v>
      </c>
      <c r="D743" t="s">
        <v>204</v>
      </c>
      <c r="E743" s="162">
        <v>2</v>
      </c>
      <c r="F743" s="162">
        <v>300</v>
      </c>
      <c r="G743" s="165">
        <v>600</v>
      </c>
      <c r="H743" s="20">
        <v>103</v>
      </c>
      <c r="I743"/>
    </row>
    <row r="744" spans="1:9" x14ac:dyDescent="0.25">
      <c r="A744" s="228">
        <v>41820</v>
      </c>
      <c r="B744" s="161" t="s">
        <v>1000</v>
      </c>
      <c r="C744" t="s">
        <v>921</v>
      </c>
      <c r="D744" t="s">
        <v>204</v>
      </c>
      <c r="E744" s="162">
        <v>2</v>
      </c>
      <c r="F744" s="162">
        <v>280</v>
      </c>
      <c r="G744" s="165">
        <v>560</v>
      </c>
      <c r="H744" s="20">
        <v>103</v>
      </c>
      <c r="I744"/>
    </row>
    <row r="745" spans="1:9" x14ac:dyDescent="0.25">
      <c r="A745" s="228">
        <v>41820</v>
      </c>
      <c r="B745" s="161" t="s">
        <v>1001</v>
      </c>
      <c r="C745" t="s">
        <v>921</v>
      </c>
      <c r="D745" t="s">
        <v>204</v>
      </c>
      <c r="E745" s="162">
        <v>1</v>
      </c>
      <c r="F745" s="162">
        <v>120</v>
      </c>
      <c r="G745" s="165">
        <v>120</v>
      </c>
      <c r="H745" s="20">
        <v>103</v>
      </c>
      <c r="I745"/>
    </row>
    <row r="746" spans="1:9" x14ac:dyDescent="0.25">
      <c r="A746" s="228">
        <v>41820</v>
      </c>
      <c r="B746" s="161" t="s">
        <v>1002</v>
      </c>
      <c r="C746" t="s">
        <v>921</v>
      </c>
      <c r="D746" t="s">
        <v>204</v>
      </c>
      <c r="E746" s="162">
        <v>2</v>
      </c>
      <c r="F746" s="162">
        <v>120</v>
      </c>
      <c r="G746" s="165">
        <v>240</v>
      </c>
      <c r="H746" s="20">
        <v>103</v>
      </c>
      <c r="I746"/>
    </row>
    <row r="747" spans="1:9" x14ac:dyDescent="0.25">
      <c r="A747" s="228">
        <v>41820</v>
      </c>
      <c r="B747" s="161" t="s">
        <v>1003</v>
      </c>
      <c r="C747" t="s">
        <v>921</v>
      </c>
      <c r="D747" t="s">
        <v>26</v>
      </c>
      <c r="E747" s="162">
        <v>253</v>
      </c>
      <c r="F747" s="162">
        <v>15</v>
      </c>
      <c r="G747" s="165">
        <v>3795</v>
      </c>
      <c r="H747" s="20">
        <v>103</v>
      </c>
      <c r="I747"/>
    </row>
    <row r="748" spans="1:9" x14ac:dyDescent="0.25">
      <c r="A748" s="228">
        <v>41820</v>
      </c>
      <c r="B748" s="161" t="s">
        <v>1004</v>
      </c>
      <c r="C748" t="s">
        <v>921</v>
      </c>
      <c r="D748" t="s">
        <v>204</v>
      </c>
      <c r="E748" s="162">
        <v>5</v>
      </c>
      <c r="F748" s="162">
        <v>1350</v>
      </c>
      <c r="G748" s="165">
        <v>6750</v>
      </c>
      <c r="H748" s="20">
        <v>103</v>
      </c>
      <c r="I748"/>
    </row>
    <row r="749" spans="1:9" x14ac:dyDescent="0.25">
      <c r="A749" s="228">
        <v>41851</v>
      </c>
      <c r="B749" s="161" t="s">
        <v>1005</v>
      </c>
      <c r="C749" t="s">
        <v>921</v>
      </c>
      <c r="D749" t="s">
        <v>204</v>
      </c>
      <c r="E749" s="162">
        <v>1</v>
      </c>
      <c r="F749" s="162">
        <v>11500</v>
      </c>
      <c r="G749" s="165">
        <v>11500</v>
      </c>
      <c r="H749" s="20">
        <v>103</v>
      </c>
      <c r="I749"/>
    </row>
    <row r="750" spans="1:9" x14ac:dyDescent="0.25">
      <c r="A750" s="228">
        <v>41852</v>
      </c>
      <c r="B750" s="161" t="s">
        <v>1006</v>
      </c>
      <c r="C750" t="s">
        <v>840</v>
      </c>
      <c r="D750" t="s">
        <v>19</v>
      </c>
      <c r="E750" s="162">
        <v>5</v>
      </c>
      <c r="F750" s="162"/>
      <c r="G750" s="165"/>
      <c r="H750" s="20">
        <v>103</v>
      </c>
      <c r="I750"/>
    </row>
    <row r="751" spans="1:9" x14ac:dyDescent="0.25">
      <c r="A751" s="228">
        <v>41855</v>
      </c>
      <c r="B751" s="161" t="s">
        <v>1006</v>
      </c>
      <c r="C751" t="s">
        <v>840</v>
      </c>
      <c r="D751" t="s">
        <v>19</v>
      </c>
      <c r="E751" s="162">
        <v>5</v>
      </c>
      <c r="F751" s="162"/>
      <c r="G751" s="165"/>
      <c r="H751" s="20">
        <v>103</v>
      </c>
      <c r="I751"/>
    </row>
    <row r="752" spans="1:9" x14ac:dyDescent="0.25">
      <c r="A752" s="228">
        <v>41883</v>
      </c>
      <c r="B752" s="161" t="s">
        <v>503</v>
      </c>
      <c r="C752" t="s">
        <v>840</v>
      </c>
      <c r="D752" t="s">
        <v>19</v>
      </c>
      <c r="E752" s="162">
        <v>30</v>
      </c>
      <c r="F752" s="162"/>
      <c r="G752" s="165"/>
      <c r="H752" s="20">
        <v>103</v>
      </c>
      <c r="I752"/>
    </row>
    <row r="753" spans="1:9" x14ac:dyDescent="0.25">
      <c r="A753" s="228">
        <v>41884</v>
      </c>
      <c r="B753" s="161" t="s">
        <v>503</v>
      </c>
      <c r="C753" t="s">
        <v>840</v>
      </c>
      <c r="D753" t="s">
        <v>19</v>
      </c>
      <c r="E753" s="162">
        <v>22.5</v>
      </c>
      <c r="F753" s="162"/>
      <c r="G753" s="165"/>
      <c r="H753" s="20">
        <v>103</v>
      </c>
      <c r="I753"/>
    </row>
    <row r="754" spans="1:9" x14ac:dyDescent="0.25">
      <c r="A754" s="228">
        <v>41892</v>
      </c>
      <c r="B754" s="161" t="s">
        <v>855</v>
      </c>
      <c r="C754" t="s">
        <v>856</v>
      </c>
      <c r="D754" t="s">
        <v>33</v>
      </c>
      <c r="E754" s="162">
        <v>5.5</v>
      </c>
      <c r="F754" s="162">
        <v>21.61</v>
      </c>
      <c r="G754" s="165">
        <v>118.855</v>
      </c>
      <c r="H754" s="20">
        <v>103</v>
      </c>
      <c r="I754"/>
    </row>
    <row r="755" spans="1:9" x14ac:dyDescent="0.25">
      <c r="A755" s="228">
        <v>41892</v>
      </c>
      <c r="B755" s="161" t="s">
        <v>503</v>
      </c>
      <c r="C755" t="s">
        <v>840</v>
      </c>
      <c r="D755" t="s">
        <v>19</v>
      </c>
      <c r="E755" s="162">
        <v>9.5</v>
      </c>
      <c r="F755" s="162"/>
      <c r="G755" s="165"/>
      <c r="H755" s="20">
        <v>103</v>
      </c>
      <c r="I755"/>
    </row>
    <row r="756" spans="1:9" ht="45" x14ac:dyDescent="0.25">
      <c r="A756" s="228">
        <v>41892</v>
      </c>
      <c r="B756" s="161" t="s">
        <v>1007</v>
      </c>
      <c r="C756" t="s">
        <v>1008</v>
      </c>
      <c r="D756" t="s">
        <v>747</v>
      </c>
      <c r="E756" s="162">
        <v>1</v>
      </c>
      <c r="F756" s="162">
        <v>1014.65</v>
      </c>
      <c r="G756" s="165">
        <v>1014.65</v>
      </c>
      <c r="H756" s="20">
        <v>103</v>
      </c>
      <c r="I756"/>
    </row>
    <row r="757" spans="1:9" x14ac:dyDescent="0.25">
      <c r="A757" s="228">
        <v>41901</v>
      </c>
      <c r="B757" s="161" t="s">
        <v>503</v>
      </c>
      <c r="C757" t="s">
        <v>840</v>
      </c>
      <c r="D757" t="s">
        <v>19</v>
      </c>
      <c r="E757" s="162">
        <v>36</v>
      </c>
      <c r="F757" s="162"/>
      <c r="G757" s="165"/>
      <c r="H757" s="20">
        <v>103</v>
      </c>
      <c r="I757"/>
    </row>
    <row r="758" spans="1:9" x14ac:dyDescent="0.25">
      <c r="A758" s="228">
        <v>41904</v>
      </c>
      <c r="B758" s="161" t="s">
        <v>503</v>
      </c>
      <c r="C758" t="s">
        <v>840</v>
      </c>
      <c r="D758" t="s">
        <v>19</v>
      </c>
      <c r="E758" s="162">
        <v>28.5</v>
      </c>
      <c r="F758" s="162"/>
      <c r="G758" s="165"/>
      <c r="H758" s="20">
        <v>103</v>
      </c>
      <c r="I758"/>
    </row>
    <row r="759" spans="1:9" x14ac:dyDescent="0.25">
      <c r="A759" s="228">
        <v>41906</v>
      </c>
      <c r="B759" s="161" t="s">
        <v>855</v>
      </c>
      <c r="C759" t="s">
        <v>856</v>
      </c>
      <c r="D759" t="s">
        <v>33</v>
      </c>
      <c r="E759" s="162">
        <v>4</v>
      </c>
      <c r="F759" s="162">
        <v>21.61</v>
      </c>
      <c r="G759" s="165">
        <v>86.44</v>
      </c>
      <c r="H759" s="20">
        <v>103</v>
      </c>
      <c r="I759"/>
    </row>
    <row r="760" spans="1:9" x14ac:dyDescent="0.25">
      <c r="A760" s="228">
        <v>41915</v>
      </c>
      <c r="B760" s="161" t="s">
        <v>503</v>
      </c>
      <c r="C760" t="s">
        <v>840</v>
      </c>
      <c r="D760" t="s">
        <v>19</v>
      </c>
      <c r="E760" s="162">
        <v>24</v>
      </c>
      <c r="F760" s="162"/>
      <c r="G760" s="165"/>
      <c r="H760" s="20">
        <v>103</v>
      </c>
      <c r="I760"/>
    </row>
    <row r="761" spans="1:9" x14ac:dyDescent="0.25">
      <c r="A761" s="228">
        <v>41919</v>
      </c>
      <c r="B761" s="161" t="s">
        <v>503</v>
      </c>
      <c r="C761" t="s">
        <v>840</v>
      </c>
      <c r="D761" t="s">
        <v>19</v>
      </c>
      <c r="E761" s="162">
        <v>24</v>
      </c>
      <c r="F761" s="162"/>
      <c r="G761" s="165"/>
      <c r="H761" s="20">
        <v>103</v>
      </c>
      <c r="I761"/>
    </row>
    <row r="762" spans="1:9" x14ac:dyDescent="0.25">
      <c r="A762" s="228">
        <v>41920</v>
      </c>
      <c r="B762" s="161" t="s">
        <v>503</v>
      </c>
      <c r="C762" t="s">
        <v>840</v>
      </c>
      <c r="D762" t="s">
        <v>19</v>
      </c>
      <c r="E762" s="162">
        <v>30</v>
      </c>
      <c r="F762" s="162"/>
      <c r="G762" s="165"/>
      <c r="H762" s="20">
        <v>103</v>
      </c>
      <c r="I762"/>
    </row>
    <row r="763" spans="1:9" x14ac:dyDescent="0.25">
      <c r="A763" s="228">
        <v>41921</v>
      </c>
      <c r="B763" s="161" t="s">
        <v>503</v>
      </c>
      <c r="C763" t="s">
        <v>840</v>
      </c>
      <c r="D763" t="s">
        <v>19</v>
      </c>
      <c r="E763" s="162">
        <v>32</v>
      </c>
      <c r="F763" s="162"/>
      <c r="G763" s="165"/>
      <c r="H763" s="20">
        <v>103</v>
      </c>
      <c r="I763"/>
    </row>
    <row r="764" spans="1:9" x14ac:dyDescent="0.25">
      <c r="A764" s="228">
        <v>41939</v>
      </c>
      <c r="B764" s="161" t="s">
        <v>503</v>
      </c>
      <c r="C764" t="s">
        <v>840</v>
      </c>
      <c r="D764" t="s">
        <v>19</v>
      </c>
      <c r="E764" s="162">
        <v>8</v>
      </c>
      <c r="F764" s="162"/>
      <c r="G764" s="165"/>
      <c r="H764" s="20">
        <v>103</v>
      </c>
      <c r="I764"/>
    </row>
    <row r="765" spans="1:9" x14ac:dyDescent="0.25">
      <c r="A765" s="228">
        <v>41940</v>
      </c>
      <c r="B765" s="161" t="s">
        <v>1009</v>
      </c>
      <c r="C765" t="s">
        <v>821</v>
      </c>
      <c r="D765" t="s">
        <v>747</v>
      </c>
      <c r="E765" s="162">
        <v>1</v>
      </c>
      <c r="F765" s="162">
        <v>9600</v>
      </c>
      <c r="G765" s="165">
        <v>9600</v>
      </c>
      <c r="H765" s="20">
        <v>103</v>
      </c>
      <c r="I765"/>
    </row>
    <row r="766" spans="1:9" ht="30" x14ac:dyDescent="0.25">
      <c r="A766" s="228">
        <v>41940</v>
      </c>
      <c r="B766" s="161" t="s">
        <v>1010</v>
      </c>
      <c r="C766" t="s">
        <v>821</v>
      </c>
      <c r="D766" t="s">
        <v>747</v>
      </c>
      <c r="E766" s="162">
        <v>1</v>
      </c>
      <c r="F766" s="162">
        <v>7580</v>
      </c>
      <c r="G766" s="165">
        <v>7580</v>
      </c>
      <c r="H766" s="20">
        <v>103</v>
      </c>
      <c r="I766"/>
    </row>
    <row r="767" spans="1:9" ht="30" x14ac:dyDescent="0.25">
      <c r="A767" s="228">
        <v>41940</v>
      </c>
      <c r="B767" s="161" t="s">
        <v>1011</v>
      </c>
      <c r="C767" t="s">
        <v>821</v>
      </c>
      <c r="D767" t="s">
        <v>747</v>
      </c>
      <c r="E767" s="162">
        <v>1</v>
      </c>
      <c r="F767" s="162">
        <v>2400</v>
      </c>
      <c r="G767" s="165">
        <v>2400</v>
      </c>
      <c r="H767" s="20">
        <v>103</v>
      </c>
      <c r="I767"/>
    </row>
    <row r="768" spans="1:9" x14ac:dyDescent="0.25">
      <c r="A768" s="228">
        <v>41943</v>
      </c>
      <c r="B768" s="161" t="s">
        <v>1012</v>
      </c>
      <c r="C768" t="s">
        <v>921</v>
      </c>
      <c r="D768" t="s">
        <v>204</v>
      </c>
      <c r="E768" s="162">
        <v>2</v>
      </c>
      <c r="F768" s="162">
        <v>130</v>
      </c>
      <c r="G768" s="165">
        <v>260</v>
      </c>
      <c r="H768" s="20">
        <v>103</v>
      </c>
      <c r="I768"/>
    </row>
    <row r="769" spans="1:9" x14ac:dyDescent="0.25">
      <c r="A769" s="228">
        <v>41943</v>
      </c>
      <c r="B769" s="161" t="s">
        <v>1013</v>
      </c>
      <c r="C769" t="s">
        <v>921</v>
      </c>
      <c r="D769" t="s">
        <v>17</v>
      </c>
      <c r="E769" s="162">
        <v>1</v>
      </c>
      <c r="F769" s="162">
        <v>2000</v>
      </c>
      <c r="G769" s="165">
        <v>2000</v>
      </c>
      <c r="H769" s="20">
        <v>103</v>
      </c>
      <c r="I769"/>
    </row>
    <row r="770" spans="1:9" x14ac:dyDescent="0.25">
      <c r="A770" s="228">
        <v>41943</v>
      </c>
      <c r="B770" s="161" t="s">
        <v>1014</v>
      </c>
      <c r="C770" t="s">
        <v>921</v>
      </c>
      <c r="D770" t="s">
        <v>17</v>
      </c>
      <c r="E770" s="162">
        <v>1</v>
      </c>
      <c r="F770" s="162">
        <v>1000</v>
      </c>
      <c r="G770" s="165">
        <v>1000</v>
      </c>
      <c r="H770" s="20">
        <v>103</v>
      </c>
      <c r="I770"/>
    </row>
    <row r="771" spans="1:9" x14ac:dyDescent="0.25">
      <c r="A771" s="228">
        <v>41943</v>
      </c>
      <c r="B771" s="161" t="s">
        <v>1015</v>
      </c>
      <c r="C771" t="s">
        <v>921</v>
      </c>
      <c r="D771" t="s">
        <v>204</v>
      </c>
      <c r="E771" s="162">
        <v>2</v>
      </c>
      <c r="F771" s="162">
        <v>520</v>
      </c>
      <c r="G771" s="165">
        <v>1040</v>
      </c>
      <c r="H771" s="20">
        <v>103</v>
      </c>
      <c r="I771"/>
    </row>
    <row r="772" spans="1:9" x14ac:dyDescent="0.25">
      <c r="A772" s="228">
        <v>41943</v>
      </c>
      <c r="B772" s="161" t="s">
        <v>1016</v>
      </c>
      <c r="C772" t="s">
        <v>921</v>
      </c>
      <c r="D772" t="s">
        <v>19</v>
      </c>
      <c r="E772" s="162">
        <v>1</v>
      </c>
      <c r="F772" s="162">
        <v>1500</v>
      </c>
      <c r="G772" s="165">
        <v>1500</v>
      </c>
      <c r="H772" s="20">
        <v>103</v>
      </c>
      <c r="I772"/>
    </row>
    <row r="773" spans="1:9" x14ac:dyDescent="0.25">
      <c r="A773" s="228">
        <v>41943</v>
      </c>
      <c r="B773" s="161" t="s">
        <v>1017</v>
      </c>
      <c r="C773" t="s">
        <v>921</v>
      </c>
      <c r="D773" t="s">
        <v>204</v>
      </c>
      <c r="E773" s="162">
        <v>1</v>
      </c>
      <c r="F773" s="162">
        <v>100</v>
      </c>
      <c r="G773" s="165">
        <v>100</v>
      </c>
      <c r="H773" s="20">
        <v>103</v>
      </c>
      <c r="I773"/>
    </row>
    <row r="774" spans="1:9" x14ac:dyDescent="0.25">
      <c r="A774" s="228">
        <v>41943</v>
      </c>
      <c r="B774" s="161" t="s">
        <v>1018</v>
      </c>
      <c r="C774" t="s">
        <v>921</v>
      </c>
      <c r="D774" t="s">
        <v>204</v>
      </c>
      <c r="E774" s="162">
        <v>2</v>
      </c>
      <c r="F774" s="162">
        <v>250</v>
      </c>
      <c r="G774" s="165">
        <v>500</v>
      </c>
      <c r="H774" s="20">
        <v>103</v>
      </c>
      <c r="I774"/>
    </row>
    <row r="775" spans="1:9" x14ac:dyDescent="0.25">
      <c r="A775" s="228">
        <v>41943</v>
      </c>
      <c r="B775" s="161" t="s">
        <v>1019</v>
      </c>
      <c r="C775" t="s">
        <v>921</v>
      </c>
      <c r="D775" t="s">
        <v>17</v>
      </c>
      <c r="E775" s="162">
        <v>1</v>
      </c>
      <c r="F775" s="162">
        <v>2000</v>
      </c>
      <c r="G775" s="165">
        <v>2000</v>
      </c>
      <c r="H775" s="20">
        <v>103</v>
      </c>
      <c r="I775"/>
    </row>
    <row r="776" spans="1:9" x14ac:dyDescent="0.25">
      <c r="A776" s="228">
        <v>41943</v>
      </c>
      <c r="B776" s="161" t="s">
        <v>1020</v>
      </c>
      <c r="C776" t="s">
        <v>921</v>
      </c>
      <c r="D776" t="s">
        <v>17</v>
      </c>
      <c r="E776" s="162">
        <v>1</v>
      </c>
      <c r="F776" s="162">
        <v>1500</v>
      </c>
      <c r="G776" s="165">
        <v>1500</v>
      </c>
      <c r="H776" s="20">
        <v>103</v>
      </c>
      <c r="I776"/>
    </row>
    <row r="777" spans="1:9" x14ac:dyDescent="0.25">
      <c r="A777" s="228">
        <v>41978</v>
      </c>
      <c r="B777" s="161" t="s">
        <v>1021</v>
      </c>
      <c r="C777" t="s">
        <v>925</v>
      </c>
      <c r="D777" t="s">
        <v>747</v>
      </c>
      <c r="E777" s="162">
        <v>1</v>
      </c>
      <c r="F777" s="162">
        <v>10.83</v>
      </c>
      <c r="G777" s="165">
        <v>10.83</v>
      </c>
      <c r="H777" s="20">
        <v>103</v>
      </c>
      <c r="I777"/>
    </row>
    <row r="778" spans="1:9" x14ac:dyDescent="0.25">
      <c r="A778" s="228">
        <v>42004</v>
      </c>
      <c r="B778" s="161" t="s">
        <v>1022</v>
      </c>
      <c r="C778" t="s">
        <v>921</v>
      </c>
      <c r="D778" t="s">
        <v>204</v>
      </c>
      <c r="E778" s="162">
        <v>4</v>
      </c>
      <c r="F778" s="162">
        <v>480</v>
      </c>
      <c r="G778" s="165">
        <v>1920</v>
      </c>
      <c r="H778" s="20">
        <v>103</v>
      </c>
      <c r="I778"/>
    </row>
    <row r="779" spans="1:9" x14ac:dyDescent="0.25">
      <c r="A779" s="228">
        <v>42004</v>
      </c>
      <c r="B779" s="161" t="s">
        <v>1023</v>
      </c>
      <c r="C779" t="s">
        <v>921</v>
      </c>
      <c r="D779" t="s">
        <v>204</v>
      </c>
      <c r="E779" s="162">
        <v>2</v>
      </c>
      <c r="F779" s="162">
        <v>2000</v>
      </c>
      <c r="G779" s="165">
        <v>4000</v>
      </c>
      <c r="H779" s="20">
        <v>103</v>
      </c>
      <c r="I779"/>
    </row>
    <row r="780" spans="1:9" x14ac:dyDescent="0.25">
      <c r="A780" s="228">
        <v>42004</v>
      </c>
      <c r="B780" s="161" t="s">
        <v>1024</v>
      </c>
      <c r="C780" t="s">
        <v>921</v>
      </c>
      <c r="D780" t="s">
        <v>204</v>
      </c>
      <c r="E780" s="162">
        <v>3</v>
      </c>
      <c r="F780" s="162">
        <v>2080</v>
      </c>
      <c r="G780" s="165">
        <v>6240</v>
      </c>
      <c r="H780" s="20">
        <v>103</v>
      </c>
      <c r="I780"/>
    </row>
    <row r="781" spans="1:9" x14ac:dyDescent="0.25">
      <c r="A781" s="228">
        <v>42004</v>
      </c>
      <c r="B781" s="161" t="s">
        <v>1025</v>
      </c>
      <c r="C781" t="s">
        <v>921</v>
      </c>
      <c r="D781" t="s">
        <v>61</v>
      </c>
      <c r="E781" s="162">
        <v>5</v>
      </c>
      <c r="F781" s="162">
        <v>350</v>
      </c>
      <c r="G781" s="165">
        <v>1750</v>
      </c>
      <c r="H781" s="20">
        <v>103</v>
      </c>
      <c r="I781"/>
    </row>
    <row r="782" spans="1:9" x14ac:dyDescent="0.25">
      <c r="A782" s="228">
        <v>42004</v>
      </c>
      <c r="B782" s="161" t="s">
        <v>1022</v>
      </c>
      <c r="C782" t="s">
        <v>921</v>
      </c>
      <c r="D782" t="s">
        <v>204</v>
      </c>
      <c r="E782" s="162">
        <v>7</v>
      </c>
      <c r="F782" s="162">
        <v>400</v>
      </c>
      <c r="G782" s="165">
        <v>2800</v>
      </c>
      <c r="H782" s="20">
        <v>103</v>
      </c>
      <c r="I782"/>
    </row>
    <row r="783" spans="1:9" x14ac:dyDescent="0.25">
      <c r="A783" s="230" t="s">
        <v>642</v>
      </c>
      <c r="B783" s="231" t="s">
        <v>1026</v>
      </c>
      <c r="C783" s="232" t="s">
        <v>642</v>
      </c>
      <c r="D783" s="232" t="s">
        <v>642</v>
      </c>
      <c r="E783" s="233"/>
      <c r="F783" s="233"/>
      <c r="G783" s="234">
        <v>93624.379000000001</v>
      </c>
      <c r="H783" s="235" t="s">
        <v>642</v>
      </c>
      <c r="I783"/>
    </row>
    <row r="784" spans="1:9" x14ac:dyDescent="0.25">
      <c r="A784" s="228" t="s">
        <v>642</v>
      </c>
      <c r="B784" s="161" t="s">
        <v>642</v>
      </c>
      <c r="C784" t="s">
        <v>642</v>
      </c>
      <c r="D784" t="s">
        <v>642</v>
      </c>
      <c r="E784" s="162"/>
      <c r="F784" s="162"/>
      <c r="G784" s="165"/>
      <c r="H784" s="20" t="s">
        <v>642</v>
      </c>
      <c r="I784"/>
    </row>
    <row r="785" spans="1:9" x14ac:dyDescent="0.25">
      <c r="A785" s="226" t="s">
        <v>642</v>
      </c>
      <c r="B785" s="159" t="s">
        <v>1027</v>
      </c>
      <c r="C785" s="64" t="s">
        <v>642</v>
      </c>
      <c r="D785" s="64" t="s">
        <v>642</v>
      </c>
      <c r="E785" s="227"/>
      <c r="F785" s="227"/>
      <c r="G785" s="166"/>
      <c r="H785" s="160" t="s">
        <v>642</v>
      </c>
      <c r="I785"/>
    </row>
    <row r="786" spans="1:9" ht="30" x14ac:dyDescent="0.25">
      <c r="A786" s="228">
        <v>41781</v>
      </c>
      <c r="B786" s="161" t="s">
        <v>1028</v>
      </c>
      <c r="C786" t="s">
        <v>1029</v>
      </c>
      <c r="D786" t="s">
        <v>747</v>
      </c>
      <c r="E786" s="162">
        <v>11</v>
      </c>
      <c r="F786" s="162">
        <v>1580</v>
      </c>
      <c r="G786" s="165">
        <v>17380</v>
      </c>
      <c r="H786" s="20">
        <v>111</v>
      </c>
      <c r="I786"/>
    </row>
    <row r="787" spans="1:9" x14ac:dyDescent="0.25">
      <c r="A787" s="228">
        <v>41897</v>
      </c>
      <c r="B787" s="161" t="s">
        <v>837</v>
      </c>
      <c r="C787" t="s">
        <v>8</v>
      </c>
      <c r="D787" t="s">
        <v>33</v>
      </c>
      <c r="E787" s="162">
        <v>4</v>
      </c>
      <c r="F787" s="162">
        <v>42.72</v>
      </c>
      <c r="G787" s="165">
        <v>170.88</v>
      </c>
      <c r="H787" s="20">
        <v>111</v>
      </c>
      <c r="I787"/>
    </row>
    <row r="788" spans="1:9" x14ac:dyDescent="0.25">
      <c r="A788" s="228">
        <v>41897</v>
      </c>
      <c r="B788" s="161" t="s">
        <v>843</v>
      </c>
      <c r="C788" t="s">
        <v>8</v>
      </c>
      <c r="D788" t="s">
        <v>33</v>
      </c>
      <c r="E788" s="162">
        <v>4</v>
      </c>
      <c r="F788" s="162">
        <v>35.11</v>
      </c>
      <c r="G788" s="165">
        <v>140.44</v>
      </c>
      <c r="H788" s="20">
        <v>111</v>
      </c>
      <c r="I788"/>
    </row>
    <row r="789" spans="1:9" x14ac:dyDescent="0.25">
      <c r="A789" s="228">
        <v>41897</v>
      </c>
      <c r="B789" s="161" t="s">
        <v>503</v>
      </c>
      <c r="C789" t="s">
        <v>840</v>
      </c>
      <c r="D789" t="s">
        <v>19</v>
      </c>
      <c r="E789" s="162">
        <v>57</v>
      </c>
      <c r="F789" s="162"/>
      <c r="G789" s="165"/>
      <c r="H789" s="20">
        <v>111</v>
      </c>
      <c r="I789"/>
    </row>
    <row r="790" spans="1:9" x14ac:dyDescent="0.25">
      <c r="A790" s="228">
        <v>41897</v>
      </c>
      <c r="B790" s="161" t="s">
        <v>1030</v>
      </c>
      <c r="C790" t="s">
        <v>1031</v>
      </c>
      <c r="D790" t="s">
        <v>747</v>
      </c>
      <c r="E790" s="162">
        <v>2</v>
      </c>
      <c r="F790" s="162">
        <v>38.74</v>
      </c>
      <c r="G790" s="165">
        <v>77.48</v>
      </c>
      <c r="H790" s="20">
        <v>111</v>
      </c>
      <c r="I790"/>
    </row>
    <row r="791" spans="1:9" x14ac:dyDescent="0.25">
      <c r="A791" s="228">
        <v>41898</v>
      </c>
      <c r="B791" s="161" t="s">
        <v>855</v>
      </c>
      <c r="C791" t="s">
        <v>856</v>
      </c>
      <c r="D791" t="s">
        <v>33</v>
      </c>
      <c r="E791" s="162">
        <v>3.5</v>
      </c>
      <c r="F791" s="162">
        <v>21.61</v>
      </c>
      <c r="G791" s="165">
        <v>75.635000000000005</v>
      </c>
      <c r="H791" s="20">
        <v>111</v>
      </c>
      <c r="I791"/>
    </row>
    <row r="792" spans="1:9" x14ac:dyDescent="0.25">
      <c r="A792" s="228">
        <v>41898</v>
      </c>
      <c r="B792" s="161" t="s">
        <v>503</v>
      </c>
      <c r="C792" t="s">
        <v>840</v>
      </c>
      <c r="D792" t="s">
        <v>19</v>
      </c>
      <c r="E792" s="162">
        <v>57</v>
      </c>
      <c r="F792" s="162"/>
      <c r="G792" s="165"/>
      <c r="H792" s="20">
        <v>111</v>
      </c>
      <c r="I792"/>
    </row>
    <row r="793" spans="1:9" x14ac:dyDescent="0.25">
      <c r="A793" s="228">
        <v>41900</v>
      </c>
      <c r="B793" s="161" t="s">
        <v>837</v>
      </c>
      <c r="C793" t="s">
        <v>8</v>
      </c>
      <c r="D793" t="s">
        <v>33</v>
      </c>
      <c r="E793" s="162">
        <v>1.5</v>
      </c>
      <c r="F793" s="162">
        <v>42.72</v>
      </c>
      <c r="G793" s="165">
        <v>64.08</v>
      </c>
      <c r="H793" s="20">
        <v>111</v>
      </c>
      <c r="I793"/>
    </row>
    <row r="794" spans="1:9" x14ac:dyDescent="0.25">
      <c r="A794" s="228">
        <v>41900</v>
      </c>
      <c r="B794" s="161" t="s">
        <v>831</v>
      </c>
      <c r="C794" t="s">
        <v>1471</v>
      </c>
      <c r="D794" t="s">
        <v>832</v>
      </c>
      <c r="E794" s="162">
        <v>4</v>
      </c>
      <c r="F794" s="162">
        <v>54.58</v>
      </c>
      <c r="G794" s="165">
        <v>218.32</v>
      </c>
      <c r="H794" s="20">
        <v>111</v>
      </c>
      <c r="I794"/>
    </row>
    <row r="795" spans="1:9" x14ac:dyDescent="0.25">
      <c r="A795" s="228">
        <v>41901</v>
      </c>
      <c r="B795" s="161" t="s">
        <v>843</v>
      </c>
      <c r="C795" t="s">
        <v>8</v>
      </c>
      <c r="D795" t="s">
        <v>33</v>
      </c>
      <c r="E795" s="162">
        <v>6.5</v>
      </c>
      <c r="F795" s="162">
        <v>35.11</v>
      </c>
      <c r="G795" s="165">
        <v>228.215</v>
      </c>
      <c r="H795" s="20">
        <v>111</v>
      </c>
      <c r="I795"/>
    </row>
    <row r="796" spans="1:9" x14ac:dyDescent="0.25">
      <c r="A796" s="228">
        <v>41901</v>
      </c>
      <c r="B796" s="161" t="s">
        <v>831</v>
      </c>
      <c r="C796" t="s">
        <v>1471</v>
      </c>
      <c r="D796" t="s">
        <v>832</v>
      </c>
      <c r="E796" s="162">
        <v>4</v>
      </c>
      <c r="F796" s="162">
        <v>54.58</v>
      </c>
      <c r="G796" s="165">
        <v>218.32</v>
      </c>
      <c r="H796" s="20">
        <v>111</v>
      </c>
      <c r="I796"/>
    </row>
    <row r="797" spans="1:9" x14ac:dyDescent="0.25">
      <c r="A797" s="228">
        <v>41901</v>
      </c>
      <c r="B797" s="161" t="s">
        <v>838</v>
      </c>
      <c r="C797" t="s">
        <v>8</v>
      </c>
      <c r="D797" t="s">
        <v>33</v>
      </c>
      <c r="E797" s="162">
        <v>4.5</v>
      </c>
      <c r="F797" s="162">
        <v>39.979999999999997</v>
      </c>
      <c r="G797" s="165">
        <v>179.91</v>
      </c>
      <c r="H797" s="20">
        <v>111</v>
      </c>
      <c r="I797"/>
    </row>
    <row r="798" spans="1:9" x14ac:dyDescent="0.25">
      <c r="A798" s="228">
        <v>41901</v>
      </c>
      <c r="B798" s="161" t="s">
        <v>837</v>
      </c>
      <c r="C798" t="s">
        <v>8</v>
      </c>
      <c r="D798" t="s">
        <v>33</v>
      </c>
      <c r="E798" s="162">
        <v>1.5</v>
      </c>
      <c r="F798" s="162">
        <v>42.72</v>
      </c>
      <c r="G798" s="165">
        <v>64.08</v>
      </c>
      <c r="H798" s="20">
        <v>111</v>
      </c>
      <c r="I798"/>
    </row>
    <row r="799" spans="1:9" x14ac:dyDescent="0.25">
      <c r="A799" s="228">
        <v>41901</v>
      </c>
      <c r="B799" s="161" t="s">
        <v>831</v>
      </c>
      <c r="C799" t="s">
        <v>1471</v>
      </c>
      <c r="D799" t="s">
        <v>832</v>
      </c>
      <c r="E799" s="162">
        <v>4</v>
      </c>
      <c r="F799" s="162">
        <v>54.58</v>
      </c>
      <c r="G799" s="165">
        <v>218.32</v>
      </c>
      <c r="H799" s="20">
        <v>111</v>
      </c>
      <c r="I799"/>
    </row>
    <row r="800" spans="1:9" x14ac:dyDescent="0.25">
      <c r="A800" s="228">
        <v>41901</v>
      </c>
      <c r="B800" s="161" t="s">
        <v>855</v>
      </c>
      <c r="C800" t="s">
        <v>856</v>
      </c>
      <c r="D800" t="s">
        <v>33</v>
      </c>
      <c r="E800" s="162">
        <v>2.5</v>
      </c>
      <c r="F800" s="162">
        <v>21.61</v>
      </c>
      <c r="G800" s="165">
        <v>54.024999999999999</v>
      </c>
      <c r="H800" s="20">
        <v>111</v>
      </c>
      <c r="I800"/>
    </row>
    <row r="801" spans="1:9" x14ac:dyDescent="0.25">
      <c r="A801" s="228">
        <v>41904</v>
      </c>
      <c r="B801" s="161" t="s">
        <v>838</v>
      </c>
      <c r="C801" t="s">
        <v>8</v>
      </c>
      <c r="D801" t="s">
        <v>33</v>
      </c>
      <c r="E801" s="162">
        <v>9</v>
      </c>
      <c r="F801" s="162">
        <v>39.979999999999997</v>
      </c>
      <c r="G801" s="165">
        <v>359.82</v>
      </c>
      <c r="H801" s="20">
        <v>111</v>
      </c>
      <c r="I801"/>
    </row>
    <row r="802" spans="1:9" x14ac:dyDescent="0.25">
      <c r="A802" s="228">
        <v>41904</v>
      </c>
      <c r="B802" s="161" t="s">
        <v>872</v>
      </c>
      <c r="C802" t="s">
        <v>864</v>
      </c>
      <c r="D802" t="s">
        <v>33</v>
      </c>
      <c r="E802" s="162">
        <v>9</v>
      </c>
      <c r="F802" s="162">
        <v>46.5</v>
      </c>
      <c r="G802" s="165">
        <v>418.5</v>
      </c>
      <c r="H802" s="20">
        <v>111</v>
      </c>
      <c r="I802"/>
    </row>
    <row r="803" spans="1:9" x14ac:dyDescent="0.25">
      <c r="A803" s="228">
        <v>41904</v>
      </c>
      <c r="B803" s="161" t="s">
        <v>843</v>
      </c>
      <c r="C803" t="s">
        <v>8</v>
      </c>
      <c r="D803" t="s">
        <v>33</v>
      </c>
      <c r="E803" s="162">
        <v>9</v>
      </c>
      <c r="F803" s="162">
        <v>35.11</v>
      </c>
      <c r="G803" s="165">
        <v>315.99</v>
      </c>
      <c r="H803" s="20">
        <v>111</v>
      </c>
      <c r="I803"/>
    </row>
    <row r="804" spans="1:9" x14ac:dyDescent="0.25">
      <c r="A804" s="228">
        <v>41904</v>
      </c>
      <c r="B804" s="161" t="s">
        <v>837</v>
      </c>
      <c r="C804" t="s">
        <v>8</v>
      </c>
      <c r="D804" t="s">
        <v>33</v>
      </c>
      <c r="E804" s="162">
        <v>9</v>
      </c>
      <c r="F804" s="162">
        <v>42.72</v>
      </c>
      <c r="G804" s="165">
        <v>384.48</v>
      </c>
      <c r="H804" s="20">
        <v>111</v>
      </c>
      <c r="I804"/>
    </row>
    <row r="805" spans="1:9" x14ac:dyDescent="0.25">
      <c r="A805" s="228">
        <v>41904</v>
      </c>
      <c r="B805" s="161" t="s">
        <v>855</v>
      </c>
      <c r="C805" t="s">
        <v>856</v>
      </c>
      <c r="D805" t="s">
        <v>33</v>
      </c>
      <c r="E805" s="162">
        <v>4.5</v>
      </c>
      <c r="F805" s="162">
        <v>21.61</v>
      </c>
      <c r="G805" s="165">
        <v>97.245000000000005</v>
      </c>
      <c r="H805" s="20">
        <v>111</v>
      </c>
      <c r="I805"/>
    </row>
    <row r="806" spans="1:9" x14ac:dyDescent="0.25">
      <c r="A806" s="228">
        <v>41904</v>
      </c>
      <c r="B806" s="161" t="s">
        <v>831</v>
      </c>
      <c r="C806" t="s">
        <v>1471</v>
      </c>
      <c r="D806" t="s">
        <v>832</v>
      </c>
      <c r="E806" s="162">
        <v>7</v>
      </c>
      <c r="F806" s="162">
        <v>54.58</v>
      </c>
      <c r="G806" s="165">
        <v>382.06</v>
      </c>
      <c r="H806" s="20">
        <v>111</v>
      </c>
      <c r="I806"/>
    </row>
    <row r="807" spans="1:9" x14ac:dyDescent="0.25">
      <c r="A807" s="228">
        <v>41905</v>
      </c>
      <c r="B807" s="161" t="s">
        <v>855</v>
      </c>
      <c r="C807" t="s">
        <v>856</v>
      </c>
      <c r="D807" t="s">
        <v>33</v>
      </c>
      <c r="E807" s="162">
        <v>5</v>
      </c>
      <c r="F807" s="162">
        <v>21.61</v>
      </c>
      <c r="G807" s="165">
        <v>108.05</v>
      </c>
      <c r="H807" s="20">
        <v>111</v>
      </c>
      <c r="I807"/>
    </row>
    <row r="808" spans="1:9" x14ac:dyDescent="0.25">
      <c r="A808" s="228">
        <v>41905</v>
      </c>
      <c r="B808" s="161" t="s">
        <v>838</v>
      </c>
      <c r="C808" t="s">
        <v>8</v>
      </c>
      <c r="D808" t="s">
        <v>33</v>
      </c>
      <c r="E808" s="162">
        <v>6</v>
      </c>
      <c r="F808" s="162">
        <v>39.979999999999997</v>
      </c>
      <c r="G808" s="165">
        <v>239.88</v>
      </c>
      <c r="H808" s="20">
        <v>111</v>
      </c>
      <c r="I808"/>
    </row>
    <row r="809" spans="1:9" x14ac:dyDescent="0.25">
      <c r="A809" s="228">
        <v>41905</v>
      </c>
      <c r="B809" s="161" t="s">
        <v>503</v>
      </c>
      <c r="C809" t="s">
        <v>840</v>
      </c>
      <c r="D809" t="s">
        <v>19</v>
      </c>
      <c r="E809" s="162">
        <v>24</v>
      </c>
      <c r="F809" s="162"/>
      <c r="G809" s="165"/>
      <c r="H809" s="20">
        <v>111</v>
      </c>
      <c r="I809"/>
    </row>
    <row r="810" spans="1:9" x14ac:dyDescent="0.25">
      <c r="A810" s="228">
        <v>41905</v>
      </c>
      <c r="B810" s="161" t="s">
        <v>837</v>
      </c>
      <c r="C810" t="s">
        <v>8</v>
      </c>
      <c r="D810" t="s">
        <v>33</v>
      </c>
      <c r="E810" s="162">
        <v>6</v>
      </c>
      <c r="F810" s="162">
        <v>42.72</v>
      </c>
      <c r="G810" s="165">
        <v>256.32</v>
      </c>
      <c r="H810" s="20">
        <v>111</v>
      </c>
      <c r="I810"/>
    </row>
    <row r="811" spans="1:9" x14ac:dyDescent="0.25">
      <c r="A811" s="228">
        <v>41905</v>
      </c>
      <c r="B811" s="161" t="s">
        <v>831</v>
      </c>
      <c r="C811" t="s">
        <v>1471</v>
      </c>
      <c r="D811" t="s">
        <v>832</v>
      </c>
      <c r="E811" s="162">
        <v>2</v>
      </c>
      <c r="F811" s="162">
        <v>54.58</v>
      </c>
      <c r="G811" s="165">
        <v>109.16</v>
      </c>
      <c r="H811" s="20">
        <v>111</v>
      </c>
      <c r="I811"/>
    </row>
    <row r="812" spans="1:9" x14ac:dyDescent="0.25">
      <c r="A812" s="228">
        <v>41905</v>
      </c>
      <c r="B812" s="161" t="s">
        <v>872</v>
      </c>
      <c r="C812" t="s">
        <v>864</v>
      </c>
      <c r="D812" t="s">
        <v>33</v>
      </c>
      <c r="E812" s="162">
        <v>5.5</v>
      </c>
      <c r="F812" s="162">
        <v>46.5</v>
      </c>
      <c r="G812" s="165">
        <v>255.75</v>
      </c>
      <c r="H812" s="20">
        <v>111</v>
      </c>
      <c r="I812"/>
    </row>
    <row r="813" spans="1:9" x14ac:dyDescent="0.25">
      <c r="A813" s="228">
        <v>41906</v>
      </c>
      <c r="B813" s="161" t="s">
        <v>838</v>
      </c>
      <c r="C813" t="s">
        <v>8</v>
      </c>
      <c r="D813" t="s">
        <v>33</v>
      </c>
      <c r="E813" s="162">
        <v>2.5</v>
      </c>
      <c r="F813" s="162">
        <v>39.979999999999997</v>
      </c>
      <c r="G813" s="165">
        <v>99.95</v>
      </c>
      <c r="H813" s="20">
        <v>111</v>
      </c>
      <c r="I813"/>
    </row>
    <row r="814" spans="1:9" x14ac:dyDescent="0.25">
      <c r="A814" s="228">
        <v>41906</v>
      </c>
      <c r="B814" s="161" t="s">
        <v>855</v>
      </c>
      <c r="C814" t="s">
        <v>856</v>
      </c>
      <c r="D814" t="s">
        <v>33</v>
      </c>
      <c r="E814" s="162">
        <v>4.5</v>
      </c>
      <c r="F814" s="162">
        <v>21.61</v>
      </c>
      <c r="G814" s="165">
        <v>97.245000000000005</v>
      </c>
      <c r="H814" s="20">
        <v>111</v>
      </c>
      <c r="I814"/>
    </row>
    <row r="815" spans="1:9" x14ac:dyDescent="0.25">
      <c r="A815" s="228">
        <v>41906</v>
      </c>
      <c r="B815" s="161" t="s">
        <v>843</v>
      </c>
      <c r="C815" t="s">
        <v>8</v>
      </c>
      <c r="D815" t="s">
        <v>33</v>
      </c>
      <c r="E815" s="162">
        <v>6.5</v>
      </c>
      <c r="F815" s="162">
        <v>35.11</v>
      </c>
      <c r="G815" s="165">
        <v>228.215</v>
      </c>
      <c r="H815" s="20">
        <v>111</v>
      </c>
      <c r="I815"/>
    </row>
    <row r="816" spans="1:9" x14ac:dyDescent="0.25">
      <c r="A816" s="228">
        <v>41906</v>
      </c>
      <c r="B816" s="161" t="s">
        <v>863</v>
      </c>
      <c r="C816" t="s">
        <v>864</v>
      </c>
      <c r="D816" t="s">
        <v>33</v>
      </c>
      <c r="E816" s="162">
        <v>3.5</v>
      </c>
      <c r="F816" s="162">
        <v>46.5</v>
      </c>
      <c r="G816" s="165">
        <v>162.75</v>
      </c>
      <c r="H816" s="20">
        <v>111</v>
      </c>
      <c r="I816"/>
    </row>
    <row r="817" spans="1:9" x14ac:dyDescent="0.25">
      <c r="A817" s="228">
        <v>41906</v>
      </c>
      <c r="B817" s="161" t="s">
        <v>503</v>
      </c>
      <c r="C817" t="s">
        <v>840</v>
      </c>
      <c r="D817" t="s">
        <v>19</v>
      </c>
      <c r="E817" s="162">
        <v>30</v>
      </c>
      <c r="F817" s="162"/>
      <c r="G817" s="165"/>
      <c r="H817" s="20">
        <v>111</v>
      </c>
      <c r="I817"/>
    </row>
    <row r="818" spans="1:9" x14ac:dyDescent="0.25">
      <c r="A818" s="228">
        <v>41906</v>
      </c>
      <c r="B818" s="161" t="s">
        <v>837</v>
      </c>
      <c r="C818" t="s">
        <v>8</v>
      </c>
      <c r="D818" t="s">
        <v>33</v>
      </c>
      <c r="E818" s="162">
        <v>6</v>
      </c>
      <c r="F818" s="162">
        <v>42.72</v>
      </c>
      <c r="G818" s="165">
        <v>256.32</v>
      </c>
      <c r="H818" s="20">
        <v>111</v>
      </c>
      <c r="I818"/>
    </row>
    <row r="819" spans="1:9" x14ac:dyDescent="0.25">
      <c r="A819" s="228">
        <v>41907</v>
      </c>
      <c r="B819" s="161" t="s">
        <v>863</v>
      </c>
      <c r="C819" t="s">
        <v>864</v>
      </c>
      <c r="D819" t="s">
        <v>33</v>
      </c>
      <c r="E819" s="162">
        <v>2</v>
      </c>
      <c r="F819" s="162">
        <v>46.5</v>
      </c>
      <c r="G819" s="165">
        <v>93</v>
      </c>
      <c r="H819" s="20">
        <v>111</v>
      </c>
      <c r="I819"/>
    </row>
    <row r="820" spans="1:9" x14ac:dyDescent="0.25">
      <c r="A820" s="228">
        <v>41907</v>
      </c>
      <c r="B820" s="161" t="s">
        <v>843</v>
      </c>
      <c r="C820" t="s">
        <v>8</v>
      </c>
      <c r="D820" t="s">
        <v>33</v>
      </c>
      <c r="E820" s="162">
        <v>1.25</v>
      </c>
      <c r="F820" s="162">
        <v>35.11</v>
      </c>
      <c r="G820" s="165">
        <v>43.887500000000003</v>
      </c>
      <c r="H820" s="20">
        <v>111</v>
      </c>
      <c r="I820"/>
    </row>
    <row r="821" spans="1:9" x14ac:dyDescent="0.25">
      <c r="A821" s="228">
        <v>41907</v>
      </c>
      <c r="B821" s="161" t="s">
        <v>831</v>
      </c>
      <c r="C821" t="s">
        <v>1471</v>
      </c>
      <c r="D821" t="s">
        <v>832</v>
      </c>
      <c r="E821" s="162">
        <v>2</v>
      </c>
      <c r="F821" s="162">
        <v>54.58</v>
      </c>
      <c r="G821" s="165">
        <v>109.16</v>
      </c>
      <c r="H821" s="20">
        <v>111</v>
      </c>
      <c r="I821"/>
    </row>
    <row r="822" spans="1:9" x14ac:dyDescent="0.25">
      <c r="A822" s="228">
        <v>41907</v>
      </c>
      <c r="B822" s="161" t="s">
        <v>503</v>
      </c>
      <c r="C822" t="s">
        <v>840</v>
      </c>
      <c r="D822" t="s">
        <v>19</v>
      </c>
      <c r="E822" s="162">
        <v>28.5</v>
      </c>
      <c r="F822" s="162"/>
      <c r="G822" s="165"/>
      <c r="H822" s="20">
        <v>111</v>
      </c>
      <c r="I822"/>
    </row>
    <row r="823" spans="1:9" x14ac:dyDescent="0.25">
      <c r="A823" s="228">
        <v>41908</v>
      </c>
      <c r="B823" s="161" t="s">
        <v>831</v>
      </c>
      <c r="C823" t="s">
        <v>1471</v>
      </c>
      <c r="D823" t="s">
        <v>832</v>
      </c>
      <c r="E823" s="162">
        <v>2</v>
      </c>
      <c r="F823" s="162">
        <v>54.58</v>
      </c>
      <c r="G823" s="165">
        <v>109.16</v>
      </c>
      <c r="H823" s="20">
        <v>111</v>
      </c>
      <c r="I823"/>
    </row>
    <row r="824" spans="1:9" x14ac:dyDescent="0.25">
      <c r="A824" s="228">
        <v>41911</v>
      </c>
      <c r="B824" s="161" t="s">
        <v>831</v>
      </c>
      <c r="C824" t="s">
        <v>1471</v>
      </c>
      <c r="D824" t="s">
        <v>832</v>
      </c>
      <c r="E824" s="162">
        <v>1.5</v>
      </c>
      <c r="F824" s="162">
        <v>54.58</v>
      </c>
      <c r="G824" s="165">
        <v>81.87</v>
      </c>
      <c r="H824" s="20">
        <v>111</v>
      </c>
      <c r="I824"/>
    </row>
    <row r="825" spans="1:9" x14ac:dyDescent="0.25">
      <c r="A825" s="228">
        <v>41912</v>
      </c>
      <c r="B825" s="161" t="s">
        <v>1032</v>
      </c>
      <c r="C825" t="s">
        <v>1033</v>
      </c>
      <c r="D825" t="s">
        <v>747</v>
      </c>
      <c r="E825" s="162">
        <v>1</v>
      </c>
      <c r="F825" s="162">
        <v>327.8</v>
      </c>
      <c r="G825" s="165">
        <v>327.8</v>
      </c>
      <c r="H825" s="20">
        <v>111</v>
      </c>
      <c r="I825"/>
    </row>
    <row r="826" spans="1:9" ht="30" x14ac:dyDescent="0.25">
      <c r="A826" s="228">
        <v>41912</v>
      </c>
      <c r="B826" s="161" t="s">
        <v>1034</v>
      </c>
      <c r="C826" t="s">
        <v>821</v>
      </c>
      <c r="D826" t="s">
        <v>747</v>
      </c>
      <c r="E826" s="162">
        <v>1</v>
      </c>
      <c r="F826" s="162">
        <v>22472.5</v>
      </c>
      <c r="G826" s="165">
        <v>22472.5</v>
      </c>
      <c r="H826" s="20">
        <v>111</v>
      </c>
      <c r="I826"/>
    </row>
    <row r="827" spans="1:9" x14ac:dyDescent="0.25">
      <c r="A827" s="228">
        <v>41913</v>
      </c>
      <c r="B827" s="161" t="s">
        <v>1035</v>
      </c>
      <c r="C827" t="s">
        <v>925</v>
      </c>
      <c r="D827" t="s">
        <v>747</v>
      </c>
      <c r="E827" s="162">
        <v>3</v>
      </c>
      <c r="F827" s="162">
        <v>3.2360000000000002</v>
      </c>
      <c r="G827" s="165">
        <v>9.7080000000000002</v>
      </c>
      <c r="H827" s="20">
        <v>111</v>
      </c>
      <c r="I827"/>
    </row>
    <row r="828" spans="1:9" x14ac:dyDescent="0.25">
      <c r="A828" s="228">
        <v>41915</v>
      </c>
      <c r="B828" s="161" t="s">
        <v>829</v>
      </c>
      <c r="C828" t="s">
        <v>830</v>
      </c>
      <c r="D828" t="s">
        <v>33</v>
      </c>
      <c r="E828" s="162">
        <v>3</v>
      </c>
      <c r="F828" s="162">
        <v>110</v>
      </c>
      <c r="G828" s="165">
        <v>330</v>
      </c>
      <c r="H828" s="20">
        <v>111</v>
      </c>
      <c r="I828"/>
    </row>
    <row r="829" spans="1:9" x14ac:dyDescent="0.25">
      <c r="A829" s="228">
        <v>41919</v>
      </c>
      <c r="B829" s="161" t="s">
        <v>843</v>
      </c>
      <c r="C829" t="s">
        <v>8</v>
      </c>
      <c r="D829" t="s">
        <v>33</v>
      </c>
      <c r="E829" s="162">
        <v>1</v>
      </c>
      <c r="F829" s="162">
        <v>35.11</v>
      </c>
      <c r="G829" s="165">
        <v>35.11</v>
      </c>
      <c r="H829" s="20">
        <v>111</v>
      </c>
      <c r="I829"/>
    </row>
    <row r="830" spans="1:9" x14ac:dyDescent="0.25">
      <c r="A830" s="228">
        <v>41919</v>
      </c>
      <c r="B830" s="161" t="s">
        <v>831</v>
      </c>
      <c r="C830" t="s">
        <v>1471</v>
      </c>
      <c r="D830" t="s">
        <v>832</v>
      </c>
      <c r="E830" s="162">
        <v>5</v>
      </c>
      <c r="F830" s="162">
        <v>54.58</v>
      </c>
      <c r="G830" s="165">
        <v>272.89999999999998</v>
      </c>
      <c r="H830" s="20">
        <v>111</v>
      </c>
      <c r="I830"/>
    </row>
    <row r="831" spans="1:9" x14ac:dyDescent="0.25">
      <c r="A831" s="228">
        <v>41919</v>
      </c>
      <c r="B831" s="161" t="s">
        <v>838</v>
      </c>
      <c r="C831" t="s">
        <v>8</v>
      </c>
      <c r="D831" t="s">
        <v>33</v>
      </c>
      <c r="E831" s="162">
        <v>8.5</v>
      </c>
      <c r="F831" s="162">
        <v>39.979999999999997</v>
      </c>
      <c r="G831" s="165">
        <v>339.83</v>
      </c>
      <c r="H831" s="20">
        <v>111</v>
      </c>
      <c r="I831"/>
    </row>
    <row r="832" spans="1:9" x14ac:dyDescent="0.25">
      <c r="A832" s="228">
        <v>41919</v>
      </c>
      <c r="B832" s="161" t="s">
        <v>829</v>
      </c>
      <c r="C832" t="s">
        <v>830</v>
      </c>
      <c r="D832" t="s">
        <v>33</v>
      </c>
      <c r="E832" s="162">
        <v>7.75</v>
      </c>
      <c r="F832" s="162">
        <v>110</v>
      </c>
      <c r="G832" s="165">
        <v>852.5</v>
      </c>
      <c r="H832" s="20">
        <v>111</v>
      </c>
      <c r="I832"/>
    </row>
    <row r="833" spans="1:9" x14ac:dyDescent="0.25">
      <c r="A833" s="228">
        <v>41919</v>
      </c>
      <c r="B833" s="161" t="s">
        <v>855</v>
      </c>
      <c r="C833" t="s">
        <v>856</v>
      </c>
      <c r="D833" t="s">
        <v>33</v>
      </c>
      <c r="E833" s="162">
        <v>4</v>
      </c>
      <c r="F833" s="162">
        <v>21.61</v>
      </c>
      <c r="G833" s="165">
        <v>86.44</v>
      </c>
      <c r="H833" s="20">
        <v>111</v>
      </c>
      <c r="I833"/>
    </row>
    <row r="834" spans="1:9" x14ac:dyDescent="0.25">
      <c r="A834" s="228">
        <v>41919</v>
      </c>
      <c r="B834" s="161" t="s">
        <v>837</v>
      </c>
      <c r="C834" t="s">
        <v>8</v>
      </c>
      <c r="D834" t="s">
        <v>33</v>
      </c>
      <c r="E834" s="162">
        <v>5</v>
      </c>
      <c r="F834" s="162">
        <v>42.72</v>
      </c>
      <c r="G834" s="165">
        <v>213.6</v>
      </c>
      <c r="H834" s="20">
        <v>111</v>
      </c>
      <c r="I834"/>
    </row>
    <row r="835" spans="1:9" x14ac:dyDescent="0.25">
      <c r="A835" s="228">
        <v>41920</v>
      </c>
      <c r="B835" s="161" t="s">
        <v>855</v>
      </c>
      <c r="C835" t="s">
        <v>856</v>
      </c>
      <c r="D835" t="s">
        <v>33</v>
      </c>
      <c r="E835" s="162">
        <v>5.5</v>
      </c>
      <c r="F835" s="162">
        <v>21.61</v>
      </c>
      <c r="G835" s="165">
        <v>118.855</v>
      </c>
      <c r="H835" s="20">
        <v>111</v>
      </c>
      <c r="I835"/>
    </row>
    <row r="836" spans="1:9" x14ac:dyDescent="0.25">
      <c r="A836" s="228">
        <v>41920</v>
      </c>
      <c r="B836" s="161" t="s">
        <v>838</v>
      </c>
      <c r="C836" t="s">
        <v>8</v>
      </c>
      <c r="D836" t="s">
        <v>33</v>
      </c>
      <c r="E836" s="162">
        <v>4.5</v>
      </c>
      <c r="F836" s="162">
        <v>39.979999999999997</v>
      </c>
      <c r="G836" s="165">
        <v>179.91</v>
      </c>
      <c r="H836" s="20">
        <v>111</v>
      </c>
      <c r="I836"/>
    </row>
    <row r="837" spans="1:9" x14ac:dyDescent="0.25">
      <c r="A837" s="228">
        <v>41920</v>
      </c>
      <c r="B837" s="161" t="s">
        <v>837</v>
      </c>
      <c r="C837" t="s">
        <v>8</v>
      </c>
      <c r="D837" t="s">
        <v>33</v>
      </c>
      <c r="E837" s="162">
        <v>4.5</v>
      </c>
      <c r="F837" s="162">
        <v>42.72</v>
      </c>
      <c r="G837" s="165">
        <v>192.24</v>
      </c>
      <c r="H837" s="20">
        <v>111</v>
      </c>
      <c r="I837"/>
    </row>
    <row r="838" spans="1:9" x14ac:dyDescent="0.25">
      <c r="A838" s="228">
        <v>41920</v>
      </c>
      <c r="B838" s="161" t="s">
        <v>831</v>
      </c>
      <c r="C838" t="s">
        <v>1471</v>
      </c>
      <c r="D838" t="s">
        <v>832</v>
      </c>
      <c r="E838" s="162">
        <v>8</v>
      </c>
      <c r="F838" s="162">
        <v>54.58</v>
      </c>
      <c r="G838" s="165">
        <v>436.64</v>
      </c>
      <c r="H838" s="20">
        <v>111</v>
      </c>
      <c r="I838"/>
    </row>
    <row r="839" spans="1:9" x14ac:dyDescent="0.25">
      <c r="A839" s="228">
        <v>41921</v>
      </c>
      <c r="B839" s="161" t="s">
        <v>829</v>
      </c>
      <c r="C839" t="s">
        <v>830</v>
      </c>
      <c r="D839" t="s">
        <v>33</v>
      </c>
      <c r="E839" s="162">
        <v>4</v>
      </c>
      <c r="F839" s="162">
        <v>110</v>
      </c>
      <c r="G839" s="165">
        <v>440</v>
      </c>
      <c r="H839" s="20">
        <v>111</v>
      </c>
      <c r="I839"/>
    </row>
    <row r="840" spans="1:9" x14ac:dyDescent="0.25">
      <c r="A840" s="228">
        <v>41921</v>
      </c>
      <c r="B840" s="161" t="s">
        <v>841</v>
      </c>
      <c r="C840" t="s">
        <v>842</v>
      </c>
      <c r="D840" t="s">
        <v>33</v>
      </c>
      <c r="E840" s="162">
        <v>9.5</v>
      </c>
      <c r="F840" s="162">
        <v>25.78</v>
      </c>
      <c r="G840" s="165">
        <v>244.91</v>
      </c>
      <c r="H840" s="20">
        <v>111</v>
      </c>
      <c r="I840"/>
    </row>
    <row r="841" spans="1:9" x14ac:dyDescent="0.25">
      <c r="A841" s="228">
        <v>41921</v>
      </c>
      <c r="B841" s="161" t="s">
        <v>837</v>
      </c>
      <c r="C841" t="s">
        <v>8</v>
      </c>
      <c r="D841" t="s">
        <v>33</v>
      </c>
      <c r="E841" s="162">
        <v>4</v>
      </c>
      <c r="F841" s="162">
        <v>42.72</v>
      </c>
      <c r="G841" s="165">
        <v>170.88</v>
      </c>
      <c r="H841" s="20">
        <v>111</v>
      </c>
      <c r="I841"/>
    </row>
    <row r="842" spans="1:9" x14ac:dyDescent="0.25">
      <c r="A842" s="228">
        <v>41921</v>
      </c>
      <c r="B842" s="161" t="s">
        <v>843</v>
      </c>
      <c r="C842" t="s">
        <v>8</v>
      </c>
      <c r="D842" t="s">
        <v>33</v>
      </c>
      <c r="E842" s="162">
        <v>1.5</v>
      </c>
      <c r="F842" s="162">
        <v>35.11</v>
      </c>
      <c r="G842" s="165">
        <v>52.664999999999999</v>
      </c>
      <c r="H842" s="20">
        <v>111</v>
      </c>
      <c r="I842"/>
    </row>
    <row r="843" spans="1:9" x14ac:dyDescent="0.25">
      <c r="A843" s="228">
        <v>41921</v>
      </c>
      <c r="B843" s="161" t="s">
        <v>831</v>
      </c>
      <c r="C843" t="s">
        <v>1471</v>
      </c>
      <c r="D843" t="s">
        <v>832</v>
      </c>
      <c r="E843" s="162">
        <v>1.5</v>
      </c>
      <c r="F843" s="162">
        <v>54.58</v>
      </c>
      <c r="G843" s="165">
        <v>81.87</v>
      </c>
      <c r="H843" s="20">
        <v>111</v>
      </c>
      <c r="I843"/>
    </row>
    <row r="844" spans="1:9" x14ac:dyDescent="0.25">
      <c r="A844" s="228">
        <v>41921</v>
      </c>
      <c r="B844" s="161" t="s">
        <v>838</v>
      </c>
      <c r="C844" t="s">
        <v>8</v>
      </c>
      <c r="D844" t="s">
        <v>33</v>
      </c>
      <c r="E844" s="162">
        <v>4</v>
      </c>
      <c r="F844" s="162">
        <v>39.979999999999997</v>
      </c>
      <c r="G844" s="165">
        <v>159.91999999999999</v>
      </c>
      <c r="H844" s="20">
        <v>111</v>
      </c>
      <c r="I844"/>
    </row>
    <row r="845" spans="1:9" x14ac:dyDescent="0.25">
      <c r="A845" s="228">
        <v>41925</v>
      </c>
      <c r="B845" s="161" t="s">
        <v>838</v>
      </c>
      <c r="C845" t="s">
        <v>8</v>
      </c>
      <c r="D845" t="s">
        <v>33</v>
      </c>
      <c r="E845" s="162">
        <v>3</v>
      </c>
      <c r="F845" s="162">
        <v>39.979999999999997</v>
      </c>
      <c r="G845" s="165">
        <v>119.94</v>
      </c>
      <c r="H845" s="20">
        <v>111</v>
      </c>
      <c r="I845"/>
    </row>
    <row r="846" spans="1:9" x14ac:dyDescent="0.25">
      <c r="A846" s="228">
        <v>41925</v>
      </c>
      <c r="B846" s="161" t="s">
        <v>841</v>
      </c>
      <c r="C846" t="s">
        <v>842</v>
      </c>
      <c r="D846" t="s">
        <v>33</v>
      </c>
      <c r="E846" s="162">
        <v>4</v>
      </c>
      <c r="F846" s="162">
        <v>25.78</v>
      </c>
      <c r="G846" s="165">
        <v>103.12</v>
      </c>
      <c r="H846" s="20">
        <v>111</v>
      </c>
      <c r="I846"/>
    </row>
    <row r="847" spans="1:9" x14ac:dyDescent="0.25">
      <c r="A847" s="228">
        <v>41928</v>
      </c>
      <c r="B847" s="161" t="s">
        <v>843</v>
      </c>
      <c r="C847" t="s">
        <v>8</v>
      </c>
      <c r="D847" t="s">
        <v>33</v>
      </c>
      <c r="E847" s="162">
        <v>1.5</v>
      </c>
      <c r="F847" s="162">
        <v>35.11</v>
      </c>
      <c r="G847" s="165">
        <v>52.664999999999999</v>
      </c>
      <c r="H847" s="20">
        <v>111</v>
      </c>
      <c r="I847"/>
    </row>
    <row r="848" spans="1:9" x14ac:dyDescent="0.25">
      <c r="A848" s="228">
        <v>41932</v>
      </c>
      <c r="B848" s="161" t="s">
        <v>829</v>
      </c>
      <c r="C848" t="s">
        <v>830</v>
      </c>
      <c r="D848" t="s">
        <v>33</v>
      </c>
      <c r="E848" s="162">
        <v>9.5</v>
      </c>
      <c r="F848" s="162">
        <v>110</v>
      </c>
      <c r="G848" s="165">
        <v>1045</v>
      </c>
      <c r="H848" s="20">
        <v>111</v>
      </c>
      <c r="I848"/>
    </row>
    <row r="849" spans="1:9" x14ac:dyDescent="0.25">
      <c r="A849" s="228">
        <v>41932</v>
      </c>
      <c r="B849" s="161" t="s">
        <v>843</v>
      </c>
      <c r="C849" t="s">
        <v>8</v>
      </c>
      <c r="D849" t="s">
        <v>33</v>
      </c>
      <c r="E849" s="162">
        <v>9.5</v>
      </c>
      <c r="F849" s="162">
        <v>35.11</v>
      </c>
      <c r="G849" s="165">
        <v>333.54500000000002</v>
      </c>
      <c r="H849" s="20">
        <v>111</v>
      </c>
      <c r="I849"/>
    </row>
    <row r="850" spans="1:9" x14ac:dyDescent="0.25">
      <c r="A850" s="228">
        <v>41932</v>
      </c>
      <c r="B850" s="161" t="s">
        <v>831</v>
      </c>
      <c r="C850" t="s">
        <v>1471</v>
      </c>
      <c r="D850" t="s">
        <v>832</v>
      </c>
      <c r="E850" s="162">
        <v>9.5</v>
      </c>
      <c r="F850" s="162">
        <v>54.58</v>
      </c>
      <c r="G850" s="165">
        <v>518.51</v>
      </c>
      <c r="H850" s="20">
        <v>111</v>
      </c>
      <c r="I850"/>
    </row>
    <row r="851" spans="1:9" x14ac:dyDescent="0.25">
      <c r="A851" s="228">
        <v>41932</v>
      </c>
      <c r="B851" s="161" t="s">
        <v>1036</v>
      </c>
      <c r="C851" t="s">
        <v>925</v>
      </c>
      <c r="D851" t="s">
        <v>747</v>
      </c>
      <c r="E851" s="162">
        <v>1</v>
      </c>
      <c r="F851" s="162">
        <v>156.61000000000001</v>
      </c>
      <c r="G851" s="165">
        <v>156.61000000000001</v>
      </c>
      <c r="H851" s="20">
        <v>111</v>
      </c>
      <c r="I851"/>
    </row>
    <row r="852" spans="1:9" x14ac:dyDescent="0.25">
      <c r="A852" s="228">
        <v>41933</v>
      </c>
      <c r="B852" s="161" t="s">
        <v>1037</v>
      </c>
      <c r="C852" t="s">
        <v>1038</v>
      </c>
      <c r="D852" t="s">
        <v>747</v>
      </c>
      <c r="E852" s="162">
        <v>1</v>
      </c>
      <c r="F852" s="162">
        <v>18.46</v>
      </c>
      <c r="G852" s="165">
        <v>18.46</v>
      </c>
      <c r="H852" s="20">
        <v>111</v>
      </c>
      <c r="I852"/>
    </row>
    <row r="853" spans="1:9" x14ac:dyDescent="0.25">
      <c r="A853" s="228">
        <v>41933</v>
      </c>
      <c r="B853" s="161" t="s">
        <v>831</v>
      </c>
      <c r="C853" t="s">
        <v>1471</v>
      </c>
      <c r="D853" t="s">
        <v>832</v>
      </c>
      <c r="E853" s="162">
        <v>3</v>
      </c>
      <c r="F853" s="162">
        <v>54.58</v>
      </c>
      <c r="G853" s="165">
        <v>163.74</v>
      </c>
      <c r="H853" s="20">
        <v>111</v>
      </c>
      <c r="I853"/>
    </row>
    <row r="854" spans="1:9" x14ac:dyDescent="0.25">
      <c r="A854" s="228">
        <v>41935</v>
      </c>
      <c r="B854" s="161" t="s">
        <v>838</v>
      </c>
      <c r="C854" t="s">
        <v>8</v>
      </c>
      <c r="D854" t="s">
        <v>33</v>
      </c>
      <c r="E854" s="162">
        <v>3.5</v>
      </c>
      <c r="F854" s="162">
        <v>39.979999999999997</v>
      </c>
      <c r="G854" s="165">
        <v>139.93</v>
      </c>
      <c r="H854" s="20">
        <v>111</v>
      </c>
      <c r="I854"/>
    </row>
    <row r="855" spans="1:9" x14ac:dyDescent="0.25">
      <c r="A855" s="228">
        <v>41941</v>
      </c>
      <c r="B855" s="161" t="s">
        <v>829</v>
      </c>
      <c r="C855" t="s">
        <v>830</v>
      </c>
      <c r="D855" t="s">
        <v>33</v>
      </c>
      <c r="E855" s="162">
        <v>4</v>
      </c>
      <c r="F855" s="162">
        <v>110</v>
      </c>
      <c r="G855" s="165">
        <v>440</v>
      </c>
      <c r="H855" s="20">
        <v>111</v>
      </c>
      <c r="I855"/>
    </row>
    <row r="856" spans="1:9" x14ac:dyDescent="0.25">
      <c r="A856" s="228">
        <v>41941</v>
      </c>
      <c r="B856" s="161" t="s">
        <v>838</v>
      </c>
      <c r="C856" t="s">
        <v>8</v>
      </c>
      <c r="D856" t="s">
        <v>33</v>
      </c>
      <c r="E856" s="162">
        <v>5.5</v>
      </c>
      <c r="F856" s="162">
        <v>39.979999999999997</v>
      </c>
      <c r="G856" s="165">
        <v>219.89</v>
      </c>
      <c r="H856" s="20">
        <v>111</v>
      </c>
      <c r="I856"/>
    </row>
    <row r="857" spans="1:9" x14ac:dyDescent="0.25">
      <c r="A857" s="228">
        <v>41941</v>
      </c>
      <c r="B857" s="161" t="s">
        <v>855</v>
      </c>
      <c r="C857" t="s">
        <v>856</v>
      </c>
      <c r="D857" t="s">
        <v>33</v>
      </c>
      <c r="E857" s="162">
        <v>2</v>
      </c>
      <c r="F857" s="162">
        <v>21.61</v>
      </c>
      <c r="G857" s="165">
        <v>43.22</v>
      </c>
      <c r="H857" s="20">
        <v>111</v>
      </c>
      <c r="I857"/>
    </row>
    <row r="858" spans="1:9" x14ac:dyDescent="0.25">
      <c r="A858" s="228">
        <v>41941</v>
      </c>
      <c r="B858" s="161" t="s">
        <v>831</v>
      </c>
      <c r="C858" t="s">
        <v>1471</v>
      </c>
      <c r="D858" t="s">
        <v>832</v>
      </c>
      <c r="E858" s="162">
        <v>6.5</v>
      </c>
      <c r="F858" s="162">
        <v>54.58</v>
      </c>
      <c r="G858" s="165">
        <v>354.77</v>
      </c>
      <c r="H858" s="20">
        <v>111</v>
      </c>
      <c r="I858"/>
    </row>
    <row r="859" spans="1:9" x14ac:dyDescent="0.25">
      <c r="A859" s="228">
        <v>41941</v>
      </c>
      <c r="B859" s="161" t="s">
        <v>843</v>
      </c>
      <c r="C859" t="s">
        <v>8</v>
      </c>
      <c r="D859" t="s">
        <v>33</v>
      </c>
      <c r="E859" s="162">
        <v>2.5</v>
      </c>
      <c r="F859" s="162">
        <v>35.11</v>
      </c>
      <c r="G859" s="165">
        <v>87.775000000000006</v>
      </c>
      <c r="H859" s="20">
        <v>111</v>
      </c>
      <c r="I859"/>
    </row>
    <row r="860" spans="1:9" x14ac:dyDescent="0.25">
      <c r="A860" s="228">
        <v>41957</v>
      </c>
      <c r="B860" s="161" t="s">
        <v>831</v>
      </c>
      <c r="C860" t="s">
        <v>1471</v>
      </c>
      <c r="D860" t="s">
        <v>832</v>
      </c>
      <c r="E860" s="162">
        <v>4.5</v>
      </c>
      <c r="F860" s="162">
        <v>54.58</v>
      </c>
      <c r="G860" s="165">
        <v>245.61</v>
      </c>
      <c r="H860" s="20">
        <v>111</v>
      </c>
      <c r="I860"/>
    </row>
    <row r="861" spans="1:9" x14ac:dyDescent="0.25">
      <c r="A861" s="228">
        <v>41957</v>
      </c>
      <c r="B861" s="161" t="s">
        <v>829</v>
      </c>
      <c r="C861" t="s">
        <v>830</v>
      </c>
      <c r="D861" t="s">
        <v>33</v>
      </c>
      <c r="E861" s="162">
        <v>2</v>
      </c>
      <c r="F861" s="162">
        <v>110</v>
      </c>
      <c r="G861" s="165">
        <v>220</v>
      </c>
      <c r="H861" s="20">
        <v>111</v>
      </c>
      <c r="I861"/>
    </row>
    <row r="862" spans="1:9" x14ac:dyDescent="0.25">
      <c r="A862" s="228">
        <v>41976</v>
      </c>
      <c r="B862" s="161" t="s">
        <v>831</v>
      </c>
      <c r="C862" t="s">
        <v>1471</v>
      </c>
      <c r="D862" t="s">
        <v>832</v>
      </c>
      <c r="E862" s="162">
        <v>3.5</v>
      </c>
      <c r="F862" s="162">
        <v>54.58</v>
      </c>
      <c r="G862" s="165">
        <v>191.03</v>
      </c>
      <c r="H862" s="20">
        <v>111</v>
      </c>
      <c r="I862"/>
    </row>
    <row r="863" spans="1:9" x14ac:dyDescent="0.25">
      <c r="A863" s="228">
        <v>41976</v>
      </c>
      <c r="B863" s="161" t="s">
        <v>829</v>
      </c>
      <c r="C863" t="s">
        <v>830</v>
      </c>
      <c r="D863" t="s">
        <v>33</v>
      </c>
      <c r="E863" s="162">
        <v>3.5</v>
      </c>
      <c r="F863" s="162">
        <v>110</v>
      </c>
      <c r="G863" s="165">
        <v>385</v>
      </c>
      <c r="H863" s="20">
        <v>111</v>
      </c>
      <c r="I863"/>
    </row>
    <row r="864" spans="1:9" x14ac:dyDescent="0.25">
      <c r="A864" s="228">
        <v>42089</v>
      </c>
      <c r="B864" s="161" t="s">
        <v>829</v>
      </c>
      <c r="C864" t="s">
        <v>830</v>
      </c>
      <c r="D864" t="s">
        <v>747</v>
      </c>
      <c r="E864" s="162">
        <v>7</v>
      </c>
      <c r="F864" s="162">
        <v>110</v>
      </c>
      <c r="G864" s="165">
        <v>770</v>
      </c>
      <c r="H864" s="20">
        <v>111</v>
      </c>
      <c r="I864"/>
    </row>
    <row r="865" spans="1:9" x14ac:dyDescent="0.25">
      <c r="A865" s="228">
        <v>42089</v>
      </c>
      <c r="B865" s="161" t="s">
        <v>831</v>
      </c>
      <c r="C865" t="s">
        <v>1471</v>
      </c>
      <c r="D865" t="s">
        <v>832</v>
      </c>
      <c r="E865" s="162">
        <v>7</v>
      </c>
      <c r="F865" s="162">
        <v>54.58</v>
      </c>
      <c r="G865" s="165">
        <v>382.06</v>
      </c>
      <c r="H865" s="20">
        <v>111</v>
      </c>
      <c r="I865"/>
    </row>
    <row r="866" spans="1:9" x14ac:dyDescent="0.25">
      <c r="A866" s="228">
        <v>42089</v>
      </c>
      <c r="B866" s="161" t="s">
        <v>843</v>
      </c>
      <c r="C866" t="s">
        <v>8</v>
      </c>
      <c r="D866" t="s">
        <v>33</v>
      </c>
      <c r="E866" s="162">
        <v>7</v>
      </c>
      <c r="F866" s="162">
        <v>42.72</v>
      </c>
      <c r="G866" s="165">
        <v>299.04000000000002</v>
      </c>
      <c r="H866" s="20">
        <v>111</v>
      </c>
      <c r="I866"/>
    </row>
    <row r="867" spans="1:9" x14ac:dyDescent="0.25">
      <c r="A867" s="228">
        <v>42129</v>
      </c>
      <c r="B867" s="161" t="s">
        <v>831</v>
      </c>
      <c r="C867" t="s">
        <v>1471</v>
      </c>
      <c r="D867" t="s">
        <v>832</v>
      </c>
      <c r="E867" s="162">
        <v>4</v>
      </c>
      <c r="F867" s="162">
        <v>54.58</v>
      </c>
      <c r="G867" s="165">
        <v>218.32</v>
      </c>
      <c r="H867" s="20">
        <v>111</v>
      </c>
      <c r="I867"/>
    </row>
    <row r="868" spans="1:9" x14ac:dyDescent="0.25">
      <c r="A868" s="228">
        <v>42130</v>
      </c>
      <c r="B868" s="161" t="s">
        <v>831</v>
      </c>
      <c r="C868" t="s">
        <v>1471</v>
      </c>
      <c r="D868" t="s">
        <v>832</v>
      </c>
      <c r="E868" s="162">
        <v>8</v>
      </c>
      <c r="F868" s="162">
        <v>54.58</v>
      </c>
      <c r="G868" s="165">
        <v>436.64</v>
      </c>
      <c r="H868" s="20">
        <v>111</v>
      </c>
      <c r="I868"/>
    </row>
    <row r="869" spans="1:9" x14ac:dyDescent="0.25">
      <c r="A869" s="228">
        <v>42131</v>
      </c>
      <c r="B869" s="161" t="s">
        <v>831</v>
      </c>
      <c r="C869" t="s">
        <v>1471</v>
      </c>
      <c r="D869" t="s">
        <v>832</v>
      </c>
      <c r="E869" s="162">
        <v>8</v>
      </c>
      <c r="F869" s="162">
        <v>54.58</v>
      </c>
      <c r="G869" s="165">
        <v>436.64</v>
      </c>
      <c r="H869" s="20">
        <v>111</v>
      </c>
      <c r="I869"/>
    </row>
    <row r="870" spans="1:9" x14ac:dyDescent="0.25">
      <c r="A870" s="230" t="s">
        <v>642</v>
      </c>
      <c r="B870" s="231" t="s">
        <v>1039</v>
      </c>
      <c r="C870" s="232" t="s">
        <v>642</v>
      </c>
      <c r="D870" s="232" t="s">
        <v>642</v>
      </c>
      <c r="E870" s="233"/>
      <c r="F870" s="233"/>
      <c r="G870" s="234">
        <v>57698.3105</v>
      </c>
      <c r="H870" s="235" t="s">
        <v>642</v>
      </c>
      <c r="I870"/>
    </row>
    <row r="871" spans="1:9" x14ac:dyDescent="0.25">
      <c r="A871" s="228" t="s">
        <v>642</v>
      </c>
      <c r="B871" s="161" t="s">
        <v>642</v>
      </c>
      <c r="C871" t="s">
        <v>642</v>
      </c>
      <c r="D871" t="s">
        <v>642</v>
      </c>
      <c r="E871" s="162"/>
      <c r="F871" s="162"/>
      <c r="G871" s="165"/>
      <c r="H871" s="20" t="s">
        <v>642</v>
      </c>
      <c r="I871"/>
    </row>
    <row r="872" spans="1:9" x14ac:dyDescent="0.25">
      <c r="A872" s="226" t="s">
        <v>642</v>
      </c>
      <c r="B872" s="159" t="s">
        <v>1040</v>
      </c>
      <c r="C872" s="64" t="s">
        <v>642</v>
      </c>
      <c r="D872" s="64" t="s">
        <v>642</v>
      </c>
      <c r="E872" s="227"/>
      <c r="F872" s="227"/>
      <c r="G872" s="166"/>
      <c r="H872" s="160" t="s">
        <v>642</v>
      </c>
      <c r="I872"/>
    </row>
    <row r="873" spans="1:9" x14ac:dyDescent="0.25">
      <c r="A873" s="228">
        <v>41929</v>
      </c>
      <c r="B873" s="161" t="s">
        <v>1041</v>
      </c>
      <c r="C873" t="s">
        <v>1042</v>
      </c>
      <c r="D873" t="s">
        <v>33</v>
      </c>
      <c r="E873" s="162">
        <v>10</v>
      </c>
      <c r="F873" s="162"/>
      <c r="G873" s="165"/>
      <c r="H873" s="20">
        <v>113</v>
      </c>
      <c r="I873"/>
    </row>
    <row r="874" spans="1:9" x14ac:dyDescent="0.25">
      <c r="A874" s="228">
        <v>41932</v>
      </c>
      <c r="B874" s="161" t="s">
        <v>1041</v>
      </c>
      <c r="C874" t="s">
        <v>1042</v>
      </c>
      <c r="D874" t="s">
        <v>33</v>
      </c>
      <c r="E874" s="162">
        <v>11</v>
      </c>
      <c r="F874" s="162"/>
      <c r="G874" s="165"/>
      <c r="H874" s="20">
        <v>113</v>
      </c>
      <c r="I874"/>
    </row>
    <row r="875" spans="1:9" x14ac:dyDescent="0.25">
      <c r="A875" s="228">
        <v>41934</v>
      </c>
      <c r="B875" s="161" t="s">
        <v>1041</v>
      </c>
      <c r="C875" t="s">
        <v>1042</v>
      </c>
      <c r="D875" t="s">
        <v>33</v>
      </c>
      <c r="E875" s="162">
        <v>16</v>
      </c>
      <c r="F875" s="162"/>
      <c r="G875" s="165"/>
      <c r="H875" s="20">
        <v>113</v>
      </c>
      <c r="I875"/>
    </row>
    <row r="876" spans="1:9" x14ac:dyDescent="0.25">
      <c r="A876" s="228">
        <v>41934</v>
      </c>
      <c r="B876" s="161" t="s">
        <v>855</v>
      </c>
      <c r="C876" t="s">
        <v>856</v>
      </c>
      <c r="D876" t="s">
        <v>33</v>
      </c>
      <c r="E876" s="162">
        <v>3</v>
      </c>
      <c r="F876" s="162">
        <v>21.61</v>
      </c>
      <c r="G876" s="165">
        <v>64.83</v>
      </c>
      <c r="H876" s="20">
        <v>113</v>
      </c>
      <c r="I876"/>
    </row>
    <row r="877" spans="1:9" x14ac:dyDescent="0.25">
      <c r="A877" s="228">
        <v>41935</v>
      </c>
      <c r="B877" s="161" t="s">
        <v>831</v>
      </c>
      <c r="C877" t="s">
        <v>1471</v>
      </c>
      <c r="D877" t="s">
        <v>832</v>
      </c>
      <c r="E877" s="162">
        <v>7.5</v>
      </c>
      <c r="F877" s="162">
        <v>54.58</v>
      </c>
      <c r="G877" s="165">
        <v>409.35</v>
      </c>
      <c r="H877" s="20">
        <v>113</v>
      </c>
      <c r="I877"/>
    </row>
    <row r="878" spans="1:9" x14ac:dyDescent="0.25">
      <c r="A878" s="228">
        <v>41935</v>
      </c>
      <c r="B878" s="161" t="s">
        <v>838</v>
      </c>
      <c r="C878" t="s">
        <v>8</v>
      </c>
      <c r="D878" t="s">
        <v>33</v>
      </c>
      <c r="E878" s="162">
        <v>3</v>
      </c>
      <c r="F878" s="162">
        <v>39.979999999999997</v>
      </c>
      <c r="G878" s="165">
        <v>119.94</v>
      </c>
      <c r="H878" s="20">
        <v>113</v>
      </c>
      <c r="I878"/>
    </row>
    <row r="879" spans="1:9" x14ac:dyDescent="0.25">
      <c r="A879" s="228">
        <v>41935</v>
      </c>
      <c r="B879" s="161" t="s">
        <v>1041</v>
      </c>
      <c r="C879" t="s">
        <v>1042</v>
      </c>
      <c r="D879" t="s">
        <v>33</v>
      </c>
      <c r="E879" s="162">
        <v>8.5</v>
      </c>
      <c r="F879" s="162"/>
      <c r="G879" s="165"/>
      <c r="H879" s="20">
        <v>113</v>
      </c>
      <c r="I879"/>
    </row>
    <row r="880" spans="1:9" x14ac:dyDescent="0.25">
      <c r="A880" s="228">
        <v>41935</v>
      </c>
      <c r="B880" s="161" t="s">
        <v>855</v>
      </c>
      <c r="C880" t="s">
        <v>856</v>
      </c>
      <c r="D880" t="s">
        <v>33</v>
      </c>
      <c r="E880" s="162">
        <v>4.5</v>
      </c>
      <c r="F880" s="162">
        <v>21.61</v>
      </c>
      <c r="G880" s="165">
        <v>97.245000000000005</v>
      </c>
      <c r="H880" s="20">
        <v>113</v>
      </c>
      <c r="I880"/>
    </row>
    <row r="881" spans="1:9" x14ac:dyDescent="0.25">
      <c r="A881" s="228">
        <v>41935</v>
      </c>
      <c r="B881" s="161" t="s">
        <v>843</v>
      </c>
      <c r="C881" t="s">
        <v>8</v>
      </c>
      <c r="D881" t="s">
        <v>33</v>
      </c>
      <c r="E881" s="162">
        <v>3</v>
      </c>
      <c r="F881" s="162">
        <v>35.11</v>
      </c>
      <c r="G881" s="165">
        <v>105.33</v>
      </c>
      <c r="H881" s="20">
        <v>113</v>
      </c>
      <c r="I881"/>
    </row>
    <row r="882" spans="1:9" x14ac:dyDescent="0.25">
      <c r="A882" s="228">
        <v>41936</v>
      </c>
      <c r="B882" s="161" t="s">
        <v>831</v>
      </c>
      <c r="C882" t="s">
        <v>1471</v>
      </c>
      <c r="D882" t="s">
        <v>832</v>
      </c>
      <c r="E882" s="162">
        <v>4</v>
      </c>
      <c r="F882" s="162">
        <v>54.58</v>
      </c>
      <c r="G882" s="165">
        <v>218.32</v>
      </c>
      <c r="H882" s="20">
        <v>113</v>
      </c>
      <c r="I882"/>
    </row>
    <row r="883" spans="1:9" x14ac:dyDescent="0.25">
      <c r="A883" s="228">
        <v>41936</v>
      </c>
      <c r="B883" s="161" t="s">
        <v>843</v>
      </c>
      <c r="C883" t="s">
        <v>8</v>
      </c>
      <c r="D883" t="s">
        <v>33</v>
      </c>
      <c r="E883" s="162">
        <v>2.5</v>
      </c>
      <c r="F883" s="162">
        <v>35.11</v>
      </c>
      <c r="G883" s="165">
        <v>87.775000000000006</v>
      </c>
      <c r="H883" s="20">
        <v>113</v>
      </c>
      <c r="I883"/>
    </row>
    <row r="884" spans="1:9" x14ac:dyDescent="0.25">
      <c r="A884" s="228">
        <v>41936</v>
      </c>
      <c r="B884" s="161" t="s">
        <v>838</v>
      </c>
      <c r="C884" t="s">
        <v>8</v>
      </c>
      <c r="D884" t="s">
        <v>33</v>
      </c>
      <c r="E884" s="162">
        <v>2.5</v>
      </c>
      <c r="F884" s="162">
        <v>39.979999999999997</v>
      </c>
      <c r="G884" s="165">
        <v>99.95</v>
      </c>
      <c r="H884" s="20">
        <v>113</v>
      </c>
      <c r="I884"/>
    </row>
    <row r="885" spans="1:9" x14ac:dyDescent="0.25">
      <c r="A885" s="228">
        <v>41939</v>
      </c>
      <c r="B885" s="161" t="s">
        <v>1041</v>
      </c>
      <c r="C885" t="s">
        <v>1042</v>
      </c>
      <c r="D885" t="s">
        <v>33</v>
      </c>
      <c r="E885" s="162">
        <v>19</v>
      </c>
      <c r="F885" s="162"/>
      <c r="G885" s="165"/>
      <c r="H885" s="20">
        <v>113</v>
      </c>
      <c r="I885"/>
    </row>
    <row r="886" spans="1:9" x14ac:dyDescent="0.25">
      <c r="A886" s="228">
        <v>41940</v>
      </c>
      <c r="B886" s="161" t="s">
        <v>1041</v>
      </c>
      <c r="C886" t="s">
        <v>1042</v>
      </c>
      <c r="D886" t="s">
        <v>33</v>
      </c>
      <c r="E886" s="162">
        <v>19</v>
      </c>
      <c r="F886" s="162"/>
      <c r="G886" s="165"/>
      <c r="H886" s="20">
        <v>113</v>
      </c>
      <c r="I886"/>
    </row>
    <row r="887" spans="1:9" x14ac:dyDescent="0.25">
      <c r="A887" s="228">
        <v>41940</v>
      </c>
      <c r="B887" s="161" t="s">
        <v>838</v>
      </c>
      <c r="C887" t="s">
        <v>8</v>
      </c>
      <c r="D887" t="s">
        <v>33</v>
      </c>
      <c r="E887" s="162">
        <v>1.5</v>
      </c>
      <c r="F887" s="162">
        <v>39.979999999999997</v>
      </c>
      <c r="G887" s="165">
        <v>59.97</v>
      </c>
      <c r="H887" s="20">
        <v>113</v>
      </c>
      <c r="I887"/>
    </row>
    <row r="888" spans="1:9" x14ac:dyDescent="0.25">
      <c r="A888" s="228">
        <v>41940</v>
      </c>
      <c r="B888" s="161" t="s">
        <v>843</v>
      </c>
      <c r="C888" t="s">
        <v>8</v>
      </c>
      <c r="D888" t="s">
        <v>33</v>
      </c>
      <c r="E888" s="162">
        <v>1</v>
      </c>
      <c r="F888" s="162">
        <v>35.11</v>
      </c>
      <c r="G888" s="165">
        <v>35.11</v>
      </c>
      <c r="H888" s="20">
        <v>113</v>
      </c>
      <c r="I888"/>
    </row>
    <row r="889" spans="1:9" x14ac:dyDescent="0.25">
      <c r="A889" s="228">
        <v>41940</v>
      </c>
      <c r="B889" s="161" t="s">
        <v>863</v>
      </c>
      <c r="C889" t="s">
        <v>864</v>
      </c>
      <c r="D889" t="s">
        <v>33</v>
      </c>
      <c r="E889" s="162">
        <v>1.5</v>
      </c>
      <c r="F889" s="162">
        <v>46.5</v>
      </c>
      <c r="G889" s="165">
        <v>69.75</v>
      </c>
      <c r="H889" s="20">
        <v>113</v>
      </c>
      <c r="I889"/>
    </row>
    <row r="890" spans="1:9" x14ac:dyDescent="0.25">
      <c r="A890" s="228">
        <v>41941</v>
      </c>
      <c r="B890" s="161" t="s">
        <v>838</v>
      </c>
      <c r="C890" t="s">
        <v>8</v>
      </c>
      <c r="D890" t="s">
        <v>33</v>
      </c>
      <c r="E890" s="162">
        <v>2.5</v>
      </c>
      <c r="F890" s="162">
        <v>39.979999999999997</v>
      </c>
      <c r="G890" s="165">
        <v>99.95</v>
      </c>
      <c r="H890" s="20">
        <v>113</v>
      </c>
      <c r="I890"/>
    </row>
    <row r="891" spans="1:9" x14ac:dyDescent="0.25">
      <c r="A891" s="228">
        <v>41941</v>
      </c>
      <c r="B891" s="161" t="s">
        <v>1041</v>
      </c>
      <c r="C891" t="s">
        <v>1042</v>
      </c>
      <c r="D891" t="s">
        <v>33</v>
      </c>
      <c r="E891" s="162">
        <v>19</v>
      </c>
      <c r="F891" s="162"/>
      <c r="G891" s="165"/>
      <c r="H891" s="20">
        <v>113</v>
      </c>
      <c r="I891"/>
    </row>
    <row r="892" spans="1:9" x14ac:dyDescent="0.25">
      <c r="A892" s="228">
        <v>41942</v>
      </c>
      <c r="B892" s="161" t="s">
        <v>1041</v>
      </c>
      <c r="C892" t="s">
        <v>1042</v>
      </c>
      <c r="D892" t="s">
        <v>33</v>
      </c>
      <c r="E892" s="162">
        <v>38</v>
      </c>
      <c r="F892" s="162"/>
      <c r="G892" s="165"/>
      <c r="H892" s="20">
        <v>113</v>
      </c>
      <c r="I892"/>
    </row>
    <row r="893" spans="1:9" x14ac:dyDescent="0.25">
      <c r="A893" s="228">
        <v>41943</v>
      </c>
      <c r="B893" s="161" t="s">
        <v>922</v>
      </c>
      <c r="C893" t="s">
        <v>921</v>
      </c>
      <c r="D893" t="s">
        <v>19</v>
      </c>
      <c r="E893" s="162">
        <v>1</v>
      </c>
      <c r="F893" s="162">
        <v>42965</v>
      </c>
      <c r="G893" s="165">
        <v>42965</v>
      </c>
      <c r="H893" s="20">
        <v>113</v>
      </c>
      <c r="I893"/>
    </row>
    <row r="894" spans="1:9" x14ac:dyDescent="0.25">
      <c r="A894" s="228">
        <v>41943</v>
      </c>
      <c r="B894" s="161" t="s">
        <v>922</v>
      </c>
      <c r="C894" t="s">
        <v>921</v>
      </c>
      <c r="D894" t="s">
        <v>19</v>
      </c>
      <c r="E894" s="162">
        <v>1</v>
      </c>
      <c r="F894" s="162">
        <v>19325</v>
      </c>
      <c r="G894" s="165">
        <v>19325</v>
      </c>
      <c r="H894" s="20">
        <v>113</v>
      </c>
      <c r="I894"/>
    </row>
    <row r="895" spans="1:9" x14ac:dyDescent="0.25">
      <c r="A895" s="228">
        <v>41943</v>
      </c>
      <c r="B895" s="161" t="s">
        <v>922</v>
      </c>
      <c r="C895" t="s">
        <v>921</v>
      </c>
      <c r="D895" t="s">
        <v>19</v>
      </c>
      <c r="E895" s="162">
        <v>1</v>
      </c>
      <c r="F895" s="162">
        <v>16075</v>
      </c>
      <c r="G895" s="165">
        <v>16075</v>
      </c>
      <c r="H895" s="20">
        <v>113</v>
      </c>
      <c r="I895"/>
    </row>
    <row r="896" spans="1:9" x14ac:dyDescent="0.25">
      <c r="A896" s="228">
        <v>41943</v>
      </c>
      <c r="B896" s="161" t="s">
        <v>922</v>
      </c>
      <c r="C896" t="s">
        <v>921</v>
      </c>
      <c r="D896" t="s">
        <v>19</v>
      </c>
      <c r="E896" s="162">
        <v>1</v>
      </c>
      <c r="F896" s="162">
        <v>6800</v>
      </c>
      <c r="G896" s="165">
        <v>6800</v>
      </c>
      <c r="H896" s="20">
        <v>113</v>
      </c>
      <c r="I896"/>
    </row>
    <row r="897" spans="1:9" x14ac:dyDescent="0.25">
      <c r="A897" s="228">
        <v>41943</v>
      </c>
      <c r="B897" s="161" t="s">
        <v>922</v>
      </c>
      <c r="C897" t="s">
        <v>921</v>
      </c>
      <c r="D897" t="s">
        <v>382</v>
      </c>
      <c r="E897" s="162"/>
      <c r="F897" s="162">
        <v>3440</v>
      </c>
      <c r="G897" s="165"/>
      <c r="H897" s="20">
        <v>113</v>
      </c>
      <c r="I897"/>
    </row>
    <row r="898" spans="1:9" x14ac:dyDescent="0.25">
      <c r="A898" s="228">
        <v>41946</v>
      </c>
      <c r="B898" s="161" t="s">
        <v>1041</v>
      </c>
      <c r="C898" t="s">
        <v>1042</v>
      </c>
      <c r="D898" t="s">
        <v>33</v>
      </c>
      <c r="E898" s="162">
        <v>2.25</v>
      </c>
      <c r="F898" s="162"/>
      <c r="G898" s="165"/>
      <c r="H898" s="20">
        <v>113</v>
      </c>
      <c r="I898"/>
    </row>
    <row r="899" spans="1:9" x14ac:dyDescent="0.25">
      <c r="A899" s="228">
        <v>41978</v>
      </c>
      <c r="B899" s="161" t="s">
        <v>1041</v>
      </c>
      <c r="C899" t="s">
        <v>1042</v>
      </c>
      <c r="D899" t="s">
        <v>33</v>
      </c>
      <c r="E899" s="162">
        <v>18.5</v>
      </c>
      <c r="F899" s="162"/>
      <c r="G899" s="165"/>
      <c r="H899" s="20">
        <v>113</v>
      </c>
      <c r="I899"/>
    </row>
    <row r="900" spans="1:9" x14ac:dyDescent="0.25">
      <c r="A900" s="228">
        <v>41981</v>
      </c>
      <c r="B900" s="161" t="s">
        <v>1041</v>
      </c>
      <c r="C900" t="s">
        <v>1042</v>
      </c>
      <c r="D900" t="s">
        <v>33</v>
      </c>
      <c r="E900" s="162">
        <v>5.5</v>
      </c>
      <c r="F900" s="162"/>
      <c r="G900" s="165"/>
      <c r="H900" s="20">
        <v>113</v>
      </c>
      <c r="I900"/>
    </row>
    <row r="901" spans="1:9" x14ac:dyDescent="0.25">
      <c r="A901" s="228">
        <v>41982</v>
      </c>
      <c r="B901" s="161" t="s">
        <v>831</v>
      </c>
      <c r="C901" t="s">
        <v>1471</v>
      </c>
      <c r="D901" t="s">
        <v>832</v>
      </c>
      <c r="E901" s="162">
        <v>2</v>
      </c>
      <c r="F901" s="162">
        <v>54.58</v>
      </c>
      <c r="G901" s="165">
        <v>109.16</v>
      </c>
      <c r="H901" s="20">
        <v>113</v>
      </c>
      <c r="I901"/>
    </row>
    <row r="902" spans="1:9" x14ac:dyDescent="0.25">
      <c r="A902" s="228">
        <v>41992</v>
      </c>
      <c r="B902" s="161" t="s">
        <v>1041</v>
      </c>
      <c r="C902" t="s">
        <v>1042</v>
      </c>
      <c r="D902" t="s">
        <v>33</v>
      </c>
      <c r="E902" s="162">
        <v>1</v>
      </c>
      <c r="F902" s="162">
        <v>4655</v>
      </c>
      <c r="G902" s="165">
        <v>4655</v>
      </c>
      <c r="H902" s="20">
        <v>113</v>
      </c>
      <c r="I902"/>
    </row>
    <row r="903" spans="1:9" x14ac:dyDescent="0.25">
      <c r="A903" s="228">
        <v>42139</v>
      </c>
      <c r="B903" s="161" t="s">
        <v>1041</v>
      </c>
      <c r="C903" t="s">
        <v>1042</v>
      </c>
      <c r="D903" t="s">
        <v>33</v>
      </c>
      <c r="E903" s="162">
        <v>6</v>
      </c>
      <c r="F903" s="162"/>
      <c r="G903" s="165"/>
      <c r="H903" s="20">
        <v>113</v>
      </c>
      <c r="I903"/>
    </row>
    <row r="904" spans="1:9" x14ac:dyDescent="0.25">
      <c r="A904" s="228">
        <v>42139</v>
      </c>
      <c r="B904" s="161" t="s">
        <v>831</v>
      </c>
      <c r="C904" t="s">
        <v>1471</v>
      </c>
      <c r="D904" t="s">
        <v>832</v>
      </c>
      <c r="E904" s="162">
        <v>6</v>
      </c>
      <c r="F904" s="162">
        <v>54.58</v>
      </c>
      <c r="G904" s="165">
        <v>327.48</v>
      </c>
      <c r="H904" s="20">
        <v>113</v>
      </c>
      <c r="I904"/>
    </row>
    <row r="905" spans="1:9" x14ac:dyDescent="0.25">
      <c r="A905" s="230" t="s">
        <v>642</v>
      </c>
      <c r="B905" s="231" t="s">
        <v>1043</v>
      </c>
      <c r="C905" s="232" t="s">
        <v>642</v>
      </c>
      <c r="D905" s="232" t="s">
        <v>642</v>
      </c>
      <c r="E905" s="233"/>
      <c r="F905" s="233"/>
      <c r="G905" s="234">
        <v>91724.160000000003</v>
      </c>
      <c r="H905" s="235" t="s">
        <v>642</v>
      </c>
      <c r="I905"/>
    </row>
    <row r="906" spans="1:9" x14ac:dyDescent="0.25">
      <c r="A906" s="228" t="s">
        <v>642</v>
      </c>
      <c r="B906" s="161" t="s">
        <v>642</v>
      </c>
      <c r="C906" t="s">
        <v>642</v>
      </c>
      <c r="D906" t="s">
        <v>642</v>
      </c>
      <c r="E906" s="162"/>
      <c r="F906" s="162"/>
      <c r="G906" s="165"/>
      <c r="H906" s="20" t="s">
        <v>642</v>
      </c>
      <c r="I906"/>
    </row>
    <row r="907" spans="1:9" x14ac:dyDescent="0.25">
      <c r="A907" s="226" t="s">
        <v>642</v>
      </c>
      <c r="B907" s="159" t="s">
        <v>1044</v>
      </c>
      <c r="C907" s="64" t="s">
        <v>642</v>
      </c>
      <c r="D907" s="64" t="s">
        <v>642</v>
      </c>
      <c r="E907" s="227"/>
      <c r="F907" s="227"/>
      <c r="G907" s="166"/>
      <c r="H907" s="160" t="s">
        <v>642</v>
      </c>
      <c r="I907"/>
    </row>
    <row r="908" spans="1:9" x14ac:dyDescent="0.25">
      <c r="A908" s="228">
        <v>41795</v>
      </c>
      <c r="B908" s="161" t="s">
        <v>836</v>
      </c>
      <c r="C908" t="s">
        <v>8</v>
      </c>
      <c r="D908" t="s">
        <v>33</v>
      </c>
      <c r="E908" s="162">
        <v>5</v>
      </c>
      <c r="F908" s="162">
        <v>38.450000000000003</v>
      </c>
      <c r="G908" s="165">
        <v>192.25</v>
      </c>
      <c r="H908" s="20">
        <v>121</v>
      </c>
      <c r="I908"/>
    </row>
    <row r="909" spans="1:9" x14ac:dyDescent="0.25">
      <c r="A909" s="228">
        <v>41820</v>
      </c>
      <c r="B909" s="161" t="s">
        <v>1045</v>
      </c>
      <c r="C909" t="s">
        <v>921</v>
      </c>
      <c r="D909" t="s">
        <v>382</v>
      </c>
      <c r="E909" s="162">
        <v>3.73E-2</v>
      </c>
      <c r="F909" s="162">
        <v>3820.46</v>
      </c>
      <c r="G909" s="165">
        <v>142.50315800000001</v>
      </c>
      <c r="H909" s="20">
        <v>121</v>
      </c>
      <c r="I909"/>
    </row>
    <row r="910" spans="1:9" x14ac:dyDescent="0.25">
      <c r="A910" s="228">
        <v>41820</v>
      </c>
      <c r="B910" s="161" t="s">
        <v>1045</v>
      </c>
      <c r="C910" t="s">
        <v>921</v>
      </c>
      <c r="D910" t="s">
        <v>382</v>
      </c>
      <c r="E910" s="162">
        <v>5.1999999999999998E-2</v>
      </c>
      <c r="F910" s="162">
        <v>22088.41</v>
      </c>
      <c r="G910" s="165">
        <v>1148.5973200000001</v>
      </c>
      <c r="H910" s="20">
        <v>121</v>
      </c>
      <c r="I910"/>
    </row>
    <row r="911" spans="1:9" x14ac:dyDescent="0.25">
      <c r="A911" s="228">
        <v>41820</v>
      </c>
      <c r="B911" s="161" t="s">
        <v>1045</v>
      </c>
      <c r="C911" t="s">
        <v>921</v>
      </c>
      <c r="D911" t="s">
        <v>382</v>
      </c>
      <c r="E911" s="162">
        <v>3.7999999999999999E-2</v>
      </c>
      <c r="F911" s="162">
        <v>80346.600000000006</v>
      </c>
      <c r="G911" s="165">
        <v>3053.1707999999999</v>
      </c>
      <c r="H911" s="20">
        <v>121</v>
      </c>
      <c r="I911"/>
    </row>
    <row r="912" spans="1:9" x14ac:dyDescent="0.25">
      <c r="A912" s="228">
        <v>41820</v>
      </c>
      <c r="B912" s="161" t="s">
        <v>1045</v>
      </c>
      <c r="C912" t="s">
        <v>921</v>
      </c>
      <c r="D912" t="s">
        <v>382</v>
      </c>
      <c r="E912" s="162">
        <v>3.7699999999999997E-2</v>
      </c>
      <c r="F912" s="162">
        <v>10227.27</v>
      </c>
      <c r="G912" s="165">
        <v>385.56807900000001</v>
      </c>
      <c r="H912" s="20">
        <v>121</v>
      </c>
      <c r="I912"/>
    </row>
    <row r="913" spans="1:9" x14ac:dyDescent="0.25">
      <c r="A913" s="228">
        <v>41820</v>
      </c>
      <c r="B913" s="161" t="s">
        <v>1045</v>
      </c>
      <c r="C913" t="s">
        <v>921</v>
      </c>
      <c r="D913" t="s">
        <v>382</v>
      </c>
      <c r="E913" s="162">
        <v>2.5000000000000001E-2</v>
      </c>
      <c r="F913" s="162">
        <v>189402.18</v>
      </c>
      <c r="G913" s="165">
        <v>4735.0545000000002</v>
      </c>
      <c r="H913" s="20">
        <v>121</v>
      </c>
      <c r="I913"/>
    </row>
    <row r="914" spans="1:9" x14ac:dyDescent="0.25">
      <c r="A914" s="228">
        <v>41893</v>
      </c>
      <c r="B914" s="161" t="s">
        <v>829</v>
      </c>
      <c r="C914" t="s">
        <v>830</v>
      </c>
      <c r="D914" t="s">
        <v>33</v>
      </c>
      <c r="E914" s="162">
        <v>2.5</v>
      </c>
      <c r="F914" s="162">
        <v>110</v>
      </c>
      <c r="G914" s="165">
        <v>275</v>
      </c>
      <c r="H914" s="20">
        <v>121</v>
      </c>
      <c r="I914"/>
    </row>
    <row r="915" spans="1:9" x14ac:dyDescent="0.25">
      <c r="A915" s="228">
        <v>41893</v>
      </c>
      <c r="B915" s="161" t="s">
        <v>837</v>
      </c>
      <c r="C915" t="s">
        <v>8</v>
      </c>
      <c r="D915" t="s">
        <v>33</v>
      </c>
      <c r="E915" s="162">
        <v>2.5</v>
      </c>
      <c r="F915" s="162">
        <v>42.72</v>
      </c>
      <c r="G915" s="165">
        <v>106.8</v>
      </c>
      <c r="H915" s="20">
        <v>121</v>
      </c>
      <c r="I915"/>
    </row>
    <row r="916" spans="1:9" x14ac:dyDescent="0.25">
      <c r="A916" s="228">
        <v>41893</v>
      </c>
      <c r="B916" s="161" t="s">
        <v>831</v>
      </c>
      <c r="C916" t="s">
        <v>1471</v>
      </c>
      <c r="D916" t="s">
        <v>832</v>
      </c>
      <c r="E916" s="162">
        <v>2.5</v>
      </c>
      <c r="F916" s="162">
        <v>54.58</v>
      </c>
      <c r="G916" s="165">
        <v>136.44999999999999</v>
      </c>
      <c r="H916" s="20">
        <v>121</v>
      </c>
      <c r="I916"/>
    </row>
    <row r="917" spans="1:9" ht="45" x14ac:dyDescent="0.25">
      <c r="A917" s="228">
        <v>41912</v>
      </c>
      <c r="B917" s="161" t="s">
        <v>1047</v>
      </c>
      <c r="C917" t="s">
        <v>1048</v>
      </c>
      <c r="D917" t="s">
        <v>747</v>
      </c>
      <c r="E917" s="162">
        <v>1</v>
      </c>
      <c r="F917" s="162">
        <v>11426.64</v>
      </c>
      <c r="G917" s="165">
        <v>11426.64</v>
      </c>
      <c r="H917" s="20">
        <v>121</v>
      </c>
      <c r="I917"/>
    </row>
    <row r="918" spans="1:9" ht="30" x14ac:dyDescent="0.25">
      <c r="A918" s="228">
        <v>41920</v>
      </c>
      <c r="B918" s="161" t="s">
        <v>1049</v>
      </c>
      <c r="C918" t="s">
        <v>830</v>
      </c>
      <c r="D918" t="s">
        <v>33</v>
      </c>
      <c r="E918" s="162">
        <v>3.5</v>
      </c>
      <c r="F918" s="162">
        <v>110</v>
      </c>
      <c r="G918" s="165">
        <v>385</v>
      </c>
      <c r="H918" s="20">
        <v>121</v>
      </c>
      <c r="I918"/>
    </row>
    <row r="919" spans="1:9" x14ac:dyDescent="0.25">
      <c r="A919" s="228">
        <v>41921</v>
      </c>
      <c r="B919" s="161" t="s">
        <v>829</v>
      </c>
      <c r="C919" t="s">
        <v>830</v>
      </c>
      <c r="D919" t="s">
        <v>33</v>
      </c>
      <c r="E919" s="162">
        <v>3.5</v>
      </c>
      <c r="F919" s="162">
        <v>110</v>
      </c>
      <c r="G919" s="165">
        <v>385</v>
      </c>
      <c r="H919" s="20">
        <v>121</v>
      </c>
      <c r="I919"/>
    </row>
    <row r="920" spans="1:9" x14ac:dyDescent="0.25">
      <c r="A920" s="228">
        <v>41934</v>
      </c>
      <c r="B920" s="161" t="s">
        <v>1050</v>
      </c>
      <c r="C920" t="s">
        <v>1046</v>
      </c>
      <c r="D920" t="s">
        <v>33</v>
      </c>
      <c r="E920" s="162">
        <v>14</v>
      </c>
      <c r="F920" s="162"/>
      <c r="G920" s="165"/>
      <c r="H920" s="20">
        <v>121</v>
      </c>
      <c r="I920"/>
    </row>
    <row r="921" spans="1:9" x14ac:dyDescent="0.25">
      <c r="A921" s="228">
        <v>41935</v>
      </c>
      <c r="B921" s="161" t="s">
        <v>1050</v>
      </c>
      <c r="C921" t="s">
        <v>1046</v>
      </c>
      <c r="D921" t="s">
        <v>33</v>
      </c>
      <c r="E921" s="162">
        <v>28</v>
      </c>
      <c r="F921" s="162"/>
      <c r="G921" s="165"/>
      <c r="H921" s="20">
        <v>121</v>
      </c>
      <c r="I921"/>
    </row>
    <row r="922" spans="1:9" x14ac:dyDescent="0.25">
      <c r="A922" s="228">
        <v>41939</v>
      </c>
      <c r="B922" s="161" t="s">
        <v>1051</v>
      </c>
      <c r="C922" t="s">
        <v>1048</v>
      </c>
      <c r="D922" t="s">
        <v>747</v>
      </c>
      <c r="E922" s="162">
        <v>1</v>
      </c>
      <c r="F922" s="162">
        <v>573.11</v>
      </c>
      <c r="G922" s="165">
        <v>573.11</v>
      </c>
      <c r="H922" s="20">
        <v>121</v>
      </c>
      <c r="I922"/>
    </row>
    <row r="923" spans="1:9" x14ac:dyDescent="0.25">
      <c r="A923" s="228">
        <v>41940</v>
      </c>
      <c r="B923" s="161" t="s">
        <v>1050</v>
      </c>
      <c r="C923" t="s">
        <v>1046</v>
      </c>
      <c r="D923" t="s">
        <v>33</v>
      </c>
      <c r="E923" s="162">
        <v>18</v>
      </c>
      <c r="F923" s="162"/>
      <c r="G923" s="165"/>
      <c r="H923" s="20">
        <v>121</v>
      </c>
      <c r="I923"/>
    </row>
    <row r="924" spans="1:9" x14ac:dyDescent="0.25">
      <c r="A924" s="228">
        <v>41942</v>
      </c>
      <c r="B924" s="161" t="s">
        <v>642</v>
      </c>
      <c r="C924" t="s">
        <v>1046</v>
      </c>
      <c r="D924" t="s">
        <v>33</v>
      </c>
      <c r="E924" s="162">
        <v>16</v>
      </c>
      <c r="F924" s="162"/>
      <c r="G924" s="165"/>
      <c r="H924" s="20">
        <v>121</v>
      </c>
      <c r="I924"/>
    </row>
    <row r="925" spans="1:9" x14ac:dyDescent="0.25">
      <c r="A925" s="228">
        <v>41943</v>
      </c>
      <c r="B925" s="161" t="s">
        <v>922</v>
      </c>
      <c r="C925" t="s">
        <v>921</v>
      </c>
      <c r="D925" t="s">
        <v>382</v>
      </c>
      <c r="E925" s="162">
        <v>0.3</v>
      </c>
      <c r="F925" s="162">
        <v>10227.27</v>
      </c>
      <c r="G925" s="165">
        <v>3068.181</v>
      </c>
      <c r="H925" s="20">
        <v>121</v>
      </c>
      <c r="I925"/>
    </row>
    <row r="926" spans="1:9" x14ac:dyDescent="0.25">
      <c r="A926" s="228">
        <v>41943</v>
      </c>
      <c r="B926" s="161" t="s">
        <v>922</v>
      </c>
      <c r="C926" t="s">
        <v>921</v>
      </c>
      <c r="D926" t="s">
        <v>382</v>
      </c>
      <c r="E926" s="162">
        <v>4.2500000000000003E-2</v>
      </c>
      <c r="F926" s="162">
        <v>189402.18</v>
      </c>
      <c r="G926" s="165">
        <v>8049.5926499999996</v>
      </c>
      <c r="H926" s="20">
        <v>121</v>
      </c>
      <c r="I926"/>
    </row>
    <row r="927" spans="1:9" x14ac:dyDescent="0.25">
      <c r="A927" s="228">
        <v>41943</v>
      </c>
      <c r="B927" s="161" t="s">
        <v>642</v>
      </c>
      <c r="C927" t="s">
        <v>1046</v>
      </c>
      <c r="D927" t="s">
        <v>33</v>
      </c>
      <c r="E927" s="162">
        <v>63</v>
      </c>
      <c r="F927" s="162"/>
      <c r="G927" s="165"/>
      <c r="H927" s="20">
        <v>121</v>
      </c>
      <c r="I927"/>
    </row>
    <row r="928" spans="1:9" x14ac:dyDescent="0.25">
      <c r="A928" s="228">
        <v>41943</v>
      </c>
      <c r="B928" s="161" t="s">
        <v>855</v>
      </c>
      <c r="C928" t="s">
        <v>856</v>
      </c>
      <c r="D928" t="s">
        <v>33</v>
      </c>
      <c r="E928" s="162">
        <v>4</v>
      </c>
      <c r="F928" s="162">
        <v>21.61</v>
      </c>
      <c r="G928" s="165">
        <v>86.44</v>
      </c>
      <c r="H928" s="20">
        <v>121</v>
      </c>
      <c r="I928"/>
    </row>
    <row r="929" spans="1:9" x14ac:dyDescent="0.25">
      <c r="A929" s="228">
        <v>41943</v>
      </c>
      <c r="B929" s="161" t="s">
        <v>922</v>
      </c>
      <c r="C929" t="s">
        <v>921</v>
      </c>
      <c r="D929" t="s">
        <v>382</v>
      </c>
      <c r="E929" s="162">
        <v>0.3155</v>
      </c>
      <c r="F929" s="162">
        <v>3820.46</v>
      </c>
      <c r="G929" s="165">
        <v>1205.3551299999999</v>
      </c>
      <c r="H929" s="20">
        <v>121</v>
      </c>
      <c r="I929"/>
    </row>
    <row r="930" spans="1:9" x14ac:dyDescent="0.25">
      <c r="A930" s="228">
        <v>41943</v>
      </c>
      <c r="B930" s="161" t="s">
        <v>922</v>
      </c>
      <c r="C930" t="s">
        <v>921</v>
      </c>
      <c r="D930" t="s">
        <v>382</v>
      </c>
      <c r="E930" s="162">
        <v>0.46200000000000002</v>
      </c>
      <c r="F930" s="162">
        <v>80346.600000000006</v>
      </c>
      <c r="G930" s="165">
        <v>37120.129200000003</v>
      </c>
      <c r="H930" s="20">
        <v>121</v>
      </c>
      <c r="I930"/>
    </row>
    <row r="931" spans="1:9" x14ac:dyDescent="0.25">
      <c r="A931" s="228">
        <v>41943</v>
      </c>
      <c r="B931" s="161" t="s">
        <v>831</v>
      </c>
      <c r="C931" t="s">
        <v>1471</v>
      </c>
      <c r="D931" t="s">
        <v>832</v>
      </c>
      <c r="E931" s="162">
        <v>4</v>
      </c>
      <c r="F931" s="162">
        <v>54.58</v>
      </c>
      <c r="G931" s="165">
        <v>218.32</v>
      </c>
      <c r="H931" s="20">
        <v>121</v>
      </c>
      <c r="I931"/>
    </row>
    <row r="932" spans="1:9" x14ac:dyDescent="0.25">
      <c r="A932" s="228">
        <v>41944</v>
      </c>
      <c r="B932" s="161" t="s">
        <v>831</v>
      </c>
      <c r="C932" t="s">
        <v>1471</v>
      </c>
      <c r="D932" t="s">
        <v>832</v>
      </c>
      <c r="E932" s="162">
        <v>3</v>
      </c>
      <c r="F932" s="162">
        <v>54.58</v>
      </c>
      <c r="G932" s="165">
        <v>163.74</v>
      </c>
      <c r="H932" s="20">
        <v>121</v>
      </c>
      <c r="I932"/>
    </row>
    <row r="933" spans="1:9" x14ac:dyDescent="0.25">
      <c r="A933" s="228">
        <v>41944</v>
      </c>
      <c r="B933" s="161" t="s">
        <v>870</v>
      </c>
      <c r="C933" t="s">
        <v>871</v>
      </c>
      <c r="D933" t="s">
        <v>33</v>
      </c>
      <c r="E933" s="162">
        <v>3</v>
      </c>
      <c r="F933" s="162">
        <v>42.79</v>
      </c>
      <c r="G933" s="165">
        <v>128.37</v>
      </c>
      <c r="H933" s="20">
        <v>121</v>
      </c>
      <c r="I933"/>
    </row>
    <row r="934" spans="1:9" x14ac:dyDescent="0.25">
      <c r="A934" s="228">
        <v>41944</v>
      </c>
      <c r="B934" s="161" t="s">
        <v>642</v>
      </c>
      <c r="C934" t="s">
        <v>1046</v>
      </c>
      <c r="D934" t="s">
        <v>33</v>
      </c>
      <c r="E934" s="162">
        <v>2</v>
      </c>
      <c r="F934" s="162"/>
      <c r="G934" s="165"/>
      <c r="H934" s="20">
        <v>121</v>
      </c>
      <c r="I934"/>
    </row>
    <row r="935" spans="1:9" x14ac:dyDescent="0.25">
      <c r="A935" s="228">
        <v>41946</v>
      </c>
      <c r="B935" s="161" t="s">
        <v>642</v>
      </c>
      <c r="C935" t="s">
        <v>1046</v>
      </c>
      <c r="D935" t="s">
        <v>33</v>
      </c>
      <c r="E935" s="162">
        <v>63</v>
      </c>
      <c r="F935" s="162"/>
      <c r="G935" s="165"/>
      <c r="H935" s="20">
        <v>121</v>
      </c>
      <c r="I935"/>
    </row>
    <row r="936" spans="1:9" x14ac:dyDescent="0.25">
      <c r="A936" s="228">
        <v>41946</v>
      </c>
      <c r="B936" s="161" t="s">
        <v>855</v>
      </c>
      <c r="C936" t="s">
        <v>856</v>
      </c>
      <c r="D936" t="s">
        <v>33</v>
      </c>
      <c r="E936" s="162">
        <v>2.5</v>
      </c>
      <c r="F936" s="162">
        <v>21.61</v>
      </c>
      <c r="G936" s="165">
        <v>54.024999999999999</v>
      </c>
      <c r="H936" s="20">
        <v>121</v>
      </c>
      <c r="I936"/>
    </row>
    <row r="937" spans="1:9" x14ac:dyDescent="0.25">
      <c r="A937" s="228">
        <v>41947</v>
      </c>
      <c r="B937" s="161" t="s">
        <v>642</v>
      </c>
      <c r="C937" t="s">
        <v>1046</v>
      </c>
      <c r="D937" t="s">
        <v>33</v>
      </c>
      <c r="E937" s="162">
        <v>64.05</v>
      </c>
      <c r="F937" s="162"/>
      <c r="G937" s="165"/>
      <c r="H937" s="20">
        <v>121</v>
      </c>
      <c r="I937"/>
    </row>
    <row r="938" spans="1:9" x14ac:dyDescent="0.25">
      <c r="A938" s="228">
        <v>41947</v>
      </c>
      <c r="B938" s="161" t="s">
        <v>855</v>
      </c>
      <c r="C938" t="s">
        <v>856</v>
      </c>
      <c r="D938" t="s">
        <v>33</v>
      </c>
      <c r="E938" s="162">
        <v>6</v>
      </c>
      <c r="F938" s="162">
        <v>21.61</v>
      </c>
      <c r="G938" s="165">
        <v>129.66</v>
      </c>
      <c r="H938" s="20">
        <v>121</v>
      </c>
      <c r="I938"/>
    </row>
    <row r="939" spans="1:9" x14ac:dyDescent="0.25">
      <c r="A939" s="228">
        <v>41947</v>
      </c>
      <c r="B939" s="161" t="s">
        <v>831</v>
      </c>
      <c r="C939" t="s">
        <v>1471</v>
      </c>
      <c r="D939" t="s">
        <v>832</v>
      </c>
      <c r="E939" s="162">
        <v>2</v>
      </c>
      <c r="F939" s="162">
        <v>54.58</v>
      </c>
      <c r="G939" s="165">
        <v>109.16</v>
      </c>
      <c r="H939" s="20">
        <v>121</v>
      </c>
      <c r="I939"/>
    </row>
    <row r="940" spans="1:9" x14ac:dyDescent="0.25">
      <c r="A940" s="228">
        <v>41949</v>
      </c>
      <c r="B940" s="161" t="s">
        <v>870</v>
      </c>
      <c r="C940" t="s">
        <v>871</v>
      </c>
      <c r="D940" t="s">
        <v>33</v>
      </c>
      <c r="E940" s="162">
        <v>1</v>
      </c>
      <c r="F940" s="162">
        <v>42.79</v>
      </c>
      <c r="G940" s="165">
        <v>42.79</v>
      </c>
      <c r="H940" s="20">
        <v>121</v>
      </c>
      <c r="I940"/>
    </row>
    <row r="941" spans="1:9" x14ac:dyDescent="0.25">
      <c r="A941" s="228">
        <v>41950</v>
      </c>
      <c r="B941" s="161" t="s">
        <v>843</v>
      </c>
      <c r="C941" t="s">
        <v>8</v>
      </c>
      <c r="D941" t="s">
        <v>33</v>
      </c>
      <c r="E941" s="162">
        <v>3</v>
      </c>
      <c r="F941" s="162">
        <v>35.11</v>
      </c>
      <c r="G941" s="165">
        <v>105.33</v>
      </c>
      <c r="H941" s="20">
        <v>121</v>
      </c>
      <c r="I941"/>
    </row>
    <row r="942" spans="1:9" x14ac:dyDescent="0.25">
      <c r="A942" s="228">
        <v>41950</v>
      </c>
      <c r="B942" s="161" t="s">
        <v>870</v>
      </c>
      <c r="C942" t="s">
        <v>871</v>
      </c>
      <c r="D942" t="s">
        <v>33</v>
      </c>
      <c r="E942" s="162">
        <v>1</v>
      </c>
      <c r="F942" s="162">
        <v>42.79</v>
      </c>
      <c r="G942" s="165">
        <v>42.79</v>
      </c>
      <c r="H942" s="20">
        <v>121</v>
      </c>
      <c r="I942"/>
    </row>
    <row r="943" spans="1:9" x14ac:dyDescent="0.25">
      <c r="A943" s="228">
        <v>41953</v>
      </c>
      <c r="B943" s="161" t="s">
        <v>843</v>
      </c>
      <c r="C943" t="s">
        <v>8</v>
      </c>
      <c r="D943" t="s">
        <v>33</v>
      </c>
      <c r="E943" s="162">
        <v>4</v>
      </c>
      <c r="F943" s="162">
        <v>35.11</v>
      </c>
      <c r="G943" s="165">
        <v>140.44</v>
      </c>
      <c r="H943" s="20">
        <v>121</v>
      </c>
      <c r="I943"/>
    </row>
    <row r="944" spans="1:9" x14ac:dyDescent="0.25">
      <c r="A944" s="228">
        <v>41953</v>
      </c>
      <c r="B944" s="161" t="s">
        <v>831</v>
      </c>
      <c r="C944" t="s">
        <v>1471</v>
      </c>
      <c r="D944" t="s">
        <v>832</v>
      </c>
      <c r="E944" s="162">
        <v>4</v>
      </c>
      <c r="F944" s="162">
        <v>54.58</v>
      </c>
      <c r="G944" s="165">
        <v>218.32</v>
      </c>
      <c r="H944" s="20">
        <v>121</v>
      </c>
      <c r="I944"/>
    </row>
    <row r="945" spans="1:9" x14ac:dyDescent="0.25">
      <c r="A945" s="228">
        <v>41953</v>
      </c>
      <c r="B945" s="161" t="s">
        <v>838</v>
      </c>
      <c r="C945" t="s">
        <v>8</v>
      </c>
      <c r="D945" t="s">
        <v>33</v>
      </c>
      <c r="E945" s="162">
        <v>4</v>
      </c>
      <c r="F945" s="162">
        <v>39.979999999999997</v>
      </c>
      <c r="G945" s="165">
        <v>159.91999999999999</v>
      </c>
      <c r="H945" s="20">
        <v>121</v>
      </c>
      <c r="I945"/>
    </row>
    <row r="946" spans="1:9" x14ac:dyDescent="0.25">
      <c r="A946" s="228">
        <v>41956</v>
      </c>
      <c r="B946" s="161" t="s">
        <v>831</v>
      </c>
      <c r="C946" t="s">
        <v>1471</v>
      </c>
      <c r="D946" t="s">
        <v>832</v>
      </c>
      <c r="E946" s="162">
        <v>1</v>
      </c>
      <c r="F946" s="162">
        <v>54.58</v>
      </c>
      <c r="G946" s="165">
        <v>54.58</v>
      </c>
      <c r="H946" s="20">
        <v>121</v>
      </c>
      <c r="I946"/>
    </row>
    <row r="947" spans="1:9" x14ac:dyDescent="0.25">
      <c r="A947" s="228">
        <v>41956</v>
      </c>
      <c r="B947" s="161" t="s">
        <v>841</v>
      </c>
      <c r="C947" t="s">
        <v>842</v>
      </c>
      <c r="D947" t="s">
        <v>33</v>
      </c>
      <c r="E947" s="162">
        <v>2.5</v>
      </c>
      <c r="F947" s="162">
        <v>25.78</v>
      </c>
      <c r="G947" s="165">
        <v>64.45</v>
      </c>
      <c r="H947" s="20">
        <v>121</v>
      </c>
      <c r="I947"/>
    </row>
    <row r="948" spans="1:9" x14ac:dyDescent="0.25">
      <c r="A948" s="228">
        <v>41960</v>
      </c>
      <c r="B948" s="161" t="s">
        <v>831</v>
      </c>
      <c r="C948" t="s">
        <v>1471</v>
      </c>
      <c r="D948" t="s">
        <v>832</v>
      </c>
      <c r="E948" s="162">
        <v>8.5</v>
      </c>
      <c r="F948" s="162">
        <v>54.58</v>
      </c>
      <c r="G948" s="165">
        <v>463.93</v>
      </c>
      <c r="H948" s="20">
        <v>121</v>
      </c>
      <c r="I948"/>
    </row>
    <row r="949" spans="1:9" x14ac:dyDescent="0.25">
      <c r="A949" s="228">
        <v>41960</v>
      </c>
      <c r="B949" s="161" t="s">
        <v>870</v>
      </c>
      <c r="C949" t="s">
        <v>871</v>
      </c>
      <c r="D949" t="s">
        <v>33</v>
      </c>
      <c r="E949" s="162">
        <v>2</v>
      </c>
      <c r="F949" s="162">
        <v>42.79</v>
      </c>
      <c r="G949" s="165">
        <v>85.58</v>
      </c>
      <c r="H949" s="20">
        <v>121</v>
      </c>
      <c r="I949"/>
    </row>
    <row r="950" spans="1:9" x14ac:dyDescent="0.25">
      <c r="A950" s="228">
        <v>41961</v>
      </c>
      <c r="B950" s="161" t="s">
        <v>870</v>
      </c>
      <c r="C950" t="s">
        <v>871</v>
      </c>
      <c r="D950" t="s">
        <v>33</v>
      </c>
      <c r="E950" s="162">
        <v>2</v>
      </c>
      <c r="F950" s="162">
        <v>42.79</v>
      </c>
      <c r="G950" s="165">
        <v>85.58</v>
      </c>
      <c r="H950" s="20">
        <v>121</v>
      </c>
      <c r="I950"/>
    </row>
    <row r="951" spans="1:9" x14ac:dyDescent="0.25">
      <c r="A951" s="228">
        <v>41961</v>
      </c>
      <c r="B951" s="161" t="s">
        <v>831</v>
      </c>
      <c r="C951" t="s">
        <v>1471</v>
      </c>
      <c r="D951" t="s">
        <v>832</v>
      </c>
      <c r="E951" s="162">
        <v>1</v>
      </c>
      <c r="F951" s="162">
        <v>54.58</v>
      </c>
      <c r="G951" s="165">
        <v>54.58</v>
      </c>
      <c r="H951" s="20">
        <v>121</v>
      </c>
      <c r="I951"/>
    </row>
    <row r="952" spans="1:9" x14ac:dyDescent="0.25">
      <c r="A952" s="228">
        <v>41962</v>
      </c>
      <c r="B952" s="161" t="s">
        <v>870</v>
      </c>
      <c r="C952" t="s">
        <v>871</v>
      </c>
      <c r="D952" t="s">
        <v>33</v>
      </c>
      <c r="E952" s="162">
        <v>2</v>
      </c>
      <c r="F952" s="162">
        <v>42.79</v>
      </c>
      <c r="G952" s="165">
        <v>85.58</v>
      </c>
      <c r="H952" s="20">
        <v>121</v>
      </c>
      <c r="I952"/>
    </row>
    <row r="953" spans="1:9" x14ac:dyDescent="0.25">
      <c r="A953" s="228">
        <v>41962</v>
      </c>
      <c r="B953" s="161" t="s">
        <v>831</v>
      </c>
      <c r="C953" t="s">
        <v>1471</v>
      </c>
      <c r="D953" t="s">
        <v>832</v>
      </c>
      <c r="E953" s="162">
        <v>4</v>
      </c>
      <c r="F953" s="162">
        <v>54.58</v>
      </c>
      <c r="G953" s="165">
        <v>218.32</v>
      </c>
      <c r="H953" s="20">
        <v>121</v>
      </c>
      <c r="I953"/>
    </row>
    <row r="954" spans="1:9" x14ac:dyDescent="0.25">
      <c r="A954" s="228">
        <v>41963</v>
      </c>
      <c r="B954" s="161" t="s">
        <v>642</v>
      </c>
      <c r="C954" t="s">
        <v>1046</v>
      </c>
      <c r="D954" t="s">
        <v>33</v>
      </c>
      <c r="E954" s="162">
        <v>81</v>
      </c>
      <c r="F954" s="162"/>
      <c r="G954" s="165"/>
      <c r="H954" s="20">
        <v>121</v>
      </c>
      <c r="I954"/>
    </row>
    <row r="955" spans="1:9" x14ac:dyDescent="0.25">
      <c r="A955" s="228">
        <v>41963</v>
      </c>
      <c r="B955" s="161" t="s">
        <v>831</v>
      </c>
      <c r="C955" t="s">
        <v>1471</v>
      </c>
      <c r="D955" t="s">
        <v>832</v>
      </c>
      <c r="E955" s="162">
        <v>8</v>
      </c>
      <c r="F955" s="162">
        <v>54.58</v>
      </c>
      <c r="G955" s="165">
        <v>436.64</v>
      </c>
      <c r="H955" s="20">
        <v>121</v>
      </c>
      <c r="I955"/>
    </row>
    <row r="956" spans="1:9" x14ac:dyDescent="0.25">
      <c r="A956" s="228">
        <v>41963</v>
      </c>
      <c r="B956" s="161" t="s">
        <v>870</v>
      </c>
      <c r="C956" t="s">
        <v>871</v>
      </c>
      <c r="D956" t="s">
        <v>33</v>
      </c>
      <c r="E956" s="162">
        <v>6</v>
      </c>
      <c r="F956" s="162">
        <v>42.79</v>
      </c>
      <c r="G956" s="165">
        <v>256.74</v>
      </c>
      <c r="H956" s="20">
        <v>121</v>
      </c>
      <c r="I956"/>
    </row>
    <row r="957" spans="1:9" x14ac:dyDescent="0.25">
      <c r="A957" s="228">
        <v>41964</v>
      </c>
      <c r="B957" s="161" t="s">
        <v>831</v>
      </c>
      <c r="C957" t="s">
        <v>1471</v>
      </c>
      <c r="D957" t="s">
        <v>832</v>
      </c>
      <c r="E957" s="162">
        <v>6</v>
      </c>
      <c r="F957" s="162">
        <v>54.58</v>
      </c>
      <c r="G957" s="165">
        <v>327.48</v>
      </c>
      <c r="H957" s="20">
        <v>121</v>
      </c>
      <c r="I957"/>
    </row>
    <row r="958" spans="1:9" x14ac:dyDescent="0.25">
      <c r="A958" s="228">
        <v>41964</v>
      </c>
      <c r="B958" s="161" t="s">
        <v>870</v>
      </c>
      <c r="C958" t="s">
        <v>871</v>
      </c>
      <c r="D958" t="s">
        <v>33</v>
      </c>
      <c r="E958" s="162">
        <v>6</v>
      </c>
      <c r="F958" s="162">
        <v>42.79</v>
      </c>
      <c r="G958" s="165">
        <v>256.74</v>
      </c>
      <c r="H958" s="20">
        <v>121</v>
      </c>
      <c r="I958"/>
    </row>
    <row r="959" spans="1:9" x14ac:dyDescent="0.25">
      <c r="A959" s="228">
        <v>41964</v>
      </c>
      <c r="B959" s="161" t="s">
        <v>642</v>
      </c>
      <c r="C959" t="s">
        <v>1046</v>
      </c>
      <c r="D959" t="s">
        <v>33</v>
      </c>
      <c r="E959" s="162">
        <v>56</v>
      </c>
      <c r="F959" s="162"/>
      <c r="G959" s="165"/>
      <c r="H959" s="20">
        <v>121</v>
      </c>
      <c r="I959"/>
    </row>
    <row r="960" spans="1:9" x14ac:dyDescent="0.25">
      <c r="A960" s="228">
        <v>41968</v>
      </c>
      <c r="B960" s="161" t="s">
        <v>642</v>
      </c>
      <c r="C960" t="s">
        <v>1046</v>
      </c>
      <c r="D960" t="s">
        <v>33</v>
      </c>
      <c r="E960" s="162">
        <v>81</v>
      </c>
      <c r="F960" s="162"/>
      <c r="G960" s="165"/>
      <c r="H960" s="20">
        <v>121</v>
      </c>
      <c r="I960"/>
    </row>
    <row r="961" spans="1:9" x14ac:dyDescent="0.25">
      <c r="A961" s="228">
        <v>41968</v>
      </c>
      <c r="B961" s="161" t="s">
        <v>831</v>
      </c>
      <c r="C961" t="s">
        <v>1471</v>
      </c>
      <c r="D961" t="s">
        <v>832</v>
      </c>
      <c r="E961" s="162">
        <v>9</v>
      </c>
      <c r="F961" s="162">
        <v>54.58</v>
      </c>
      <c r="G961" s="165">
        <v>491.22</v>
      </c>
      <c r="H961" s="20">
        <v>121</v>
      </c>
      <c r="I961"/>
    </row>
    <row r="962" spans="1:9" x14ac:dyDescent="0.25">
      <c r="A962" s="228">
        <v>41968</v>
      </c>
      <c r="B962" s="161" t="s">
        <v>831</v>
      </c>
      <c r="C962" t="s">
        <v>1471</v>
      </c>
      <c r="D962" t="s">
        <v>832</v>
      </c>
      <c r="E962" s="162">
        <v>3.5</v>
      </c>
      <c r="F962" s="162">
        <v>54.58</v>
      </c>
      <c r="G962" s="165">
        <v>191.03</v>
      </c>
      <c r="H962" s="20">
        <v>121</v>
      </c>
      <c r="I962"/>
    </row>
    <row r="963" spans="1:9" x14ac:dyDescent="0.25">
      <c r="A963" s="228">
        <v>41968</v>
      </c>
      <c r="B963" s="161" t="s">
        <v>870</v>
      </c>
      <c r="C963" t="s">
        <v>871</v>
      </c>
      <c r="D963" t="s">
        <v>33</v>
      </c>
      <c r="E963" s="162">
        <v>9</v>
      </c>
      <c r="F963" s="162">
        <v>42.79</v>
      </c>
      <c r="G963" s="165">
        <v>385.11</v>
      </c>
      <c r="H963" s="20">
        <v>121</v>
      </c>
      <c r="I963"/>
    </row>
    <row r="964" spans="1:9" x14ac:dyDescent="0.25">
      <c r="A964" s="228">
        <v>41969</v>
      </c>
      <c r="B964" s="161" t="s">
        <v>831</v>
      </c>
      <c r="C964" t="s">
        <v>1471</v>
      </c>
      <c r="D964" t="s">
        <v>832</v>
      </c>
      <c r="E964" s="162">
        <v>2</v>
      </c>
      <c r="F964" s="162">
        <v>54.58</v>
      </c>
      <c r="G964" s="165">
        <v>109.16</v>
      </c>
      <c r="H964" s="20">
        <v>121</v>
      </c>
      <c r="I964"/>
    </row>
    <row r="965" spans="1:9" x14ac:dyDescent="0.25">
      <c r="A965" s="228">
        <v>41969</v>
      </c>
      <c r="B965" s="161" t="s">
        <v>642</v>
      </c>
      <c r="C965" t="s">
        <v>1046</v>
      </c>
      <c r="D965" t="s">
        <v>33</v>
      </c>
      <c r="E965" s="162">
        <v>81</v>
      </c>
      <c r="F965" s="162"/>
      <c r="G965" s="165"/>
      <c r="H965" s="20">
        <v>121</v>
      </c>
      <c r="I965"/>
    </row>
    <row r="966" spans="1:9" x14ac:dyDescent="0.25">
      <c r="A966" s="228">
        <v>41970</v>
      </c>
      <c r="B966" s="161" t="s">
        <v>870</v>
      </c>
      <c r="C966" t="s">
        <v>871</v>
      </c>
      <c r="D966" t="s">
        <v>33</v>
      </c>
      <c r="E966" s="162">
        <v>3</v>
      </c>
      <c r="F966" s="162">
        <v>42.79</v>
      </c>
      <c r="G966" s="165">
        <v>128.37</v>
      </c>
      <c r="H966" s="20">
        <v>121</v>
      </c>
      <c r="I966"/>
    </row>
    <row r="967" spans="1:9" x14ac:dyDescent="0.25">
      <c r="A967" s="228">
        <v>41970</v>
      </c>
      <c r="B967" s="161" t="s">
        <v>642</v>
      </c>
      <c r="C967" t="s">
        <v>1046</v>
      </c>
      <c r="D967" t="s">
        <v>33</v>
      </c>
      <c r="E967" s="162">
        <v>81</v>
      </c>
      <c r="F967" s="162"/>
      <c r="G967" s="165"/>
      <c r="H967" s="20">
        <v>121</v>
      </c>
      <c r="I967"/>
    </row>
    <row r="968" spans="1:9" x14ac:dyDescent="0.25">
      <c r="A968" s="228">
        <v>41970</v>
      </c>
      <c r="B968" s="161" t="s">
        <v>831</v>
      </c>
      <c r="C968" t="s">
        <v>1471</v>
      </c>
      <c r="D968" t="s">
        <v>832</v>
      </c>
      <c r="E968" s="162">
        <v>10</v>
      </c>
      <c r="F968" s="162">
        <v>54.58</v>
      </c>
      <c r="G968" s="165">
        <v>545.79999999999995</v>
      </c>
      <c r="H968" s="20">
        <v>121</v>
      </c>
      <c r="I968"/>
    </row>
    <row r="969" spans="1:9" x14ac:dyDescent="0.25">
      <c r="A969" s="228">
        <v>41971</v>
      </c>
      <c r="B969" s="161" t="s">
        <v>870</v>
      </c>
      <c r="C969" t="s">
        <v>871</v>
      </c>
      <c r="D969" t="s">
        <v>33</v>
      </c>
      <c r="E969" s="162">
        <v>4</v>
      </c>
      <c r="F969" s="162">
        <v>42.79</v>
      </c>
      <c r="G969" s="165">
        <v>171.16</v>
      </c>
      <c r="H969" s="20">
        <v>121</v>
      </c>
      <c r="I969"/>
    </row>
    <row r="970" spans="1:9" x14ac:dyDescent="0.25">
      <c r="A970" s="228">
        <v>41971</v>
      </c>
      <c r="B970" s="161" t="s">
        <v>642</v>
      </c>
      <c r="C970" t="s">
        <v>1046</v>
      </c>
      <c r="D970" t="s">
        <v>33</v>
      </c>
      <c r="E970" s="162">
        <v>80</v>
      </c>
      <c r="F970" s="162"/>
      <c r="G970" s="165"/>
      <c r="H970" s="20">
        <v>121</v>
      </c>
      <c r="I970"/>
    </row>
    <row r="971" spans="1:9" x14ac:dyDescent="0.25">
      <c r="A971" s="228">
        <v>41971</v>
      </c>
      <c r="B971" s="161" t="s">
        <v>831</v>
      </c>
      <c r="C971" t="s">
        <v>1471</v>
      </c>
      <c r="D971" t="s">
        <v>832</v>
      </c>
      <c r="E971" s="162">
        <v>4</v>
      </c>
      <c r="F971" s="162">
        <v>54.58</v>
      </c>
      <c r="G971" s="165">
        <v>218.32</v>
      </c>
      <c r="H971" s="20">
        <v>121</v>
      </c>
      <c r="I971"/>
    </row>
    <row r="972" spans="1:9" x14ac:dyDescent="0.25">
      <c r="A972" s="228">
        <v>41973</v>
      </c>
      <c r="B972" s="161" t="s">
        <v>1052</v>
      </c>
      <c r="C972" t="s">
        <v>921</v>
      </c>
      <c r="D972" t="s">
        <v>382</v>
      </c>
      <c r="E972" s="162">
        <v>0.2472</v>
      </c>
      <c r="F972" s="162">
        <v>3820.46</v>
      </c>
      <c r="G972" s="165">
        <v>944.41771200000005</v>
      </c>
      <c r="H972" s="20">
        <v>121</v>
      </c>
      <c r="I972"/>
    </row>
    <row r="973" spans="1:9" x14ac:dyDescent="0.25">
      <c r="A973" s="228">
        <v>41973</v>
      </c>
      <c r="B973" s="161" t="s">
        <v>1052</v>
      </c>
      <c r="C973" t="s">
        <v>921</v>
      </c>
      <c r="D973" t="s">
        <v>382</v>
      </c>
      <c r="E973" s="162">
        <v>0.3</v>
      </c>
      <c r="F973" s="162">
        <v>80346.600000000006</v>
      </c>
      <c r="G973" s="165">
        <v>24103.98</v>
      </c>
      <c r="H973" s="20">
        <v>121</v>
      </c>
      <c r="I973"/>
    </row>
    <row r="974" spans="1:9" x14ac:dyDescent="0.25">
      <c r="A974" s="228">
        <v>41973</v>
      </c>
      <c r="B974" s="161" t="s">
        <v>1052</v>
      </c>
      <c r="C974" t="s">
        <v>921</v>
      </c>
      <c r="D974" t="s">
        <v>382</v>
      </c>
      <c r="E974" s="162">
        <v>0.73250000000000004</v>
      </c>
      <c r="F974" s="162">
        <v>189402.18</v>
      </c>
      <c r="G974" s="165">
        <v>138737.09685</v>
      </c>
      <c r="H974" s="20">
        <v>121</v>
      </c>
      <c r="I974"/>
    </row>
    <row r="975" spans="1:9" x14ac:dyDescent="0.25">
      <c r="A975" s="228">
        <v>41973</v>
      </c>
      <c r="B975" s="161" t="s">
        <v>1052</v>
      </c>
      <c r="C975" t="s">
        <v>921</v>
      </c>
      <c r="D975" t="s">
        <v>382</v>
      </c>
      <c r="E975" s="162">
        <v>0.26229999999999998</v>
      </c>
      <c r="F975" s="162">
        <v>10227.27</v>
      </c>
      <c r="G975" s="165">
        <v>2682.6129209999999</v>
      </c>
      <c r="H975" s="20">
        <v>121</v>
      </c>
      <c r="I975"/>
    </row>
    <row r="976" spans="1:9" x14ac:dyDescent="0.25">
      <c r="A976" s="228">
        <v>41973</v>
      </c>
      <c r="B976" s="161" t="s">
        <v>1052</v>
      </c>
      <c r="C976" t="s">
        <v>921</v>
      </c>
      <c r="D976" t="s">
        <v>382</v>
      </c>
      <c r="E976" s="162">
        <v>0.54800000000000004</v>
      </c>
      <c r="F976" s="162">
        <v>22088.41</v>
      </c>
      <c r="G976" s="165">
        <v>12104.44868</v>
      </c>
      <c r="H976" s="20">
        <v>121</v>
      </c>
      <c r="I976"/>
    </row>
    <row r="977" spans="1:9" x14ac:dyDescent="0.25">
      <c r="A977" s="228">
        <v>41974</v>
      </c>
      <c r="B977" s="161" t="s">
        <v>831</v>
      </c>
      <c r="C977" t="s">
        <v>1471</v>
      </c>
      <c r="D977" t="s">
        <v>832</v>
      </c>
      <c r="E977" s="162">
        <v>2</v>
      </c>
      <c r="F977" s="162">
        <v>54.58</v>
      </c>
      <c r="G977" s="165">
        <v>109.16</v>
      </c>
      <c r="H977" s="20">
        <v>121</v>
      </c>
      <c r="I977"/>
    </row>
    <row r="978" spans="1:9" x14ac:dyDescent="0.25">
      <c r="A978" s="228">
        <v>41974</v>
      </c>
      <c r="B978" s="161" t="s">
        <v>642</v>
      </c>
      <c r="C978" t="s">
        <v>1046</v>
      </c>
      <c r="D978" t="s">
        <v>33</v>
      </c>
      <c r="E978" s="162">
        <v>25</v>
      </c>
      <c r="F978" s="162"/>
      <c r="G978" s="165"/>
      <c r="H978" s="20">
        <v>121</v>
      </c>
      <c r="I978"/>
    </row>
    <row r="979" spans="1:9" x14ac:dyDescent="0.25">
      <c r="A979" s="228">
        <v>41974</v>
      </c>
      <c r="B979" s="161" t="s">
        <v>870</v>
      </c>
      <c r="C979" t="s">
        <v>871</v>
      </c>
      <c r="D979" t="s">
        <v>33</v>
      </c>
      <c r="E979" s="162">
        <v>4</v>
      </c>
      <c r="F979" s="162">
        <v>42.79</v>
      </c>
      <c r="G979" s="165">
        <v>171.16</v>
      </c>
      <c r="H979" s="20">
        <v>121</v>
      </c>
      <c r="I979"/>
    </row>
    <row r="980" spans="1:9" x14ac:dyDescent="0.25">
      <c r="A980" s="228">
        <v>41975</v>
      </c>
      <c r="B980" s="161" t="s">
        <v>642</v>
      </c>
      <c r="C980" t="s">
        <v>1046</v>
      </c>
      <c r="D980" t="s">
        <v>33</v>
      </c>
      <c r="E980" s="162">
        <v>54</v>
      </c>
      <c r="F980" s="162"/>
      <c r="G980" s="165"/>
      <c r="H980" s="20">
        <v>121</v>
      </c>
      <c r="I980"/>
    </row>
    <row r="981" spans="1:9" ht="45" x14ac:dyDescent="0.25">
      <c r="A981" s="228">
        <v>41975</v>
      </c>
      <c r="B981" s="161" t="s">
        <v>1053</v>
      </c>
      <c r="C981" t="s">
        <v>1046</v>
      </c>
      <c r="D981" t="s">
        <v>747</v>
      </c>
      <c r="E981" s="162"/>
      <c r="F981" s="162">
        <v>178572.54</v>
      </c>
      <c r="G981" s="165"/>
      <c r="H981" s="20">
        <v>121</v>
      </c>
      <c r="I981"/>
    </row>
    <row r="982" spans="1:9" x14ac:dyDescent="0.25">
      <c r="A982" s="228">
        <v>41976</v>
      </c>
      <c r="B982" s="161" t="s">
        <v>642</v>
      </c>
      <c r="C982" t="s">
        <v>1046</v>
      </c>
      <c r="D982" t="s">
        <v>33</v>
      </c>
      <c r="E982" s="162">
        <v>54</v>
      </c>
      <c r="F982" s="162"/>
      <c r="G982" s="165"/>
      <c r="H982" s="20">
        <v>121</v>
      </c>
      <c r="I982"/>
    </row>
    <row r="983" spans="1:9" x14ac:dyDescent="0.25">
      <c r="A983" s="228">
        <v>41977</v>
      </c>
      <c r="B983" s="161" t="s">
        <v>642</v>
      </c>
      <c r="C983" t="s">
        <v>1046</v>
      </c>
      <c r="D983" t="s">
        <v>33</v>
      </c>
      <c r="E983" s="162">
        <v>84.5</v>
      </c>
      <c r="F983" s="162"/>
      <c r="G983" s="165"/>
      <c r="H983" s="20">
        <v>121</v>
      </c>
      <c r="I983"/>
    </row>
    <row r="984" spans="1:9" x14ac:dyDescent="0.25">
      <c r="A984" s="228">
        <v>41977</v>
      </c>
      <c r="B984" s="161" t="s">
        <v>831</v>
      </c>
      <c r="C984" t="s">
        <v>1471</v>
      </c>
      <c r="D984" t="s">
        <v>832</v>
      </c>
      <c r="E984" s="162">
        <v>2.5</v>
      </c>
      <c r="F984" s="162">
        <v>54.58</v>
      </c>
      <c r="G984" s="165">
        <v>136.44999999999999</v>
      </c>
      <c r="H984" s="20">
        <v>121</v>
      </c>
      <c r="I984"/>
    </row>
    <row r="985" spans="1:9" x14ac:dyDescent="0.25">
      <c r="A985" s="228">
        <v>41977</v>
      </c>
      <c r="B985" s="161" t="s">
        <v>829</v>
      </c>
      <c r="C985" t="s">
        <v>830</v>
      </c>
      <c r="D985" t="s">
        <v>33</v>
      </c>
      <c r="E985" s="162">
        <v>2.5</v>
      </c>
      <c r="F985" s="162">
        <v>110</v>
      </c>
      <c r="G985" s="165">
        <v>275</v>
      </c>
      <c r="H985" s="20">
        <v>121</v>
      </c>
      <c r="I985"/>
    </row>
    <row r="986" spans="1:9" x14ac:dyDescent="0.25">
      <c r="A986" s="228">
        <v>41978</v>
      </c>
      <c r="B986" s="161" t="s">
        <v>642</v>
      </c>
      <c r="C986" t="s">
        <v>1046</v>
      </c>
      <c r="D986" t="s">
        <v>33</v>
      </c>
      <c r="E986" s="162">
        <v>25.35</v>
      </c>
      <c r="F986" s="162"/>
      <c r="G986" s="165"/>
      <c r="H986" s="20">
        <v>121</v>
      </c>
      <c r="I986"/>
    </row>
    <row r="987" spans="1:9" x14ac:dyDescent="0.25">
      <c r="A987" s="228">
        <v>41978</v>
      </c>
      <c r="B987" s="161" t="s">
        <v>870</v>
      </c>
      <c r="C987" t="s">
        <v>871</v>
      </c>
      <c r="D987" t="s">
        <v>33</v>
      </c>
      <c r="E987" s="162">
        <v>2.5</v>
      </c>
      <c r="F987" s="162">
        <v>42.79</v>
      </c>
      <c r="G987" s="165">
        <v>106.97499999999999</v>
      </c>
      <c r="H987" s="20">
        <v>121</v>
      </c>
      <c r="I987"/>
    </row>
    <row r="988" spans="1:9" x14ac:dyDescent="0.25">
      <c r="A988" s="228">
        <v>41978</v>
      </c>
      <c r="B988" s="161" t="s">
        <v>831</v>
      </c>
      <c r="C988" t="s">
        <v>1471</v>
      </c>
      <c r="D988" t="s">
        <v>832</v>
      </c>
      <c r="E988" s="162">
        <v>2.5</v>
      </c>
      <c r="F988" s="162">
        <v>54.58</v>
      </c>
      <c r="G988" s="165">
        <v>136.44999999999999</v>
      </c>
      <c r="H988" s="20">
        <v>121</v>
      </c>
      <c r="I988"/>
    </row>
    <row r="989" spans="1:9" x14ac:dyDescent="0.25">
      <c r="A989" s="228">
        <v>41981</v>
      </c>
      <c r="B989" s="161" t="s">
        <v>642</v>
      </c>
      <c r="C989" t="s">
        <v>1046</v>
      </c>
      <c r="D989" t="s">
        <v>33</v>
      </c>
      <c r="E989" s="162">
        <v>16</v>
      </c>
      <c r="F989" s="162"/>
      <c r="G989" s="165"/>
      <c r="H989" s="20">
        <v>121</v>
      </c>
      <c r="I989"/>
    </row>
    <row r="990" spans="1:9" x14ac:dyDescent="0.25">
      <c r="A990" s="228">
        <v>41982</v>
      </c>
      <c r="B990" s="161" t="s">
        <v>642</v>
      </c>
      <c r="C990" t="s">
        <v>1046</v>
      </c>
      <c r="D990" t="s">
        <v>33</v>
      </c>
      <c r="E990" s="162">
        <v>2</v>
      </c>
      <c r="F990" s="162"/>
      <c r="G990" s="165"/>
      <c r="H990" s="20">
        <v>121</v>
      </c>
      <c r="I990"/>
    </row>
    <row r="991" spans="1:9" x14ac:dyDescent="0.25">
      <c r="A991" s="228">
        <v>41983</v>
      </c>
      <c r="B991" s="161" t="s">
        <v>642</v>
      </c>
      <c r="C991" t="s">
        <v>1046</v>
      </c>
      <c r="D991" t="s">
        <v>33</v>
      </c>
      <c r="E991" s="162">
        <v>41</v>
      </c>
      <c r="F991" s="162"/>
      <c r="G991" s="165"/>
      <c r="H991" s="20">
        <v>121</v>
      </c>
      <c r="I991"/>
    </row>
    <row r="992" spans="1:9" x14ac:dyDescent="0.25">
      <c r="A992" s="228">
        <v>41983</v>
      </c>
      <c r="B992" s="161" t="s">
        <v>831</v>
      </c>
      <c r="C992" t="s">
        <v>1471</v>
      </c>
      <c r="D992" t="s">
        <v>832</v>
      </c>
      <c r="E992" s="162">
        <v>3</v>
      </c>
      <c r="F992" s="162">
        <v>54.58</v>
      </c>
      <c r="G992" s="165">
        <v>163.74</v>
      </c>
      <c r="H992" s="20">
        <v>121</v>
      </c>
      <c r="I992"/>
    </row>
    <row r="993" spans="1:9" x14ac:dyDescent="0.25">
      <c r="A993" s="228">
        <v>41984</v>
      </c>
      <c r="B993" s="161" t="s">
        <v>831</v>
      </c>
      <c r="C993" t="s">
        <v>1471</v>
      </c>
      <c r="D993" t="s">
        <v>832</v>
      </c>
      <c r="E993" s="162">
        <v>3</v>
      </c>
      <c r="F993" s="162">
        <v>54.58</v>
      </c>
      <c r="G993" s="165">
        <v>163.74</v>
      </c>
      <c r="H993" s="20">
        <v>121</v>
      </c>
      <c r="I993"/>
    </row>
    <row r="994" spans="1:9" x14ac:dyDescent="0.25">
      <c r="A994" s="228">
        <v>41984</v>
      </c>
      <c r="B994" s="161" t="s">
        <v>642</v>
      </c>
      <c r="C994" t="s">
        <v>1046</v>
      </c>
      <c r="D994" t="s">
        <v>33</v>
      </c>
      <c r="E994" s="162">
        <v>68</v>
      </c>
      <c r="F994" s="162"/>
      <c r="G994" s="165"/>
      <c r="H994" s="20">
        <v>121</v>
      </c>
      <c r="I994"/>
    </row>
    <row r="995" spans="1:9" x14ac:dyDescent="0.25">
      <c r="A995" s="228">
        <v>41984</v>
      </c>
      <c r="B995" s="161" t="s">
        <v>870</v>
      </c>
      <c r="C995" t="s">
        <v>871</v>
      </c>
      <c r="D995" t="s">
        <v>33</v>
      </c>
      <c r="E995" s="162">
        <v>3</v>
      </c>
      <c r="F995" s="162">
        <v>42.79</v>
      </c>
      <c r="G995" s="165">
        <v>128.37</v>
      </c>
      <c r="H995" s="20">
        <v>121</v>
      </c>
      <c r="I995"/>
    </row>
    <row r="996" spans="1:9" x14ac:dyDescent="0.25">
      <c r="A996" s="228">
        <v>41985</v>
      </c>
      <c r="B996" s="161" t="s">
        <v>870</v>
      </c>
      <c r="C996" t="s">
        <v>871</v>
      </c>
      <c r="D996" t="s">
        <v>33</v>
      </c>
      <c r="E996" s="162">
        <v>3</v>
      </c>
      <c r="F996" s="162">
        <v>42.79</v>
      </c>
      <c r="G996" s="165">
        <v>128.37</v>
      </c>
      <c r="H996" s="20">
        <v>121</v>
      </c>
      <c r="I996"/>
    </row>
    <row r="997" spans="1:9" x14ac:dyDescent="0.25">
      <c r="A997" s="228">
        <v>41985</v>
      </c>
      <c r="B997" s="161" t="s">
        <v>642</v>
      </c>
      <c r="C997" t="s">
        <v>1046</v>
      </c>
      <c r="D997" t="s">
        <v>33</v>
      </c>
      <c r="E997" s="162">
        <v>6</v>
      </c>
      <c r="F997" s="162"/>
      <c r="G997" s="165"/>
      <c r="H997" s="20">
        <v>121</v>
      </c>
      <c r="I997"/>
    </row>
    <row r="998" spans="1:9" x14ac:dyDescent="0.25">
      <c r="A998" s="228">
        <v>41988</v>
      </c>
      <c r="B998" s="161" t="s">
        <v>870</v>
      </c>
      <c r="C998" t="s">
        <v>871</v>
      </c>
      <c r="D998" t="s">
        <v>33</v>
      </c>
      <c r="E998" s="162">
        <v>3</v>
      </c>
      <c r="F998" s="162">
        <v>42.79</v>
      </c>
      <c r="G998" s="165">
        <v>128.37</v>
      </c>
      <c r="H998" s="20">
        <v>121</v>
      </c>
      <c r="I998"/>
    </row>
    <row r="999" spans="1:9" x14ac:dyDescent="0.25">
      <c r="A999" s="228">
        <v>41988</v>
      </c>
      <c r="B999" s="161" t="s">
        <v>642</v>
      </c>
      <c r="C999" t="s">
        <v>1046</v>
      </c>
      <c r="D999" t="s">
        <v>33</v>
      </c>
      <c r="E999" s="162">
        <v>27</v>
      </c>
      <c r="F999" s="162"/>
      <c r="G999" s="165"/>
      <c r="H999" s="20">
        <v>121</v>
      </c>
      <c r="I999"/>
    </row>
    <row r="1000" spans="1:9" x14ac:dyDescent="0.25">
      <c r="A1000" s="228">
        <v>41989</v>
      </c>
      <c r="B1000" s="161" t="s">
        <v>642</v>
      </c>
      <c r="C1000" t="s">
        <v>1046</v>
      </c>
      <c r="D1000" t="s">
        <v>33</v>
      </c>
      <c r="E1000" s="162">
        <v>27</v>
      </c>
      <c r="F1000" s="162"/>
      <c r="G1000" s="165"/>
      <c r="H1000" s="20">
        <v>121</v>
      </c>
      <c r="I1000"/>
    </row>
    <row r="1001" spans="1:9" x14ac:dyDescent="0.25">
      <c r="A1001" s="228">
        <v>41989</v>
      </c>
      <c r="B1001" s="161" t="s">
        <v>831</v>
      </c>
      <c r="C1001" t="s">
        <v>1471</v>
      </c>
      <c r="D1001" t="s">
        <v>832</v>
      </c>
      <c r="E1001" s="162">
        <v>1</v>
      </c>
      <c r="F1001" s="162">
        <v>54.58</v>
      </c>
      <c r="G1001" s="165">
        <v>54.58</v>
      </c>
      <c r="H1001" s="20">
        <v>121</v>
      </c>
      <c r="I1001"/>
    </row>
    <row r="1002" spans="1:9" x14ac:dyDescent="0.25">
      <c r="A1002" s="228">
        <v>41990</v>
      </c>
      <c r="B1002" s="161" t="s">
        <v>642</v>
      </c>
      <c r="C1002" t="s">
        <v>1046</v>
      </c>
      <c r="D1002" t="s">
        <v>33</v>
      </c>
      <c r="E1002" s="162">
        <v>27</v>
      </c>
      <c r="F1002" s="162"/>
      <c r="G1002" s="165"/>
      <c r="H1002" s="20">
        <v>121</v>
      </c>
      <c r="I1002"/>
    </row>
    <row r="1003" spans="1:9" x14ac:dyDescent="0.25">
      <c r="A1003" s="228">
        <v>41990</v>
      </c>
      <c r="B1003" s="161" t="s">
        <v>831</v>
      </c>
      <c r="C1003" t="s">
        <v>1471</v>
      </c>
      <c r="D1003" t="s">
        <v>832</v>
      </c>
      <c r="E1003" s="162">
        <v>5</v>
      </c>
      <c r="F1003" s="162">
        <v>54.58</v>
      </c>
      <c r="G1003" s="165">
        <v>272.89999999999998</v>
      </c>
      <c r="H1003" s="20">
        <v>121</v>
      </c>
      <c r="I1003"/>
    </row>
    <row r="1004" spans="1:9" x14ac:dyDescent="0.25">
      <c r="A1004" s="228">
        <v>41991</v>
      </c>
      <c r="B1004" s="161" t="s">
        <v>831</v>
      </c>
      <c r="C1004" t="s">
        <v>1471</v>
      </c>
      <c r="D1004" t="s">
        <v>832</v>
      </c>
      <c r="E1004" s="162">
        <v>3</v>
      </c>
      <c r="F1004" s="162">
        <v>54.58</v>
      </c>
      <c r="G1004" s="165">
        <v>163.74</v>
      </c>
      <c r="H1004" s="20">
        <v>121</v>
      </c>
      <c r="I1004"/>
    </row>
    <row r="1005" spans="1:9" x14ac:dyDescent="0.25">
      <c r="A1005" s="228">
        <v>41991</v>
      </c>
      <c r="B1005" s="161" t="s">
        <v>642</v>
      </c>
      <c r="C1005" t="s">
        <v>1046</v>
      </c>
      <c r="D1005" t="s">
        <v>33</v>
      </c>
      <c r="E1005" s="162">
        <v>45</v>
      </c>
      <c r="F1005" s="162"/>
      <c r="G1005" s="165"/>
      <c r="H1005" s="20">
        <v>121</v>
      </c>
      <c r="I1005"/>
    </row>
    <row r="1006" spans="1:9" x14ac:dyDescent="0.25">
      <c r="A1006" s="228">
        <v>41992</v>
      </c>
      <c r="B1006" s="161" t="s">
        <v>855</v>
      </c>
      <c r="C1006" t="s">
        <v>856</v>
      </c>
      <c r="D1006" t="s">
        <v>33</v>
      </c>
      <c r="E1006" s="162">
        <v>2</v>
      </c>
      <c r="F1006" s="162">
        <v>21.61</v>
      </c>
      <c r="G1006" s="165">
        <v>43.22</v>
      </c>
      <c r="H1006" s="20">
        <v>121</v>
      </c>
      <c r="I1006"/>
    </row>
    <row r="1007" spans="1:9" x14ac:dyDescent="0.25">
      <c r="A1007" s="228">
        <v>41992</v>
      </c>
      <c r="B1007" s="161" t="s">
        <v>831</v>
      </c>
      <c r="C1007" t="s">
        <v>1471</v>
      </c>
      <c r="D1007" t="s">
        <v>832</v>
      </c>
      <c r="E1007" s="162">
        <v>5</v>
      </c>
      <c r="F1007" s="162">
        <v>54.58</v>
      </c>
      <c r="G1007" s="165">
        <v>272.89999999999998</v>
      </c>
      <c r="H1007" s="20">
        <v>121</v>
      </c>
      <c r="I1007"/>
    </row>
    <row r="1008" spans="1:9" ht="45" x14ac:dyDescent="0.25">
      <c r="A1008" s="228">
        <v>41992</v>
      </c>
      <c r="B1008" s="161" t="s">
        <v>1054</v>
      </c>
      <c r="C1008" t="s">
        <v>1046</v>
      </c>
      <c r="D1008" t="s">
        <v>747</v>
      </c>
      <c r="E1008" s="162"/>
      <c r="F1008" s="162">
        <v>43077.64</v>
      </c>
      <c r="G1008" s="165"/>
      <c r="H1008" s="20">
        <v>121</v>
      </c>
      <c r="I1008"/>
    </row>
    <row r="1009" spans="1:9" x14ac:dyDescent="0.25">
      <c r="A1009" s="228">
        <v>41992</v>
      </c>
      <c r="B1009" s="161" t="s">
        <v>642</v>
      </c>
      <c r="C1009" t="s">
        <v>1046</v>
      </c>
      <c r="D1009" t="s">
        <v>33</v>
      </c>
      <c r="E1009" s="162">
        <v>22</v>
      </c>
      <c r="F1009" s="162"/>
      <c r="G1009" s="165"/>
      <c r="H1009" s="20">
        <v>121</v>
      </c>
      <c r="I1009"/>
    </row>
    <row r="1010" spans="1:9" x14ac:dyDescent="0.25">
      <c r="A1010" s="228">
        <v>42004</v>
      </c>
      <c r="B1010" s="161" t="s">
        <v>1055</v>
      </c>
      <c r="C1010" t="s">
        <v>921</v>
      </c>
      <c r="D1010" t="s">
        <v>382</v>
      </c>
      <c r="E1010" s="162">
        <v>0.15</v>
      </c>
      <c r="F1010" s="162">
        <v>22088.41</v>
      </c>
      <c r="G1010" s="165">
        <v>3313.2615000000001</v>
      </c>
      <c r="H1010" s="20">
        <v>121</v>
      </c>
      <c r="I1010"/>
    </row>
    <row r="1011" spans="1:9" x14ac:dyDescent="0.25">
      <c r="A1011" s="228">
        <v>42004</v>
      </c>
      <c r="B1011" s="161" t="s">
        <v>1055</v>
      </c>
      <c r="C1011" t="s">
        <v>921</v>
      </c>
      <c r="D1011" t="s">
        <v>382</v>
      </c>
      <c r="E1011" s="162">
        <v>0.2</v>
      </c>
      <c r="F1011" s="162">
        <v>10227.27</v>
      </c>
      <c r="G1011" s="165">
        <v>2045.454</v>
      </c>
      <c r="H1011" s="20">
        <v>121</v>
      </c>
      <c r="I1011"/>
    </row>
    <row r="1012" spans="1:9" x14ac:dyDescent="0.25">
      <c r="A1012" s="228">
        <v>42004</v>
      </c>
      <c r="B1012" s="161" t="s">
        <v>1055</v>
      </c>
      <c r="C1012" t="s">
        <v>921</v>
      </c>
      <c r="D1012" t="s">
        <v>382</v>
      </c>
      <c r="E1012" s="162">
        <v>0.5</v>
      </c>
      <c r="F1012" s="162">
        <v>9436.36</v>
      </c>
      <c r="G1012" s="165">
        <v>4718.18</v>
      </c>
      <c r="H1012" s="20">
        <v>121</v>
      </c>
      <c r="I1012"/>
    </row>
    <row r="1013" spans="1:9" x14ac:dyDescent="0.25">
      <c r="A1013" s="228">
        <v>42004</v>
      </c>
      <c r="B1013" s="161" t="s">
        <v>1055</v>
      </c>
      <c r="C1013" t="s">
        <v>921</v>
      </c>
      <c r="D1013" t="s">
        <v>382</v>
      </c>
      <c r="E1013" s="162">
        <v>0.05</v>
      </c>
      <c r="F1013" s="162">
        <v>80346.600000000006</v>
      </c>
      <c r="G1013" s="165">
        <v>4017.33</v>
      </c>
      <c r="H1013" s="20">
        <v>121</v>
      </c>
      <c r="I1013"/>
    </row>
    <row r="1014" spans="1:9" x14ac:dyDescent="0.25">
      <c r="A1014" s="228">
        <v>42004</v>
      </c>
      <c r="B1014" s="161" t="s">
        <v>1055</v>
      </c>
      <c r="C1014" t="s">
        <v>921</v>
      </c>
      <c r="D1014" t="s">
        <v>382</v>
      </c>
      <c r="E1014" s="162">
        <v>0.15</v>
      </c>
      <c r="F1014" s="162">
        <v>3820.46</v>
      </c>
      <c r="G1014" s="165">
        <v>573.06899999999996</v>
      </c>
      <c r="H1014" s="20">
        <v>121</v>
      </c>
      <c r="I1014"/>
    </row>
    <row r="1015" spans="1:9" x14ac:dyDescent="0.25">
      <c r="A1015" s="228">
        <v>42004</v>
      </c>
      <c r="B1015" s="161" t="s">
        <v>1055</v>
      </c>
      <c r="C1015" t="s">
        <v>921</v>
      </c>
      <c r="D1015" t="s">
        <v>382</v>
      </c>
      <c r="E1015" s="162">
        <v>0.15</v>
      </c>
      <c r="F1015" s="162">
        <v>189402.18</v>
      </c>
      <c r="G1015" s="165">
        <v>28410.327000000001</v>
      </c>
      <c r="H1015" s="20">
        <v>121</v>
      </c>
      <c r="I1015"/>
    </row>
    <row r="1016" spans="1:9" x14ac:dyDescent="0.25">
      <c r="A1016" s="228">
        <v>42016</v>
      </c>
      <c r="B1016" s="161" t="s">
        <v>642</v>
      </c>
      <c r="C1016" t="s">
        <v>1046</v>
      </c>
      <c r="D1016" t="s">
        <v>33</v>
      </c>
      <c r="E1016" s="162">
        <v>57</v>
      </c>
      <c r="F1016" s="162"/>
      <c r="G1016" s="165"/>
      <c r="H1016" s="20">
        <v>121</v>
      </c>
      <c r="I1016"/>
    </row>
    <row r="1017" spans="1:9" x14ac:dyDescent="0.25">
      <c r="A1017" s="228">
        <v>42016</v>
      </c>
      <c r="B1017" s="161" t="s">
        <v>838</v>
      </c>
      <c r="C1017" t="s">
        <v>8</v>
      </c>
      <c r="D1017" t="s">
        <v>33</v>
      </c>
      <c r="E1017" s="162">
        <v>3</v>
      </c>
      <c r="F1017" s="162">
        <v>39.979999999999997</v>
      </c>
      <c r="G1017" s="165">
        <v>119.94</v>
      </c>
      <c r="H1017" s="20">
        <v>121</v>
      </c>
      <c r="I1017"/>
    </row>
    <row r="1018" spans="1:9" x14ac:dyDescent="0.25">
      <c r="A1018" s="228">
        <v>42016</v>
      </c>
      <c r="B1018" s="161" t="s">
        <v>831</v>
      </c>
      <c r="C1018" t="s">
        <v>1471</v>
      </c>
      <c r="D1018" t="s">
        <v>832</v>
      </c>
      <c r="E1018" s="162">
        <v>3</v>
      </c>
      <c r="F1018" s="162">
        <v>54.58</v>
      </c>
      <c r="G1018" s="165">
        <v>163.74</v>
      </c>
      <c r="H1018" s="20">
        <v>121</v>
      </c>
      <c r="I1018"/>
    </row>
    <row r="1019" spans="1:9" x14ac:dyDescent="0.25">
      <c r="A1019" s="228">
        <v>42017</v>
      </c>
      <c r="B1019" s="161" t="s">
        <v>642</v>
      </c>
      <c r="C1019" t="s">
        <v>1046</v>
      </c>
      <c r="D1019" t="s">
        <v>33</v>
      </c>
      <c r="E1019" s="162">
        <v>57</v>
      </c>
      <c r="F1019" s="162"/>
      <c r="G1019" s="165"/>
      <c r="H1019" s="20">
        <v>121</v>
      </c>
      <c r="I1019"/>
    </row>
    <row r="1020" spans="1:9" x14ac:dyDescent="0.25">
      <c r="A1020" s="228">
        <v>42018</v>
      </c>
      <c r="B1020" s="161" t="s">
        <v>838</v>
      </c>
      <c r="C1020" t="s">
        <v>8</v>
      </c>
      <c r="D1020" t="s">
        <v>33</v>
      </c>
      <c r="E1020" s="162">
        <v>3</v>
      </c>
      <c r="F1020" s="162">
        <v>39.979999999999997</v>
      </c>
      <c r="G1020" s="165">
        <v>119.94</v>
      </c>
      <c r="H1020" s="20">
        <v>121</v>
      </c>
      <c r="I1020"/>
    </row>
    <row r="1021" spans="1:9" x14ac:dyDescent="0.25">
      <c r="A1021" s="228">
        <v>42018</v>
      </c>
      <c r="B1021" s="161" t="s">
        <v>831</v>
      </c>
      <c r="C1021" t="s">
        <v>1471</v>
      </c>
      <c r="D1021" t="s">
        <v>832</v>
      </c>
      <c r="E1021" s="162">
        <v>3</v>
      </c>
      <c r="F1021" s="162">
        <v>54.58</v>
      </c>
      <c r="G1021" s="165">
        <v>163.74</v>
      </c>
      <c r="H1021" s="20">
        <v>121</v>
      </c>
      <c r="I1021"/>
    </row>
    <row r="1022" spans="1:9" x14ac:dyDescent="0.25">
      <c r="A1022" s="228">
        <v>42032</v>
      </c>
      <c r="B1022" s="161" t="s">
        <v>642</v>
      </c>
      <c r="C1022" t="s">
        <v>1046</v>
      </c>
      <c r="D1022" t="s">
        <v>33</v>
      </c>
      <c r="E1022" s="162">
        <v>17</v>
      </c>
      <c r="F1022" s="162"/>
      <c r="G1022" s="165"/>
      <c r="H1022" s="20">
        <v>121</v>
      </c>
      <c r="I1022"/>
    </row>
    <row r="1023" spans="1:9" x14ac:dyDescent="0.25">
      <c r="A1023" s="228">
        <v>42033</v>
      </c>
      <c r="B1023" s="161" t="s">
        <v>642</v>
      </c>
      <c r="C1023" t="s">
        <v>1046</v>
      </c>
      <c r="D1023" t="s">
        <v>33</v>
      </c>
      <c r="E1023" s="162">
        <v>9</v>
      </c>
      <c r="F1023" s="162"/>
      <c r="G1023" s="165"/>
      <c r="H1023" s="20">
        <v>121</v>
      </c>
      <c r="I1023"/>
    </row>
    <row r="1024" spans="1:9" x14ac:dyDescent="0.25">
      <c r="A1024" s="228">
        <v>42034</v>
      </c>
      <c r="B1024" s="161" t="s">
        <v>642</v>
      </c>
      <c r="C1024" t="s">
        <v>1046</v>
      </c>
      <c r="D1024" t="s">
        <v>33</v>
      </c>
      <c r="E1024" s="162">
        <v>14</v>
      </c>
      <c r="F1024" s="162"/>
      <c r="G1024" s="165"/>
      <c r="H1024" s="20">
        <v>121</v>
      </c>
      <c r="I1024"/>
    </row>
    <row r="1025" spans="1:9" x14ac:dyDescent="0.25">
      <c r="A1025" s="228">
        <v>42035</v>
      </c>
      <c r="B1025" s="161" t="s">
        <v>1056</v>
      </c>
      <c r="C1025" t="s">
        <v>921</v>
      </c>
      <c r="D1025" t="s">
        <v>382</v>
      </c>
      <c r="E1025" s="162">
        <v>0.03</v>
      </c>
      <c r="F1025" s="162">
        <v>189402.18</v>
      </c>
      <c r="G1025" s="165">
        <v>5682.0654000000004</v>
      </c>
      <c r="H1025" s="20">
        <v>121</v>
      </c>
      <c r="I1025"/>
    </row>
    <row r="1026" spans="1:9" x14ac:dyDescent="0.25">
      <c r="A1026" s="228">
        <v>42035</v>
      </c>
      <c r="B1026" s="161" t="s">
        <v>1056</v>
      </c>
      <c r="C1026" t="s">
        <v>921</v>
      </c>
      <c r="D1026" t="s">
        <v>382</v>
      </c>
      <c r="E1026" s="162">
        <v>0.25</v>
      </c>
      <c r="F1026" s="162">
        <v>22088.41</v>
      </c>
      <c r="G1026" s="165">
        <v>5522.1025</v>
      </c>
      <c r="H1026" s="20">
        <v>121</v>
      </c>
      <c r="I1026"/>
    </row>
    <row r="1027" spans="1:9" x14ac:dyDescent="0.25">
      <c r="A1027" s="228">
        <v>42035</v>
      </c>
      <c r="B1027" s="161" t="s">
        <v>1056</v>
      </c>
      <c r="C1027" t="s">
        <v>921</v>
      </c>
      <c r="D1027" t="s">
        <v>382</v>
      </c>
      <c r="E1027" s="162">
        <v>0.5</v>
      </c>
      <c r="F1027" s="162">
        <v>9436.36</v>
      </c>
      <c r="G1027" s="165">
        <v>4718.18</v>
      </c>
      <c r="H1027" s="20">
        <v>121</v>
      </c>
      <c r="I1027"/>
    </row>
    <row r="1028" spans="1:9" x14ac:dyDescent="0.25">
      <c r="A1028" s="228">
        <v>42035</v>
      </c>
      <c r="B1028" s="161" t="s">
        <v>1056</v>
      </c>
      <c r="C1028" t="s">
        <v>921</v>
      </c>
      <c r="D1028" t="s">
        <v>382</v>
      </c>
      <c r="E1028" s="162">
        <v>0.05</v>
      </c>
      <c r="F1028" s="162">
        <v>80346.600000000006</v>
      </c>
      <c r="G1028" s="165">
        <v>4017.33</v>
      </c>
      <c r="H1028" s="20">
        <v>121</v>
      </c>
      <c r="I1028"/>
    </row>
    <row r="1029" spans="1:9" x14ac:dyDescent="0.25">
      <c r="A1029" s="228">
        <v>42035</v>
      </c>
      <c r="B1029" s="161" t="s">
        <v>1056</v>
      </c>
      <c r="C1029" t="s">
        <v>921</v>
      </c>
      <c r="D1029" t="s">
        <v>382</v>
      </c>
      <c r="E1029" s="162">
        <v>0.23</v>
      </c>
      <c r="F1029" s="162">
        <v>3820.46</v>
      </c>
      <c r="G1029" s="165">
        <v>878.70579999999995</v>
      </c>
      <c r="H1029" s="20">
        <v>121</v>
      </c>
      <c r="I1029"/>
    </row>
    <row r="1030" spans="1:9" x14ac:dyDescent="0.25">
      <c r="A1030" s="228">
        <v>42035</v>
      </c>
      <c r="B1030" s="161" t="s">
        <v>1056</v>
      </c>
      <c r="C1030" t="s">
        <v>921</v>
      </c>
      <c r="D1030" t="s">
        <v>382</v>
      </c>
      <c r="E1030" s="162">
        <v>0.2</v>
      </c>
      <c r="F1030" s="162">
        <v>10227.27</v>
      </c>
      <c r="G1030" s="165">
        <v>2045.454</v>
      </c>
      <c r="H1030" s="20">
        <v>121</v>
      </c>
      <c r="I1030"/>
    </row>
    <row r="1031" spans="1:9" x14ac:dyDescent="0.25">
      <c r="A1031" s="228">
        <v>42047</v>
      </c>
      <c r="B1031" s="161" t="s">
        <v>642</v>
      </c>
      <c r="C1031" t="s">
        <v>1046</v>
      </c>
      <c r="D1031" t="s">
        <v>33</v>
      </c>
      <c r="E1031" s="162">
        <v>22</v>
      </c>
      <c r="F1031" s="162"/>
      <c r="G1031" s="165"/>
      <c r="H1031" s="20">
        <v>121</v>
      </c>
      <c r="I1031"/>
    </row>
    <row r="1032" spans="1:9" x14ac:dyDescent="0.25">
      <c r="A1032" s="228">
        <v>42094</v>
      </c>
      <c r="B1032" s="161" t="s">
        <v>1057</v>
      </c>
      <c r="C1032" t="s">
        <v>921</v>
      </c>
      <c r="D1032" t="s">
        <v>382</v>
      </c>
      <c r="E1032" s="162">
        <v>0.02</v>
      </c>
      <c r="F1032" s="162">
        <v>189402.18</v>
      </c>
      <c r="G1032" s="165">
        <v>3788.0436</v>
      </c>
      <c r="H1032" s="20">
        <v>121</v>
      </c>
      <c r="I1032"/>
    </row>
    <row r="1033" spans="1:9" x14ac:dyDescent="0.25">
      <c r="A1033" s="228">
        <v>42094</v>
      </c>
      <c r="B1033" s="161" t="s">
        <v>1057</v>
      </c>
      <c r="C1033" t="s">
        <v>921</v>
      </c>
      <c r="D1033" t="s">
        <v>382</v>
      </c>
      <c r="E1033" s="162">
        <v>1</v>
      </c>
      <c r="F1033" s="162">
        <v>2704.55</v>
      </c>
      <c r="G1033" s="165">
        <v>2704.55</v>
      </c>
      <c r="H1033" s="20">
        <v>121</v>
      </c>
      <c r="I1033"/>
    </row>
    <row r="1034" spans="1:9" x14ac:dyDescent="0.25">
      <c r="A1034" s="228">
        <v>42094</v>
      </c>
      <c r="B1034" s="161" t="s">
        <v>1057</v>
      </c>
      <c r="C1034" t="s">
        <v>921</v>
      </c>
      <c r="D1034" t="s">
        <v>54</v>
      </c>
      <c r="E1034" s="162">
        <v>2</v>
      </c>
      <c r="F1034" s="162">
        <v>1272.7249999999999</v>
      </c>
      <c r="G1034" s="165">
        <v>2545.4499999999998</v>
      </c>
      <c r="H1034" s="20">
        <v>121</v>
      </c>
      <c r="I1034"/>
    </row>
    <row r="1035" spans="1:9" x14ac:dyDescent="0.25">
      <c r="A1035" s="228">
        <v>42094</v>
      </c>
      <c r="B1035" s="161" t="s">
        <v>1057</v>
      </c>
      <c r="C1035" t="s">
        <v>921</v>
      </c>
      <c r="D1035" t="s">
        <v>382</v>
      </c>
      <c r="E1035" s="162">
        <v>0.02</v>
      </c>
      <c r="F1035" s="162">
        <v>3820.46</v>
      </c>
      <c r="G1035" s="165">
        <v>76.409199999999998</v>
      </c>
      <c r="H1035" s="20">
        <v>121</v>
      </c>
      <c r="I1035"/>
    </row>
    <row r="1036" spans="1:9" x14ac:dyDescent="0.25">
      <c r="A1036" s="228">
        <v>42094</v>
      </c>
      <c r="B1036" s="161" t="s">
        <v>1057</v>
      </c>
      <c r="C1036" t="s">
        <v>921</v>
      </c>
      <c r="D1036" t="s">
        <v>382</v>
      </c>
      <c r="E1036" s="162">
        <v>0.1</v>
      </c>
      <c r="F1036" s="162">
        <v>80346.600000000006</v>
      </c>
      <c r="G1036" s="165">
        <v>8034.66</v>
      </c>
      <c r="H1036" s="20">
        <v>121</v>
      </c>
      <c r="I1036"/>
    </row>
    <row r="1037" spans="1:9" x14ac:dyDescent="0.25">
      <c r="A1037" s="230" t="s">
        <v>642</v>
      </c>
      <c r="B1037" s="231" t="s">
        <v>1058</v>
      </c>
      <c r="C1037" s="232" t="s">
        <v>642</v>
      </c>
      <c r="D1037" s="232" t="s">
        <v>642</v>
      </c>
      <c r="E1037" s="233"/>
      <c r="F1037" s="233"/>
      <c r="G1037" s="234">
        <v>343303.69</v>
      </c>
      <c r="H1037" s="235" t="s">
        <v>642</v>
      </c>
      <c r="I1037"/>
    </row>
    <row r="1038" spans="1:9" x14ac:dyDescent="0.25">
      <c r="A1038" s="228" t="s">
        <v>642</v>
      </c>
      <c r="B1038" s="161" t="s">
        <v>642</v>
      </c>
      <c r="C1038" t="s">
        <v>642</v>
      </c>
      <c r="D1038" t="s">
        <v>642</v>
      </c>
      <c r="E1038" s="162"/>
      <c r="F1038" s="162"/>
      <c r="G1038" s="165"/>
      <c r="H1038" s="20" t="s">
        <v>642</v>
      </c>
      <c r="I1038"/>
    </row>
    <row r="1039" spans="1:9" x14ac:dyDescent="0.25">
      <c r="A1039" s="226" t="s">
        <v>642</v>
      </c>
      <c r="B1039" s="159" t="s">
        <v>1059</v>
      </c>
      <c r="C1039" s="64" t="s">
        <v>642</v>
      </c>
      <c r="D1039" s="64" t="s">
        <v>642</v>
      </c>
      <c r="E1039" s="227"/>
      <c r="F1039" s="227"/>
      <c r="G1039" s="166"/>
      <c r="H1039" s="160" t="s">
        <v>642</v>
      </c>
      <c r="I1039"/>
    </row>
    <row r="1040" spans="1:9" ht="30" x14ac:dyDescent="0.25">
      <c r="A1040" s="228">
        <v>41852</v>
      </c>
      <c r="B1040" s="161" t="s">
        <v>1060</v>
      </c>
      <c r="C1040" t="s">
        <v>1061</v>
      </c>
      <c r="D1040" t="s">
        <v>747</v>
      </c>
      <c r="E1040" s="162">
        <v>1</v>
      </c>
      <c r="F1040" s="162">
        <v>2895.45</v>
      </c>
      <c r="G1040" s="165">
        <v>2895.45</v>
      </c>
      <c r="H1040" s="20">
        <v>123</v>
      </c>
      <c r="I1040"/>
    </row>
    <row r="1041" spans="1:9" ht="30" x14ac:dyDescent="0.25">
      <c r="A1041" s="228">
        <v>41912</v>
      </c>
      <c r="B1041" s="161" t="s">
        <v>1062</v>
      </c>
      <c r="C1041" t="s">
        <v>1061</v>
      </c>
      <c r="D1041" t="s">
        <v>747</v>
      </c>
      <c r="E1041" s="162">
        <v>1</v>
      </c>
      <c r="F1041" s="162">
        <v>48954.55</v>
      </c>
      <c r="G1041" s="165">
        <v>48954.55</v>
      </c>
      <c r="H1041" s="20">
        <v>123</v>
      </c>
      <c r="I1041"/>
    </row>
    <row r="1042" spans="1:9" ht="30" x14ac:dyDescent="0.25">
      <c r="A1042" s="228">
        <v>41914</v>
      </c>
      <c r="B1042" s="161" t="s">
        <v>1064</v>
      </c>
      <c r="C1042" t="s">
        <v>1065</v>
      </c>
      <c r="D1042" t="s">
        <v>747</v>
      </c>
      <c r="E1042" s="162">
        <v>1</v>
      </c>
      <c r="F1042" s="162">
        <v>940</v>
      </c>
      <c r="G1042" s="165">
        <v>940</v>
      </c>
      <c r="H1042" s="20">
        <v>123</v>
      </c>
      <c r="I1042"/>
    </row>
    <row r="1043" spans="1:9" x14ac:dyDescent="0.25">
      <c r="A1043" s="228">
        <v>41922</v>
      </c>
      <c r="B1043" s="161" t="s">
        <v>831</v>
      </c>
      <c r="C1043" t="s">
        <v>1471</v>
      </c>
      <c r="D1043" t="s">
        <v>832</v>
      </c>
      <c r="E1043" s="162">
        <v>7</v>
      </c>
      <c r="F1043" s="162">
        <v>54.58</v>
      </c>
      <c r="G1043" s="165">
        <v>382.06</v>
      </c>
      <c r="H1043" s="20">
        <v>123</v>
      </c>
      <c r="I1043"/>
    </row>
    <row r="1044" spans="1:9" x14ac:dyDescent="0.25">
      <c r="A1044" s="228">
        <v>41922</v>
      </c>
      <c r="B1044" s="161" t="s">
        <v>838</v>
      </c>
      <c r="C1044" t="s">
        <v>8</v>
      </c>
      <c r="D1044" t="s">
        <v>33</v>
      </c>
      <c r="E1044" s="162">
        <v>7</v>
      </c>
      <c r="F1044" s="162">
        <v>39.979999999999997</v>
      </c>
      <c r="G1044" s="165">
        <v>279.86</v>
      </c>
      <c r="H1044" s="20">
        <v>123</v>
      </c>
      <c r="I1044"/>
    </row>
    <row r="1045" spans="1:9" x14ac:dyDescent="0.25">
      <c r="A1045" s="228">
        <v>41922</v>
      </c>
      <c r="B1045" s="161" t="s">
        <v>837</v>
      </c>
      <c r="C1045" t="s">
        <v>8</v>
      </c>
      <c r="D1045" t="s">
        <v>33</v>
      </c>
      <c r="E1045" s="162">
        <v>6</v>
      </c>
      <c r="F1045" s="162">
        <v>42.72</v>
      </c>
      <c r="G1045" s="165">
        <v>256.32</v>
      </c>
      <c r="H1045" s="20">
        <v>123</v>
      </c>
      <c r="I1045"/>
    </row>
    <row r="1046" spans="1:9" x14ac:dyDescent="0.25">
      <c r="A1046" s="228">
        <v>41922</v>
      </c>
      <c r="B1046" s="161" t="s">
        <v>843</v>
      </c>
      <c r="C1046" t="s">
        <v>8</v>
      </c>
      <c r="D1046" t="s">
        <v>33</v>
      </c>
      <c r="E1046" s="162">
        <v>7</v>
      </c>
      <c r="F1046" s="162">
        <v>35.11</v>
      </c>
      <c r="G1046" s="165">
        <v>245.77</v>
      </c>
      <c r="H1046" s="20">
        <v>123</v>
      </c>
      <c r="I1046"/>
    </row>
    <row r="1047" spans="1:9" x14ac:dyDescent="0.25">
      <c r="A1047" s="228">
        <v>41922</v>
      </c>
      <c r="B1047" s="161" t="s">
        <v>890</v>
      </c>
      <c r="C1047" t="s">
        <v>891</v>
      </c>
      <c r="D1047" t="s">
        <v>33</v>
      </c>
      <c r="E1047" s="162">
        <v>7</v>
      </c>
      <c r="F1047" s="162">
        <v>48</v>
      </c>
      <c r="G1047" s="165">
        <v>336</v>
      </c>
      <c r="H1047" s="20">
        <v>123</v>
      </c>
      <c r="I1047"/>
    </row>
    <row r="1048" spans="1:9" x14ac:dyDescent="0.25">
      <c r="A1048" s="228">
        <v>41922</v>
      </c>
      <c r="B1048" s="161" t="s">
        <v>855</v>
      </c>
      <c r="C1048" t="s">
        <v>856</v>
      </c>
      <c r="D1048" t="s">
        <v>33</v>
      </c>
      <c r="E1048" s="162">
        <v>4</v>
      </c>
      <c r="F1048" s="162">
        <v>21.61</v>
      </c>
      <c r="G1048" s="165">
        <v>86.44</v>
      </c>
      <c r="H1048" s="20">
        <v>123</v>
      </c>
      <c r="I1048"/>
    </row>
    <row r="1049" spans="1:9" x14ac:dyDescent="0.25">
      <c r="A1049" s="228">
        <v>41940</v>
      </c>
      <c r="B1049" s="161" t="s">
        <v>843</v>
      </c>
      <c r="C1049" t="s">
        <v>8</v>
      </c>
      <c r="D1049" t="s">
        <v>33</v>
      </c>
      <c r="E1049" s="162">
        <v>5</v>
      </c>
      <c r="F1049" s="162">
        <v>35.11</v>
      </c>
      <c r="G1049" s="165">
        <v>175.55</v>
      </c>
      <c r="H1049" s="20">
        <v>123</v>
      </c>
      <c r="I1049"/>
    </row>
    <row r="1050" spans="1:9" x14ac:dyDescent="0.25">
      <c r="A1050" s="228">
        <v>41940</v>
      </c>
      <c r="B1050" s="161" t="s">
        <v>838</v>
      </c>
      <c r="C1050" t="s">
        <v>8</v>
      </c>
      <c r="D1050" t="s">
        <v>33</v>
      </c>
      <c r="E1050" s="162">
        <v>5</v>
      </c>
      <c r="F1050" s="162">
        <v>39.979999999999997</v>
      </c>
      <c r="G1050" s="165">
        <v>199.9</v>
      </c>
      <c r="H1050" s="20">
        <v>123</v>
      </c>
      <c r="I1050"/>
    </row>
    <row r="1051" spans="1:9" x14ac:dyDescent="0.25">
      <c r="A1051" s="228">
        <v>41940</v>
      </c>
      <c r="B1051" s="161" t="s">
        <v>873</v>
      </c>
      <c r="C1051" t="s">
        <v>821</v>
      </c>
      <c r="D1051" t="s">
        <v>747</v>
      </c>
      <c r="E1051" s="162">
        <v>8</v>
      </c>
      <c r="F1051" s="162">
        <v>115</v>
      </c>
      <c r="G1051" s="165">
        <v>920</v>
      </c>
      <c r="H1051" s="20">
        <v>123</v>
      </c>
      <c r="I1051"/>
    </row>
    <row r="1052" spans="1:9" x14ac:dyDescent="0.25">
      <c r="A1052" s="228">
        <v>41940</v>
      </c>
      <c r="B1052" s="161" t="s">
        <v>831</v>
      </c>
      <c r="C1052" t="s">
        <v>1471</v>
      </c>
      <c r="D1052" t="s">
        <v>832</v>
      </c>
      <c r="E1052" s="162">
        <v>2.5</v>
      </c>
      <c r="F1052" s="162">
        <v>54.58</v>
      </c>
      <c r="G1052" s="165">
        <v>136.44999999999999</v>
      </c>
      <c r="H1052" s="20">
        <v>123</v>
      </c>
      <c r="I1052"/>
    </row>
    <row r="1053" spans="1:9" ht="30" x14ac:dyDescent="0.25">
      <c r="A1053" s="228">
        <v>41963</v>
      </c>
      <c r="B1053" s="161" t="s">
        <v>1066</v>
      </c>
      <c r="C1053" t="s">
        <v>1067</v>
      </c>
      <c r="D1053" t="s">
        <v>747</v>
      </c>
      <c r="E1053" s="162">
        <v>1</v>
      </c>
      <c r="F1053" s="162">
        <v>5750</v>
      </c>
      <c r="G1053" s="165">
        <v>5750</v>
      </c>
      <c r="H1053" s="20">
        <v>123</v>
      </c>
      <c r="I1053"/>
    </row>
    <row r="1054" spans="1:9" x14ac:dyDescent="0.25">
      <c r="A1054" s="228">
        <v>41982</v>
      </c>
      <c r="B1054" s="161" t="s">
        <v>1068</v>
      </c>
      <c r="C1054" t="s">
        <v>1063</v>
      </c>
      <c r="D1054" t="s">
        <v>33</v>
      </c>
      <c r="E1054" s="162">
        <v>17</v>
      </c>
      <c r="F1054" s="162"/>
      <c r="G1054" s="165"/>
      <c r="H1054" s="20">
        <v>123</v>
      </c>
      <c r="I1054"/>
    </row>
    <row r="1055" spans="1:9" x14ac:dyDescent="0.25">
      <c r="A1055" s="228">
        <v>41983</v>
      </c>
      <c r="B1055" s="161" t="s">
        <v>1068</v>
      </c>
      <c r="C1055" t="s">
        <v>1063</v>
      </c>
      <c r="D1055" t="s">
        <v>33</v>
      </c>
      <c r="E1055" s="162">
        <v>2.5</v>
      </c>
      <c r="F1055" s="162"/>
      <c r="G1055" s="165"/>
      <c r="H1055" s="20">
        <v>123</v>
      </c>
      <c r="I1055"/>
    </row>
    <row r="1056" spans="1:9" x14ac:dyDescent="0.25">
      <c r="A1056" s="228">
        <v>41984</v>
      </c>
      <c r="B1056" s="161" t="s">
        <v>1069</v>
      </c>
      <c r="C1056" t="s">
        <v>1063</v>
      </c>
      <c r="D1056" t="s">
        <v>33</v>
      </c>
      <c r="E1056" s="162">
        <v>1</v>
      </c>
      <c r="F1056" s="162">
        <v>3986.36</v>
      </c>
      <c r="G1056" s="165">
        <v>3986.36</v>
      </c>
      <c r="H1056" s="20">
        <v>123</v>
      </c>
      <c r="I1056"/>
    </row>
    <row r="1057" spans="1:9" x14ac:dyDescent="0.25">
      <c r="A1057" s="228">
        <v>41988</v>
      </c>
      <c r="B1057" s="161" t="s">
        <v>831</v>
      </c>
      <c r="C1057" t="s">
        <v>1471</v>
      </c>
      <c r="D1057" t="s">
        <v>832</v>
      </c>
      <c r="E1057" s="162">
        <v>3.5</v>
      </c>
      <c r="F1057" s="162">
        <v>54.58</v>
      </c>
      <c r="G1057" s="165">
        <v>191.03</v>
      </c>
      <c r="H1057" s="20">
        <v>123</v>
      </c>
      <c r="I1057"/>
    </row>
    <row r="1058" spans="1:9" x14ac:dyDescent="0.25">
      <c r="A1058" s="228">
        <v>41991</v>
      </c>
      <c r="B1058" s="161" t="s">
        <v>1070</v>
      </c>
      <c r="C1058" t="s">
        <v>1065</v>
      </c>
      <c r="D1058" t="s">
        <v>747</v>
      </c>
      <c r="E1058" s="162">
        <v>1</v>
      </c>
      <c r="F1058" s="162">
        <v>4700</v>
      </c>
      <c r="G1058" s="165">
        <v>4700</v>
      </c>
      <c r="H1058" s="20">
        <v>123</v>
      </c>
      <c r="I1058"/>
    </row>
    <row r="1059" spans="1:9" x14ac:dyDescent="0.25">
      <c r="A1059" s="228">
        <v>41991</v>
      </c>
      <c r="B1059" s="161" t="s">
        <v>1071</v>
      </c>
      <c r="C1059" t="s">
        <v>1065</v>
      </c>
      <c r="D1059" t="s">
        <v>747</v>
      </c>
      <c r="E1059" s="162">
        <v>1</v>
      </c>
      <c r="F1059" s="162">
        <v>8200</v>
      </c>
      <c r="G1059" s="165">
        <v>8200</v>
      </c>
      <c r="H1059" s="20">
        <v>123</v>
      </c>
      <c r="I1059"/>
    </row>
    <row r="1060" spans="1:9" x14ac:dyDescent="0.25">
      <c r="A1060" s="228">
        <v>41991</v>
      </c>
      <c r="B1060" s="161" t="s">
        <v>1072</v>
      </c>
      <c r="C1060" t="s">
        <v>1065</v>
      </c>
      <c r="D1060" t="s">
        <v>747</v>
      </c>
      <c r="E1060" s="162">
        <v>1</v>
      </c>
      <c r="F1060" s="162">
        <v>1254.55</v>
      </c>
      <c r="G1060" s="165">
        <v>1254.55</v>
      </c>
      <c r="H1060" s="20">
        <v>123</v>
      </c>
      <c r="I1060"/>
    </row>
    <row r="1061" spans="1:9" x14ac:dyDescent="0.25">
      <c r="A1061" s="228">
        <v>42013</v>
      </c>
      <c r="B1061" s="161" t="s">
        <v>831</v>
      </c>
      <c r="C1061" t="s">
        <v>1471</v>
      </c>
      <c r="D1061" t="s">
        <v>832</v>
      </c>
      <c r="E1061" s="162">
        <v>2</v>
      </c>
      <c r="F1061" s="162">
        <v>54.58</v>
      </c>
      <c r="G1061" s="165">
        <v>109.16</v>
      </c>
      <c r="H1061" s="20">
        <v>123</v>
      </c>
      <c r="I1061"/>
    </row>
    <row r="1062" spans="1:9" x14ac:dyDescent="0.25">
      <c r="A1062" s="228">
        <v>42016</v>
      </c>
      <c r="B1062" s="161" t="s">
        <v>1073</v>
      </c>
      <c r="C1062" t="s">
        <v>925</v>
      </c>
      <c r="D1062" t="s">
        <v>747</v>
      </c>
      <c r="E1062" s="162">
        <v>1</v>
      </c>
      <c r="F1062" s="162">
        <v>24.89</v>
      </c>
      <c r="G1062" s="165">
        <v>24.89</v>
      </c>
      <c r="H1062" s="20">
        <v>123</v>
      </c>
      <c r="I1062"/>
    </row>
    <row r="1063" spans="1:9" x14ac:dyDescent="0.25">
      <c r="A1063" s="228">
        <v>42017</v>
      </c>
      <c r="B1063" s="161" t="s">
        <v>838</v>
      </c>
      <c r="C1063" t="s">
        <v>8</v>
      </c>
      <c r="D1063" t="s">
        <v>33</v>
      </c>
      <c r="E1063" s="162">
        <v>4</v>
      </c>
      <c r="F1063" s="162">
        <v>39.979999999999997</v>
      </c>
      <c r="G1063" s="165">
        <v>159.91999999999999</v>
      </c>
      <c r="H1063" s="20">
        <v>123</v>
      </c>
      <c r="I1063"/>
    </row>
    <row r="1064" spans="1:9" x14ac:dyDescent="0.25">
      <c r="A1064" s="228">
        <v>42017</v>
      </c>
      <c r="B1064" s="161" t="s">
        <v>831</v>
      </c>
      <c r="C1064" t="s">
        <v>1471</v>
      </c>
      <c r="D1064" t="s">
        <v>832</v>
      </c>
      <c r="E1064" s="162">
        <v>4</v>
      </c>
      <c r="F1064" s="162">
        <v>54.58</v>
      </c>
      <c r="G1064" s="165">
        <v>218.32</v>
      </c>
      <c r="H1064" s="20">
        <v>123</v>
      </c>
      <c r="I1064"/>
    </row>
    <row r="1065" spans="1:9" x14ac:dyDescent="0.25">
      <c r="A1065" s="228">
        <v>42018</v>
      </c>
      <c r="B1065" s="161" t="s">
        <v>1074</v>
      </c>
      <c r="C1065" t="s">
        <v>1065</v>
      </c>
      <c r="D1065" t="s">
        <v>747</v>
      </c>
      <c r="E1065" s="162">
        <v>1</v>
      </c>
      <c r="F1065" s="162">
        <v>3760</v>
      </c>
      <c r="G1065" s="165">
        <v>3760</v>
      </c>
      <c r="H1065" s="20">
        <v>123</v>
      </c>
      <c r="I1065"/>
    </row>
    <row r="1066" spans="1:9" x14ac:dyDescent="0.25">
      <c r="A1066" s="228">
        <v>42018</v>
      </c>
      <c r="B1066" s="161" t="s">
        <v>831</v>
      </c>
      <c r="C1066" t="s">
        <v>1471</v>
      </c>
      <c r="D1066" t="s">
        <v>832</v>
      </c>
      <c r="E1066" s="162">
        <v>2</v>
      </c>
      <c r="F1066" s="162">
        <v>54.58</v>
      </c>
      <c r="G1066" s="165">
        <v>109.16</v>
      </c>
      <c r="H1066" s="20">
        <v>123</v>
      </c>
      <c r="I1066"/>
    </row>
    <row r="1067" spans="1:9" x14ac:dyDescent="0.25">
      <c r="A1067" s="228">
        <v>42018</v>
      </c>
      <c r="B1067" s="161" t="s">
        <v>838</v>
      </c>
      <c r="C1067" t="s">
        <v>8</v>
      </c>
      <c r="D1067" t="s">
        <v>33</v>
      </c>
      <c r="E1067" s="162">
        <v>2</v>
      </c>
      <c r="F1067" s="162">
        <v>39.979999999999997</v>
      </c>
      <c r="G1067" s="165">
        <v>79.959999999999994</v>
      </c>
      <c r="H1067" s="20">
        <v>123</v>
      </c>
      <c r="I1067"/>
    </row>
    <row r="1068" spans="1:9" x14ac:dyDescent="0.25">
      <c r="A1068" s="228">
        <v>42025</v>
      </c>
      <c r="B1068" s="161" t="s">
        <v>1075</v>
      </c>
      <c r="C1068" t="s">
        <v>1076</v>
      </c>
      <c r="D1068" t="s">
        <v>747</v>
      </c>
      <c r="E1068" s="162">
        <v>1</v>
      </c>
      <c r="F1068" s="162">
        <v>1594</v>
      </c>
      <c r="G1068" s="165">
        <v>1594</v>
      </c>
      <c r="H1068" s="20">
        <v>123</v>
      </c>
      <c r="I1068"/>
    </row>
    <row r="1069" spans="1:9" x14ac:dyDescent="0.25">
      <c r="A1069" s="228">
        <v>42061</v>
      </c>
      <c r="B1069" s="161" t="s">
        <v>1077</v>
      </c>
      <c r="C1069" t="s">
        <v>1065</v>
      </c>
      <c r="D1069" t="s">
        <v>747</v>
      </c>
      <c r="E1069" s="162">
        <v>1</v>
      </c>
      <c r="F1069" s="162">
        <v>6867</v>
      </c>
      <c r="G1069" s="165">
        <v>6867</v>
      </c>
      <c r="H1069" s="20">
        <v>123</v>
      </c>
      <c r="I1069"/>
    </row>
    <row r="1070" spans="1:9" x14ac:dyDescent="0.25">
      <c r="A1070" s="228">
        <v>42103</v>
      </c>
      <c r="B1070" s="161" t="s">
        <v>1078</v>
      </c>
      <c r="C1070" t="s">
        <v>1065</v>
      </c>
      <c r="D1070" t="s">
        <v>747</v>
      </c>
      <c r="E1070" s="162">
        <v>1</v>
      </c>
      <c r="F1070" s="162">
        <v>16725</v>
      </c>
      <c r="G1070" s="165">
        <v>16725</v>
      </c>
      <c r="H1070" s="20">
        <v>123</v>
      </c>
      <c r="I1070"/>
    </row>
    <row r="1071" spans="1:9" x14ac:dyDescent="0.25">
      <c r="A1071" s="230" t="s">
        <v>642</v>
      </c>
      <c r="B1071" s="231" t="s">
        <v>1079</v>
      </c>
      <c r="C1071" s="232" t="s">
        <v>642</v>
      </c>
      <c r="D1071" s="232" t="s">
        <v>642</v>
      </c>
      <c r="E1071" s="233"/>
      <c r="F1071" s="233"/>
      <c r="G1071" s="234">
        <v>109537.7</v>
      </c>
      <c r="H1071" s="235" t="s">
        <v>642</v>
      </c>
      <c r="I1071"/>
    </row>
    <row r="1072" spans="1:9" x14ac:dyDescent="0.25">
      <c r="A1072" s="228" t="s">
        <v>642</v>
      </c>
      <c r="B1072" s="161" t="s">
        <v>642</v>
      </c>
      <c r="C1072" t="s">
        <v>642</v>
      </c>
      <c r="D1072" t="s">
        <v>642</v>
      </c>
      <c r="E1072" s="162"/>
      <c r="F1072" s="162"/>
      <c r="G1072" s="165"/>
      <c r="H1072" s="20" t="s">
        <v>642</v>
      </c>
      <c r="I1072"/>
    </row>
    <row r="1073" spans="1:9" x14ac:dyDescent="0.25">
      <c r="A1073" s="226" t="s">
        <v>642</v>
      </c>
      <c r="B1073" s="159" t="s">
        <v>1080</v>
      </c>
      <c r="C1073" s="64" t="s">
        <v>642</v>
      </c>
      <c r="D1073" s="64" t="s">
        <v>642</v>
      </c>
      <c r="E1073" s="227"/>
      <c r="F1073" s="227"/>
      <c r="G1073" s="166"/>
      <c r="H1073" s="160" t="s">
        <v>642</v>
      </c>
      <c r="I1073"/>
    </row>
    <row r="1074" spans="1:9" x14ac:dyDescent="0.25">
      <c r="A1074" s="228">
        <v>41858</v>
      </c>
      <c r="B1074" s="161" t="s">
        <v>837</v>
      </c>
      <c r="C1074" t="s">
        <v>8</v>
      </c>
      <c r="D1074" t="s">
        <v>33</v>
      </c>
      <c r="E1074" s="162">
        <v>2</v>
      </c>
      <c r="F1074" s="162">
        <v>42.72</v>
      </c>
      <c r="G1074" s="165">
        <v>85.44</v>
      </c>
      <c r="H1074" s="20">
        <v>131</v>
      </c>
      <c r="I1074"/>
    </row>
    <row r="1075" spans="1:9" x14ac:dyDescent="0.25">
      <c r="A1075" s="228">
        <v>41858</v>
      </c>
      <c r="B1075" s="161" t="s">
        <v>831</v>
      </c>
      <c r="C1075" t="s">
        <v>1471</v>
      </c>
      <c r="D1075" t="s">
        <v>832</v>
      </c>
      <c r="E1075" s="162">
        <v>2</v>
      </c>
      <c r="F1075" s="162">
        <v>54.58</v>
      </c>
      <c r="G1075" s="165">
        <v>109.16</v>
      </c>
      <c r="H1075" s="20">
        <v>131</v>
      </c>
      <c r="I1075"/>
    </row>
    <row r="1076" spans="1:9" x14ac:dyDescent="0.25">
      <c r="A1076" s="228">
        <v>41884</v>
      </c>
      <c r="B1076" s="161" t="s">
        <v>831</v>
      </c>
      <c r="C1076" t="s">
        <v>1471</v>
      </c>
      <c r="D1076" t="s">
        <v>832</v>
      </c>
      <c r="E1076" s="162">
        <v>2</v>
      </c>
      <c r="F1076" s="162">
        <v>54.58</v>
      </c>
      <c r="G1076" s="165">
        <v>109.16</v>
      </c>
      <c r="H1076" s="20">
        <v>131</v>
      </c>
      <c r="I1076"/>
    </row>
    <row r="1077" spans="1:9" x14ac:dyDescent="0.25">
      <c r="A1077" s="228">
        <v>41939</v>
      </c>
      <c r="B1077" s="161" t="s">
        <v>1050</v>
      </c>
      <c r="C1077" t="s">
        <v>1046</v>
      </c>
      <c r="D1077" t="s">
        <v>33</v>
      </c>
      <c r="E1077" s="162">
        <v>16</v>
      </c>
      <c r="F1077" s="162"/>
      <c r="G1077" s="165"/>
      <c r="H1077" s="20">
        <v>131</v>
      </c>
      <c r="I1077"/>
    </row>
    <row r="1078" spans="1:9" x14ac:dyDescent="0.25">
      <c r="A1078" s="228">
        <v>41943</v>
      </c>
      <c r="B1078" s="161" t="s">
        <v>922</v>
      </c>
      <c r="C1078" t="s">
        <v>921</v>
      </c>
      <c r="D1078" t="s">
        <v>19</v>
      </c>
      <c r="E1078" s="162"/>
      <c r="F1078" s="162">
        <v>1050</v>
      </c>
      <c r="G1078" s="165"/>
      <c r="H1078" s="20">
        <v>131</v>
      </c>
      <c r="I1078"/>
    </row>
    <row r="1079" spans="1:9" x14ac:dyDescent="0.25">
      <c r="A1079" s="228">
        <v>41954</v>
      </c>
      <c r="B1079" s="161" t="s">
        <v>1081</v>
      </c>
      <c r="C1079" t="s">
        <v>1082</v>
      </c>
      <c r="D1079" t="s">
        <v>747</v>
      </c>
      <c r="E1079" s="162">
        <v>1</v>
      </c>
      <c r="F1079" s="162">
        <v>352.9</v>
      </c>
      <c r="G1079" s="165">
        <v>352.9</v>
      </c>
      <c r="H1079" s="20">
        <v>131</v>
      </c>
      <c r="I1079"/>
    </row>
    <row r="1080" spans="1:9" x14ac:dyDescent="0.25">
      <c r="A1080" s="228">
        <v>41955</v>
      </c>
      <c r="B1080" s="161" t="s">
        <v>1083</v>
      </c>
      <c r="C1080" t="s">
        <v>925</v>
      </c>
      <c r="D1080" t="s">
        <v>747</v>
      </c>
      <c r="E1080" s="162">
        <v>1</v>
      </c>
      <c r="F1080" s="162">
        <v>75</v>
      </c>
      <c r="G1080" s="165">
        <v>75</v>
      </c>
      <c r="H1080" s="20">
        <v>131</v>
      </c>
      <c r="I1080"/>
    </row>
    <row r="1081" spans="1:9" x14ac:dyDescent="0.25">
      <c r="A1081" s="228">
        <v>41985</v>
      </c>
      <c r="B1081" s="161" t="s">
        <v>843</v>
      </c>
      <c r="C1081" t="s">
        <v>8</v>
      </c>
      <c r="D1081" t="s">
        <v>33</v>
      </c>
      <c r="E1081" s="162">
        <v>1</v>
      </c>
      <c r="F1081" s="162">
        <v>35.11</v>
      </c>
      <c r="G1081" s="165">
        <v>35.11</v>
      </c>
      <c r="H1081" s="20">
        <v>131</v>
      </c>
      <c r="I1081"/>
    </row>
    <row r="1082" spans="1:9" x14ac:dyDescent="0.25">
      <c r="A1082" s="228">
        <v>41988</v>
      </c>
      <c r="B1082" s="161" t="s">
        <v>831</v>
      </c>
      <c r="C1082" t="s">
        <v>1471</v>
      </c>
      <c r="D1082" t="s">
        <v>832</v>
      </c>
      <c r="E1082" s="162">
        <v>2</v>
      </c>
      <c r="F1082" s="162">
        <v>54.58</v>
      </c>
      <c r="G1082" s="165">
        <v>109.16</v>
      </c>
      <c r="H1082" s="20">
        <v>131</v>
      </c>
      <c r="I1082"/>
    </row>
    <row r="1083" spans="1:9" x14ac:dyDescent="0.25">
      <c r="A1083" s="228">
        <v>41988</v>
      </c>
      <c r="B1083" s="161" t="s">
        <v>843</v>
      </c>
      <c r="C1083" t="s">
        <v>8</v>
      </c>
      <c r="D1083" t="s">
        <v>33</v>
      </c>
      <c r="E1083" s="162">
        <v>1</v>
      </c>
      <c r="F1083" s="162">
        <v>35.11</v>
      </c>
      <c r="G1083" s="165">
        <v>35.11</v>
      </c>
      <c r="H1083" s="20">
        <v>131</v>
      </c>
      <c r="I1083"/>
    </row>
    <row r="1084" spans="1:9" x14ac:dyDescent="0.25">
      <c r="A1084" s="228">
        <v>41989</v>
      </c>
      <c r="B1084" s="161" t="s">
        <v>843</v>
      </c>
      <c r="C1084" t="s">
        <v>8</v>
      </c>
      <c r="D1084" t="s">
        <v>33</v>
      </c>
      <c r="E1084" s="162">
        <v>1</v>
      </c>
      <c r="F1084" s="162">
        <v>35.11</v>
      </c>
      <c r="G1084" s="165">
        <v>35.11</v>
      </c>
      <c r="H1084" s="20">
        <v>131</v>
      </c>
      <c r="I1084"/>
    </row>
    <row r="1085" spans="1:9" x14ac:dyDescent="0.25">
      <c r="A1085" s="228">
        <v>41989</v>
      </c>
      <c r="B1085" s="161" t="s">
        <v>831</v>
      </c>
      <c r="C1085" t="s">
        <v>1471</v>
      </c>
      <c r="D1085" t="s">
        <v>832</v>
      </c>
      <c r="E1085" s="162">
        <v>1</v>
      </c>
      <c r="F1085" s="162">
        <v>54.58</v>
      </c>
      <c r="G1085" s="165">
        <v>54.58</v>
      </c>
      <c r="H1085" s="20">
        <v>131</v>
      </c>
      <c r="I1085"/>
    </row>
    <row r="1086" spans="1:9" x14ac:dyDescent="0.25">
      <c r="A1086" s="228">
        <v>41990</v>
      </c>
      <c r="B1086" s="161" t="s">
        <v>831</v>
      </c>
      <c r="C1086" t="s">
        <v>1471</v>
      </c>
      <c r="D1086" t="s">
        <v>832</v>
      </c>
      <c r="E1086" s="162">
        <v>3.5</v>
      </c>
      <c r="F1086" s="162">
        <v>54.58</v>
      </c>
      <c r="G1086" s="165">
        <v>191.03</v>
      </c>
      <c r="H1086" s="20">
        <v>131</v>
      </c>
      <c r="I1086"/>
    </row>
    <row r="1087" spans="1:9" x14ac:dyDescent="0.25">
      <c r="A1087" s="228">
        <v>41991</v>
      </c>
      <c r="B1087" s="161" t="s">
        <v>831</v>
      </c>
      <c r="C1087" t="s">
        <v>1471</v>
      </c>
      <c r="D1087" t="s">
        <v>832</v>
      </c>
      <c r="E1087" s="162">
        <v>2</v>
      </c>
      <c r="F1087" s="162">
        <v>54.58</v>
      </c>
      <c r="G1087" s="165">
        <v>109.16</v>
      </c>
      <c r="H1087" s="20">
        <v>131</v>
      </c>
      <c r="I1087"/>
    </row>
    <row r="1088" spans="1:9" x14ac:dyDescent="0.25">
      <c r="A1088" s="228">
        <v>41992</v>
      </c>
      <c r="B1088" s="161" t="s">
        <v>831</v>
      </c>
      <c r="C1088" t="s">
        <v>1471</v>
      </c>
      <c r="D1088" t="s">
        <v>832</v>
      </c>
      <c r="E1088" s="162">
        <v>1</v>
      </c>
      <c r="F1088" s="162">
        <v>54.58</v>
      </c>
      <c r="G1088" s="165">
        <v>54.58</v>
      </c>
      <c r="H1088" s="20">
        <v>131</v>
      </c>
      <c r="I1088"/>
    </row>
    <row r="1089" spans="1:9" x14ac:dyDescent="0.25">
      <c r="A1089" s="228">
        <v>42062</v>
      </c>
      <c r="B1089" s="161" t="s">
        <v>1078</v>
      </c>
      <c r="C1089" t="s">
        <v>1065</v>
      </c>
      <c r="D1089" t="s">
        <v>747</v>
      </c>
      <c r="E1089" s="162">
        <v>1</v>
      </c>
      <c r="F1089" s="162">
        <v>16725</v>
      </c>
      <c r="G1089" s="165">
        <v>16725</v>
      </c>
      <c r="H1089" s="20">
        <v>131</v>
      </c>
      <c r="I1089"/>
    </row>
    <row r="1090" spans="1:9" x14ac:dyDescent="0.25">
      <c r="A1090" s="230" t="s">
        <v>642</v>
      </c>
      <c r="B1090" s="231" t="s">
        <v>1084</v>
      </c>
      <c r="C1090" s="232" t="s">
        <v>642</v>
      </c>
      <c r="D1090" s="232" t="s">
        <v>642</v>
      </c>
      <c r="E1090" s="233"/>
      <c r="F1090" s="233"/>
      <c r="G1090" s="234">
        <v>18080.5</v>
      </c>
      <c r="H1090" s="235" t="s">
        <v>642</v>
      </c>
      <c r="I1090"/>
    </row>
    <row r="1091" spans="1:9" x14ac:dyDescent="0.25">
      <c r="A1091" s="228" t="s">
        <v>642</v>
      </c>
      <c r="B1091" s="161" t="s">
        <v>642</v>
      </c>
      <c r="C1091" t="s">
        <v>642</v>
      </c>
      <c r="D1091" t="s">
        <v>642</v>
      </c>
      <c r="E1091" s="162"/>
      <c r="F1091" s="162"/>
      <c r="G1091" s="165"/>
      <c r="H1091" s="20" t="s">
        <v>642</v>
      </c>
      <c r="I1091"/>
    </row>
    <row r="1092" spans="1:9" x14ac:dyDescent="0.25">
      <c r="A1092" s="226" t="s">
        <v>642</v>
      </c>
      <c r="B1092" s="159" t="s">
        <v>1085</v>
      </c>
      <c r="C1092" s="64" t="s">
        <v>642</v>
      </c>
      <c r="D1092" s="64" t="s">
        <v>642</v>
      </c>
      <c r="E1092" s="227"/>
      <c r="F1092" s="227"/>
      <c r="G1092" s="166"/>
      <c r="H1092" s="160" t="s">
        <v>642</v>
      </c>
      <c r="I1092"/>
    </row>
    <row r="1093" spans="1:9" x14ac:dyDescent="0.25">
      <c r="A1093" s="228">
        <v>41767</v>
      </c>
      <c r="B1093" s="161" t="s">
        <v>838</v>
      </c>
      <c r="C1093" t="s">
        <v>8</v>
      </c>
      <c r="D1093" t="s">
        <v>33</v>
      </c>
      <c r="E1093" s="162">
        <v>2</v>
      </c>
      <c r="F1093" s="162">
        <v>39.979999999999997</v>
      </c>
      <c r="G1093" s="165">
        <v>79.959999999999994</v>
      </c>
      <c r="H1093" s="20">
        <v>132</v>
      </c>
      <c r="I1093"/>
    </row>
    <row r="1094" spans="1:9" x14ac:dyDescent="0.25">
      <c r="A1094" s="228">
        <v>41767</v>
      </c>
      <c r="B1094" s="161" t="s">
        <v>870</v>
      </c>
      <c r="C1094" t="s">
        <v>871</v>
      </c>
      <c r="D1094" t="s">
        <v>33</v>
      </c>
      <c r="E1094" s="162">
        <v>3.085</v>
      </c>
      <c r="F1094" s="162">
        <v>42.79</v>
      </c>
      <c r="G1094" s="165">
        <v>132.00715</v>
      </c>
      <c r="H1094" s="20">
        <v>132</v>
      </c>
      <c r="I1094"/>
    </row>
    <row r="1095" spans="1:9" x14ac:dyDescent="0.25">
      <c r="A1095" s="228">
        <v>41771</v>
      </c>
      <c r="B1095" s="161" t="s">
        <v>642</v>
      </c>
      <c r="C1095" t="s">
        <v>1086</v>
      </c>
      <c r="D1095" t="s">
        <v>747</v>
      </c>
      <c r="E1095" s="162">
        <v>1</v>
      </c>
      <c r="F1095" s="162">
        <v>712.91</v>
      </c>
      <c r="G1095" s="165">
        <v>712.91</v>
      </c>
      <c r="H1095" s="20">
        <v>132</v>
      </c>
      <c r="I1095"/>
    </row>
    <row r="1096" spans="1:9" x14ac:dyDescent="0.25">
      <c r="A1096" s="228">
        <v>41772</v>
      </c>
      <c r="B1096" s="161" t="s">
        <v>1087</v>
      </c>
      <c r="C1096" t="s">
        <v>842</v>
      </c>
      <c r="D1096" t="s">
        <v>33</v>
      </c>
      <c r="E1096" s="162">
        <v>9.5</v>
      </c>
      <c r="F1096" s="162">
        <v>25.78</v>
      </c>
      <c r="G1096" s="165">
        <v>244.91</v>
      </c>
      <c r="H1096" s="20">
        <v>132</v>
      </c>
      <c r="I1096"/>
    </row>
    <row r="1097" spans="1:9" x14ac:dyDescent="0.25">
      <c r="A1097" s="228">
        <v>41773</v>
      </c>
      <c r="B1097" s="161" t="s">
        <v>1087</v>
      </c>
      <c r="C1097" t="s">
        <v>842</v>
      </c>
      <c r="D1097" t="s">
        <v>33</v>
      </c>
      <c r="E1097" s="162">
        <v>9.5</v>
      </c>
      <c r="F1097" s="162">
        <v>25.78</v>
      </c>
      <c r="G1097" s="165">
        <v>244.91</v>
      </c>
      <c r="H1097" s="20">
        <v>132</v>
      </c>
      <c r="I1097"/>
    </row>
    <row r="1098" spans="1:9" x14ac:dyDescent="0.25">
      <c r="A1098" s="228">
        <v>41774</v>
      </c>
      <c r="B1098" s="161" t="s">
        <v>1087</v>
      </c>
      <c r="C1098" t="s">
        <v>842</v>
      </c>
      <c r="D1098" t="s">
        <v>33</v>
      </c>
      <c r="E1098" s="162">
        <v>9.5</v>
      </c>
      <c r="F1098" s="162">
        <v>25.78</v>
      </c>
      <c r="G1098" s="165">
        <v>244.91</v>
      </c>
      <c r="H1098" s="20">
        <v>132</v>
      </c>
      <c r="I1098"/>
    </row>
    <row r="1099" spans="1:9" x14ac:dyDescent="0.25">
      <c r="A1099" s="228">
        <v>41779</v>
      </c>
      <c r="B1099" s="161" t="s">
        <v>1088</v>
      </c>
      <c r="C1099" t="s">
        <v>1089</v>
      </c>
      <c r="D1099" t="s">
        <v>747</v>
      </c>
      <c r="E1099" s="162">
        <v>1</v>
      </c>
      <c r="F1099" s="162">
        <v>106.69</v>
      </c>
      <c r="G1099" s="165">
        <v>106.69</v>
      </c>
      <c r="H1099" s="20">
        <v>132</v>
      </c>
      <c r="I1099"/>
    </row>
    <row r="1100" spans="1:9" x14ac:dyDescent="0.25">
      <c r="A1100" s="228">
        <v>41780</v>
      </c>
      <c r="B1100" s="161" t="s">
        <v>1087</v>
      </c>
      <c r="C1100" t="s">
        <v>842</v>
      </c>
      <c r="D1100" t="s">
        <v>33</v>
      </c>
      <c r="E1100" s="162">
        <v>9</v>
      </c>
      <c r="F1100" s="162">
        <v>25.78</v>
      </c>
      <c r="G1100" s="165">
        <v>232.02</v>
      </c>
      <c r="H1100" s="20">
        <v>132</v>
      </c>
      <c r="I1100"/>
    </row>
    <row r="1101" spans="1:9" x14ac:dyDescent="0.25">
      <c r="A1101" s="228">
        <v>41780</v>
      </c>
      <c r="B1101" s="161" t="s">
        <v>1090</v>
      </c>
      <c r="C1101" t="s">
        <v>1086</v>
      </c>
      <c r="D1101" t="s">
        <v>747</v>
      </c>
      <c r="E1101" s="162">
        <v>1</v>
      </c>
      <c r="F1101" s="162">
        <v>712.91</v>
      </c>
      <c r="G1101" s="165">
        <v>712.91</v>
      </c>
      <c r="H1101" s="20">
        <v>132</v>
      </c>
      <c r="I1101"/>
    </row>
    <row r="1102" spans="1:9" x14ac:dyDescent="0.25">
      <c r="A1102" s="228">
        <v>41781</v>
      </c>
      <c r="B1102" s="161" t="s">
        <v>1087</v>
      </c>
      <c r="C1102" t="s">
        <v>842</v>
      </c>
      <c r="D1102" t="s">
        <v>33</v>
      </c>
      <c r="E1102" s="162">
        <v>9</v>
      </c>
      <c r="F1102" s="162">
        <v>25.78</v>
      </c>
      <c r="G1102" s="165">
        <v>232.02</v>
      </c>
      <c r="H1102" s="20">
        <v>132</v>
      </c>
      <c r="I1102"/>
    </row>
    <row r="1103" spans="1:9" x14ac:dyDescent="0.25">
      <c r="A1103" s="228">
        <v>41782</v>
      </c>
      <c r="B1103" s="161" t="s">
        <v>1087</v>
      </c>
      <c r="C1103" t="s">
        <v>842</v>
      </c>
      <c r="D1103" t="s">
        <v>33</v>
      </c>
      <c r="E1103" s="162">
        <v>8.5</v>
      </c>
      <c r="F1103" s="162">
        <v>25.78</v>
      </c>
      <c r="G1103" s="165">
        <v>219.13</v>
      </c>
      <c r="H1103" s="20">
        <v>132</v>
      </c>
      <c r="I1103"/>
    </row>
    <row r="1104" spans="1:9" x14ac:dyDescent="0.25">
      <c r="A1104" s="228">
        <v>41785</v>
      </c>
      <c r="B1104" s="161" t="s">
        <v>1087</v>
      </c>
      <c r="C1104" t="s">
        <v>842</v>
      </c>
      <c r="D1104" t="s">
        <v>33</v>
      </c>
      <c r="E1104" s="162">
        <v>9.5</v>
      </c>
      <c r="F1104" s="162">
        <v>25.78</v>
      </c>
      <c r="G1104" s="165">
        <v>244.91</v>
      </c>
      <c r="H1104" s="20">
        <v>132</v>
      </c>
      <c r="I1104"/>
    </row>
    <row r="1105" spans="1:9" x14ac:dyDescent="0.25">
      <c r="A1105" s="228">
        <v>41785</v>
      </c>
      <c r="B1105" s="161" t="s">
        <v>1091</v>
      </c>
      <c r="C1105" t="s">
        <v>1086</v>
      </c>
      <c r="D1105" t="s">
        <v>747</v>
      </c>
      <c r="E1105" s="162">
        <v>1</v>
      </c>
      <c r="F1105" s="162">
        <v>712.91</v>
      </c>
      <c r="G1105" s="165">
        <v>712.91</v>
      </c>
      <c r="H1105" s="20">
        <v>132</v>
      </c>
      <c r="I1105"/>
    </row>
    <row r="1106" spans="1:9" x14ac:dyDescent="0.25">
      <c r="A1106" s="228">
        <v>41786</v>
      </c>
      <c r="B1106" s="161" t="s">
        <v>851</v>
      </c>
      <c r="C1106" t="s">
        <v>852</v>
      </c>
      <c r="D1106" t="s">
        <v>33</v>
      </c>
      <c r="E1106" s="162">
        <v>1</v>
      </c>
      <c r="F1106" s="162">
        <v>25.78</v>
      </c>
      <c r="G1106" s="165">
        <v>25.78</v>
      </c>
      <c r="H1106" s="20">
        <v>132</v>
      </c>
      <c r="I1106"/>
    </row>
    <row r="1107" spans="1:9" x14ac:dyDescent="0.25">
      <c r="A1107" s="228">
        <v>41786</v>
      </c>
      <c r="B1107" s="161" t="s">
        <v>1087</v>
      </c>
      <c r="C1107" t="s">
        <v>842</v>
      </c>
      <c r="D1107" t="s">
        <v>33</v>
      </c>
      <c r="E1107" s="162">
        <v>10</v>
      </c>
      <c r="F1107" s="162">
        <v>25.78</v>
      </c>
      <c r="G1107" s="165">
        <v>257.8</v>
      </c>
      <c r="H1107" s="20">
        <v>132</v>
      </c>
      <c r="I1107"/>
    </row>
    <row r="1108" spans="1:9" x14ac:dyDescent="0.25">
      <c r="A1108" s="228">
        <v>41787</v>
      </c>
      <c r="B1108" s="161" t="s">
        <v>1087</v>
      </c>
      <c r="C1108" t="s">
        <v>842</v>
      </c>
      <c r="D1108" t="s">
        <v>33</v>
      </c>
      <c r="E1108" s="162">
        <v>9.5</v>
      </c>
      <c r="F1108" s="162">
        <v>25.78</v>
      </c>
      <c r="G1108" s="165">
        <v>244.91</v>
      </c>
      <c r="H1108" s="20">
        <v>132</v>
      </c>
      <c r="I1108"/>
    </row>
    <row r="1109" spans="1:9" x14ac:dyDescent="0.25">
      <c r="A1109" s="228">
        <v>41789</v>
      </c>
      <c r="B1109" s="161" t="s">
        <v>1092</v>
      </c>
      <c r="C1109" t="s">
        <v>821</v>
      </c>
      <c r="D1109" t="s">
        <v>747</v>
      </c>
      <c r="E1109" s="162">
        <v>1</v>
      </c>
      <c r="F1109" s="162">
        <v>1092.5</v>
      </c>
      <c r="G1109" s="165">
        <v>1092.5</v>
      </c>
      <c r="H1109" s="20">
        <v>132</v>
      </c>
      <c r="I1109"/>
    </row>
    <row r="1110" spans="1:9" x14ac:dyDescent="0.25">
      <c r="A1110" s="228">
        <v>41790</v>
      </c>
      <c r="B1110" s="161" t="s">
        <v>1093</v>
      </c>
      <c r="C1110" t="s">
        <v>921</v>
      </c>
      <c r="D1110" t="s">
        <v>94</v>
      </c>
      <c r="E1110" s="162">
        <v>133.5</v>
      </c>
      <c r="F1110" s="162">
        <v>275</v>
      </c>
      <c r="G1110" s="165">
        <v>36712.5</v>
      </c>
      <c r="H1110" s="20">
        <v>132</v>
      </c>
      <c r="I1110"/>
    </row>
    <row r="1111" spans="1:9" x14ac:dyDescent="0.25">
      <c r="A1111" s="228">
        <v>41792</v>
      </c>
      <c r="B1111" s="161" t="s">
        <v>1087</v>
      </c>
      <c r="C1111" t="s">
        <v>842</v>
      </c>
      <c r="D1111" t="s">
        <v>33</v>
      </c>
      <c r="E1111" s="162">
        <v>9</v>
      </c>
      <c r="F1111" s="162">
        <v>25.78</v>
      </c>
      <c r="G1111" s="165">
        <v>232.02</v>
      </c>
      <c r="H1111" s="20">
        <v>132</v>
      </c>
      <c r="I1111"/>
    </row>
    <row r="1112" spans="1:9" x14ac:dyDescent="0.25">
      <c r="A1112" s="228">
        <v>41793</v>
      </c>
      <c r="B1112" s="161" t="s">
        <v>1087</v>
      </c>
      <c r="C1112" t="s">
        <v>842</v>
      </c>
      <c r="D1112" t="s">
        <v>33</v>
      </c>
      <c r="E1112" s="162">
        <v>9</v>
      </c>
      <c r="F1112" s="162">
        <v>25.78</v>
      </c>
      <c r="G1112" s="165">
        <v>232.02</v>
      </c>
      <c r="H1112" s="20">
        <v>132</v>
      </c>
      <c r="I1112"/>
    </row>
    <row r="1113" spans="1:9" x14ac:dyDescent="0.25">
      <c r="A1113" s="228">
        <v>41793</v>
      </c>
      <c r="B1113" s="161" t="s">
        <v>1091</v>
      </c>
      <c r="C1113" t="s">
        <v>1086</v>
      </c>
      <c r="D1113" t="s">
        <v>747</v>
      </c>
      <c r="E1113" s="162">
        <v>1</v>
      </c>
      <c r="F1113" s="162">
        <v>1332.98</v>
      </c>
      <c r="G1113" s="165">
        <v>1332.98</v>
      </c>
      <c r="H1113" s="20">
        <v>132</v>
      </c>
      <c r="I1113"/>
    </row>
    <row r="1114" spans="1:9" x14ac:dyDescent="0.25">
      <c r="A1114" s="228">
        <v>41794</v>
      </c>
      <c r="B1114" s="161" t="s">
        <v>1087</v>
      </c>
      <c r="C1114" t="s">
        <v>842</v>
      </c>
      <c r="D1114" t="s">
        <v>33</v>
      </c>
      <c r="E1114" s="162">
        <v>9</v>
      </c>
      <c r="F1114" s="162">
        <v>25.78</v>
      </c>
      <c r="G1114" s="165">
        <v>232.02</v>
      </c>
      <c r="H1114" s="20">
        <v>132</v>
      </c>
      <c r="I1114"/>
    </row>
    <row r="1115" spans="1:9" x14ac:dyDescent="0.25">
      <c r="A1115" s="228">
        <v>41796</v>
      </c>
      <c r="B1115" s="161" t="s">
        <v>1087</v>
      </c>
      <c r="C1115" t="s">
        <v>842</v>
      </c>
      <c r="D1115" t="s">
        <v>33</v>
      </c>
      <c r="E1115" s="162">
        <v>9.5</v>
      </c>
      <c r="F1115" s="162">
        <v>25.78</v>
      </c>
      <c r="G1115" s="165">
        <v>244.91</v>
      </c>
      <c r="H1115" s="20">
        <v>132</v>
      </c>
      <c r="I1115"/>
    </row>
    <row r="1116" spans="1:9" x14ac:dyDescent="0.25">
      <c r="A1116" s="228">
        <v>41807</v>
      </c>
      <c r="B1116" s="161" t="s">
        <v>1087</v>
      </c>
      <c r="C1116" t="s">
        <v>842</v>
      </c>
      <c r="D1116" t="s">
        <v>33</v>
      </c>
      <c r="E1116" s="162">
        <v>5</v>
      </c>
      <c r="F1116" s="162">
        <v>25.78</v>
      </c>
      <c r="G1116" s="165">
        <v>128.9</v>
      </c>
      <c r="H1116" s="20">
        <v>132</v>
      </c>
      <c r="I1116"/>
    </row>
    <row r="1117" spans="1:9" x14ac:dyDescent="0.25">
      <c r="A1117" s="228">
        <v>41808</v>
      </c>
      <c r="B1117" s="161" t="s">
        <v>1091</v>
      </c>
      <c r="C1117" t="s">
        <v>1086</v>
      </c>
      <c r="D1117" t="s">
        <v>747</v>
      </c>
      <c r="E1117" s="162">
        <v>1</v>
      </c>
      <c r="F1117" s="162">
        <v>1332.98</v>
      </c>
      <c r="G1117" s="165">
        <v>1332.98</v>
      </c>
      <c r="H1117" s="20">
        <v>132</v>
      </c>
      <c r="I1117"/>
    </row>
    <row r="1118" spans="1:9" x14ac:dyDescent="0.25">
      <c r="A1118" s="228">
        <v>41808</v>
      </c>
      <c r="B1118" s="161" t="s">
        <v>1087</v>
      </c>
      <c r="C1118" t="s">
        <v>842</v>
      </c>
      <c r="D1118" t="s">
        <v>33</v>
      </c>
      <c r="E1118" s="162">
        <v>10</v>
      </c>
      <c r="F1118" s="162">
        <v>25.78</v>
      </c>
      <c r="G1118" s="165">
        <v>257.8</v>
      </c>
      <c r="H1118" s="20">
        <v>132</v>
      </c>
      <c r="I1118"/>
    </row>
    <row r="1119" spans="1:9" x14ac:dyDescent="0.25">
      <c r="A1119" s="228">
        <v>41809</v>
      </c>
      <c r="B1119" s="161" t="s">
        <v>1087</v>
      </c>
      <c r="C1119" t="s">
        <v>842</v>
      </c>
      <c r="D1119" t="s">
        <v>33</v>
      </c>
      <c r="E1119" s="162">
        <v>10</v>
      </c>
      <c r="F1119" s="162">
        <v>25.78</v>
      </c>
      <c r="G1119" s="165">
        <v>257.8</v>
      </c>
      <c r="H1119" s="20">
        <v>132</v>
      </c>
      <c r="I1119"/>
    </row>
    <row r="1120" spans="1:9" x14ac:dyDescent="0.25">
      <c r="A1120" s="228">
        <v>41813</v>
      </c>
      <c r="B1120" s="161" t="s">
        <v>1087</v>
      </c>
      <c r="C1120" t="s">
        <v>842</v>
      </c>
      <c r="D1120" t="s">
        <v>33</v>
      </c>
      <c r="E1120" s="162">
        <v>9.25</v>
      </c>
      <c r="F1120" s="162">
        <v>25.78</v>
      </c>
      <c r="G1120" s="165">
        <v>238.465</v>
      </c>
      <c r="H1120" s="20">
        <v>132</v>
      </c>
      <c r="I1120"/>
    </row>
    <row r="1121" spans="1:9" x14ac:dyDescent="0.25">
      <c r="A1121" s="228">
        <v>41813</v>
      </c>
      <c r="B1121" s="161" t="s">
        <v>1094</v>
      </c>
      <c r="C1121" t="s">
        <v>1086</v>
      </c>
      <c r="D1121" t="s">
        <v>747</v>
      </c>
      <c r="E1121" s="162">
        <v>1</v>
      </c>
      <c r="F1121" s="162">
        <v>1292.95</v>
      </c>
      <c r="G1121" s="165">
        <v>1292.95</v>
      </c>
      <c r="H1121" s="20">
        <v>132</v>
      </c>
      <c r="I1121"/>
    </row>
    <row r="1122" spans="1:9" x14ac:dyDescent="0.25">
      <c r="A1122" s="228">
        <v>41814</v>
      </c>
      <c r="B1122" s="161" t="s">
        <v>1087</v>
      </c>
      <c r="C1122" t="s">
        <v>842</v>
      </c>
      <c r="D1122" t="s">
        <v>33</v>
      </c>
      <c r="E1122" s="162">
        <v>9</v>
      </c>
      <c r="F1122" s="162">
        <v>25.78</v>
      </c>
      <c r="G1122" s="165">
        <v>232.02</v>
      </c>
      <c r="H1122" s="20">
        <v>132</v>
      </c>
      <c r="I1122"/>
    </row>
    <row r="1123" spans="1:9" x14ac:dyDescent="0.25">
      <c r="A1123" s="228">
        <v>41816</v>
      </c>
      <c r="B1123" s="161" t="s">
        <v>1094</v>
      </c>
      <c r="C1123" t="s">
        <v>1086</v>
      </c>
      <c r="D1123" t="s">
        <v>747</v>
      </c>
      <c r="E1123" s="162">
        <v>1</v>
      </c>
      <c r="F1123" s="162">
        <v>686.95</v>
      </c>
      <c r="G1123" s="165">
        <v>686.95</v>
      </c>
      <c r="H1123" s="20">
        <v>132</v>
      </c>
      <c r="I1123"/>
    </row>
    <row r="1124" spans="1:9" x14ac:dyDescent="0.25">
      <c r="A1124" s="228">
        <v>41816</v>
      </c>
      <c r="B1124" s="161" t="s">
        <v>1087</v>
      </c>
      <c r="C1124" t="s">
        <v>842</v>
      </c>
      <c r="D1124" t="s">
        <v>33</v>
      </c>
      <c r="E1124" s="162">
        <v>9</v>
      </c>
      <c r="F1124" s="162">
        <v>25.78</v>
      </c>
      <c r="G1124" s="165">
        <v>232.02</v>
      </c>
      <c r="H1124" s="20">
        <v>132</v>
      </c>
      <c r="I1124"/>
    </row>
    <row r="1125" spans="1:9" x14ac:dyDescent="0.25">
      <c r="A1125" s="228">
        <v>41817</v>
      </c>
      <c r="B1125" s="161" t="s">
        <v>1095</v>
      </c>
      <c r="C1125" t="s">
        <v>842</v>
      </c>
      <c r="D1125" t="s">
        <v>33</v>
      </c>
      <c r="E1125" s="162">
        <v>9</v>
      </c>
      <c r="F1125" s="162">
        <v>25.78</v>
      </c>
      <c r="G1125" s="165">
        <v>232.02</v>
      </c>
      <c r="H1125" s="20">
        <v>132</v>
      </c>
      <c r="I1125"/>
    </row>
    <row r="1126" spans="1:9" x14ac:dyDescent="0.25">
      <c r="A1126" s="228">
        <v>41820</v>
      </c>
      <c r="B1126" s="161" t="s">
        <v>1096</v>
      </c>
      <c r="C1126" t="s">
        <v>921</v>
      </c>
      <c r="D1126" t="s">
        <v>929</v>
      </c>
      <c r="E1126" s="162">
        <v>292</v>
      </c>
      <c r="F1126" s="162">
        <v>16</v>
      </c>
      <c r="G1126" s="165">
        <v>4672</v>
      </c>
      <c r="H1126" s="20">
        <v>132</v>
      </c>
      <c r="I1126"/>
    </row>
    <row r="1127" spans="1:9" x14ac:dyDescent="0.25">
      <c r="A1127" s="228">
        <v>41820</v>
      </c>
      <c r="B1127" s="161" t="s">
        <v>1097</v>
      </c>
      <c r="C1127" t="s">
        <v>921</v>
      </c>
      <c r="D1127" t="s">
        <v>94</v>
      </c>
      <c r="E1127" s="162">
        <v>236.04</v>
      </c>
      <c r="F1127" s="162">
        <v>275</v>
      </c>
      <c r="G1127" s="165">
        <v>64911</v>
      </c>
      <c r="H1127" s="20">
        <v>132</v>
      </c>
      <c r="I1127"/>
    </row>
    <row r="1128" spans="1:9" x14ac:dyDescent="0.25">
      <c r="A1128" s="228">
        <v>41820</v>
      </c>
      <c r="B1128" s="161" t="s">
        <v>841</v>
      </c>
      <c r="C1128" t="s">
        <v>842</v>
      </c>
      <c r="D1128" t="s">
        <v>33</v>
      </c>
      <c r="E1128" s="162">
        <v>9.5</v>
      </c>
      <c r="F1128" s="162">
        <v>25.78</v>
      </c>
      <c r="G1128" s="165">
        <v>244.91</v>
      </c>
      <c r="H1128" s="20">
        <v>132</v>
      </c>
      <c r="I1128"/>
    </row>
    <row r="1129" spans="1:9" x14ac:dyDescent="0.25">
      <c r="A1129" s="228">
        <v>41820</v>
      </c>
      <c r="B1129" s="161" t="s">
        <v>839</v>
      </c>
      <c r="C1129" t="s">
        <v>821</v>
      </c>
      <c r="D1129" t="s">
        <v>747</v>
      </c>
      <c r="E1129" s="162">
        <v>1</v>
      </c>
      <c r="F1129" s="162">
        <v>2715.83</v>
      </c>
      <c r="G1129" s="165">
        <v>2715.83</v>
      </c>
      <c r="H1129" s="20">
        <v>132</v>
      </c>
      <c r="I1129"/>
    </row>
    <row r="1130" spans="1:9" x14ac:dyDescent="0.25">
      <c r="A1130" s="228">
        <v>41821</v>
      </c>
      <c r="B1130" s="161" t="s">
        <v>837</v>
      </c>
      <c r="C1130" t="s">
        <v>8</v>
      </c>
      <c r="D1130" t="s">
        <v>33</v>
      </c>
      <c r="E1130" s="162">
        <v>4.5</v>
      </c>
      <c r="F1130" s="162">
        <v>42.72</v>
      </c>
      <c r="G1130" s="165">
        <v>192.24</v>
      </c>
      <c r="H1130" s="20">
        <v>132</v>
      </c>
      <c r="I1130"/>
    </row>
    <row r="1131" spans="1:9" x14ac:dyDescent="0.25">
      <c r="A1131" s="228">
        <v>41821</v>
      </c>
      <c r="B1131" s="161" t="s">
        <v>1094</v>
      </c>
      <c r="C1131" t="s">
        <v>1086</v>
      </c>
      <c r="D1131" t="s">
        <v>747</v>
      </c>
      <c r="E1131" s="162">
        <v>1</v>
      </c>
      <c r="F1131" s="162">
        <v>1332.98</v>
      </c>
      <c r="G1131" s="165">
        <v>1332.98</v>
      </c>
      <c r="H1131" s="20">
        <v>132</v>
      </c>
      <c r="I1131"/>
    </row>
    <row r="1132" spans="1:9" x14ac:dyDescent="0.25">
      <c r="A1132" s="228">
        <v>41821</v>
      </c>
      <c r="B1132" s="161" t="s">
        <v>841</v>
      </c>
      <c r="C1132" t="s">
        <v>842</v>
      </c>
      <c r="D1132" t="s">
        <v>33</v>
      </c>
      <c r="E1132" s="162">
        <v>9.5</v>
      </c>
      <c r="F1132" s="162">
        <v>25.78</v>
      </c>
      <c r="G1132" s="165">
        <v>244.91</v>
      </c>
      <c r="H1132" s="20">
        <v>132</v>
      </c>
      <c r="I1132"/>
    </row>
    <row r="1133" spans="1:9" x14ac:dyDescent="0.25">
      <c r="A1133" s="228">
        <v>41821</v>
      </c>
      <c r="B1133" s="161" t="s">
        <v>855</v>
      </c>
      <c r="C1133" t="s">
        <v>856</v>
      </c>
      <c r="D1133" t="s">
        <v>33</v>
      </c>
      <c r="E1133" s="162">
        <v>4.5</v>
      </c>
      <c r="F1133" s="162">
        <v>21.61</v>
      </c>
      <c r="G1133" s="165">
        <v>97.245000000000005</v>
      </c>
      <c r="H1133" s="20">
        <v>132</v>
      </c>
      <c r="I1133"/>
    </row>
    <row r="1134" spans="1:9" ht="30" x14ac:dyDescent="0.25">
      <c r="A1134" s="228">
        <v>41822</v>
      </c>
      <c r="B1134" s="161" t="s">
        <v>1098</v>
      </c>
      <c r="C1134" t="s">
        <v>925</v>
      </c>
      <c r="D1134" t="s">
        <v>747</v>
      </c>
      <c r="E1134" s="162">
        <v>1</v>
      </c>
      <c r="F1134" s="162">
        <v>22.73</v>
      </c>
      <c r="G1134" s="165">
        <v>22.73</v>
      </c>
      <c r="H1134" s="20">
        <v>132</v>
      </c>
      <c r="I1134"/>
    </row>
    <row r="1135" spans="1:9" x14ac:dyDescent="0.25">
      <c r="A1135" s="228">
        <v>41823</v>
      </c>
      <c r="B1135" s="161" t="s">
        <v>855</v>
      </c>
      <c r="C1135" t="s">
        <v>856</v>
      </c>
      <c r="D1135" t="s">
        <v>33</v>
      </c>
      <c r="E1135" s="162">
        <v>2</v>
      </c>
      <c r="F1135" s="162">
        <v>21.61</v>
      </c>
      <c r="G1135" s="165">
        <v>43.22</v>
      </c>
      <c r="H1135" s="20">
        <v>132</v>
      </c>
      <c r="I1135"/>
    </row>
    <row r="1136" spans="1:9" x14ac:dyDescent="0.25">
      <c r="A1136" s="228">
        <v>41823</v>
      </c>
      <c r="B1136" s="161" t="s">
        <v>841</v>
      </c>
      <c r="C1136" t="s">
        <v>842</v>
      </c>
      <c r="D1136" t="s">
        <v>33</v>
      </c>
      <c r="E1136" s="162">
        <v>5</v>
      </c>
      <c r="F1136" s="162">
        <v>25.78</v>
      </c>
      <c r="G1136" s="165">
        <v>128.9</v>
      </c>
      <c r="H1136" s="20">
        <v>132</v>
      </c>
      <c r="I1136"/>
    </row>
    <row r="1137" spans="1:9" x14ac:dyDescent="0.25">
      <c r="A1137" s="228">
        <v>41824</v>
      </c>
      <c r="B1137" s="161" t="s">
        <v>841</v>
      </c>
      <c r="C1137" t="s">
        <v>842</v>
      </c>
      <c r="D1137" t="s">
        <v>33</v>
      </c>
      <c r="E1137" s="162">
        <v>9</v>
      </c>
      <c r="F1137" s="162">
        <v>25.78</v>
      </c>
      <c r="G1137" s="165">
        <v>232.02</v>
      </c>
      <c r="H1137" s="20">
        <v>132</v>
      </c>
      <c r="I1137"/>
    </row>
    <row r="1138" spans="1:9" x14ac:dyDescent="0.25">
      <c r="A1138" s="228">
        <v>41825</v>
      </c>
      <c r="B1138" s="161" t="s">
        <v>841</v>
      </c>
      <c r="C1138" t="s">
        <v>842</v>
      </c>
      <c r="D1138" t="s">
        <v>33</v>
      </c>
      <c r="E1138" s="162">
        <v>4</v>
      </c>
      <c r="F1138" s="162">
        <v>25.78</v>
      </c>
      <c r="G1138" s="165">
        <v>103.12</v>
      </c>
      <c r="H1138" s="20">
        <v>132</v>
      </c>
      <c r="I1138"/>
    </row>
    <row r="1139" spans="1:9" x14ac:dyDescent="0.25">
      <c r="A1139" s="228">
        <v>41827</v>
      </c>
      <c r="B1139" s="161" t="s">
        <v>841</v>
      </c>
      <c r="C1139" t="s">
        <v>842</v>
      </c>
      <c r="D1139" t="s">
        <v>33</v>
      </c>
      <c r="E1139" s="162">
        <v>9.5</v>
      </c>
      <c r="F1139" s="162">
        <v>25.78</v>
      </c>
      <c r="G1139" s="165">
        <v>244.91</v>
      </c>
      <c r="H1139" s="20">
        <v>132</v>
      </c>
      <c r="I1139"/>
    </row>
    <row r="1140" spans="1:9" x14ac:dyDescent="0.25">
      <c r="A1140" s="228">
        <v>41828</v>
      </c>
      <c r="B1140" s="161" t="s">
        <v>841</v>
      </c>
      <c r="C1140" t="s">
        <v>842</v>
      </c>
      <c r="D1140" t="s">
        <v>33</v>
      </c>
      <c r="E1140" s="162">
        <v>9.5</v>
      </c>
      <c r="F1140" s="162">
        <v>25.78</v>
      </c>
      <c r="G1140" s="165">
        <v>244.91</v>
      </c>
      <c r="H1140" s="20">
        <v>132</v>
      </c>
      <c r="I1140"/>
    </row>
    <row r="1141" spans="1:9" x14ac:dyDescent="0.25">
      <c r="A1141" s="228">
        <v>41828</v>
      </c>
      <c r="B1141" s="161" t="s">
        <v>1099</v>
      </c>
      <c r="C1141" t="s">
        <v>1100</v>
      </c>
      <c r="D1141" t="s">
        <v>747</v>
      </c>
      <c r="E1141" s="162">
        <v>66.5</v>
      </c>
      <c r="F1141" s="162"/>
      <c r="G1141" s="165"/>
      <c r="H1141" s="20">
        <v>132</v>
      </c>
      <c r="I1141"/>
    </row>
    <row r="1142" spans="1:9" x14ac:dyDescent="0.25">
      <c r="A1142" s="228">
        <v>41828</v>
      </c>
      <c r="B1142" s="161" t="s">
        <v>1101</v>
      </c>
      <c r="C1142" t="s">
        <v>925</v>
      </c>
      <c r="D1142" t="s">
        <v>747</v>
      </c>
      <c r="E1142" s="162">
        <v>1</v>
      </c>
      <c r="F1142" s="162">
        <v>142.82</v>
      </c>
      <c r="G1142" s="165">
        <v>142.82</v>
      </c>
      <c r="H1142" s="20">
        <v>132</v>
      </c>
      <c r="I1142"/>
    </row>
    <row r="1143" spans="1:9" x14ac:dyDescent="0.25">
      <c r="A1143" s="228">
        <v>41829</v>
      </c>
      <c r="B1143" s="161" t="s">
        <v>1094</v>
      </c>
      <c r="C1143" t="s">
        <v>1086</v>
      </c>
      <c r="D1143" t="s">
        <v>747</v>
      </c>
      <c r="E1143" s="162">
        <v>1</v>
      </c>
      <c r="F1143" s="162">
        <v>810</v>
      </c>
      <c r="G1143" s="165">
        <v>810</v>
      </c>
      <c r="H1143" s="20">
        <v>132</v>
      </c>
      <c r="I1143"/>
    </row>
    <row r="1144" spans="1:9" x14ac:dyDescent="0.25">
      <c r="A1144" s="228">
        <v>41829</v>
      </c>
      <c r="B1144" s="161" t="s">
        <v>1102</v>
      </c>
      <c r="C1144" t="s">
        <v>1100</v>
      </c>
      <c r="D1144" t="s">
        <v>747</v>
      </c>
      <c r="E1144" s="162">
        <v>42.5</v>
      </c>
      <c r="F1144" s="162"/>
      <c r="G1144" s="165"/>
      <c r="H1144" s="20">
        <v>132</v>
      </c>
      <c r="I1144"/>
    </row>
    <row r="1145" spans="1:9" x14ac:dyDescent="0.25">
      <c r="A1145" s="228">
        <v>41829</v>
      </c>
      <c r="B1145" s="161" t="s">
        <v>841</v>
      </c>
      <c r="C1145" t="s">
        <v>842</v>
      </c>
      <c r="D1145" t="s">
        <v>33</v>
      </c>
      <c r="E1145" s="162">
        <v>8.5</v>
      </c>
      <c r="F1145" s="162">
        <v>25.78</v>
      </c>
      <c r="G1145" s="165">
        <v>219.13</v>
      </c>
      <c r="H1145" s="20">
        <v>132</v>
      </c>
      <c r="I1145"/>
    </row>
    <row r="1146" spans="1:9" x14ac:dyDescent="0.25">
      <c r="A1146" s="228">
        <v>41830</v>
      </c>
      <c r="B1146" s="161" t="s">
        <v>1099</v>
      </c>
      <c r="C1146" t="s">
        <v>1100</v>
      </c>
      <c r="D1146" t="s">
        <v>747</v>
      </c>
      <c r="E1146" s="162">
        <v>56</v>
      </c>
      <c r="F1146" s="162"/>
      <c r="G1146" s="165"/>
      <c r="H1146" s="20">
        <v>132</v>
      </c>
      <c r="I1146"/>
    </row>
    <row r="1147" spans="1:9" x14ac:dyDescent="0.25">
      <c r="A1147" s="228">
        <v>41831</v>
      </c>
      <c r="B1147" s="161" t="s">
        <v>1103</v>
      </c>
      <c r="C1147" t="s">
        <v>1100</v>
      </c>
      <c r="D1147" t="s">
        <v>747</v>
      </c>
      <c r="E1147" s="162">
        <v>52.5</v>
      </c>
      <c r="F1147" s="162"/>
      <c r="G1147" s="165"/>
      <c r="H1147" s="20">
        <v>132</v>
      </c>
      <c r="I1147"/>
    </row>
    <row r="1148" spans="1:9" x14ac:dyDescent="0.25">
      <c r="A1148" s="228">
        <v>41831</v>
      </c>
      <c r="B1148" s="161" t="s">
        <v>841</v>
      </c>
      <c r="C1148" t="s">
        <v>842</v>
      </c>
      <c r="D1148" t="s">
        <v>33</v>
      </c>
      <c r="E1148" s="162">
        <v>7.5</v>
      </c>
      <c r="F1148" s="162">
        <v>25.78</v>
      </c>
      <c r="G1148" s="165">
        <v>193.35</v>
      </c>
      <c r="H1148" s="20">
        <v>132</v>
      </c>
      <c r="I1148"/>
    </row>
    <row r="1149" spans="1:9" x14ac:dyDescent="0.25">
      <c r="A1149" s="228">
        <v>41832</v>
      </c>
      <c r="B1149" s="161" t="s">
        <v>841</v>
      </c>
      <c r="C1149" t="s">
        <v>842</v>
      </c>
      <c r="D1149" t="s">
        <v>33</v>
      </c>
      <c r="E1149" s="162">
        <v>4.5</v>
      </c>
      <c r="F1149" s="162">
        <v>25.78</v>
      </c>
      <c r="G1149" s="165">
        <v>116.01</v>
      </c>
      <c r="H1149" s="20">
        <v>132</v>
      </c>
      <c r="I1149"/>
    </row>
    <row r="1150" spans="1:9" x14ac:dyDescent="0.25">
      <c r="A1150" s="228">
        <v>41832</v>
      </c>
      <c r="B1150" s="161" t="s">
        <v>870</v>
      </c>
      <c r="C1150" t="s">
        <v>871</v>
      </c>
      <c r="D1150" t="s">
        <v>33</v>
      </c>
      <c r="E1150" s="162">
        <v>4.5</v>
      </c>
      <c r="F1150" s="162">
        <v>42.79</v>
      </c>
      <c r="G1150" s="165">
        <v>192.55500000000001</v>
      </c>
      <c r="H1150" s="20">
        <v>132</v>
      </c>
      <c r="I1150"/>
    </row>
    <row r="1151" spans="1:9" x14ac:dyDescent="0.25">
      <c r="A1151" s="228">
        <v>41832</v>
      </c>
      <c r="B1151" s="161" t="s">
        <v>1104</v>
      </c>
      <c r="C1151" t="s">
        <v>1100</v>
      </c>
      <c r="D1151" t="s">
        <v>747</v>
      </c>
      <c r="E1151" s="162">
        <v>9</v>
      </c>
      <c r="F1151" s="162"/>
      <c r="G1151" s="165"/>
      <c r="H1151" s="20">
        <v>132</v>
      </c>
      <c r="I1151"/>
    </row>
    <row r="1152" spans="1:9" x14ac:dyDescent="0.25">
      <c r="A1152" s="228">
        <v>41834</v>
      </c>
      <c r="B1152" s="161" t="s">
        <v>841</v>
      </c>
      <c r="C1152" t="s">
        <v>842</v>
      </c>
      <c r="D1152" t="s">
        <v>33</v>
      </c>
      <c r="E1152" s="162">
        <v>8</v>
      </c>
      <c r="F1152" s="162">
        <v>25.78</v>
      </c>
      <c r="G1152" s="165">
        <v>206.24</v>
      </c>
      <c r="H1152" s="20">
        <v>132</v>
      </c>
      <c r="I1152"/>
    </row>
    <row r="1153" spans="1:9" x14ac:dyDescent="0.25">
      <c r="A1153" s="228">
        <v>41834</v>
      </c>
      <c r="B1153" s="161" t="s">
        <v>837</v>
      </c>
      <c r="C1153" t="s">
        <v>8</v>
      </c>
      <c r="D1153" t="s">
        <v>33</v>
      </c>
      <c r="E1153" s="162">
        <v>2.5</v>
      </c>
      <c r="F1153" s="162">
        <v>42.72</v>
      </c>
      <c r="G1153" s="165">
        <v>106.8</v>
      </c>
      <c r="H1153" s="20">
        <v>132</v>
      </c>
      <c r="I1153"/>
    </row>
    <row r="1154" spans="1:9" x14ac:dyDescent="0.25">
      <c r="A1154" s="228">
        <v>41834</v>
      </c>
      <c r="B1154" s="161" t="s">
        <v>870</v>
      </c>
      <c r="C1154" t="s">
        <v>871</v>
      </c>
      <c r="D1154" t="s">
        <v>33</v>
      </c>
      <c r="E1154" s="162">
        <v>4.5</v>
      </c>
      <c r="F1154" s="162">
        <v>42.79</v>
      </c>
      <c r="G1154" s="165">
        <v>192.55500000000001</v>
      </c>
      <c r="H1154" s="20">
        <v>132</v>
      </c>
      <c r="I1154"/>
    </row>
    <row r="1155" spans="1:9" x14ac:dyDescent="0.25">
      <c r="A1155" s="228">
        <v>41834</v>
      </c>
      <c r="B1155" s="161" t="s">
        <v>1104</v>
      </c>
      <c r="C1155" t="s">
        <v>1100</v>
      </c>
      <c r="D1155" t="s">
        <v>747</v>
      </c>
      <c r="E1155" s="162">
        <v>24</v>
      </c>
      <c r="F1155" s="162"/>
      <c r="G1155" s="165"/>
      <c r="H1155" s="20">
        <v>132</v>
      </c>
      <c r="I1155"/>
    </row>
    <row r="1156" spans="1:9" x14ac:dyDescent="0.25">
      <c r="A1156" s="228">
        <v>41834</v>
      </c>
      <c r="B1156" s="161" t="s">
        <v>870</v>
      </c>
      <c r="C1156" t="s">
        <v>871</v>
      </c>
      <c r="D1156" t="s">
        <v>33</v>
      </c>
      <c r="E1156" s="162">
        <v>4.5</v>
      </c>
      <c r="F1156" s="162">
        <v>42.79</v>
      </c>
      <c r="G1156" s="165">
        <v>192.55500000000001</v>
      </c>
      <c r="H1156" s="20">
        <v>132</v>
      </c>
      <c r="I1156"/>
    </row>
    <row r="1157" spans="1:9" x14ac:dyDescent="0.25">
      <c r="A1157" s="228">
        <v>41834</v>
      </c>
      <c r="B1157" s="161" t="s">
        <v>1094</v>
      </c>
      <c r="C1157" t="s">
        <v>1086</v>
      </c>
      <c r="D1157" t="s">
        <v>747</v>
      </c>
      <c r="E1157" s="162">
        <v>1</v>
      </c>
      <c r="F1157" s="162">
        <v>522.98</v>
      </c>
      <c r="G1157" s="165">
        <v>522.98</v>
      </c>
      <c r="H1157" s="20">
        <v>132</v>
      </c>
      <c r="I1157"/>
    </row>
    <row r="1158" spans="1:9" x14ac:dyDescent="0.25">
      <c r="A1158" s="228">
        <v>41836</v>
      </c>
      <c r="B1158" s="161" t="s">
        <v>841</v>
      </c>
      <c r="C1158" t="s">
        <v>842</v>
      </c>
      <c r="D1158" t="s">
        <v>33</v>
      </c>
      <c r="E1158" s="162">
        <v>9</v>
      </c>
      <c r="F1158" s="162">
        <v>25.78</v>
      </c>
      <c r="G1158" s="165">
        <v>232.02</v>
      </c>
      <c r="H1158" s="20">
        <v>132</v>
      </c>
      <c r="I1158"/>
    </row>
    <row r="1159" spans="1:9" x14ac:dyDescent="0.25">
      <c r="A1159" s="228">
        <v>41836</v>
      </c>
      <c r="B1159" s="161" t="s">
        <v>870</v>
      </c>
      <c r="C1159" t="s">
        <v>871</v>
      </c>
      <c r="D1159" t="s">
        <v>33</v>
      </c>
      <c r="E1159" s="162">
        <v>4.5</v>
      </c>
      <c r="F1159" s="162">
        <v>42.79</v>
      </c>
      <c r="G1159" s="165">
        <v>192.55500000000001</v>
      </c>
      <c r="H1159" s="20">
        <v>132</v>
      </c>
      <c r="I1159"/>
    </row>
    <row r="1160" spans="1:9" x14ac:dyDescent="0.25">
      <c r="A1160" s="228">
        <v>41836</v>
      </c>
      <c r="B1160" s="161" t="s">
        <v>837</v>
      </c>
      <c r="C1160" t="s">
        <v>8</v>
      </c>
      <c r="D1160" t="s">
        <v>33</v>
      </c>
      <c r="E1160" s="162">
        <v>4.5</v>
      </c>
      <c r="F1160" s="162">
        <v>42.72</v>
      </c>
      <c r="G1160" s="165">
        <v>192.24</v>
      </c>
      <c r="H1160" s="20">
        <v>132</v>
      </c>
      <c r="I1160"/>
    </row>
    <row r="1161" spans="1:9" x14ac:dyDescent="0.25">
      <c r="A1161" s="228">
        <v>41836</v>
      </c>
      <c r="B1161" s="161" t="s">
        <v>870</v>
      </c>
      <c r="C1161" t="s">
        <v>871</v>
      </c>
      <c r="D1161" t="s">
        <v>33</v>
      </c>
      <c r="E1161" s="162">
        <v>2</v>
      </c>
      <c r="F1161" s="162">
        <v>42.79</v>
      </c>
      <c r="G1161" s="165">
        <v>85.58</v>
      </c>
      <c r="H1161" s="20">
        <v>132</v>
      </c>
      <c r="I1161"/>
    </row>
    <row r="1162" spans="1:9" x14ac:dyDescent="0.25">
      <c r="A1162" s="228">
        <v>41836</v>
      </c>
      <c r="B1162" s="161" t="s">
        <v>1094</v>
      </c>
      <c r="C1162" t="s">
        <v>1086</v>
      </c>
      <c r="D1162" t="s">
        <v>747</v>
      </c>
      <c r="E1162" s="162">
        <v>1</v>
      </c>
      <c r="F1162" s="162">
        <v>686.95</v>
      </c>
      <c r="G1162" s="165">
        <v>686.95</v>
      </c>
      <c r="H1162" s="20">
        <v>132</v>
      </c>
      <c r="I1162"/>
    </row>
    <row r="1163" spans="1:9" x14ac:dyDescent="0.25">
      <c r="A1163" s="228">
        <v>41837</v>
      </c>
      <c r="B1163" s="161" t="s">
        <v>841</v>
      </c>
      <c r="C1163" t="s">
        <v>842</v>
      </c>
      <c r="D1163" t="s">
        <v>33</v>
      </c>
      <c r="E1163" s="162">
        <v>9</v>
      </c>
      <c r="F1163" s="162">
        <v>25.78</v>
      </c>
      <c r="G1163" s="165">
        <v>232.02</v>
      </c>
      <c r="H1163" s="20">
        <v>132</v>
      </c>
      <c r="I1163"/>
    </row>
    <row r="1164" spans="1:9" x14ac:dyDescent="0.25">
      <c r="A1164" s="228">
        <v>41837</v>
      </c>
      <c r="B1164" s="161" t="s">
        <v>503</v>
      </c>
      <c r="C1164" t="s">
        <v>840</v>
      </c>
      <c r="D1164" t="s">
        <v>19</v>
      </c>
      <c r="E1164" s="162">
        <v>4</v>
      </c>
      <c r="F1164" s="162"/>
      <c r="G1164" s="165"/>
      <c r="H1164" s="20">
        <v>132</v>
      </c>
      <c r="I1164"/>
    </row>
    <row r="1165" spans="1:9" x14ac:dyDescent="0.25">
      <c r="A1165" s="228">
        <v>41841</v>
      </c>
      <c r="B1165" s="161" t="s">
        <v>855</v>
      </c>
      <c r="C1165" t="s">
        <v>856</v>
      </c>
      <c r="D1165" t="s">
        <v>33</v>
      </c>
      <c r="E1165" s="162">
        <v>2</v>
      </c>
      <c r="F1165" s="162">
        <v>21.61</v>
      </c>
      <c r="G1165" s="165">
        <v>43.22</v>
      </c>
      <c r="H1165" s="20">
        <v>132</v>
      </c>
      <c r="I1165"/>
    </row>
    <row r="1166" spans="1:9" x14ac:dyDescent="0.25">
      <c r="A1166" s="228">
        <v>41841</v>
      </c>
      <c r="B1166" s="161" t="s">
        <v>1094</v>
      </c>
      <c r="C1166" t="s">
        <v>1086</v>
      </c>
      <c r="D1166" t="s">
        <v>747</v>
      </c>
      <c r="E1166" s="162">
        <v>1</v>
      </c>
      <c r="F1166" s="162">
        <v>646.04</v>
      </c>
      <c r="G1166" s="165">
        <v>646.04</v>
      </c>
      <c r="H1166" s="20">
        <v>132</v>
      </c>
      <c r="I1166"/>
    </row>
    <row r="1167" spans="1:9" x14ac:dyDescent="0.25">
      <c r="A1167" s="228">
        <v>41841</v>
      </c>
      <c r="B1167" s="161" t="s">
        <v>503</v>
      </c>
      <c r="C1167" t="s">
        <v>840</v>
      </c>
      <c r="D1167" t="s">
        <v>33</v>
      </c>
      <c r="E1167" s="162">
        <v>2</v>
      </c>
      <c r="F1167" s="162"/>
      <c r="G1167" s="165"/>
      <c r="H1167" s="20">
        <v>132</v>
      </c>
      <c r="I1167"/>
    </row>
    <row r="1168" spans="1:9" x14ac:dyDescent="0.25">
      <c r="A1168" s="228">
        <v>41841</v>
      </c>
      <c r="B1168" s="161" t="s">
        <v>837</v>
      </c>
      <c r="C1168" t="s">
        <v>8</v>
      </c>
      <c r="D1168" t="s">
        <v>33</v>
      </c>
      <c r="E1168" s="162">
        <v>2</v>
      </c>
      <c r="F1168" s="162">
        <v>42.72</v>
      </c>
      <c r="G1168" s="165">
        <v>85.44</v>
      </c>
      <c r="H1168" s="20">
        <v>132</v>
      </c>
      <c r="I1168"/>
    </row>
    <row r="1169" spans="1:9" x14ac:dyDescent="0.25">
      <c r="A1169" s="228">
        <v>41841</v>
      </c>
      <c r="B1169" s="161" t="s">
        <v>841</v>
      </c>
      <c r="C1169" t="s">
        <v>842</v>
      </c>
      <c r="D1169" t="s">
        <v>33</v>
      </c>
      <c r="E1169" s="162">
        <v>9.5</v>
      </c>
      <c r="F1169" s="162">
        <v>25.78</v>
      </c>
      <c r="G1169" s="165">
        <v>244.91</v>
      </c>
      <c r="H1169" s="20">
        <v>132</v>
      </c>
      <c r="I1169"/>
    </row>
    <row r="1170" spans="1:9" x14ac:dyDescent="0.25">
      <c r="A1170" s="228">
        <v>41842</v>
      </c>
      <c r="B1170" s="161" t="s">
        <v>855</v>
      </c>
      <c r="C1170" t="s">
        <v>856</v>
      </c>
      <c r="D1170" t="s">
        <v>33</v>
      </c>
      <c r="E1170" s="162">
        <v>1</v>
      </c>
      <c r="F1170" s="162">
        <v>21.61</v>
      </c>
      <c r="G1170" s="165">
        <v>21.61</v>
      </c>
      <c r="H1170" s="20">
        <v>132</v>
      </c>
      <c r="I1170"/>
    </row>
    <row r="1171" spans="1:9" x14ac:dyDescent="0.25">
      <c r="A1171" s="228">
        <v>41842</v>
      </c>
      <c r="B1171" s="161" t="s">
        <v>841</v>
      </c>
      <c r="C1171" t="s">
        <v>842</v>
      </c>
      <c r="D1171" t="s">
        <v>33</v>
      </c>
      <c r="E1171" s="162">
        <v>9</v>
      </c>
      <c r="F1171" s="162">
        <v>25.78</v>
      </c>
      <c r="G1171" s="165">
        <v>232.02</v>
      </c>
      <c r="H1171" s="20">
        <v>132</v>
      </c>
      <c r="I1171"/>
    </row>
    <row r="1172" spans="1:9" x14ac:dyDescent="0.25">
      <c r="A1172" s="228">
        <v>41842</v>
      </c>
      <c r="B1172" s="161" t="s">
        <v>503</v>
      </c>
      <c r="C1172" t="s">
        <v>840</v>
      </c>
      <c r="D1172" t="s">
        <v>19</v>
      </c>
      <c r="E1172" s="162">
        <v>2</v>
      </c>
      <c r="F1172" s="162"/>
      <c r="G1172" s="165"/>
      <c r="H1172" s="20">
        <v>132</v>
      </c>
      <c r="I1172"/>
    </row>
    <row r="1173" spans="1:9" x14ac:dyDescent="0.25">
      <c r="A1173" s="228">
        <v>41842</v>
      </c>
      <c r="B1173" s="161" t="s">
        <v>1094</v>
      </c>
      <c r="C1173" t="s">
        <v>1086</v>
      </c>
      <c r="D1173" t="s">
        <v>747</v>
      </c>
      <c r="E1173" s="162">
        <v>1</v>
      </c>
      <c r="F1173" s="162">
        <v>1332.98</v>
      </c>
      <c r="G1173" s="165">
        <v>1332.98</v>
      </c>
      <c r="H1173" s="20">
        <v>132</v>
      </c>
      <c r="I1173"/>
    </row>
    <row r="1174" spans="1:9" x14ac:dyDescent="0.25">
      <c r="A1174" s="228">
        <v>41842</v>
      </c>
      <c r="B1174" s="161" t="s">
        <v>1105</v>
      </c>
      <c r="C1174" t="s">
        <v>1100</v>
      </c>
      <c r="D1174" t="s">
        <v>747</v>
      </c>
      <c r="E1174" s="162">
        <v>66.5</v>
      </c>
      <c r="F1174" s="162"/>
      <c r="G1174" s="165"/>
      <c r="H1174" s="20">
        <v>132</v>
      </c>
      <c r="I1174"/>
    </row>
    <row r="1175" spans="1:9" x14ac:dyDescent="0.25">
      <c r="A1175" s="228">
        <v>41842</v>
      </c>
      <c r="B1175" s="161" t="s">
        <v>837</v>
      </c>
      <c r="C1175" t="s">
        <v>8</v>
      </c>
      <c r="D1175" t="s">
        <v>33</v>
      </c>
      <c r="E1175" s="162">
        <v>1</v>
      </c>
      <c r="F1175" s="162">
        <v>42.72</v>
      </c>
      <c r="G1175" s="165">
        <v>42.72</v>
      </c>
      <c r="H1175" s="20">
        <v>132</v>
      </c>
      <c r="I1175"/>
    </row>
    <row r="1176" spans="1:9" x14ac:dyDescent="0.25">
      <c r="A1176" s="228">
        <v>41843</v>
      </c>
      <c r="B1176" s="161" t="s">
        <v>1094</v>
      </c>
      <c r="C1176" t="s">
        <v>1086</v>
      </c>
      <c r="D1176" t="s">
        <v>747</v>
      </c>
      <c r="E1176" s="162">
        <v>1</v>
      </c>
      <c r="F1176" s="162">
        <v>1332.98</v>
      </c>
      <c r="G1176" s="165">
        <v>1332.98</v>
      </c>
      <c r="H1176" s="20">
        <v>132</v>
      </c>
      <c r="I1176"/>
    </row>
    <row r="1177" spans="1:9" x14ac:dyDescent="0.25">
      <c r="A1177" s="228">
        <v>41843</v>
      </c>
      <c r="B1177" s="161" t="s">
        <v>841</v>
      </c>
      <c r="C1177" t="s">
        <v>842</v>
      </c>
      <c r="D1177" t="s">
        <v>33</v>
      </c>
      <c r="E1177" s="162">
        <v>9.5</v>
      </c>
      <c r="F1177" s="162">
        <v>25.78</v>
      </c>
      <c r="G1177" s="165">
        <v>244.91</v>
      </c>
      <c r="H1177" s="20">
        <v>132</v>
      </c>
      <c r="I1177"/>
    </row>
    <row r="1178" spans="1:9" x14ac:dyDescent="0.25">
      <c r="A1178" s="228">
        <v>41843</v>
      </c>
      <c r="B1178" s="161" t="s">
        <v>837</v>
      </c>
      <c r="C1178" t="s">
        <v>8</v>
      </c>
      <c r="D1178" t="s">
        <v>33</v>
      </c>
      <c r="E1178" s="162">
        <v>1</v>
      </c>
      <c r="F1178" s="162">
        <v>42.72</v>
      </c>
      <c r="G1178" s="165">
        <v>42.72</v>
      </c>
      <c r="H1178" s="20">
        <v>132</v>
      </c>
      <c r="I1178"/>
    </row>
    <row r="1179" spans="1:9" x14ac:dyDescent="0.25">
      <c r="A1179" s="228">
        <v>41843</v>
      </c>
      <c r="B1179" s="161" t="s">
        <v>503</v>
      </c>
      <c r="C1179" t="s">
        <v>840</v>
      </c>
      <c r="D1179" t="s">
        <v>19</v>
      </c>
      <c r="E1179" s="162">
        <v>1</v>
      </c>
      <c r="F1179" s="162"/>
      <c r="G1179" s="165"/>
      <c r="H1179" s="20">
        <v>132</v>
      </c>
      <c r="I1179"/>
    </row>
    <row r="1180" spans="1:9" x14ac:dyDescent="0.25">
      <c r="A1180" s="228">
        <v>41843</v>
      </c>
      <c r="B1180" s="161" t="s">
        <v>1105</v>
      </c>
      <c r="C1180" t="s">
        <v>1100</v>
      </c>
      <c r="D1180" t="s">
        <v>747</v>
      </c>
      <c r="E1180" s="162">
        <v>76</v>
      </c>
      <c r="F1180" s="162"/>
      <c r="G1180" s="165"/>
      <c r="H1180" s="20">
        <v>132</v>
      </c>
      <c r="I1180"/>
    </row>
    <row r="1181" spans="1:9" x14ac:dyDescent="0.25">
      <c r="A1181" s="228">
        <v>41843</v>
      </c>
      <c r="B1181" s="161" t="s">
        <v>503</v>
      </c>
      <c r="C1181" t="s">
        <v>840</v>
      </c>
      <c r="D1181" t="s">
        <v>33</v>
      </c>
      <c r="E1181" s="162">
        <v>2.5</v>
      </c>
      <c r="F1181" s="162"/>
      <c r="G1181" s="165"/>
      <c r="H1181" s="20">
        <v>132</v>
      </c>
      <c r="I1181"/>
    </row>
    <row r="1182" spans="1:9" x14ac:dyDescent="0.25">
      <c r="A1182" s="228">
        <v>41844</v>
      </c>
      <c r="B1182" s="161" t="s">
        <v>837</v>
      </c>
      <c r="C1182" t="s">
        <v>8</v>
      </c>
      <c r="D1182" t="s">
        <v>33</v>
      </c>
      <c r="E1182" s="162">
        <v>6.5</v>
      </c>
      <c r="F1182" s="162">
        <v>42.72</v>
      </c>
      <c r="G1182" s="165">
        <v>277.68</v>
      </c>
      <c r="H1182" s="20">
        <v>132</v>
      </c>
      <c r="I1182"/>
    </row>
    <row r="1183" spans="1:9" x14ac:dyDescent="0.25">
      <c r="A1183" s="228">
        <v>41844</v>
      </c>
      <c r="B1183" s="161" t="s">
        <v>503</v>
      </c>
      <c r="C1183" t="s">
        <v>840</v>
      </c>
      <c r="D1183" t="s">
        <v>33</v>
      </c>
      <c r="E1183" s="162">
        <v>2.5</v>
      </c>
      <c r="F1183" s="162"/>
      <c r="G1183" s="165"/>
      <c r="H1183" s="20">
        <v>132</v>
      </c>
      <c r="I1183"/>
    </row>
    <row r="1184" spans="1:9" x14ac:dyDescent="0.25">
      <c r="A1184" s="228">
        <v>41844</v>
      </c>
      <c r="B1184" s="161" t="s">
        <v>843</v>
      </c>
      <c r="C1184" t="s">
        <v>8</v>
      </c>
      <c r="D1184" t="s">
        <v>33</v>
      </c>
      <c r="E1184" s="162">
        <v>3</v>
      </c>
      <c r="F1184" s="162">
        <v>35.11</v>
      </c>
      <c r="G1184" s="165">
        <v>105.33</v>
      </c>
      <c r="H1184" s="20">
        <v>132</v>
      </c>
      <c r="I1184"/>
    </row>
    <row r="1185" spans="1:9" x14ac:dyDescent="0.25">
      <c r="A1185" s="228">
        <v>41844</v>
      </c>
      <c r="B1185" s="161" t="s">
        <v>831</v>
      </c>
      <c r="C1185" t="s">
        <v>1471</v>
      </c>
      <c r="D1185" t="s">
        <v>832</v>
      </c>
      <c r="E1185" s="162">
        <v>4</v>
      </c>
      <c r="F1185" s="162">
        <v>54.58</v>
      </c>
      <c r="G1185" s="165">
        <v>218.32</v>
      </c>
      <c r="H1185" s="20">
        <v>132</v>
      </c>
      <c r="I1185"/>
    </row>
    <row r="1186" spans="1:9" x14ac:dyDescent="0.25">
      <c r="A1186" s="228">
        <v>41844</v>
      </c>
      <c r="B1186" s="161" t="s">
        <v>841</v>
      </c>
      <c r="C1186" t="s">
        <v>842</v>
      </c>
      <c r="D1186" t="s">
        <v>33</v>
      </c>
      <c r="E1186" s="162">
        <v>9.5</v>
      </c>
      <c r="F1186" s="162">
        <v>25.78</v>
      </c>
      <c r="G1186" s="165">
        <v>244.91</v>
      </c>
      <c r="H1186" s="20">
        <v>132</v>
      </c>
      <c r="I1186"/>
    </row>
    <row r="1187" spans="1:9" x14ac:dyDescent="0.25">
      <c r="A1187" s="228">
        <v>41844</v>
      </c>
      <c r="B1187" s="161" t="s">
        <v>836</v>
      </c>
      <c r="C1187" t="s">
        <v>8</v>
      </c>
      <c r="D1187" t="s">
        <v>33</v>
      </c>
      <c r="E1187" s="162">
        <v>1</v>
      </c>
      <c r="F1187" s="162">
        <v>38.450000000000003</v>
      </c>
      <c r="G1187" s="165">
        <v>38.450000000000003</v>
      </c>
      <c r="H1187" s="20">
        <v>132</v>
      </c>
      <c r="I1187"/>
    </row>
    <row r="1188" spans="1:9" x14ac:dyDescent="0.25">
      <c r="A1188" s="228">
        <v>41844</v>
      </c>
      <c r="B1188" s="161" t="s">
        <v>838</v>
      </c>
      <c r="C1188" t="s">
        <v>8</v>
      </c>
      <c r="D1188" t="s">
        <v>33</v>
      </c>
      <c r="E1188" s="162">
        <v>2</v>
      </c>
      <c r="F1188" s="162">
        <v>39.979999999999997</v>
      </c>
      <c r="G1188" s="165">
        <v>79.959999999999994</v>
      </c>
      <c r="H1188" s="20">
        <v>132</v>
      </c>
      <c r="I1188"/>
    </row>
    <row r="1189" spans="1:9" x14ac:dyDescent="0.25">
      <c r="A1189" s="228">
        <v>41844</v>
      </c>
      <c r="B1189" s="161" t="s">
        <v>870</v>
      </c>
      <c r="C1189" t="s">
        <v>871</v>
      </c>
      <c r="D1189" t="s">
        <v>33</v>
      </c>
      <c r="E1189" s="162">
        <v>1</v>
      </c>
      <c r="F1189" s="162">
        <v>42.79</v>
      </c>
      <c r="G1189" s="165">
        <v>42.79</v>
      </c>
      <c r="H1189" s="20">
        <v>132</v>
      </c>
      <c r="I1189"/>
    </row>
    <row r="1190" spans="1:9" x14ac:dyDescent="0.25">
      <c r="A1190" s="228">
        <v>41844</v>
      </c>
      <c r="B1190" s="161" t="s">
        <v>1106</v>
      </c>
      <c r="C1190" t="s">
        <v>1100</v>
      </c>
      <c r="D1190" t="s">
        <v>747</v>
      </c>
      <c r="E1190" s="162">
        <v>80</v>
      </c>
      <c r="F1190" s="162"/>
      <c r="G1190" s="165"/>
      <c r="H1190" s="20">
        <v>132</v>
      </c>
      <c r="I1190"/>
    </row>
    <row r="1191" spans="1:9" x14ac:dyDescent="0.25">
      <c r="A1191" s="228">
        <v>41845</v>
      </c>
      <c r="B1191" s="161" t="s">
        <v>870</v>
      </c>
      <c r="C1191" t="s">
        <v>871</v>
      </c>
      <c r="D1191" t="s">
        <v>33</v>
      </c>
      <c r="E1191" s="162">
        <v>1</v>
      </c>
      <c r="F1191" s="162">
        <v>42.79</v>
      </c>
      <c r="G1191" s="165">
        <v>42.79</v>
      </c>
      <c r="H1191" s="20">
        <v>132</v>
      </c>
      <c r="I1191"/>
    </row>
    <row r="1192" spans="1:9" x14ac:dyDescent="0.25">
      <c r="A1192" s="228">
        <v>41845</v>
      </c>
      <c r="B1192" s="161" t="s">
        <v>1106</v>
      </c>
      <c r="C1192" t="s">
        <v>1100</v>
      </c>
      <c r="D1192" t="s">
        <v>747</v>
      </c>
      <c r="E1192" s="162">
        <v>60</v>
      </c>
      <c r="F1192" s="162"/>
      <c r="G1192" s="165"/>
      <c r="H1192" s="20">
        <v>132</v>
      </c>
      <c r="I1192"/>
    </row>
    <row r="1193" spans="1:9" x14ac:dyDescent="0.25">
      <c r="A1193" s="228">
        <v>41845</v>
      </c>
      <c r="B1193" s="161" t="s">
        <v>503</v>
      </c>
      <c r="C1193" t="s">
        <v>840</v>
      </c>
      <c r="D1193" t="s">
        <v>33</v>
      </c>
      <c r="E1193" s="162">
        <v>5.5</v>
      </c>
      <c r="F1193" s="162"/>
      <c r="G1193" s="165"/>
      <c r="H1193" s="20">
        <v>132</v>
      </c>
      <c r="I1193"/>
    </row>
    <row r="1194" spans="1:9" x14ac:dyDescent="0.25">
      <c r="A1194" s="228">
        <v>41845</v>
      </c>
      <c r="B1194" s="161" t="s">
        <v>841</v>
      </c>
      <c r="C1194" t="s">
        <v>842</v>
      </c>
      <c r="D1194" t="s">
        <v>33</v>
      </c>
      <c r="E1194" s="162">
        <v>8</v>
      </c>
      <c r="F1194" s="162">
        <v>25.78</v>
      </c>
      <c r="G1194" s="165">
        <v>206.24</v>
      </c>
      <c r="H1194" s="20">
        <v>132</v>
      </c>
      <c r="I1194"/>
    </row>
    <row r="1195" spans="1:9" x14ac:dyDescent="0.25">
      <c r="A1195" s="228">
        <v>41846</v>
      </c>
      <c r="B1195" s="161" t="s">
        <v>837</v>
      </c>
      <c r="C1195" t="s">
        <v>8</v>
      </c>
      <c r="D1195" t="s">
        <v>33</v>
      </c>
      <c r="E1195" s="162">
        <v>2.5</v>
      </c>
      <c r="F1195" s="162">
        <v>42.72</v>
      </c>
      <c r="G1195" s="165">
        <v>106.8</v>
      </c>
      <c r="H1195" s="20">
        <v>132</v>
      </c>
      <c r="I1195"/>
    </row>
    <row r="1196" spans="1:9" x14ac:dyDescent="0.25">
      <c r="A1196" s="228">
        <v>41846</v>
      </c>
      <c r="B1196" s="161" t="s">
        <v>841</v>
      </c>
      <c r="C1196" t="s">
        <v>842</v>
      </c>
      <c r="D1196" t="s">
        <v>33</v>
      </c>
      <c r="E1196" s="162">
        <v>8</v>
      </c>
      <c r="F1196" s="162">
        <v>25.78</v>
      </c>
      <c r="G1196" s="165">
        <v>206.24</v>
      </c>
      <c r="H1196" s="20">
        <v>132</v>
      </c>
      <c r="I1196"/>
    </row>
    <row r="1197" spans="1:9" x14ac:dyDescent="0.25">
      <c r="A1197" s="228">
        <v>41846</v>
      </c>
      <c r="B1197" s="161" t="s">
        <v>1107</v>
      </c>
      <c r="C1197" t="s">
        <v>1100</v>
      </c>
      <c r="D1197" t="s">
        <v>747</v>
      </c>
      <c r="E1197" s="162">
        <v>14</v>
      </c>
      <c r="F1197" s="162"/>
      <c r="G1197" s="165"/>
      <c r="H1197" s="20">
        <v>132</v>
      </c>
      <c r="I1197"/>
    </row>
    <row r="1198" spans="1:9" x14ac:dyDescent="0.25">
      <c r="A1198" s="228">
        <v>41846</v>
      </c>
      <c r="B1198" s="161" t="s">
        <v>870</v>
      </c>
      <c r="C1198" t="s">
        <v>871</v>
      </c>
      <c r="D1198" t="s">
        <v>33</v>
      </c>
      <c r="E1198" s="162">
        <v>1</v>
      </c>
      <c r="F1198" s="162">
        <v>42.79</v>
      </c>
      <c r="G1198" s="165">
        <v>42.79</v>
      </c>
      <c r="H1198" s="20">
        <v>132</v>
      </c>
      <c r="I1198"/>
    </row>
    <row r="1199" spans="1:9" x14ac:dyDescent="0.25">
      <c r="A1199" s="228">
        <v>41848</v>
      </c>
      <c r="B1199" s="161" t="s">
        <v>851</v>
      </c>
      <c r="C1199" t="s">
        <v>852</v>
      </c>
      <c r="D1199" t="s">
        <v>33</v>
      </c>
      <c r="E1199" s="162">
        <v>10</v>
      </c>
      <c r="F1199" s="162">
        <v>25.78</v>
      </c>
      <c r="G1199" s="165">
        <v>257.8</v>
      </c>
      <c r="H1199" s="20">
        <v>132</v>
      </c>
      <c r="I1199"/>
    </row>
    <row r="1200" spans="1:9" x14ac:dyDescent="0.25">
      <c r="A1200" s="228">
        <v>41848</v>
      </c>
      <c r="B1200" s="161" t="s">
        <v>841</v>
      </c>
      <c r="C1200" t="s">
        <v>842</v>
      </c>
      <c r="D1200" t="s">
        <v>33</v>
      </c>
      <c r="E1200" s="162">
        <v>10</v>
      </c>
      <c r="F1200" s="162">
        <v>25.78</v>
      </c>
      <c r="G1200" s="165">
        <v>257.8</v>
      </c>
      <c r="H1200" s="20">
        <v>132</v>
      </c>
      <c r="I1200"/>
    </row>
    <row r="1201" spans="1:9" x14ac:dyDescent="0.25">
      <c r="A1201" s="228">
        <v>41848</v>
      </c>
      <c r="B1201" s="161" t="s">
        <v>1107</v>
      </c>
      <c r="C1201" t="s">
        <v>1100</v>
      </c>
      <c r="D1201" t="s">
        <v>747</v>
      </c>
      <c r="E1201" s="162">
        <v>14</v>
      </c>
      <c r="F1201" s="162"/>
      <c r="G1201" s="165"/>
      <c r="H1201" s="20">
        <v>132</v>
      </c>
      <c r="I1201"/>
    </row>
    <row r="1202" spans="1:9" x14ac:dyDescent="0.25">
      <c r="A1202" s="228">
        <v>41848</v>
      </c>
      <c r="B1202" s="161" t="s">
        <v>503</v>
      </c>
      <c r="C1202" t="s">
        <v>840</v>
      </c>
      <c r="D1202" t="s">
        <v>19</v>
      </c>
      <c r="E1202" s="162">
        <v>5.5</v>
      </c>
      <c r="F1202" s="162"/>
      <c r="G1202" s="165"/>
      <c r="H1202" s="20">
        <v>132</v>
      </c>
      <c r="I1202"/>
    </row>
    <row r="1203" spans="1:9" x14ac:dyDescent="0.25">
      <c r="A1203" s="228">
        <v>41848</v>
      </c>
      <c r="B1203" s="161" t="s">
        <v>843</v>
      </c>
      <c r="C1203" t="s">
        <v>8</v>
      </c>
      <c r="D1203" t="s">
        <v>33</v>
      </c>
      <c r="E1203" s="162">
        <v>4</v>
      </c>
      <c r="F1203" s="162">
        <v>35.11</v>
      </c>
      <c r="G1203" s="165">
        <v>140.44</v>
      </c>
      <c r="H1203" s="20">
        <v>132</v>
      </c>
      <c r="I1203"/>
    </row>
    <row r="1204" spans="1:9" x14ac:dyDescent="0.25">
      <c r="A1204" s="228">
        <v>41848</v>
      </c>
      <c r="B1204" s="161" t="s">
        <v>838</v>
      </c>
      <c r="C1204" t="s">
        <v>8</v>
      </c>
      <c r="D1204" t="s">
        <v>33</v>
      </c>
      <c r="E1204" s="162">
        <v>5</v>
      </c>
      <c r="F1204" s="162">
        <v>39.979999999999997</v>
      </c>
      <c r="G1204" s="165">
        <v>199.9</v>
      </c>
      <c r="H1204" s="20">
        <v>132</v>
      </c>
      <c r="I1204"/>
    </row>
    <row r="1205" spans="1:9" x14ac:dyDescent="0.25">
      <c r="A1205" s="228">
        <v>41848</v>
      </c>
      <c r="B1205" s="161" t="s">
        <v>836</v>
      </c>
      <c r="C1205" t="s">
        <v>8</v>
      </c>
      <c r="D1205" t="s">
        <v>33</v>
      </c>
      <c r="E1205" s="162">
        <v>8</v>
      </c>
      <c r="F1205" s="162">
        <v>38.450000000000003</v>
      </c>
      <c r="G1205" s="165">
        <v>307.60000000000002</v>
      </c>
      <c r="H1205" s="20">
        <v>132</v>
      </c>
      <c r="I1205"/>
    </row>
    <row r="1206" spans="1:9" x14ac:dyDescent="0.25">
      <c r="A1206" s="228">
        <v>41849</v>
      </c>
      <c r="B1206" s="161" t="s">
        <v>841</v>
      </c>
      <c r="C1206" t="s">
        <v>842</v>
      </c>
      <c r="D1206" t="s">
        <v>33</v>
      </c>
      <c r="E1206" s="162">
        <v>7.5</v>
      </c>
      <c r="F1206" s="162">
        <v>25.78</v>
      </c>
      <c r="G1206" s="165">
        <v>193.35</v>
      </c>
      <c r="H1206" s="20">
        <v>132</v>
      </c>
      <c r="I1206"/>
    </row>
    <row r="1207" spans="1:9" x14ac:dyDescent="0.25">
      <c r="A1207" s="228">
        <v>41849</v>
      </c>
      <c r="B1207" s="161" t="s">
        <v>851</v>
      </c>
      <c r="C1207" t="s">
        <v>852</v>
      </c>
      <c r="D1207" t="s">
        <v>33</v>
      </c>
      <c r="E1207" s="162">
        <v>7.5</v>
      </c>
      <c r="F1207" s="162">
        <v>25.78</v>
      </c>
      <c r="G1207" s="165">
        <v>193.35</v>
      </c>
      <c r="H1207" s="20">
        <v>132</v>
      </c>
      <c r="I1207"/>
    </row>
    <row r="1208" spans="1:9" x14ac:dyDescent="0.25">
      <c r="A1208" s="228">
        <v>41849</v>
      </c>
      <c r="B1208" s="161" t="s">
        <v>1107</v>
      </c>
      <c r="C1208" t="s">
        <v>1100</v>
      </c>
      <c r="D1208" t="s">
        <v>747</v>
      </c>
      <c r="E1208" s="162">
        <v>28</v>
      </c>
      <c r="F1208" s="162"/>
      <c r="G1208" s="165"/>
      <c r="H1208" s="20">
        <v>132</v>
      </c>
      <c r="I1208"/>
    </row>
    <row r="1209" spans="1:9" x14ac:dyDescent="0.25">
      <c r="A1209" s="228">
        <v>41849</v>
      </c>
      <c r="B1209" s="161" t="s">
        <v>838</v>
      </c>
      <c r="C1209" t="s">
        <v>8</v>
      </c>
      <c r="D1209" t="s">
        <v>33</v>
      </c>
      <c r="E1209" s="162">
        <v>3</v>
      </c>
      <c r="F1209" s="162">
        <v>39.979999999999997</v>
      </c>
      <c r="G1209" s="165">
        <v>119.94</v>
      </c>
      <c r="H1209" s="20">
        <v>132</v>
      </c>
      <c r="I1209"/>
    </row>
    <row r="1210" spans="1:9" x14ac:dyDescent="0.25">
      <c r="A1210" s="228">
        <v>41849</v>
      </c>
      <c r="B1210" s="161" t="s">
        <v>843</v>
      </c>
      <c r="C1210" t="s">
        <v>8</v>
      </c>
      <c r="D1210" t="s">
        <v>33</v>
      </c>
      <c r="E1210" s="162">
        <v>2</v>
      </c>
      <c r="F1210" s="162">
        <v>35.11</v>
      </c>
      <c r="G1210" s="165">
        <v>70.22</v>
      </c>
      <c r="H1210" s="20">
        <v>132</v>
      </c>
      <c r="I1210"/>
    </row>
    <row r="1211" spans="1:9" x14ac:dyDescent="0.25">
      <c r="A1211" s="228">
        <v>41849</v>
      </c>
      <c r="B1211" s="161" t="s">
        <v>831</v>
      </c>
      <c r="C1211" t="s">
        <v>1471</v>
      </c>
      <c r="D1211" t="s">
        <v>832</v>
      </c>
      <c r="E1211" s="162">
        <v>3</v>
      </c>
      <c r="F1211" s="162">
        <v>54.58</v>
      </c>
      <c r="G1211" s="165">
        <v>163.74</v>
      </c>
      <c r="H1211" s="20">
        <v>132</v>
      </c>
      <c r="I1211"/>
    </row>
    <row r="1212" spans="1:9" x14ac:dyDescent="0.25">
      <c r="A1212" s="228">
        <v>41850</v>
      </c>
      <c r="B1212" s="161" t="s">
        <v>1107</v>
      </c>
      <c r="C1212" t="s">
        <v>1100</v>
      </c>
      <c r="D1212" t="s">
        <v>747</v>
      </c>
      <c r="E1212" s="162">
        <v>20</v>
      </c>
      <c r="F1212" s="162"/>
      <c r="G1212" s="165"/>
      <c r="H1212" s="20">
        <v>132</v>
      </c>
      <c r="I1212"/>
    </row>
    <row r="1213" spans="1:9" x14ac:dyDescent="0.25">
      <c r="A1213" s="228">
        <v>41850</v>
      </c>
      <c r="B1213" s="161" t="s">
        <v>851</v>
      </c>
      <c r="C1213" t="s">
        <v>852</v>
      </c>
      <c r="D1213" t="s">
        <v>33</v>
      </c>
      <c r="E1213" s="162">
        <v>5.5</v>
      </c>
      <c r="F1213" s="162">
        <v>25.78</v>
      </c>
      <c r="G1213" s="165">
        <v>141.79</v>
      </c>
      <c r="H1213" s="20">
        <v>132</v>
      </c>
      <c r="I1213"/>
    </row>
    <row r="1214" spans="1:9" x14ac:dyDescent="0.25">
      <c r="A1214" s="228">
        <v>41850</v>
      </c>
      <c r="B1214" s="161" t="s">
        <v>841</v>
      </c>
      <c r="C1214" t="s">
        <v>842</v>
      </c>
      <c r="D1214" t="s">
        <v>33</v>
      </c>
      <c r="E1214" s="162">
        <v>5.5</v>
      </c>
      <c r="F1214" s="162">
        <v>25.78</v>
      </c>
      <c r="G1214" s="165">
        <v>141.79</v>
      </c>
      <c r="H1214" s="20">
        <v>132</v>
      </c>
      <c r="I1214"/>
    </row>
    <row r="1215" spans="1:9" x14ac:dyDescent="0.25">
      <c r="A1215" s="228">
        <v>41850</v>
      </c>
      <c r="B1215" s="161" t="s">
        <v>844</v>
      </c>
      <c r="C1215" t="s">
        <v>821</v>
      </c>
      <c r="D1215" t="s">
        <v>747</v>
      </c>
      <c r="E1215" s="162">
        <v>13.5</v>
      </c>
      <c r="F1215" s="162">
        <v>115</v>
      </c>
      <c r="G1215" s="165">
        <v>1552.5</v>
      </c>
      <c r="H1215" s="20">
        <v>132</v>
      </c>
      <c r="I1215"/>
    </row>
    <row r="1216" spans="1:9" x14ac:dyDescent="0.25">
      <c r="A1216" s="228">
        <v>41850</v>
      </c>
      <c r="B1216" s="161" t="s">
        <v>844</v>
      </c>
      <c r="C1216" t="s">
        <v>821</v>
      </c>
      <c r="D1216" t="s">
        <v>747</v>
      </c>
      <c r="E1216" s="162">
        <v>14.5</v>
      </c>
      <c r="F1216" s="162">
        <v>125</v>
      </c>
      <c r="G1216" s="165">
        <v>1812.5</v>
      </c>
      <c r="H1216" s="20">
        <v>132</v>
      </c>
      <c r="I1216"/>
    </row>
    <row r="1217" spans="1:9" x14ac:dyDescent="0.25">
      <c r="A1217" s="228">
        <v>41851</v>
      </c>
      <c r="B1217" s="161" t="s">
        <v>837</v>
      </c>
      <c r="C1217" t="s">
        <v>8</v>
      </c>
      <c r="D1217" t="s">
        <v>33</v>
      </c>
      <c r="E1217" s="162">
        <v>4</v>
      </c>
      <c r="F1217" s="162">
        <v>42.72</v>
      </c>
      <c r="G1217" s="165">
        <v>170.88</v>
      </c>
      <c r="H1217" s="20">
        <v>132</v>
      </c>
      <c r="I1217"/>
    </row>
    <row r="1218" spans="1:9" x14ac:dyDescent="0.25">
      <c r="A1218" s="228">
        <v>41851</v>
      </c>
      <c r="B1218" s="161" t="s">
        <v>836</v>
      </c>
      <c r="C1218" t="s">
        <v>8</v>
      </c>
      <c r="D1218" t="s">
        <v>33</v>
      </c>
      <c r="E1218" s="162">
        <v>8.5</v>
      </c>
      <c r="F1218" s="162">
        <v>38.450000000000003</v>
      </c>
      <c r="G1218" s="165">
        <v>326.82499999999999</v>
      </c>
      <c r="H1218" s="20">
        <v>132</v>
      </c>
      <c r="I1218"/>
    </row>
    <row r="1219" spans="1:9" x14ac:dyDescent="0.25">
      <c r="A1219" s="228">
        <v>41851</v>
      </c>
      <c r="B1219" s="161" t="s">
        <v>855</v>
      </c>
      <c r="C1219" t="s">
        <v>856</v>
      </c>
      <c r="D1219" t="s">
        <v>33</v>
      </c>
      <c r="E1219" s="162">
        <v>5</v>
      </c>
      <c r="F1219" s="162">
        <v>21.61</v>
      </c>
      <c r="G1219" s="165">
        <v>108.05</v>
      </c>
      <c r="H1219" s="20">
        <v>132</v>
      </c>
      <c r="I1219"/>
    </row>
    <row r="1220" spans="1:9" x14ac:dyDescent="0.25">
      <c r="A1220" s="228">
        <v>41851</v>
      </c>
      <c r="B1220" s="161" t="s">
        <v>1108</v>
      </c>
      <c r="C1220" t="s">
        <v>921</v>
      </c>
      <c r="D1220" t="s">
        <v>94</v>
      </c>
      <c r="E1220" s="162">
        <v>367.64499999999998</v>
      </c>
      <c r="F1220" s="162">
        <v>275</v>
      </c>
      <c r="G1220" s="165">
        <v>101102.375</v>
      </c>
      <c r="H1220" s="20">
        <v>132</v>
      </c>
      <c r="I1220"/>
    </row>
    <row r="1221" spans="1:9" x14ac:dyDescent="0.25">
      <c r="A1221" s="228">
        <v>41851</v>
      </c>
      <c r="B1221" s="161" t="s">
        <v>831</v>
      </c>
      <c r="C1221" t="s">
        <v>1471</v>
      </c>
      <c r="D1221" t="s">
        <v>832</v>
      </c>
      <c r="E1221" s="162">
        <v>5</v>
      </c>
      <c r="F1221" s="162">
        <v>54.58</v>
      </c>
      <c r="G1221" s="165">
        <v>272.89999999999998</v>
      </c>
      <c r="H1221" s="20">
        <v>132</v>
      </c>
      <c r="I1221"/>
    </row>
    <row r="1222" spans="1:9" x14ac:dyDescent="0.25">
      <c r="A1222" s="228">
        <v>41851</v>
      </c>
      <c r="B1222" s="161" t="s">
        <v>838</v>
      </c>
      <c r="C1222" t="s">
        <v>8</v>
      </c>
      <c r="D1222" t="s">
        <v>33</v>
      </c>
      <c r="E1222" s="162">
        <v>6.5</v>
      </c>
      <c r="F1222" s="162">
        <v>39.979999999999997</v>
      </c>
      <c r="G1222" s="165">
        <v>259.87</v>
      </c>
      <c r="H1222" s="20">
        <v>132</v>
      </c>
      <c r="I1222"/>
    </row>
    <row r="1223" spans="1:9" x14ac:dyDescent="0.25">
      <c r="A1223" s="228">
        <v>41852</v>
      </c>
      <c r="B1223" s="161" t="s">
        <v>837</v>
      </c>
      <c r="C1223" t="s">
        <v>8</v>
      </c>
      <c r="D1223" t="s">
        <v>33</v>
      </c>
      <c r="E1223" s="162">
        <v>2.5</v>
      </c>
      <c r="F1223" s="162">
        <v>42.72</v>
      </c>
      <c r="G1223" s="165">
        <v>106.8</v>
      </c>
      <c r="H1223" s="20">
        <v>132</v>
      </c>
      <c r="I1223"/>
    </row>
    <row r="1224" spans="1:9" x14ac:dyDescent="0.25">
      <c r="A1224" s="228">
        <v>41852</v>
      </c>
      <c r="B1224" s="161" t="s">
        <v>1109</v>
      </c>
      <c r="C1224" t="s">
        <v>840</v>
      </c>
      <c r="D1224" t="s">
        <v>19</v>
      </c>
      <c r="E1224" s="162">
        <v>8</v>
      </c>
      <c r="F1224" s="162"/>
      <c r="G1224" s="165"/>
      <c r="H1224" s="20">
        <v>132</v>
      </c>
      <c r="I1224"/>
    </row>
    <row r="1225" spans="1:9" x14ac:dyDescent="0.25">
      <c r="A1225" s="228">
        <v>41852</v>
      </c>
      <c r="B1225" s="161" t="s">
        <v>1110</v>
      </c>
      <c r="C1225" t="s">
        <v>8</v>
      </c>
      <c r="D1225" t="s">
        <v>33</v>
      </c>
      <c r="E1225" s="162">
        <v>9</v>
      </c>
      <c r="F1225" s="162">
        <v>52.08</v>
      </c>
      <c r="G1225" s="165">
        <v>468.72</v>
      </c>
      <c r="H1225" s="20">
        <v>132</v>
      </c>
      <c r="I1225"/>
    </row>
    <row r="1226" spans="1:9" x14ac:dyDescent="0.25">
      <c r="A1226" s="228">
        <v>41852</v>
      </c>
      <c r="B1226" s="161" t="s">
        <v>836</v>
      </c>
      <c r="C1226" t="s">
        <v>8</v>
      </c>
      <c r="D1226" t="s">
        <v>33</v>
      </c>
      <c r="E1226" s="162">
        <v>8</v>
      </c>
      <c r="F1226" s="162">
        <v>38.450000000000003</v>
      </c>
      <c r="G1226" s="165">
        <v>307.60000000000002</v>
      </c>
      <c r="H1226" s="20">
        <v>132</v>
      </c>
      <c r="I1226"/>
    </row>
    <row r="1227" spans="1:9" x14ac:dyDescent="0.25">
      <c r="A1227" s="228">
        <v>41852</v>
      </c>
      <c r="B1227" s="161" t="s">
        <v>1099</v>
      </c>
      <c r="C1227" t="s">
        <v>1100</v>
      </c>
      <c r="D1227" t="s">
        <v>747</v>
      </c>
      <c r="E1227" s="162">
        <v>22</v>
      </c>
      <c r="F1227" s="162"/>
      <c r="G1227" s="165"/>
      <c r="H1227" s="20">
        <v>132</v>
      </c>
      <c r="I1227"/>
    </row>
    <row r="1228" spans="1:9" x14ac:dyDescent="0.25">
      <c r="A1228" s="228">
        <v>41855</v>
      </c>
      <c r="B1228" s="161" t="s">
        <v>503</v>
      </c>
      <c r="C1228" t="s">
        <v>840</v>
      </c>
      <c r="D1228" t="s">
        <v>19</v>
      </c>
      <c r="E1228" s="162">
        <v>1</v>
      </c>
      <c r="F1228" s="162"/>
      <c r="G1228" s="165"/>
      <c r="H1228" s="20">
        <v>132</v>
      </c>
      <c r="I1228"/>
    </row>
    <row r="1229" spans="1:9" x14ac:dyDescent="0.25">
      <c r="A1229" s="228">
        <v>41855</v>
      </c>
      <c r="B1229" s="161" t="s">
        <v>838</v>
      </c>
      <c r="C1229" t="s">
        <v>8</v>
      </c>
      <c r="D1229" t="s">
        <v>33</v>
      </c>
      <c r="E1229" s="162">
        <v>3</v>
      </c>
      <c r="F1229" s="162">
        <v>42.72</v>
      </c>
      <c r="G1229" s="165">
        <v>128.16</v>
      </c>
      <c r="H1229" s="20">
        <v>132</v>
      </c>
      <c r="I1229"/>
    </row>
    <row r="1230" spans="1:9" x14ac:dyDescent="0.25">
      <c r="A1230" s="228">
        <v>41855</v>
      </c>
      <c r="B1230" s="161" t="s">
        <v>1099</v>
      </c>
      <c r="C1230" t="s">
        <v>1100</v>
      </c>
      <c r="D1230" t="s">
        <v>747</v>
      </c>
      <c r="E1230" s="162">
        <v>22</v>
      </c>
      <c r="F1230" s="162"/>
      <c r="G1230" s="165"/>
      <c r="H1230" s="20">
        <v>132</v>
      </c>
      <c r="I1230"/>
    </row>
    <row r="1231" spans="1:9" x14ac:dyDescent="0.25">
      <c r="A1231" s="228">
        <v>41856</v>
      </c>
      <c r="B1231" s="161" t="s">
        <v>1099</v>
      </c>
      <c r="C1231" t="s">
        <v>1100</v>
      </c>
      <c r="D1231" t="s">
        <v>33</v>
      </c>
      <c r="E1231" s="162">
        <v>21</v>
      </c>
      <c r="F1231" s="162"/>
      <c r="G1231" s="165"/>
      <c r="H1231" s="20">
        <v>132</v>
      </c>
      <c r="I1231"/>
    </row>
    <row r="1232" spans="1:9" x14ac:dyDescent="0.25">
      <c r="A1232" s="228">
        <v>41856</v>
      </c>
      <c r="B1232" s="161" t="s">
        <v>837</v>
      </c>
      <c r="C1232" t="s">
        <v>8</v>
      </c>
      <c r="D1232" t="s">
        <v>33</v>
      </c>
      <c r="E1232" s="162">
        <v>2</v>
      </c>
      <c r="F1232" s="162">
        <v>35.11</v>
      </c>
      <c r="G1232" s="165">
        <v>70.22</v>
      </c>
      <c r="H1232" s="20">
        <v>132</v>
      </c>
      <c r="I1232"/>
    </row>
    <row r="1233" spans="1:9" x14ac:dyDescent="0.25">
      <c r="A1233" s="228">
        <v>41856</v>
      </c>
      <c r="B1233" s="161" t="s">
        <v>841</v>
      </c>
      <c r="C1233" t="s">
        <v>842</v>
      </c>
      <c r="D1233" t="s">
        <v>33</v>
      </c>
      <c r="E1233" s="162">
        <v>7</v>
      </c>
      <c r="F1233" s="162">
        <v>25.78</v>
      </c>
      <c r="G1233" s="165">
        <v>180.46</v>
      </c>
      <c r="H1233" s="20">
        <v>132</v>
      </c>
      <c r="I1233"/>
    </row>
    <row r="1234" spans="1:9" x14ac:dyDescent="0.25">
      <c r="A1234" s="228">
        <v>41857</v>
      </c>
      <c r="B1234" s="161" t="s">
        <v>1099</v>
      </c>
      <c r="C1234" t="s">
        <v>1100</v>
      </c>
      <c r="D1234" t="s">
        <v>33</v>
      </c>
      <c r="E1234" s="162">
        <v>25.5</v>
      </c>
      <c r="F1234" s="162"/>
      <c r="G1234" s="165"/>
      <c r="H1234" s="20">
        <v>132</v>
      </c>
      <c r="I1234"/>
    </row>
    <row r="1235" spans="1:9" x14ac:dyDescent="0.25">
      <c r="A1235" s="228">
        <v>41857</v>
      </c>
      <c r="B1235" s="161" t="s">
        <v>841</v>
      </c>
      <c r="C1235" t="s">
        <v>842</v>
      </c>
      <c r="D1235" t="s">
        <v>33</v>
      </c>
      <c r="E1235" s="162">
        <v>8.5</v>
      </c>
      <c r="F1235" s="162">
        <v>25.78</v>
      </c>
      <c r="G1235" s="165">
        <v>219.13</v>
      </c>
      <c r="H1235" s="20">
        <v>132</v>
      </c>
      <c r="I1235"/>
    </row>
    <row r="1236" spans="1:9" x14ac:dyDescent="0.25">
      <c r="A1236" s="228">
        <v>41858</v>
      </c>
      <c r="B1236" s="161" t="s">
        <v>1099</v>
      </c>
      <c r="C1236" t="s">
        <v>1100</v>
      </c>
      <c r="D1236" t="s">
        <v>33</v>
      </c>
      <c r="E1236" s="162">
        <v>4</v>
      </c>
      <c r="F1236" s="162"/>
      <c r="G1236" s="165"/>
      <c r="H1236" s="20">
        <v>132</v>
      </c>
      <c r="I1236"/>
    </row>
    <row r="1237" spans="1:9" x14ac:dyDescent="0.25">
      <c r="A1237" s="228">
        <v>41858</v>
      </c>
      <c r="B1237" s="161" t="s">
        <v>841</v>
      </c>
      <c r="C1237" t="s">
        <v>842</v>
      </c>
      <c r="D1237" t="s">
        <v>33</v>
      </c>
      <c r="E1237" s="162">
        <v>4</v>
      </c>
      <c r="F1237" s="162">
        <v>25.78</v>
      </c>
      <c r="G1237" s="165">
        <v>103.12</v>
      </c>
      <c r="H1237" s="20">
        <v>132</v>
      </c>
      <c r="I1237"/>
    </row>
    <row r="1238" spans="1:9" x14ac:dyDescent="0.25">
      <c r="A1238" s="228">
        <v>41858</v>
      </c>
      <c r="B1238" s="161" t="s">
        <v>838</v>
      </c>
      <c r="C1238" t="s">
        <v>8</v>
      </c>
      <c r="D1238" t="s">
        <v>33</v>
      </c>
      <c r="E1238" s="162">
        <v>4</v>
      </c>
      <c r="F1238" s="162">
        <v>39.979999999999997</v>
      </c>
      <c r="G1238" s="165">
        <v>159.91999999999999</v>
      </c>
      <c r="H1238" s="20">
        <v>132</v>
      </c>
      <c r="I1238"/>
    </row>
    <row r="1239" spans="1:9" x14ac:dyDescent="0.25">
      <c r="A1239" s="228">
        <v>41859</v>
      </c>
      <c r="B1239" s="161" t="s">
        <v>841</v>
      </c>
      <c r="C1239" t="s">
        <v>842</v>
      </c>
      <c r="D1239" t="s">
        <v>33</v>
      </c>
      <c r="E1239" s="162">
        <v>9</v>
      </c>
      <c r="F1239" s="162">
        <v>25.78</v>
      </c>
      <c r="G1239" s="165">
        <v>232.02</v>
      </c>
      <c r="H1239" s="20">
        <v>132</v>
      </c>
      <c r="I1239"/>
    </row>
    <row r="1240" spans="1:9" x14ac:dyDescent="0.25">
      <c r="A1240" s="228">
        <v>41859</v>
      </c>
      <c r="B1240" s="161" t="s">
        <v>855</v>
      </c>
      <c r="C1240" t="s">
        <v>856</v>
      </c>
      <c r="D1240" t="s">
        <v>33</v>
      </c>
      <c r="E1240" s="162">
        <v>1.5</v>
      </c>
      <c r="F1240" s="162">
        <v>21.61</v>
      </c>
      <c r="G1240" s="165">
        <v>32.414999999999999</v>
      </c>
      <c r="H1240" s="20">
        <v>132</v>
      </c>
      <c r="I1240"/>
    </row>
    <row r="1241" spans="1:9" x14ac:dyDescent="0.25">
      <c r="A1241" s="228">
        <v>41859</v>
      </c>
      <c r="B1241" s="161" t="s">
        <v>1099</v>
      </c>
      <c r="C1241" t="s">
        <v>1100</v>
      </c>
      <c r="D1241" t="s">
        <v>33</v>
      </c>
      <c r="E1241" s="162">
        <v>4</v>
      </c>
      <c r="F1241" s="162"/>
      <c r="G1241" s="165"/>
      <c r="H1241" s="20">
        <v>132</v>
      </c>
      <c r="I1241"/>
    </row>
    <row r="1242" spans="1:9" x14ac:dyDescent="0.25">
      <c r="A1242" s="228">
        <v>41859</v>
      </c>
      <c r="B1242" s="161" t="s">
        <v>837</v>
      </c>
      <c r="C1242" t="s">
        <v>8</v>
      </c>
      <c r="D1242" t="s">
        <v>33</v>
      </c>
      <c r="E1242" s="162">
        <v>1.5</v>
      </c>
      <c r="F1242" s="162">
        <v>42.72</v>
      </c>
      <c r="G1242" s="165">
        <v>64.08</v>
      </c>
      <c r="H1242" s="20">
        <v>132</v>
      </c>
      <c r="I1242"/>
    </row>
    <row r="1243" spans="1:9" x14ac:dyDescent="0.25">
      <c r="A1243" s="228">
        <v>41859</v>
      </c>
      <c r="B1243" s="161" t="s">
        <v>838</v>
      </c>
      <c r="C1243" t="s">
        <v>8</v>
      </c>
      <c r="D1243" t="s">
        <v>33</v>
      </c>
      <c r="E1243" s="162">
        <v>3</v>
      </c>
      <c r="F1243" s="162">
        <v>39.979999999999997</v>
      </c>
      <c r="G1243" s="165">
        <v>119.94</v>
      </c>
      <c r="H1243" s="20">
        <v>132</v>
      </c>
      <c r="I1243"/>
    </row>
    <row r="1244" spans="1:9" x14ac:dyDescent="0.25">
      <c r="A1244" s="228">
        <v>41859</v>
      </c>
      <c r="B1244" s="161" t="s">
        <v>837</v>
      </c>
      <c r="C1244" t="s">
        <v>8</v>
      </c>
      <c r="D1244" t="s">
        <v>33</v>
      </c>
      <c r="E1244" s="162">
        <v>2.5</v>
      </c>
      <c r="F1244" s="162">
        <v>35.11</v>
      </c>
      <c r="G1244" s="165">
        <v>87.775000000000006</v>
      </c>
      <c r="H1244" s="20">
        <v>132</v>
      </c>
      <c r="I1244"/>
    </row>
    <row r="1245" spans="1:9" x14ac:dyDescent="0.25">
      <c r="A1245" s="228">
        <v>41859</v>
      </c>
      <c r="B1245" s="161" t="s">
        <v>843</v>
      </c>
      <c r="C1245" t="s">
        <v>8</v>
      </c>
      <c r="D1245" t="s">
        <v>33</v>
      </c>
      <c r="E1245" s="162">
        <v>2.5</v>
      </c>
      <c r="F1245" s="162">
        <v>42.72</v>
      </c>
      <c r="G1245" s="165">
        <v>106.8</v>
      </c>
      <c r="H1245" s="20">
        <v>132</v>
      </c>
      <c r="I1245"/>
    </row>
    <row r="1246" spans="1:9" x14ac:dyDescent="0.25">
      <c r="A1246" s="228">
        <v>41862</v>
      </c>
      <c r="B1246" s="161" t="s">
        <v>846</v>
      </c>
      <c r="C1246" t="s">
        <v>847</v>
      </c>
      <c r="D1246" t="s">
        <v>33</v>
      </c>
      <c r="E1246" s="162">
        <v>2</v>
      </c>
      <c r="F1246" s="162">
        <v>145</v>
      </c>
      <c r="G1246" s="165">
        <v>290</v>
      </c>
      <c r="H1246" s="20">
        <v>132</v>
      </c>
      <c r="I1246"/>
    </row>
    <row r="1247" spans="1:9" x14ac:dyDescent="0.25">
      <c r="A1247" s="228">
        <v>41862</v>
      </c>
      <c r="B1247" s="161" t="s">
        <v>855</v>
      </c>
      <c r="C1247" t="s">
        <v>856</v>
      </c>
      <c r="D1247" t="s">
        <v>33</v>
      </c>
      <c r="E1247" s="162">
        <v>7.5</v>
      </c>
      <c r="F1247" s="162">
        <v>21.61</v>
      </c>
      <c r="G1247" s="165">
        <v>162.07499999999999</v>
      </c>
      <c r="H1247" s="20">
        <v>132</v>
      </c>
      <c r="I1247"/>
    </row>
    <row r="1248" spans="1:9" x14ac:dyDescent="0.25">
      <c r="A1248" s="228">
        <v>41862</v>
      </c>
      <c r="B1248" s="161" t="s">
        <v>1094</v>
      </c>
      <c r="C1248" t="s">
        <v>1086</v>
      </c>
      <c r="D1248" t="s">
        <v>747</v>
      </c>
      <c r="E1248" s="162">
        <v>1</v>
      </c>
      <c r="F1248" s="162">
        <v>686.95</v>
      </c>
      <c r="G1248" s="165">
        <v>686.95</v>
      </c>
      <c r="H1248" s="20">
        <v>132</v>
      </c>
      <c r="I1248"/>
    </row>
    <row r="1249" spans="1:9" x14ac:dyDescent="0.25">
      <c r="A1249" s="228">
        <v>41862</v>
      </c>
      <c r="B1249" s="161" t="s">
        <v>1099</v>
      </c>
      <c r="C1249" t="s">
        <v>1100</v>
      </c>
      <c r="D1249" t="s">
        <v>33</v>
      </c>
      <c r="E1249" s="162">
        <v>22.5</v>
      </c>
      <c r="F1249" s="162"/>
      <c r="G1249" s="165"/>
      <c r="H1249" s="20">
        <v>132</v>
      </c>
      <c r="I1249"/>
    </row>
    <row r="1250" spans="1:9" x14ac:dyDescent="0.25">
      <c r="A1250" s="228">
        <v>41862</v>
      </c>
      <c r="B1250" s="161" t="s">
        <v>831</v>
      </c>
      <c r="C1250" t="s">
        <v>1471</v>
      </c>
      <c r="D1250" t="s">
        <v>832</v>
      </c>
      <c r="E1250" s="162">
        <v>3.5</v>
      </c>
      <c r="F1250" s="162">
        <v>54.58</v>
      </c>
      <c r="G1250" s="165">
        <v>191.03</v>
      </c>
      <c r="H1250" s="20">
        <v>132</v>
      </c>
      <c r="I1250"/>
    </row>
    <row r="1251" spans="1:9" x14ac:dyDescent="0.25">
      <c r="A1251" s="228">
        <v>41862</v>
      </c>
      <c r="B1251" s="161" t="s">
        <v>843</v>
      </c>
      <c r="C1251" t="s">
        <v>8</v>
      </c>
      <c r="D1251" t="s">
        <v>33</v>
      </c>
      <c r="E1251" s="162">
        <v>2</v>
      </c>
      <c r="F1251" s="162">
        <v>35.11</v>
      </c>
      <c r="G1251" s="165">
        <v>70.22</v>
      </c>
      <c r="H1251" s="20">
        <v>132</v>
      </c>
      <c r="I1251"/>
    </row>
    <row r="1252" spans="1:9" x14ac:dyDescent="0.25">
      <c r="A1252" s="228">
        <v>41862</v>
      </c>
      <c r="B1252" s="161" t="s">
        <v>837</v>
      </c>
      <c r="C1252" t="s">
        <v>8</v>
      </c>
      <c r="D1252" t="s">
        <v>33</v>
      </c>
      <c r="E1252" s="162">
        <v>2</v>
      </c>
      <c r="F1252" s="162">
        <v>42.72</v>
      </c>
      <c r="G1252" s="165">
        <v>85.44</v>
      </c>
      <c r="H1252" s="20">
        <v>132</v>
      </c>
      <c r="I1252"/>
    </row>
    <row r="1253" spans="1:9" x14ac:dyDescent="0.25">
      <c r="A1253" s="228">
        <v>41862</v>
      </c>
      <c r="B1253" s="161" t="s">
        <v>838</v>
      </c>
      <c r="C1253" t="s">
        <v>8</v>
      </c>
      <c r="D1253" t="s">
        <v>33</v>
      </c>
      <c r="E1253" s="162">
        <v>2</v>
      </c>
      <c r="F1253" s="162">
        <v>39.979999999999997</v>
      </c>
      <c r="G1253" s="165">
        <v>79.959999999999994</v>
      </c>
      <c r="H1253" s="20">
        <v>132</v>
      </c>
      <c r="I1253"/>
    </row>
    <row r="1254" spans="1:9" x14ac:dyDescent="0.25">
      <c r="A1254" s="228">
        <v>41863</v>
      </c>
      <c r="B1254" s="161" t="s">
        <v>1099</v>
      </c>
      <c r="C1254" t="s">
        <v>1100</v>
      </c>
      <c r="D1254" t="s">
        <v>33</v>
      </c>
      <c r="E1254" s="162">
        <v>25.5</v>
      </c>
      <c r="F1254" s="162"/>
      <c r="G1254" s="165"/>
      <c r="H1254" s="20">
        <v>132</v>
      </c>
      <c r="I1254"/>
    </row>
    <row r="1255" spans="1:9" x14ac:dyDescent="0.25">
      <c r="A1255" s="228">
        <v>41863</v>
      </c>
      <c r="B1255" s="161" t="s">
        <v>855</v>
      </c>
      <c r="C1255" t="s">
        <v>856</v>
      </c>
      <c r="D1255" t="s">
        <v>33</v>
      </c>
      <c r="E1255" s="162">
        <v>8.5</v>
      </c>
      <c r="F1255" s="162">
        <v>21.61</v>
      </c>
      <c r="G1255" s="165">
        <v>183.685</v>
      </c>
      <c r="H1255" s="20">
        <v>132</v>
      </c>
      <c r="I1255"/>
    </row>
    <row r="1256" spans="1:9" x14ac:dyDescent="0.25">
      <c r="A1256" s="228">
        <v>41864</v>
      </c>
      <c r="B1256" s="161" t="s">
        <v>838</v>
      </c>
      <c r="C1256" t="s">
        <v>8</v>
      </c>
      <c r="D1256" t="s">
        <v>33</v>
      </c>
      <c r="E1256" s="162">
        <v>6</v>
      </c>
      <c r="F1256" s="162">
        <v>39.979999999999997</v>
      </c>
      <c r="G1256" s="165">
        <v>239.88</v>
      </c>
      <c r="H1256" s="20">
        <v>132</v>
      </c>
      <c r="I1256"/>
    </row>
    <row r="1257" spans="1:9" x14ac:dyDescent="0.25">
      <c r="A1257" s="228">
        <v>41864</v>
      </c>
      <c r="B1257" s="161" t="s">
        <v>1099</v>
      </c>
      <c r="C1257" t="s">
        <v>1100</v>
      </c>
      <c r="D1257" t="s">
        <v>33</v>
      </c>
      <c r="E1257" s="162">
        <v>16.5</v>
      </c>
      <c r="F1257" s="162"/>
      <c r="G1257" s="165"/>
      <c r="H1257" s="20">
        <v>132</v>
      </c>
      <c r="I1257"/>
    </row>
    <row r="1258" spans="1:9" x14ac:dyDescent="0.25">
      <c r="A1258" s="228">
        <v>41864</v>
      </c>
      <c r="B1258" s="161" t="s">
        <v>843</v>
      </c>
      <c r="C1258" t="s">
        <v>8</v>
      </c>
      <c r="D1258" t="s">
        <v>33</v>
      </c>
      <c r="E1258" s="162">
        <v>5</v>
      </c>
      <c r="F1258" s="162">
        <v>35.11</v>
      </c>
      <c r="G1258" s="165">
        <v>175.55</v>
      </c>
      <c r="H1258" s="20">
        <v>132</v>
      </c>
      <c r="I1258"/>
    </row>
    <row r="1259" spans="1:9" x14ac:dyDescent="0.25">
      <c r="A1259" s="228">
        <v>41864</v>
      </c>
      <c r="B1259" s="161" t="s">
        <v>831</v>
      </c>
      <c r="C1259" t="s">
        <v>1471</v>
      </c>
      <c r="D1259" t="s">
        <v>832</v>
      </c>
      <c r="E1259" s="162">
        <v>2.5</v>
      </c>
      <c r="F1259" s="162">
        <v>54.58</v>
      </c>
      <c r="G1259" s="165">
        <v>136.44999999999999</v>
      </c>
      <c r="H1259" s="20">
        <v>132</v>
      </c>
      <c r="I1259"/>
    </row>
    <row r="1260" spans="1:9" x14ac:dyDescent="0.25">
      <c r="A1260" s="228">
        <v>41865</v>
      </c>
      <c r="B1260" s="161" t="s">
        <v>843</v>
      </c>
      <c r="C1260" t="s">
        <v>8</v>
      </c>
      <c r="D1260" t="s">
        <v>33</v>
      </c>
      <c r="E1260" s="162">
        <v>6</v>
      </c>
      <c r="F1260" s="162">
        <v>42.72</v>
      </c>
      <c r="G1260" s="165">
        <v>256.32</v>
      </c>
      <c r="H1260" s="20">
        <v>132</v>
      </c>
      <c r="I1260"/>
    </row>
    <row r="1261" spans="1:9" x14ac:dyDescent="0.25">
      <c r="A1261" s="228">
        <v>41865</v>
      </c>
      <c r="B1261" s="161" t="s">
        <v>855</v>
      </c>
      <c r="C1261" t="s">
        <v>856</v>
      </c>
      <c r="D1261" t="s">
        <v>33</v>
      </c>
      <c r="E1261" s="162">
        <v>6.5</v>
      </c>
      <c r="F1261" s="162">
        <v>21.61</v>
      </c>
      <c r="G1261" s="165">
        <v>140.465</v>
      </c>
      <c r="H1261" s="20">
        <v>132</v>
      </c>
      <c r="I1261"/>
    </row>
    <row r="1262" spans="1:9" x14ac:dyDescent="0.25">
      <c r="A1262" s="228">
        <v>41865</v>
      </c>
      <c r="B1262" s="161" t="s">
        <v>1099</v>
      </c>
      <c r="C1262" t="s">
        <v>1100</v>
      </c>
      <c r="D1262" t="s">
        <v>33</v>
      </c>
      <c r="E1262" s="162">
        <v>13</v>
      </c>
      <c r="F1262" s="162"/>
      <c r="G1262" s="165"/>
      <c r="H1262" s="20">
        <v>132</v>
      </c>
      <c r="I1262"/>
    </row>
    <row r="1263" spans="1:9" x14ac:dyDescent="0.25">
      <c r="A1263" s="228">
        <v>41865</v>
      </c>
      <c r="B1263" s="161" t="s">
        <v>837</v>
      </c>
      <c r="C1263" t="s">
        <v>8</v>
      </c>
      <c r="D1263" t="s">
        <v>33</v>
      </c>
      <c r="E1263" s="162">
        <v>2.5</v>
      </c>
      <c r="F1263" s="162">
        <v>35.11</v>
      </c>
      <c r="G1263" s="165">
        <v>87.775000000000006</v>
      </c>
      <c r="H1263" s="20">
        <v>132</v>
      </c>
      <c r="I1263"/>
    </row>
    <row r="1264" spans="1:9" x14ac:dyDescent="0.25">
      <c r="A1264" s="228">
        <v>41865</v>
      </c>
      <c r="B1264" s="161" t="s">
        <v>843</v>
      </c>
      <c r="C1264" t="s">
        <v>8</v>
      </c>
      <c r="D1264" t="s">
        <v>33</v>
      </c>
      <c r="E1264" s="162">
        <v>2.5</v>
      </c>
      <c r="F1264" s="162">
        <v>35.11</v>
      </c>
      <c r="G1264" s="165">
        <v>87.775000000000006</v>
      </c>
      <c r="H1264" s="20">
        <v>132</v>
      </c>
      <c r="I1264"/>
    </row>
    <row r="1265" spans="1:9" x14ac:dyDescent="0.25">
      <c r="A1265" s="228">
        <v>41865</v>
      </c>
      <c r="B1265" s="161" t="s">
        <v>831</v>
      </c>
      <c r="C1265" t="s">
        <v>1471</v>
      </c>
      <c r="D1265" t="s">
        <v>832</v>
      </c>
      <c r="E1265" s="162">
        <v>6</v>
      </c>
      <c r="F1265" s="162">
        <v>54.58</v>
      </c>
      <c r="G1265" s="165">
        <v>327.48</v>
      </c>
      <c r="H1265" s="20">
        <v>132</v>
      </c>
      <c r="I1265"/>
    </row>
    <row r="1266" spans="1:9" x14ac:dyDescent="0.25">
      <c r="A1266" s="228">
        <v>41865</v>
      </c>
      <c r="B1266" s="161" t="s">
        <v>838</v>
      </c>
      <c r="C1266" t="s">
        <v>8</v>
      </c>
      <c r="D1266" t="s">
        <v>33</v>
      </c>
      <c r="E1266" s="162">
        <v>7</v>
      </c>
      <c r="F1266" s="162">
        <v>39.979999999999997</v>
      </c>
      <c r="G1266" s="165">
        <v>279.86</v>
      </c>
      <c r="H1266" s="20">
        <v>132</v>
      </c>
      <c r="I1266"/>
    </row>
    <row r="1267" spans="1:9" x14ac:dyDescent="0.25">
      <c r="A1267" s="228">
        <v>41869</v>
      </c>
      <c r="B1267" s="161" t="s">
        <v>838</v>
      </c>
      <c r="C1267" t="s">
        <v>8</v>
      </c>
      <c r="D1267" t="s">
        <v>33</v>
      </c>
      <c r="E1267" s="162">
        <v>1</v>
      </c>
      <c r="F1267" s="162">
        <v>39.979999999999997</v>
      </c>
      <c r="G1267" s="165">
        <v>39.979999999999997</v>
      </c>
      <c r="H1267" s="20">
        <v>132</v>
      </c>
      <c r="I1267"/>
    </row>
    <row r="1268" spans="1:9" x14ac:dyDescent="0.25">
      <c r="A1268" s="228">
        <v>41869</v>
      </c>
      <c r="B1268" s="161" t="s">
        <v>843</v>
      </c>
      <c r="C1268" t="s">
        <v>8</v>
      </c>
      <c r="D1268" t="s">
        <v>33</v>
      </c>
      <c r="E1268" s="162">
        <v>1</v>
      </c>
      <c r="F1268" s="162">
        <v>35.11</v>
      </c>
      <c r="G1268" s="165">
        <v>35.11</v>
      </c>
      <c r="H1268" s="20">
        <v>132</v>
      </c>
      <c r="I1268"/>
    </row>
    <row r="1269" spans="1:9" x14ac:dyDescent="0.25">
      <c r="A1269" s="228">
        <v>41872</v>
      </c>
      <c r="B1269" s="161" t="s">
        <v>855</v>
      </c>
      <c r="C1269" t="s">
        <v>856</v>
      </c>
      <c r="D1269" t="s">
        <v>33</v>
      </c>
      <c r="E1269" s="162">
        <v>6</v>
      </c>
      <c r="F1269" s="162">
        <v>21.61</v>
      </c>
      <c r="G1269" s="165">
        <v>129.66</v>
      </c>
      <c r="H1269" s="20">
        <v>132</v>
      </c>
      <c r="I1269"/>
    </row>
    <row r="1270" spans="1:9" x14ac:dyDescent="0.25">
      <c r="A1270" s="228">
        <v>41876</v>
      </c>
      <c r="B1270" s="161" t="s">
        <v>831</v>
      </c>
      <c r="C1270" t="s">
        <v>1471</v>
      </c>
      <c r="D1270" t="s">
        <v>832</v>
      </c>
      <c r="E1270" s="162">
        <v>1</v>
      </c>
      <c r="F1270" s="162">
        <v>54.58</v>
      </c>
      <c r="G1270" s="165">
        <v>54.58</v>
      </c>
      <c r="H1270" s="20">
        <v>132</v>
      </c>
      <c r="I1270"/>
    </row>
    <row r="1271" spans="1:9" x14ac:dyDescent="0.25">
      <c r="A1271" s="228">
        <v>41877</v>
      </c>
      <c r="B1271" s="161" t="s">
        <v>831</v>
      </c>
      <c r="C1271" t="s">
        <v>1471</v>
      </c>
      <c r="D1271" t="s">
        <v>832</v>
      </c>
      <c r="E1271" s="162">
        <v>1</v>
      </c>
      <c r="F1271" s="162">
        <v>54.58</v>
      </c>
      <c r="G1271" s="165">
        <v>54.58</v>
      </c>
      <c r="H1271" s="20">
        <v>132</v>
      </c>
      <c r="I1271"/>
    </row>
    <row r="1272" spans="1:9" x14ac:dyDescent="0.25">
      <c r="A1272" s="228">
        <v>41877</v>
      </c>
      <c r="B1272" s="161" t="s">
        <v>820</v>
      </c>
      <c r="C1272" t="s">
        <v>821</v>
      </c>
      <c r="D1272" t="s">
        <v>747</v>
      </c>
      <c r="E1272" s="162">
        <v>24</v>
      </c>
      <c r="F1272" s="162">
        <v>125</v>
      </c>
      <c r="G1272" s="165">
        <v>3000</v>
      </c>
      <c r="H1272" s="20">
        <v>132</v>
      </c>
      <c r="I1272"/>
    </row>
    <row r="1273" spans="1:9" x14ac:dyDescent="0.25">
      <c r="A1273" s="228">
        <v>41877</v>
      </c>
      <c r="B1273" s="161" t="s">
        <v>820</v>
      </c>
      <c r="C1273" t="s">
        <v>821</v>
      </c>
      <c r="D1273" t="s">
        <v>747</v>
      </c>
      <c r="E1273" s="162">
        <v>3</v>
      </c>
      <c r="F1273" s="162">
        <v>115</v>
      </c>
      <c r="G1273" s="165">
        <v>345</v>
      </c>
      <c r="H1273" s="20">
        <v>132</v>
      </c>
      <c r="I1273"/>
    </row>
    <row r="1274" spans="1:9" x14ac:dyDescent="0.25">
      <c r="A1274" s="228">
        <v>41877</v>
      </c>
      <c r="B1274" s="161" t="s">
        <v>838</v>
      </c>
      <c r="C1274" t="s">
        <v>8</v>
      </c>
      <c r="D1274" t="s">
        <v>33</v>
      </c>
      <c r="E1274" s="162">
        <v>2</v>
      </c>
      <c r="F1274" s="162">
        <v>39.979999999999997</v>
      </c>
      <c r="G1274" s="165">
        <v>79.959999999999994</v>
      </c>
      <c r="H1274" s="20">
        <v>132</v>
      </c>
      <c r="I1274"/>
    </row>
    <row r="1275" spans="1:9" x14ac:dyDescent="0.25">
      <c r="A1275" s="228">
        <v>41877</v>
      </c>
      <c r="B1275" s="161" t="s">
        <v>1099</v>
      </c>
      <c r="C1275" t="s">
        <v>1111</v>
      </c>
      <c r="D1275" t="s">
        <v>747</v>
      </c>
      <c r="E1275" s="162">
        <v>6.5</v>
      </c>
      <c r="F1275" s="162"/>
      <c r="G1275" s="165"/>
      <c r="H1275" s="20">
        <v>132</v>
      </c>
      <c r="I1275"/>
    </row>
    <row r="1276" spans="1:9" x14ac:dyDescent="0.25">
      <c r="A1276" s="228">
        <v>41877</v>
      </c>
      <c r="B1276" s="161" t="s">
        <v>1112</v>
      </c>
      <c r="C1276" t="s">
        <v>1113</v>
      </c>
      <c r="D1276" t="s">
        <v>33</v>
      </c>
      <c r="E1276" s="162">
        <v>3</v>
      </c>
      <c r="F1276" s="162">
        <v>66.069999999999993</v>
      </c>
      <c r="G1276" s="165">
        <v>198.21</v>
      </c>
      <c r="H1276" s="20">
        <v>132</v>
      </c>
      <c r="I1276"/>
    </row>
    <row r="1277" spans="1:9" x14ac:dyDescent="0.25">
      <c r="A1277" s="228">
        <v>41877</v>
      </c>
      <c r="B1277" s="161" t="s">
        <v>855</v>
      </c>
      <c r="C1277" t="s">
        <v>856</v>
      </c>
      <c r="D1277" t="s">
        <v>33</v>
      </c>
      <c r="E1277" s="162">
        <v>5</v>
      </c>
      <c r="F1277" s="162">
        <v>21.61</v>
      </c>
      <c r="G1277" s="165">
        <v>108.05</v>
      </c>
      <c r="H1277" s="20">
        <v>132</v>
      </c>
      <c r="I1277"/>
    </row>
    <row r="1278" spans="1:9" x14ac:dyDescent="0.25">
      <c r="A1278" s="228">
        <v>41878</v>
      </c>
      <c r="B1278" s="161" t="s">
        <v>1112</v>
      </c>
      <c r="C1278" t="s">
        <v>1113</v>
      </c>
      <c r="D1278" t="s">
        <v>33</v>
      </c>
      <c r="E1278" s="162">
        <v>3</v>
      </c>
      <c r="F1278" s="162">
        <v>66.069999999999993</v>
      </c>
      <c r="G1278" s="165">
        <v>198.21</v>
      </c>
      <c r="H1278" s="20">
        <v>132</v>
      </c>
      <c r="I1278"/>
    </row>
    <row r="1279" spans="1:9" x14ac:dyDescent="0.25">
      <c r="A1279" s="228">
        <v>41878</v>
      </c>
      <c r="B1279" s="161" t="s">
        <v>838</v>
      </c>
      <c r="C1279" t="s">
        <v>8</v>
      </c>
      <c r="D1279" t="s">
        <v>33</v>
      </c>
      <c r="E1279" s="162">
        <v>2</v>
      </c>
      <c r="F1279" s="162">
        <v>39.979999999999997</v>
      </c>
      <c r="G1279" s="165">
        <v>79.959999999999994</v>
      </c>
      <c r="H1279" s="20">
        <v>132</v>
      </c>
      <c r="I1279"/>
    </row>
    <row r="1280" spans="1:9" x14ac:dyDescent="0.25">
      <c r="A1280" s="228">
        <v>41879</v>
      </c>
      <c r="B1280" s="161" t="s">
        <v>843</v>
      </c>
      <c r="C1280" t="s">
        <v>8</v>
      </c>
      <c r="D1280" t="s">
        <v>33</v>
      </c>
      <c r="E1280" s="162">
        <v>4.5</v>
      </c>
      <c r="F1280" s="162">
        <v>35.11</v>
      </c>
      <c r="G1280" s="165">
        <v>157.995</v>
      </c>
      <c r="H1280" s="20">
        <v>132</v>
      </c>
      <c r="I1280"/>
    </row>
    <row r="1281" spans="1:9" x14ac:dyDescent="0.25">
      <c r="A1281" s="228">
        <v>41879</v>
      </c>
      <c r="B1281" s="161" t="s">
        <v>870</v>
      </c>
      <c r="C1281" t="s">
        <v>871</v>
      </c>
      <c r="D1281" t="s">
        <v>33</v>
      </c>
      <c r="E1281" s="162">
        <v>8.5</v>
      </c>
      <c r="F1281" s="162">
        <v>42.79</v>
      </c>
      <c r="G1281" s="165">
        <v>363.71499999999997</v>
      </c>
      <c r="H1281" s="20">
        <v>132</v>
      </c>
      <c r="I1281"/>
    </row>
    <row r="1282" spans="1:9" x14ac:dyDescent="0.25">
      <c r="A1282" s="228">
        <v>41879</v>
      </c>
      <c r="B1282" s="161" t="s">
        <v>1099</v>
      </c>
      <c r="C1282" t="s">
        <v>1111</v>
      </c>
      <c r="D1282" t="s">
        <v>747</v>
      </c>
      <c r="E1282" s="162">
        <v>22.35</v>
      </c>
      <c r="F1282" s="162"/>
      <c r="G1282" s="165"/>
      <c r="H1282" s="20">
        <v>132</v>
      </c>
      <c r="I1282"/>
    </row>
    <row r="1283" spans="1:9" x14ac:dyDescent="0.25">
      <c r="A1283" s="228">
        <v>41880</v>
      </c>
      <c r="B1283" s="161" t="s">
        <v>1099</v>
      </c>
      <c r="C1283" t="s">
        <v>1111</v>
      </c>
      <c r="D1283" t="s">
        <v>747</v>
      </c>
      <c r="E1283" s="162">
        <v>25.5</v>
      </c>
      <c r="F1283" s="162"/>
      <c r="G1283" s="165"/>
      <c r="H1283" s="20">
        <v>132</v>
      </c>
      <c r="I1283"/>
    </row>
    <row r="1284" spans="1:9" ht="30" x14ac:dyDescent="0.25">
      <c r="A1284" s="228">
        <v>41882</v>
      </c>
      <c r="B1284" s="161" t="s">
        <v>1114</v>
      </c>
      <c r="C1284" t="s">
        <v>1100</v>
      </c>
      <c r="D1284" t="s">
        <v>747</v>
      </c>
      <c r="E1284" s="162">
        <v>1</v>
      </c>
      <c r="F1284" s="162">
        <v>7275</v>
      </c>
      <c r="G1284" s="165">
        <v>7275</v>
      </c>
      <c r="H1284" s="20">
        <v>132</v>
      </c>
      <c r="I1284"/>
    </row>
    <row r="1285" spans="1:9" x14ac:dyDescent="0.25">
      <c r="A1285" s="228">
        <v>41882</v>
      </c>
      <c r="B1285" s="161" t="s">
        <v>1115</v>
      </c>
      <c r="C1285" t="s">
        <v>1100</v>
      </c>
      <c r="D1285" t="s">
        <v>747</v>
      </c>
      <c r="E1285" s="162">
        <v>1</v>
      </c>
      <c r="F1285" s="162">
        <v>4247.2700000000004</v>
      </c>
      <c r="G1285" s="165">
        <v>4247.2700000000004</v>
      </c>
      <c r="H1285" s="20">
        <v>132</v>
      </c>
      <c r="I1285"/>
    </row>
    <row r="1286" spans="1:9" x14ac:dyDescent="0.25">
      <c r="A1286" s="228">
        <v>41884</v>
      </c>
      <c r="B1286" s="161" t="s">
        <v>838</v>
      </c>
      <c r="C1286" t="s">
        <v>8</v>
      </c>
      <c r="D1286" t="s">
        <v>33</v>
      </c>
      <c r="E1286" s="162">
        <v>1.5</v>
      </c>
      <c r="F1286" s="162">
        <v>39.979999999999997</v>
      </c>
      <c r="G1286" s="165">
        <v>59.97</v>
      </c>
      <c r="H1286" s="20">
        <v>132</v>
      </c>
      <c r="I1286"/>
    </row>
    <row r="1287" spans="1:9" x14ac:dyDescent="0.25">
      <c r="A1287" s="228">
        <v>41884</v>
      </c>
      <c r="B1287" s="161" t="s">
        <v>503</v>
      </c>
      <c r="C1287" t="s">
        <v>840</v>
      </c>
      <c r="D1287" t="s">
        <v>19</v>
      </c>
      <c r="E1287" s="162">
        <v>2.5</v>
      </c>
      <c r="F1287" s="162"/>
      <c r="G1287" s="165"/>
      <c r="H1287" s="20">
        <v>132</v>
      </c>
      <c r="I1287"/>
    </row>
    <row r="1288" spans="1:9" x14ac:dyDescent="0.25">
      <c r="A1288" s="228">
        <v>41884</v>
      </c>
      <c r="B1288" s="161" t="s">
        <v>843</v>
      </c>
      <c r="C1288" t="s">
        <v>8</v>
      </c>
      <c r="D1288" t="s">
        <v>33</v>
      </c>
      <c r="E1288" s="162">
        <v>2.5</v>
      </c>
      <c r="F1288" s="162">
        <v>35.11</v>
      </c>
      <c r="G1288" s="165">
        <v>87.775000000000006</v>
      </c>
      <c r="H1288" s="20">
        <v>132</v>
      </c>
      <c r="I1288"/>
    </row>
    <row r="1289" spans="1:9" x14ac:dyDescent="0.25">
      <c r="A1289" s="228">
        <v>41884</v>
      </c>
      <c r="B1289" s="161" t="s">
        <v>831</v>
      </c>
      <c r="C1289" t="s">
        <v>1471</v>
      </c>
      <c r="D1289" t="s">
        <v>832</v>
      </c>
      <c r="E1289" s="162">
        <v>3.5</v>
      </c>
      <c r="F1289" s="162">
        <v>54.58</v>
      </c>
      <c r="G1289" s="165">
        <v>191.03</v>
      </c>
      <c r="H1289" s="20">
        <v>132</v>
      </c>
      <c r="I1289"/>
    </row>
    <row r="1290" spans="1:9" x14ac:dyDescent="0.25">
      <c r="A1290" s="228">
        <v>41885</v>
      </c>
      <c r="B1290" s="161" t="s">
        <v>503</v>
      </c>
      <c r="C1290" t="s">
        <v>840</v>
      </c>
      <c r="D1290" t="s">
        <v>19</v>
      </c>
      <c r="E1290" s="162">
        <v>1.5</v>
      </c>
      <c r="F1290" s="162"/>
      <c r="G1290" s="165"/>
      <c r="H1290" s="20">
        <v>132</v>
      </c>
      <c r="I1290"/>
    </row>
    <row r="1291" spans="1:9" x14ac:dyDescent="0.25">
      <c r="A1291" s="228">
        <v>41886</v>
      </c>
      <c r="B1291" s="161" t="s">
        <v>1116</v>
      </c>
      <c r="C1291" t="s">
        <v>1111</v>
      </c>
      <c r="D1291" t="s">
        <v>747</v>
      </c>
      <c r="E1291" s="162">
        <v>4</v>
      </c>
      <c r="F1291" s="162"/>
      <c r="G1291" s="165"/>
      <c r="H1291" s="20">
        <v>132</v>
      </c>
      <c r="I1291"/>
    </row>
    <row r="1292" spans="1:9" x14ac:dyDescent="0.25">
      <c r="A1292" s="228">
        <v>41912</v>
      </c>
      <c r="B1292" s="161" t="s">
        <v>848</v>
      </c>
      <c r="C1292" t="s">
        <v>821</v>
      </c>
      <c r="D1292" t="s">
        <v>747</v>
      </c>
      <c r="E1292" s="162">
        <v>2.5</v>
      </c>
      <c r="F1292" s="162">
        <v>125</v>
      </c>
      <c r="G1292" s="165">
        <v>312.5</v>
      </c>
      <c r="H1292" s="20">
        <v>132</v>
      </c>
      <c r="I1292"/>
    </row>
    <row r="1293" spans="1:9" x14ac:dyDescent="0.25">
      <c r="A1293" s="228">
        <v>41944</v>
      </c>
      <c r="B1293" s="161" t="s">
        <v>831</v>
      </c>
      <c r="C1293" t="s">
        <v>1471</v>
      </c>
      <c r="D1293" t="s">
        <v>832</v>
      </c>
      <c r="E1293" s="162">
        <v>2</v>
      </c>
      <c r="F1293" s="162">
        <v>54.58</v>
      </c>
      <c r="G1293" s="165">
        <v>109.16</v>
      </c>
      <c r="H1293" s="20">
        <v>132</v>
      </c>
      <c r="I1293"/>
    </row>
    <row r="1294" spans="1:9" x14ac:dyDescent="0.25">
      <c r="A1294" s="228">
        <v>41944</v>
      </c>
      <c r="B1294" s="161" t="s">
        <v>870</v>
      </c>
      <c r="C1294" t="s">
        <v>871</v>
      </c>
      <c r="D1294" t="s">
        <v>33</v>
      </c>
      <c r="E1294" s="162">
        <v>1</v>
      </c>
      <c r="F1294" s="162">
        <v>42.79</v>
      </c>
      <c r="G1294" s="165">
        <v>42.79</v>
      </c>
      <c r="H1294" s="20">
        <v>132</v>
      </c>
      <c r="I1294"/>
    </row>
    <row r="1295" spans="1:9" x14ac:dyDescent="0.25">
      <c r="A1295" s="228">
        <v>41954</v>
      </c>
      <c r="B1295" s="161" t="s">
        <v>831</v>
      </c>
      <c r="C1295" t="s">
        <v>1471</v>
      </c>
      <c r="D1295" t="s">
        <v>832</v>
      </c>
      <c r="E1295" s="162">
        <v>1</v>
      </c>
      <c r="F1295" s="162">
        <v>54.58</v>
      </c>
      <c r="G1295" s="165">
        <v>54.58</v>
      </c>
      <c r="H1295" s="20">
        <v>132</v>
      </c>
      <c r="I1295"/>
    </row>
    <row r="1296" spans="1:9" x14ac:dyDescent="0.25">
      <c r="A1296" s="228">
        <v>41954</v>
      </c>
      <c r="B1296" s="161" t="s">
        <v>838</v>
      </c>
      <c r="C1296" t="s">
        <v>8</v>
      </c>
      <c r="D1296" t="s">
        <v>33</v>
      </c>
      <c r="E1296" s="162">
        <v>1</v>
      </c>
      <c r="F1296" s="162">
        <v>39.979999999999997</v>
      </c>
      <c r="G1296" s="165">
        <v>39.979999999999997</v>
      </c>
      <c r="H1296" s="20">
        <v>132</v>
      </c>
      <c r="I1296"/>
    </row>
    <row r="1297" spans="1:9" x14ac:dyDescent="0.25">
      <c r="A1297" s="228">
        <v>41955</v>
      </c>
      <c r="B1297" s="161" t="s">
        <v>831</v>
      </c>
      <c r="C1297" t="s">
        <v>1471</v>
      </c>
      <c r="D1297" t="s">
        <v>832</v>
      </c>
      <c r="E1297" s="162">
        <v>2</v>
      </c>
      <c r="F1297" s="162">
        <v>54.58</v>
      </c>
      <c r="G1297" s="165">
        <v>109.16</v>
      </c>
      <c r="H1297" s="20">
        <v>132</v>
      </c>
      <c r="I1297"/>
    </row>
    <row r="1298" spans="1:9" x14ac:dyDescent="0.25">
      <c r="A1298" s="228">
        <v>41956</v>
      </c>
      <c r="B1298" s="161" t="s">
        <v>831</v>
      </c>
      <c r="C1298" t="s">
        <v>1471</v>
      </c>
      <c r="D1298" t="s">
        <v>832</v>
      </c>
      <c r="E1298" s="162">
        <v>1.5</v>
      </c>
      <c r="F1298" s="162">
        <v>54.58</v>
      </c>
      <c r="G1298" s="165">
        <v>81.87</v>
      </c>
      <c r="H1298" s="20">
        <v>132</v>
      </c>
      <c r="I1298"/>
    </row>
    <row r="1299" spans="1:9" x14ac:dyDescent="0.25">
      <c r="A1299" s="228">
        <v>41957</v>
      </c>
      <c r="B1299" s="161" t="s">
        <v>831</v>
      </c>
      <c r="C1299" t="s">
        <v>1471</v>
      </c>
      <c r="D1299" t="s">
        <v>832</v>
      </c>
      <c r="E1299" s="162">
        <v>0.05</v>
      </c>
      <c r="F1299" s="162">
        <v>54.58</v>
      </c>
      <c r="G1299" s="165">
        <v>2.7290000000000001</v>
      </c>
      <c r="H1299" s="20">
        <v>132</v>
      </c>
      <c r="I1299"/>
    </row>
    <row r="1300" spans="1:9" ht="30" x14ac:dyDescent="0.25">
      <c r="A1300" s="228">
        <v>41967</v>
      </c>
      <c r="B1300" s="161" t="s">
        <v>1117</v>
      </c>
      <c r="C1300" t="s">
        <v>1100</v>
      </c>
      <c r="D1300" t="s">
        <v>747</v>
      </c>
      <c r="E1300" s="162">
        <v>1</v>
      </c>
      <c r="F1300" s="162">
        <v>22959.200000000001</v>
      </c>
      <c r="G1300" s="165">
        <v>22959.200000000001</v>
      </c>
      <c r="H1300" s="20">
        <v>132</v>
      </c>
      <c r="I1300"/>
    </row>
    <row r="1301" spans="1:9" x14ac:dyDescent="0.25">
      <c r="A1301" s="228">
        <v>41968</v>
      </c>
      <c r="B1301" s="161" t="s">
        <v>1118</v>
      </c>
      <c r="C1301" t="s">
        <v>1119</v>
      </c>
      <c r="D1301" t="s">
        <v>747</v>
      </c>
      <c r="E1301" s="162">
        <v>1</v>
      </c>
      <c r="F1301" s="162">
        <v>269.73</v>
      </c>
      <c r="G1301" s="165">
        <v>269.73</v>
      </c>
      <c r="H1301" s="20">
        <v>132</v>
      </c>
      <c r="I1301"/>
    </row>
    <row r="1302" spans="1:9" x14ac:dyDescent="0.25">
      <c r="A1302" s="228">
        <v>41968</v>
      </c>
      <c r="B1302" s="161" t="s">
        <v>1120</v>
      </c>
      <c r="C1302" t="s">
        <v>925</v>
      </c>
      <c r="D1302" t="s">
        <v>747</v>
      </c>
      <c r="E1302" s="162">
        <v>1</v>
      </c>
      <c r="F1302" s="162">
        <v>477.27</v>
      </c>
      <c r="G1302" s="165">
        <v>477.27</v>
      </c>
      <c r="H1302" s="20">
        <v>132</v>
      </c>
      <c r="I1302"/>
    </row>
    <row r="1303" spans="1:9" x14ac:dyDescent="0.25">
      <c r="A1303" s="228">
        <v>41970</v>
      </c>
      <c r="B1303" s="161" t="s">
        <v>1121</v>
      </c>
      <c r="C1303" t="s">
        <v>925</v>
      </c>
      <c r="D1303" t="s">
        <v>747</v>
      </c>
      <c r="E1303" s="162">
        <v>1</v>
      </c>
      <c r="F1303" s="162">
        <v>770.69</v>
      </c>
      <c r="G1303" s="165">
        <v>770.69</v>
      </c>
      <c r="H1303" s="20">
        <v>132</v>
      </c>
      <c r="I1303"/>
    </row>
    <row r="1304" spans="1:9" x14ac:dyDescent="0.25">
      <c r="A1304" s="228">
        <v>41973</v>
      </c>
      <c r="B1304" s="161" t="s">
        <v>1052</v>
      </c>
      <c r="C1304" t="s">
        <v>921</v>
      </c>
      <c r="D1304" t="s">
        <v>33</v>
      </c>
      <c r="E1304" s="162">
        <v>18</v>
      </c>
      <c r="F1304" s="162">
        <v>65</v>
      </c>
      <c r="G1304" s="165">
        <v>1170</v>
      </c>
      <c r="H1304" s="20">
        <v>132</v>
      </c>
      <c r="I1304"/>
    </row>
    <row r="1305" spans="1:9" x14ac:dyDescent="0.25">
      <c r="A1305" s="228">
        <v>41974</v>
      </c>
      <c r="B1305" s="161" t="s">
        <v>1122</v>
      </c>
      <c r="C1305" t="s">
        <v>1100</v>
      </c>
      <c r="D1305" t="s">
        <v>747</v>
      </c>
      <c r="E1305" s="162">
        <v>1</v>
      </c>
      <c r="F1305" s="162">
        <v>670.45</v>
      </c>
      <c r="G1305" s="165">
        <v>670.45</v>
      </c>
      <c r="H1305" s="20">
        <v>132</v>
      </c>
      <c r="I1305"/>
    </row>
    <row r="1306" spans="1:9" x14ac:dyDescent="0.25">
      <c r="A1306" s="228">
        <v>41974</v>
      </c>
      <c r="B1306" s="161" t="s">
        <v>831</v>
      </c>
      <c r="C1306" t="s">
        <v>1471</v>
      </c>
      <c r="D1306" t="s">
        <v>832</v>
      </c>
      <c r="E1306" s="162">
        <v>2</v>
      </c>
      <c r="F1306" s="162">
        <v>54.58</v>
      </c>
      <c r="G1306" s="165">
        <v>109.16</v>
      </c>
      <c r="H1306" s="20">
        <v>132</v>
      </c>
      <c r="I1306"/>
    </row>
    <row r="1307" spans="1:9" x14ac:dyDescent="0.25">
      <c r="A1307" s="228">
        <v>41975</v>
      </c>
      <c r="B1307" s="161" t="s">
        <v>831</v>
      </c>
      <c r="C1307" t="s">
        <v>1471</v>
      </c>
      <c r="D1307" t="s">
        <v>832</v>
      </c>
      <c r="E1307" s="162">
        <v>1</v>
      </c>
      <c r="F1307" s="162">
        <v>54.58</v>
      </c>
      <c r="G1307" s="165">
        <v>54.58</v>
      </c>
      <c r="H1307" s="20">
        <v>132</v>
      </c>
      <c r="I1307"/>
    </row>
    <row r="1308" spans="1:9" x14ac:dyDescent="0.25">
      <c r="A1308" s="228">
        <v>41975</v>
      </c>
      <c r="B1308" s="161" t="s">
        <v>843</v>
      </c>
      <c r="C1308" t="s">
        <v>8</v>
      </c>
      <c r="D1308" t="s">
        <v>33</v>
      </c>
      <c r="E1308" s="162">
        <v>3.5</v>
      </c>
      <c r="F1308" s="162">
        <v>42.72</v>
      </c>
      <c r="G1308" s="165">
        <v>149.52000000000001</v>
      </c>
      <c r="H1308" s="20">
        <v>132</v>
      </c>
      <c r="I1308"/>
    </row>
    <row r="1309" spans="1:9" x14ac:dyDescent="0.25">
      <c r="A1309" s="228">
        <v>41976</v>
      </c>
      <c r="B1309" s="161" t="s">
        <v>1123</v>
      </c>
      <c r="C1309" t="s">
        <v>925</v>
      </c>
      <c r="D1309" t="s">
        <v>747</v>
      </c>
      <c r="E1309" s="162">
        <v>1</v>
      </c>
      <c r="F1309" s="162">
        <v>154.09</v>
      </c>
      <c r="G1309" s="165">
        <v>154.09</v>
      </c>
      <c r="H1309" s="20">
        <v>132</v>
      </c>
      <c r="I1309"/>
    </row>
    <row r="1310" spans="1:9" x14ac:dyDescent="0.25">
      <c r="A1310" s="228">
        <v>41977</v>
      </c>
      <c r="B1310" s="161" t="s">
        <v>1118</v>
      </c>
      <c r="C1310" t="s">
        <v>1119</v>
      </c>
      <c r="D1310" t="s">
        <v>747</v>
      </c>
      <c r="E1310" s="162">
        <v>1</v>
      </c>
      <c r="F1310" s="162">
        <v>89.98</v>
      </c>
      <c r="G1310" s="165">
        <v>89.98</v>
      </c>
      <c r="H1310" s="20">
        <v>132</v>
      </c>
      <c r="I1310"/>
    </row>
    <row r="1311" spans="1:9" x14ac:dyDescent="0.25">
      <c r="A1311" s="228">
        <v>41989</v>
      </c>
      <c r="B1311" s="161" t="s">
        <v>831</v>
      </c>
      <c r="C1311" t="s">
        <v>1471</v>
      </c>
      <c r="D1311" t="s">
        <v>832</v>
      </c>
      <c r="E1311" s="162">
        <v>3.5</v>
      </c>
      <c r="F1311" s="162">
        <v>54.58</v>
      </c>
      <c r="G1311" s="165">
        <v>191.03</v>
      </c>
      <c r="H1311" s="20">
        <v>132</v>
      </c>
      <c r="I1311"/>
    </row>
    <row r="1312" spans="1:9" x14ac:dyDescent="0.25">
      <c r="A1312" s="228">
        <v>41989</v>
      </c>
      <c r="B1312" s="161" t="s">
        <v>843</v>
      </c>
      <c r="C1312" t="s">
        <v>8</v>
      </c>
      <c r="D1312" t="s">
        <v>33</v>
      </c>
      <c r="E1312" s="162">
        <v>7</v>
      </c>
      <c r="F1312" s="162">
        <v>35.11</v>
      </c>
      <c r="G1312" s="165">
        <v>245.77</v>
      </c>
      <c r="H1312" s="20">
        <v>132</v>
      </c>
      <c r="I1312"/>
    </row>
    <row r="1313" spans="1:9" x14ac:dyDescent="0.25">
      <c r="A1313" s="228">
        <v>41990</v>
      </c>
      <c r="B1313" s="161" t="s">
        <v>1124</v>
      </c>
      <c r="C1313" t="s">
        <v>1125</v>
      </c>
      <c r="D1313" t="s">
        <v>747</v>
      </c>
      <c r="E1313" s="162">
        <v>1</v>
      </c>
      <c r="F1313" s="162">
        <v>180</v>
      </c>
      <c r="G1313" s="165">
        <v>180</v>
      </c>
      <c r="H1313" s="20">
        <v>132</v>
      </c>
      <c r="I1313"/>
    </row>
    <row r="1314" spans="1:9" x14ac:dyDescent="0.25">
      <c r="A1314" s="228">
        <v>41990</v>
      </c>
      <c r="B1314" s="161" t="s">
        <v>1126</v>
      </c>
      <c r="C1314" t="s">
        <v>1119</v>
      </c>
      <c r="D1314" t="s">
        <v>747</v>
      </c>
      <c r="E1314" s="162">
        <v>1</v>
      </c>
      <c r="F1314" s="162">
        <v>180.86</v>
      </c>
      <c r="G1314" s="165">
        <v>180.86</v>
      </c>
      <c r="H1314" s="20">
        <v>132</v>
      </c>
      <c r="I1314"/>
    </row>
    <row r="1315" spans="1:9" ht="30" x14ac:dyDescent="0.25">
      <c r="A1315" s="228">
        <v>41990</v>
      </c>
      <c r="B1315" s="161" t="s">
        <v>1127</v>
      </c>
      <c r="C1315" t="s">
        <v>925</v>
      </c>
      <c r="D1315" t="s">
        <v>747</v>
      </c>
      <c r="E1315" s="162">
        <v>1</v>
      </c>
      <c r="F1315" s="162">
        <v>180</v>
      </c>
      <c r="G1315" s="165">
        <v>180</v>
      </c>
      <c r="H1315" s="20">
        <v>132</v>
      </c>
      <c r="I1315"/>
    </row>
    <row r="1316" spans="1:9" x14ac:dyDescent="0.25">
      <c r="A1316" s="228">
        <v>41991</v>
      </c>
      <c r="B1316" s="161" t="s">
        <v>831</v>
      </c>
      <c r="C1316" t="s">
        <v>1471</v>
      </c>
      <c r="D1316" t="s">
        <v>832</v>
      </c>
      <c r="E1316" s="162">
        <v>3</v>
      </c>
      <c r="F1316" s="162">
        <v>54.58</v>
      </c>
      <c r="G1316" s="165">
        <v>163.74</v>
      </c>
      <c r="H1316" s="20">
        <v>132</v>
      </c>
      <c r="I1316"/>
    </row>
    <row r="1317" spans="1:9" x14ac:dyDescent="0.25">
      <c r="A1317" s="228">
        <v>42013</v>
      </c>
      <c r="B1317" s="161" t="s">
        <v>831</v>
      </c>
      <c r="C1317" t="s">
        <v>1471</v>
      </c>
      <c r="D1317" t="s">
        <v>832</v>
      </c>
      <c r="E1317" s="162">
        <v>4</v>
      </c>
      <c r="F1317" s="162">
        <v>54.58</v>
      </c>
      <c r="G1317" s="165">
        <v>218.32</v>
      </c>
      <c r="H1317" s="20">
        <v>132</v>
      </c>
      <c r="I1317"/>
    </row>
    <row r="1318" spans="1:9" x14ac:dyDescent="0.25">
      <c r="A1318" s="228">
        <v>42037</v>
      </c>
      <c r="B1318" s="161" t="s">
        <v>838</v>
      </c>
      <c r="C1318" t="s">
        <v>8</v>
      </c>
      <c r="D1318" t="s">
        <v>33</v>
      </c>
      <c r="E1318" s="162">
        <v>8</v>
      </c>
      <c r="F1318" s="162">
        <v>39.979999999999997</v>
      </c>
      <c r="G1318" s="165">
        <v>319.83999999999997</v>
      </c>
      <c r="H1318" s="20">
        <v>132</v>
      </c>
      <c r="I1318"/>
    </row>
    <row r="1319" spans="1:9" x14ac:dyDescent="0.25">
      <c r="A1319" s="228">
        <v>42037</v>
      </c>
      <c r="B1319" s="161" t="s">
        <v>831</v>
      </c>
      <c r="C1319" t="s">
        <v>1471</v>
      </c>
      <c r="D1319" t="s">
        <v>832</v>
      </c>
      <c r="E1319" s="162">
        <v>8</v>
      </c>
      <c r="F1319" s="162">
        <v>54.58</v>
      </c>
      <c r="G1319" s="165">
        <v>436.64</v>
      </c>
      <c r="H1319" s="20">
        <v>132</v>
      </c>
      <c r="I1319"/>
    </row>
    <row r="1320" spans="1:9" x14ac:dyDescent="0.25">
      <c r="A1320" s="228">
        <v>42076</v>
      </c>
      <c r="B1320" s="161" t="s">
        <v>1128</v>
      </c>
      <c r="C1320" t="s">
        <v>1100</v>
      </c>
      <c r="D1320" t="s">
        <v>747</v>
      </c>
      <c r="E1320" s="162">
        <v>1</v>
      </c>
      <c r="F1320" s="162">
        <v>27020.09</v>
      </c>
      <c r="G1320" s="165">
        <v>27020.09</v>
      </c>
      <c r="H1320" s="20">
        <v>132</v>
      </c>
      <c r="I1320"/>
    </row>
    <row r="1321" spans="1:9" x14ac:dyDescent="0.25">
      <c r="A1321" s="230" t="s">
        <v>642</v>
      </c>
      <c r="B1321" s="231" t="s">
        <v>1129</v>
      </c>
      <c r="C1321" s="232" t="s">
        <v>642</v>
      </c>
      <c r="D1321" s="232" t="s">
        <v>642</v>
      </c>
      <c r="E1321" s="233"/>
      <c r="F1321" s="233"/>
      <c r="G1321" s="234">
        <v>322580.15615</v>
      </c>
      <c r="H1321" s="235" t="s">
        <v>642</v>
      </c>
      <c r="I1321"/>
    </row>
    <row r="1322" spans="1:9" x14ac:dyDescent="0.25">
      <c r="A1322" s="228" t="s">
        <v>642</v>
      </c>
      <c r="B1322" s="161" t="s">
        <v>642</v>
      </c>
      <c r="C1322" t="s">
        <v>642</v>
      </c>
      <c r="D1322" t="s">
        <v>642</v>
      </c>
      <c r="E1322" s="162"/>
      <c r="F1322" s="162"/>
      <c r="G1322" s="165"/>
      <c r="H1322" s="20" t="s">
        <v>642</v>
      </c>
      <c r="I1322"/>
    </row>
    <row r="1323" spans="1:9" x14ac:dyDescent="0.25">
      <c r="A1323" s="226" t="s">
        <v>642</v>
      </c>
      <c r="B1323" s="159" t="s">
        <v>1130</v>
      </c>
      <c r="C1323" s="64" t="s">
        <v>642</v>
      </c>
      <c r="D1323" s="64" t="s">
        <v>642</v>
      </c>
      <c r="E1323" s="227"/>
      <c r="F1323" s="227"/>
      <c r="G1323" s="166"/>
      <c r="H1323" s="160" t="s">
        <v>642</v>
      </c>
      <c r="I1323"/>
    </row>
    <row r="1324" spans="1:9" x14ac:dyDescent="0.25">
      <c r="A1324" s="228">
        <v>41757</v>
      </c>
      <c r="B1324" s="161" t="s">
        <v>831</v>
      </c>
      <c r="C1324" t="s">
        <v>1471</v>
      </c>
      <c r="D1324" t="s">
        <v>832</v>
      </c>
      <c r="E1324" s="162">
        <v>2</v>
      </c>
      <c r="F1324" s="162">
        <v>54.58</v>
      </c>
      <c r="G1324" s="165">
        <v>109.16</v>
      </c>
      <c r="H1324" s="20">
        <v>135</v>
      </c>
      <c r="I1324"/>
    </row>
    <row r="1325" spans="1:9" x14ac:dyDescent="0.25">
      <c r="A1325" s="228">
        <v>41757</v>
      </c>
      <c r="B1325" s="161" t="s">
        <v>837</v>
      </c>
      <c r="C1325" t="s">
        <v>8</v>
      </c>
      <c r="D1325" t="s">
        <v>33</v>
      </c>
      <c r="E1325" s="162">
        <v>5</v>
      </c>
      <c r="F1325" s="162">
        <v>42.72</v>
      </c>
      <c r="G1325" s="165">
        <v>213.6</v>
      </c>
      <c r="H1325" s="20">
        <v>135</v>
      </c>
      <c r="I1325"/>
    </row>
    <row r="1326" spans="1:9" x14ac:dyDescent="0.25">
      <c r="A1326" s="228">
        <v>41758</v>
      </c>
      <c r="B1326" s="161" t="s">
        <v>837</v>
      </c>
      <c r="C1326" t="s">
        <v>8</v>
      </c>
      <c r="D1326" t="s">
        <v>33</v>
      </c>
      <c r="E1326" s="162">
        <v>9.5</v>
      </c>
      <c r="F1326" s="162">
        <v>42.72</v>
      </c>
      <c r="G1326" s="165">
        <v>405.84</v>
      </c>
      <c r="H1326" s="20">
        <v>135</v>
      </c>
      <c r="I1326"/>
    </row>
    <row r="1327" spans="1:9" x14ac:dyDescent="0.25">
      <c r="A1327" s="228">
        <v>41759</v>
      </c>
      <c r="B1327" s="161" t="s">
        <v>843</v>
      </c>
      <c r="C1327" t="s">
        <v>8</v>
      </c>
      <c r="D1327" t="s">
        <v>33</v>
      </c>
      <c r="E1327" s="162">
        <v>3.5</v>
      </c>
      <c r="F1327" s="162">
        <v>35.11</v>
      </c>
      <c r="G1327" s="165">
        <v>122.88500000000001</v>
      </c>
      <c r="H1327" s="20">
        <v>135</v>
      </c>
      <c r="I1327"/>
    </row>
    <row r="1328" spans="1:9" x14ac:dyDescent="0.25">
      <c r="A1328" s="228">
        <v>41759</v>
      </c>
      <c r="B1328" s="161" t="s">
        <v>831</v>
      </c>
      <c r="C1328" t="s">
        <v>1471</v>
      </c>
      <c r="D1328" t="s">
        <v>832</v>
      </c>
      <c r="E1328" s="162">
        <v>1.5</v>
      </c>
      <c r="F1328" s="162">
        <v>54.58</v>
      </c>
      <c r="G1328" s="165">
        <v>81.87</v>
      </c>
      <c r="H1328" s="20">
        <v>135</v>
      </c>
      <c r="I1328"/>
    </row>
    <row r="1329" spans="1:9" x14ac:dyDescent="0.25">
      <c r="A1329" s="228">
        <v>41759</v>
      </c>
      <c r="B1329" s="161" t="s">
        <v>837</v>
      </c>
      <c r="C1329" t="s">
        <v>8</v>
      </c>
      <c r="D1329" t="s">
        <v>33</v>
      </c>
      <c r="E1329" s="162">
        <v>9.5</v>
      </c>
      <c r="F1329" s="162">
        <v>42.72</v>
      </c>
      <c r="G1329" s="165">
        <v>405.84</v>
      </c>
      <c r="H1329" s="20">
        <v>135</v>
      </c>
      <c r="I1329"/>
    </row>
    <row r="1330" spans="1:9" x14ac:dyDescent="0.25">
      <c r="A1330" s="228">
        <v>41759</v>
      </c>
      <c r="B1330" s="161" t="s">
        <v>837</v>
      </c>
      <c r="C1330" t="s">
        <v>8</v>
      </c>
      <c r="D1330" t="s">
        <v>33</v>
      </c>
      <c r="E1330" s="162">
        <v>9.5</v>
      </c>
      <c r="F1330" s="162">
        <v>42.72</v>
      </c>
      <c r="G1330" s="165">
        <v>405.84</v>
      </c>
      <c r="H1330" s="20">
        <v>135</v>
      </c>
      <c r="I1330"/>
    </row>
    <row r="1331" spans="1:9" x14ac:dyDescent="0.25">
      <c r="A1331" s="228">
        <v>41759</v>
      </c>
      <c r="B1331" s="161" t="s">
        <v>1131</v>
      </c>
      <c r="C1331" t="s">
        <v>881</v>
      </c>
      <c r="D1331" t="s">
        <v>747</v>
      </c>
      <c r="E1331" s="162">
        <v>1</v>
      </c>
      <c r="F1331" s="162">
        <v>689</v>
      </c>
      <c r="G1331" s="165">
        <v>689</v>
      </c>
      <c r="H1331" s="20">
        <v>135</v>
      </c>
      <c r="I1331"/>
    </row>
    <row r="1332" spans="1:9" x14ac:dyDescent="0.25">
      <c r="A1332" s="228">
        <v>41760</v>
      </c>
      <c r="B1332" s="161" t="s">
        <v>838</v>
      </c>
      <c r="C1332" t="s">
        <v>8</v>
      </c>
      <c r="D1332" t="s">
        <v>33</v>
      </c>
      <c r="E1332" s="162">
        <v>3</v>
      </c>
      <c r="F1332" s="162">
        <v>39.979999999999997</v>
      </c>
      <c r="G1332" s="165">
        <v>119.94</v>
      </c>
      <c r="H1332" s="20">
        <v>135</v>
      </c>
      <c r="I1332"/>
    </row>
    <row r="1333" spans="1:9" x14ac:dyDescent="0.25">
      <c r="A1333" s="228">
        <v>41760</v>
      </c>
      <c r="B1333" s="161" t="s">
        <v>837</v>
      </c>
      <c r="C1333" t="s">
        <v>8</v>
      </c>
      <c r="D1333" t="s">
        <v>33</v>
      </c>
      <c r="E1333" s="162">
        <v>9.5</v>
      </c>
      <c r="F1333" s="162">
        <v>42.72</v>
      </c>
      <c r="G1333" s="165">
        <v>405.84</v>
      </c>
      <c r="H1333" s="20">
        <v>135</v>
      </c>
      <c r="I1333"/>
    </row>
    <row r="1334" spans="1:9" x14ac:dyDescent="0.25">
      <c r="A1334" s="228">
        <v>41760</v>
      </c>
      <c r="B1334" s="161" t="s">
        <v>843</v>
      </c>
      <c r="C1334" t="s">
        <v>8</v>
      </c>
      <c r="D1334" t="s">
        <v>33</v>
      </c>
      <c r="E1334" s="162">
        <v>2.5</v>
      </c>
      <c r="F1334" s="162">
        <v>35.11</v>
      </c>
      <c r="G1334" s="165">
        <v>87.775000000000006</v>
      </c>
      <c r="H1334" s="20">
        <v>135</v>
      </c>
      <c r="I1334"/>
    </row>
    <row r="1335" spans="1:9" x14ac:dyDescent="0.25">
      <c r="A1335" s="228">
        <v>41760</v>
      </c>
      <c r="B1335" s="161" t="s">
        <v>831</v>
      </c>
      <c r="C1335" t="s">
        <v>1471</v>
      </c>
      <c r="D1335" t="s">
        <v>832</v>
      </c>
      <c r="E1335" s="162">
        <v>9.5</v>
      </c>
      <c r="F1335" s="162">
        <v>54.58</v>
      </c>
      <c r="G1335" s="165">
        <v>518.51</v>
      </c>
      <c r="H1335" s="20">
        <v>135</v>
      </c>
      <c r="I1335"/>
    </row>
    <row r="1336" spans="1:9" x14ac:dyDescent="0.25">
      <c r="A1336" s="228">
        <v>41766</v>
      </c>
      <c r="B1336" s="161" t="s">
        <v>831</v>
      </c>
      <c r="C1336" t="s">
        <v>1471</v>
      </c>
      <c r="D1336" t="s">
        <v>832</v>
      </c>
      <c r="E1336" s="162">
        <v>1</v>
      </c>
      <c r="F1336" s="162">
        <v>54.58</v>
      </c>
      <c r="G1336" s="165">
        <v>54.58</v>
      </c>
      <c r="H1336" s="20">
        <v>135</v>
      </c>
      <c r="I1336"/>
    </row>
    <row r="1337" spans="1:9" x14ac:dyDescent="0.25">
      <c r="A1337" s="228">
        <v>41766</v>
      </c>
      <c r="B1337" s="161" t="s">
        <v>838</v>
      </c>
      <c r="C1337" t="s">
        <v>8</v>
      </c>
      <c r="D1337" t="s">
        <v>33</v>
      </c>
      <c r="E1337" s="162">
        <v>3</v>
      </c>
      <c r="F1337" s="162">
        <v>39.979999999999997</v>
      </c>
      <c r="G1337" s="165">
        <v>119.94</v>
      </c>
      <c r="H1337" s="20">
        <v>135</v>
      </c>
      <c r="I1337"/>
    </row>
    <row r="1338" spans="1:9" x14ac:dyDescent="0.25">
      <c r="A1338" s="228">
        <v>41766</v>
      </c>
      <c r="B1338" s="161" t="s">
        <v>843</v>
      </c>
      <c r="C1338" t="s">
        <v>8</v>
      </c>
      <c r="D1338" t="s">
        <v>33</v>
      </c>
      <c r="E1338" s="162">
        <v>8</v>
      </c>
      <c r="F1338" s="162">
        <v>35.11</v>
      </c>
      <c r="G1338" s="165">
        <v>280.88</v>
      </c>
      <c r="H1338" s="20">
        <v>135</v>
      </c>
      <c r="I1338"/>
    </row>
    <row r="1339" spans="1:9" x14ac:dyDescent="0.25">
      <c r="A1339" s="228">
        <v>41766</v>
      </c>
      <c r="B1339" s="161" t="s">
        <v>843</v>
      </c>
      <c r="C1339" t="s">
        <v>8</v>
      </c>
      <c r="D1339" t="s">
        <v>33</v>
      </c>
      <c r="E1339" s="162">
        <v>5.5</v>
      </c>
      <c r="F1339" s="162">
        <v>42.72</v>
      </c>
      <c r="G1339" s="165">
        <v>234.96</v>
      </c>
      <c r="H1339" s="20">
        <v>135</v>
      </c>
      <c r="I1339"/>
    </row>
    <row r="1340" spans="1:9" x14ac:dyDescent="0.25">
      <c r="A1340" s="228">
        <v>41767</v>
      </c>
      <c r="B1340" s="161" t="s">
        <v>843</v>
      </c>
      <c r="C1340" t="s">
        <v>8</v>
      </c>
      <c r="D1340" t="s">
        <v>33</v>
      </c>
      <c r="E1340" s="162">
        <v>3</v>
      </c>
      <c r="F1340" s="162">
        <v>42.72</v>
      </c>
      <c r="G1340" s="165">
        <v>128.16</v>
      </c>
      <c r="H1340" s="20">
        <v>135</v>
      </c>
      <c r="I1340"/>
    </row>
    <row r="1341" spans="1:9" x14ac:dyDescent="0.25">
      <c r="A1341" s="228">
        <v>41767</v>
      </c>
      <c r="B1341" s="161" t="s">
        <v>838</v>
      </c>
      <c r="C1341" t="s">
        <v>8</v>
      </c>
      <c r="D1341" t="s">
        <v>33</v>
      </c>
      <c r="E1341" s="162">
        <v>7.5</v>
      </c>
      <c r="F1341" s="162">
        <v>39.979999999999997</v>
      </c>
      <c r="G1341" s="165">
        <v>299.85000000000002</v>
      </c>
      <c r="H1341" s="20">
        <v>135</v>
      </c>
      <c r="I1341"/>
    </row>
    <row r="1342" spans="1:9" x14ac:dyDescent="0.25">
      <c r="A1342" s="228">
        <v>41767</v>
      </c>
      <c r="B1342" s="161" t="s">
        <v>837</v>
      </c>
      <c r="C1342" t="s">
        <v>8</v>
      </c>
      <c r="D1342" t="s">
        <v>33</v>
      </c>
      <c r="E1342" s="162">
        <v>5</v>
      </c>
      <c r="F1342" s="162">
        <v>42.72</v>
      </c>
      <c r="G1342" s="165">
        <v>213.6</v>
      </c>
      <c r="H1342" s="20">
        <v>135</v>
      </c>
      <c r="I1342"/>
    </row>
    <row r="1343" spans="1:9" x14ac:dyDescent="0.25">
      <c r="A1343" s="228">
        <v>41767</v>
      </c>
      <c r="B1343" s="161" t="s">
        <v>843</v>
      </c>
      <c r="C1343" t="s">
        <v>8</v>
      </c>
      <c r="D1343" t="s">
        <v>33</v>
      </c>
      <c r="E1343" s="162">
        <v>9.5</v>
      </c>
      <c r="F1343" s="162">
        <v>35.11</v>
      </c>
      <c r="G1343" s="165">
        <v>333.54500000000002</v>
      </c>
      <c r="H1343" s="20">
        <v>135</v>
      </c>
      <c r="I1343"/>
    </row>
    <row r="1344" spans="1:9" x14ac:dyDescent="0.25">
      <c r="A1344" s="228">
        <v>41767</v>
      </c>
      <c r="B1344" s="161" t="s">
        <v>831</v>
      </c>
      <c r="C1344" t="s">
        <v>1471</v>
      </c>
      <c r="D1344" t="s">
        <v>832</v>
      </c>
      <c r="E1344" s="162">
        <v>8.5</v>
      </c>
      <c r="F1344" s="162">
        <v>54.58</v>
      </c>
      <c r="G1344" s="165">
        <v>463.93</v>
      </c>
      <c r="H1344" s="20">
        <v>135</v>
      </c>
      <c r="I1344"/>
    </row>
    <row r="1345" spans="1:9" x14ac:dyDescent="0.25">
      <c r="A1345" s="228">
        <v>41767</v>
      </c>
      <c r="B1345" s="161" t="s">
        <v>1132</v>
      </c>
      <c r="C1345" t="s">
        <v>881</v>
      </c>
      <c r="D1345" t="s">
        <v>747</v>
      </c>
      <c r="E1345" s="162">
        <v>1</v>
      </c>
      <c r="F1345" s="162">
        <v>1602.5</v>
      </c>
      <c r="G1345" s="165">
        <v>1602.5</v>
      </c>
      <c r="H1345" s="20">
        <v>135</v>
      </c>
      <c r="I1345"/>
    </row>
    <row r="1346" spans="1:9" x14ac:dyDescent="0.25">
      <c r="A1346" s="228">
        <v>41768</v>
      </c>
      <c r="B1346" s="161" t="s">
        <v>831</v>
      </c>
      <c r="C1346" t="s">
        <v>1471</v>
      </c>
      <c r="D1346" t="s">
        <v>832</v>
      </c>
      <c r="E1346" s="162">
        <v>9.5</v>
      </c>
      <c r="F1346" s="162">
        <v>54.58</v>
      </c>
      <c r="G1346" s="165">
        <v>518.51</v>
      </c>
      <c r="H1346" s="20">
        <v>135</v>
      </c>
      <c r="I1346"/>
    </row>
    <row r="1347" spans="1:9" x14ac:dyDescent="0.25">
      <c r="A1347" s="228">
        <v>41768</v>
      </c>
      <c r="B1347" s="161" t="s">
        <v>843</v>
      </c>
      <c r="C1347" t="s">
        <v>8</v>
      </c>
      <c r="D1347" t="s">
        <v>33</v>
      </c>
      <c r="E1347" s="162">
        <v>9.5</v>
      </c>
      <c r="F1347" s="162">
        <v>35.11</v>
      </c>
      <c r="G1347" s="165">
        <v>333.54500000000002</v>
      </c>
      <c r="H1347" s="20">
        <v>135</v>
      </c>
      <c r="I1347"/>
    </row>
    <row r="1348" spans="1:9" x14ac:dyDescent="0.25">
      <c r="A1348" s="228">
        <v>41768</v>
      </c>
      <c r="B1348" s="161" t="s">
        <v>837</v>
      </c>
      <c r="C1348" t="s">
        <v>8</v>
      </c>
      <c r="D1348" t="s">
        <v>33</v>
      </c>
      <c r="E1348" s="162">
        <v>6.5</v>
      </c>
      <c r="F1348" s="162">
        <v>42.72</v>
      </c>
      <c r="G1348" s="165">
        <v>277.68</v>
      </c>
      <c r="H1348" s="20">
        <v>135</v>
      </c>
      <c r="I1348"/>
    </row>
    <row r="1349" spans="1:9" x14ac:dyDescent="0.25">
      <c r="A1349" s="228">
        <v>41769</v>
      </c>
      <c r="B1349" s="161" t="s">
        <v>838</v>
      </c>
      <c r="C1349" t="s">
        <v>8</v>
      </c>
      <c r="D1349" t="s">
        <v>33</v>
      </c>
      <c r="E1349" s="162">
        <v>6</v>
      </c>
      <c r="F1349" s="162">
        <v>39.979999999999997</v>
      </c>
      <c r="G1349" s="165">
        <v>239.88</v>
      </c>
      <c r="H1349" s="20">
        <v>135</v>
      </c>
      <c r="I1349"/>
    </row>
    <row r="1350" spans="1:9" x14ac:dyDescent="0.25">
      <c r="A1350" s="228">
        <v>41769</v>
      </c>
      <c r="B1350" s="161" t="s">
        <v>831</v>
      </c>
      <c r="C1350" t="s">
        <v>1471</v>
      </c>
      <c r="D1350" t="s">
        <v>832</v>
      </c>
      <c r="E1350" s="162">
        <v>6</v>
      </c>
      <c r="F1350" s="162">
        <v>54.58</v>
      </c>
      <c r="G1350" s="165">
        <v>327.48</v>
      </c>
      <c r="H1350" s="20">
        <v>135</v>
      </c>
      <c r="I1350"/>
    </row>
    <row r="1351" spans="1:9" x14ac:dyDescent="0.25">
      <c r="A1351" s="228">
        <v>41769</v>
      </c>
      <c r="B1351" s="161" t="s">
        <v>843</v>
      </c>
      <c r="C1351" t="s">
        <v>8</v>
      </c>
      <c r="D1351" t="s">
        <v>33</v>
      </c>
      <c r="E1351" s="162">
        <v>6</v>
      </c>
      <c r="F1351" s="162">
        <v>35.11</v>
      </c>
      <c r="G1351" s="165">
        <v>210.66</v>
      </c>
      <c r="H1351" s="20">
        <v>135</v>
      </c>
      <c r="I1351"/>
    </row>
    <row r="1352" spans="1:9" x14ac:dyDescent="0.25">
      <c r="A1352" s="228">
        <v>41769</v>
      </c>
      <c r="B1352" s="161" t="s">
        <v>837</v>
      </c>
      <c r="C1352" t="s">
        <v>8</v>
      </c>
      <c r="D1352" t="s">
        <v>33</v>
      </c>
      <c r="E1352" s="162">
        <v>6</v>
      </c>
      <c r="F1352" s="162">
        <v>42.72</v>
      </c>
      <c r="G1352" s="165">
        <v>256.32</v>
      </c>
      <c r="H1352" s="20">
        <v>135</v>
      </c>
      <c r="I1352"/>
    </row>
    <row r="1353" spans="1:9" x14ac:dyDescent="0.25">
      <c r="A1353" s="228">
        <v>41771</v>
      </c>
      <c r="B1353" s="161" t="s">
        <v>838</v>
      </c>
      <c r="C1353" t="s">
        <v>8</v>
      </c>
      <c r="D1353" t="s">
        <v>33</v>
      </c>
      <c r="E1353" s="162">
        <v>9.5</v>
      </c>
      <c r="F1353" s="162">
        <v>39.979999999999997</v>
      </c>
      <c r="G1353" s="165">
        <v>379.81</v>
      </c>
      <c r="H1353" s="20">
        <v>135</v>
      </c>
      <c r="I1353"/>
    </row>
    <row r="1354" spans="1:9" x14ac:dyDescent="0.25">
      <c r="A1354" s="228">
        <v>41771</v>
      </c>
      <c r="B1354" s="161" t="s">
        <v>837</v>
      </c>
      <c r="C1354" t="s">
        <v>8</v>
      </c>
      <c r="D1354" t="s">
        <v>33</v>
      </c>
      <c r="E1354" s="162">
        <v>7</v>
      </c>
      <c r="F1354" s="162">
        <v>42.72</v>
      </c>
      <c r="G1354" s="165">
        <v>299.04000000000002</v>
      </c>
      <c r="H1354" s="20">
        <v>135</v>
      </c>
      <c r="I1354"/>
    </row>
    <row r="1355" spans="1:9" x14ac:dyDescent="0.25">
      <c r="A1355" s="228">
        <v>41772</v>
      </c>
      <c r="B1355" s="161" t="s">
        <v>831</v>
      </c>
      <c r="C1355" t="s">
        <v>1471</v>
      </c>
      <c r="D1355" t="s">
        <v>832</v>
      </c>
      <c r="E1355" s="162">
        <v>8.5</v>
      </c>
      <c r="F1355" s="162">
        <v>54.58</v>
      </c>
      <c r="G1355" s="165">
        <v>463.93</v>
      </c>
      <c r="H1355" s="20">
        <v>135</v>
      </c>
      <c r="I1355"/>
    </row>
    <row r="1356" spans="1:9" x14ac:dyDescent="0.25">
      <c r="A1356" s="228">
        <v>41772</v>
      </c>
      <c r="B1356" s="161" t="s">
        <v>838</v>
      </c>
      <c r="C1356" t="s">
        <v>8</v>
      </c>
      <c r="D1356" t="s">
        <v>33</v>
      </c>
      <c r="E1356" s="162">
        <v>9.5</v>
      </c>
      <c r="F1356" s="162">
        <v>39.979999999999997</v>
      </c>
      <c r="G1356" s="165">
        <v>379.81</v>
      </c>
      <c r="H1356" s="20">
        <v>135</v>
      </c>
      <c r="I1356"/>
    </row>
    <row r="1357" spans="1:9" x14ac:dyDescent="0.25">
      <c r="A1357" s="228">
        <v>41772</v>
      </c>
      <c r="B1357" s="161" t="s">
        <v>837</v>
      </c>
      <c r="C1357" t="s">
        <v>8</v>
      </c>
      <c r="D1357" t="s">
        <v>33</v>
      </c>
      <c r="E1357" s="162">
        <v>7</v>
      </c>
      <c r="F1357" s="162">
        <v>42.72</v>
      </c>
      <c r="G1357" s="165">
        <v>299.04000000000002</v>
      </c>
      <c r="H1357" s="20">
        <v>135</v>
      </c>
      <c r="I1357"/>
    </row>
    <row r="1358" spans="1:9" x14ac:dyDescent="0.25">
      <c r="A1358" s="228">
        <v>41773</v>
      </c>
      <c r="B1358" s="161" t="s">
        <v>838</v>
      </c>
      <c r="C1358" t="s">
        <v>8</v>
      </c>
      <c r="D1358" t="s">
        <v>33</v>
      </c>
      <c r="E1358" s="162">
        <v>8</v>
      </c>
      <c r="F1358" s="162">
        <v>39.979999999999997</v>
      </c>
      <c r="G1358" s="165">
        <v>319.83999999999997</v>
      </c>
      <c r="H1358" s="20">
        <v>135</v>
      </c>
      <c r="I1358"/>
    </row>
    <row r="1359" spans="1:9" x14ac:dyDescent="0.25">
      <c r="A1359" s="228">
        <v>41773</v>
      </c>
      <c r="B1359" s="161" t="s">
        <v>837</v>
      </c>
      <c r="C1359" t="s">
        <v>8</v>
      </c>
      <c r="D1359" t="s">
        <v>33</v>
      </c>
      <c r="E1359" s="162">
        <v>8</v>
      </c>
      <c r="F1359" s="162">
        <v>42.72</v>
      </c>
      <c r="G1359" s="165">
        <v>341.76</v>
      </c>
      <c r="H1359" s="20">
        <v>135</v>
      </c>
      <c r="I1359"/>
    </row>
    <row r="1360" spans="1:9" x14ac:dyDescent="0.25">
      <c r="A1360" s="228">
        <v>41773</v>
      </c>
      <c r="B1360" s="161" t="s">
        <v>831</v>
      </c>
      <c r="C1360" t="s">
        <v>1471</v>
      </c>
      <c r="D1360" t="s">
        <v>832</v>
      </c>
      <c r="E1360" s="162">
        <v>8</v>
      </c>
      <c r="F1360" s="162">
        <v>54.58</v>
      </c>
      <c r="G1360" s="165">
        <v>436.64</v>
      </c>
      <c r="H1360" s="20">
        <v>135</v>
      </c>
      <c r="I1360"/>
    </row>
    <row r="1361" spans="1:9" x14ac:dyDescent="0.25">
      <c r="A1361" s="228">
        <v>41774</v>
      </c>
      <c r="B1361" s="161" t="s">
        <v>1133</v>
      </c>
      <c r="C1361" t="s">
        <v>901</v>
      </c>
      <c r="D1361" t="s">
        <v>747</v>
      </c>
      <c r="E1361" s="162">
        <v>1</v>
      </c>
      <c r="F1361" s="162">
        <v>551.84</v>
      </c>
      <c r="G1361" s="165">
        <v>551.84</v>
      </c>
      <c r="H1361" s="20">
        <v>135</v>
      </c>
      <c r="I1361"/>
    </row>
    <row r="1362" spans="1:9" x14ac:dyDescent="0.25">
      <c r="A1362" s="228">
        <v>41774</v>
      </c>
      <c r="B1362" s="161" t="s">
        <v>837</v>
      </c>
      <c r="C1362" t="s">
        <v>8</v>
      </c>
      <c r="D1362" t="s">
        <v>33</v>
      </c>
      <c r="E1362" s="162">
        <v>1.5</v>
      </c>
      <c r="F1362" s="162">
        <v>42.72</v>
      </c>
      <c r="G1362" s="165">
        <v>64.08</v>
      </c>
      <c r="H1362" s="20">
        <v>135</v>
      </c>
      <c r="I1362"/>
    </row>
    <row r="1363" spans="1:9" x14ac:dyDescent="0.25">
      <c r="A1363" s="228">
        <v>41775</v>
      </c>
      <c r="B1363" s="161" t="s">
        <v>831</v>
      </c>
      <c r="C1363" t="s">
        <v>1471</v>
      </c>
      <c r="D1363" t="s">
        <v>832</v>
      </c>
      <c r="E1363" s="162">
        <v>7.5</v>
      </c>
      <c r="F1363" s="162">
        <v>54.58</v>
      </c>
      <c r="G1363" s="165">
        <v>409.35</v>
      </c>
      <c r="H1363" s="20">
        <v>135</v>
      </c>
      <c r="I1363"/>
    </row>
    <row r="1364" spans="1:9" x14ac:dyDescent="0.25">
      <c r="A1364" s="228">
        <v>41778</v>
      </c>
      <c r="B1364" s="161" t="s">
        <v>838</v>
      </c>
      <c r="C1364" t="s">
        <v>8</v>
      </c>
      <c r="D1364" t="s">
        <v>33</v>
      </c>
      <c r="E1364" s="162">
        <v>2</v>
      </c>
      <c r="F1364" s="162">
        <v>39.979999999999997</v>
      </c>
      <c r="G1364" s="165">
        <v>79.959999999999994</v>
      </c>
      <c r="H1364" s="20">
        <v>135</v>
      </c>
      <c r="I1364"/>
    </row>
    <row r="1365" spans="1:9" x14ac:dyDescent="0.25">
      <c r="A1365" s="228">
        <v>41778</v>
      </c>
      <c r="B1365" s="161" t="s">
        <v>831</v>
      </c>
      <c r="C1365" t="s">
        <v>1471</v>
      </c>
      <c r="D1365" t="s">
        <v>832</v>
      </c>
      <c r="E1365" s="162">
        <v>2.5</v>
      </c>
      <c r="F1365" s="162">
        <v>54.58</v>
      </c>
      <c r="G1365" s="165">
        <v>136.44999999999999</v>
      </c>
      <c r="H1365" s="20">
        <v>135</v>
      </c>
      <c r="I1365"/>
    </row>
    <row r="1366" spans="1:9" x14ac:dyDescent="0.25">
      <c r="A1366" s="228">
        <v>41778</v>
      </c>
      <c r="B1366" s="161" t="s">
        <v>843</v>
      </c>
      <c r="C1366" t="s">
        <v>8</v>
      </c>
      <c r="D1366" t="s">
        <v>33</v>
      </c>
      <c r="E1366" s="162">
        <v>2</v>
      </c>
      <c r="F1366" s="162">
        <v>35.11</v>
      </c>
      <c r="G1366" s="165">
        <v>70.22</v>
      </c>
      <c r="H1366" s="20">
        <v>135</v>
      </c>
      <c r="I1366"/>
    </row>
    <row r="1367" spans="1:9" x14ac:dyDescent="0.25">
      <c r="A1367" s="228">
        <v>41779</v>
      </c>
      <c r="B1367" s="161" t="s">
        <v>838</v>
      </c>
      <c r="C1367" t="s">
        <v>8</v>
      </c>
      <c r="D1367" t="s">
        <v>33</v>
      </c>
      <c r="E1367" s="162">
        <v>3</v>
      </c>
      <c r="F1367" s="162">
        <v>39.979999999999997</v>
      </c>
      <c r="G1367" s="165">
        <v>119.94</v>
      </c>
      <c r="H1367" s="20">
        <v>135</v>
      </c>
      <c r="I1367"/>
    </row>
    <row r="1368" spans="1:9" x14ac:dyDescent="0.25">
      <c r="A1368" s="228">
        <v>41779</v>
      </c>
      <c r="B1368" s="161" t="s">
        <v>831</v>
      </c>
      <c r="C1368" t="s">
        <v>1471</v>
      </c>
      <c r="D1368" t="s">
        <v>832</v>
      </c>
      <c r="E1368" s="162">
        <v>4</v>
      </c>
      <c r="F1368" s="162">
        <v>54.58</v>
      </c>
      <c r="G1368" s="165">
        <v>218.32</v>
      </c>
      <c r="H1368" s="20">
        <v>135</v>
      </c>
      <c r="I1368"/>
    </row>
    <row r="1369" spans="1:9" x14ac:dyDescent="0.25">
      <c r="A1369" s="228">
        <v>41779</v>
      </c>
      <c r="B1369" s="161" t="s">
        <v>843</v>
      </c>
      <c r="C1369" t="s">
        <v>8</v>
      </c>
      <c r="D1369" t="s">
        <v>33</v>
      </c>
      <c r="E1369" s="162">
        <v>3</v>
      </c>
      <c r="F1369" s="162">
        <v>35.11</v>
      </c>
      <c r="G1369" s="165">
        <v>105.33</v>
      </c>
      <c r="H1369" s="20">
        <v>135</v>
      </c>
      <c r="I1369"/>
    </row>
    <row r="1370" spans="1:9" x14ac:dyDescent="0.25">
      <c r="A1370" s="228">
        <v>41780</v>
      </c>
      <c r="B1370" s="161" t="s">
        <v>838</v>
      </c>
      <c r="C1370" t="s">
        <v>8</v>
      </c>
      <c r="D1370" t="s">
        <v>33</v>
      </c>
      <c r="E1370" s="162">
        <v>5.5</v>
      </c>
      <c r="F1370" s="162">
        <v>39.979999999999997</v>
      </c>
      <c r="G1370" s="165">
        <v>219.89</v>
      </c>
      <c r="H1370" s="20">
        <v>135</v>
      </c>
      <c r="I1370"/>
    </row>
    <row r="1371" spans="1:9" x14ac:dyDescent="0.25">
      <c r="A1371" s="228">
        <v>41780</v>
      </c>
      <c r="B1371" s="161" t="s">
        <v>831</v>
      </c>
      <c r="C1371" t="s">
        <v>1471</v>
      </c>
      <c r="D1371" t="s">
        <v>832</v>
      </c>
      <c r="E1371" s="162">
        <v>6</v>
      </c>
      <c r="F1371" s="162">
        <v>54.58</v>
      </c>
      <c r="G1371" s="165">
        <v>327.48</v>
      </c>
      <c r="H1371" s="20">
        <v>135</v>
      </c>
      <c r="I1371"/>
    </row>
    <row r="1372" spans="1:9" x14ac:dyDescent="0.25">
      <c r="A1372" s="228">
        <v>41780</v>
      </c>
      <c r="B1372" s="161" t="s">
        <v>1134</v>
      </c>
      <c r="C1372" t="s">
        <v>8</v>
      </c>
      <c r="D1372" t="s">
        <v>747</v>
      </c>
      <c r="E1372" s="162">
        <v>9.5</v>
      </c>
      <c r="F1372" s="162">
        <v>38.450000000000003</v>
      </c>
      <c r="G1372" s="165">
        <v>365.27499999999998</v>
      </c>
      <c r="H1372" s="20">
        <v>135</v>
      </c>
      <c r="I1372"/>
    </row>
    <row r="1373" spans="1:9" x14ac:dyDescent="0.25">
      <c r="A1373" s="228">
        <v>41780</v>
      </c>
      <c r="B1373" s="161" t="s">
        <v>843</v>
      </c>
      <c r="C1373" t="s">
        <v>8</v>
      </c>
      <c r="D1373" t="s">
        <v>33</v>
      </c>
      <c r="E1373" s="162">
        <v>5</v>
      </c>
      <c r="F1373" s="162">
        <v>42.72</v>
      </c>
      <c r="G1373" s="165">
        <v>213.6</v>
      </c>
      <c r="H1373" s="20">
        <v>135</v>
      </c>
      <c r="I1373"/>
    </row>
    <row r="1374" spans="1:9" x14ac:dyDescent="0.25">
      <c r="A1374" s="228">
        <v>41780</v>
      </c>
      <c r="B1374" s="161" t="s">
        <v>843</v>
      </c>
      <c r="C1374" t="s">
        <v>8</v>
      </c>
      <c r="D1374" t="s">
        <v>33</v>
      </c>
      <c r="E1374" s="162">
        <v>5</v>
      </c>
      <c r="F1374" s="162">
        <v>35.11</v>
      </c>
      <c r="G1374" s="165">
        <v>175.55</v>
      </c>
      <c r="H1374" s="20">
        <v>135</v>
      </c>
      <c r="I1374"/>
    </row>
    <row r="1375" spans="1:9" x14ac:dyDescent="0.25">
      <c r="A1375" s="228">
        <v>41781</v>
      </c>
      <c r="B1375" s="161" t="s">
        <v>837</v>
      </c>
      <c r="C1375" t="s">
        <v>8</v>
      </c>
      <c r="D1375" t="s">
        <v>33</v>
      </c>
      <c r="E1375" s="162">
        <v>9.5</v>
      </c>
      <c r="F1375" s="162">
        <v>42.72</v>
      </c>
      <c r="G1375" s="165">
        <v>405.84</v>
      </c>
      <c r="H1375" s="20">
        <v>135</v>
      </c>
      <c r="I1375"/>
    </row>
    <row r="1376" spans="1:9" x14ac:dyDescent="0.25">
      <c r="A1376" s="228">
        <v>41781</v>
      </c>
      <c r="B1376" s="161" t="s">
        <v>831</v>
      </c>
      <c r="C1376" t="s">
        <v>1471</v>
      </c>
      <c r="D1376" t="s">
        <v>832</v>
      </c>
      <c r="E1376" s="162">
        <v>1</v>
      </c>
      <c r="F1376" s="162">
        <v>54.58</v>
      </c>
      <c r="G1376" s="165">
        <v>54.58</v>
      </c>
      <c r="H1376" s="20">
        <v>135</v>
      </c>
      <c r="I1376"/>
    </row>
    <row r="1377" spans="1:9" x14ac:dyDescent="0.25">
      <c r="A1377" s="228">
        <v>41781</v>
      </c>
      <c r="B1377" s="161" t="s">
        <v>838</v>
      </c>
      <c r="C1377" t="s">
        <v>8</v>
      </c>
      <c r="D1377" t="s">
        <v>33</v>
      </c>
      <c r="E1377" s="162">
        <v>8</v>
      </c>
      <c r="F1377" s="162">
        <v>39.979999999999997</v>
      </c>
      <c r="G1377" s="165">
        <v>319.83999999999997</v>
      </c>
      <c r="H1377" s="20">
        <v>135</v>
      </c>
      <c r="I1377"/>
    </row>
    <row r="1378" spans="1:9" x14ac:dyDescent="0.25">
      <c r="A1378" s="228">
        <v>41782</v>
      </c>
      <c r="B1378" s="161" t="s">
        <v>838</v>
      </c>
      <c r="C1378" t="s">
        <v>8</v>
      </c>
      <c r="D1378" t="s">
        <v>33</v>
      </c>
      <c r="E1378" s="162">
        <v>3</v>
      </c>
      <c r="F1378" s="162">
        <v>39.979999999999997</v>
      </c>
      <c r="G1378" s="165">
        <v>119.94</v>
      </c>
      <c r="H1378" s="20">
        <v>135</v>
      </c>
      <c r="I1378"/>
    </row>
    <row r="1379" spans="1:9" x14ac:dyDescent="0.25">
      <c r="A1379" s="228">
        <v>41782</v>
      </c>
      <c r="B1379" s="161" t="s">
        <v>851</v>
      </c>
      <c r="C1379" t="s">
        <v>852</v>
      </c>
      <c r="D1379" t="s">
        <v>33</v>
      </c>
      <c r="E1379" s="162">
        <v>3</v>
      </c>
      <c r="F1379" s="162">
        <v>25.78</v>
      </c>
      <c r="G1379" s="165">
        <v>77.34</v>
      </c>
      <c r="H1379" s="20">
        <v>135</v>
      </c>
      <c r="I1379"/>
    </row>
    <row r="1380" spans="1:9" x14ac:dyDescent="0.25">
      <c r="A1380" s="228">
        <v>41782</v>
      </c>
      <c r="B1380" s="161" t="s">
        <v>843</v>
      </c>
      <c r="C1380" t="s">
        <v>8</v>
      </c>
      <c r="D1380" t="s">
        <v>33</v>
      </c>
      <c r="E1380" s="162">
        <v>3</v>
      </c>
      <c r="F1380" s="162">
        <v>35.11</v>
      </c>
      <c r="G1380" s="165">
        <v>105.33</v>
      </c>
      <c r="H1380" s="20">
        <v>135</v>
      </c>
      <c r="I1380"/>
    </row>
    <row r="1381" spans="1:9" x14ac:dyDescent="0.25">
      <c r="A1381" s="228">
        <v>41782</v>
      </c>
      <c r="B1381" s="161" t="s">
        <v>837</v>
      </c>
      <c r="C1381" t="s">
        <v>8</v>
      </c>
      <c r="D1381" t="s">
        <v>33</v>
      </c>
      <c r="E1381" s="162">
        <v>9</v>
      </c>
      <c r="F1381" s="162">
        <v>42.72</v>
      </c>
      <c r="G1381" s="165">
        <v>384.48</v>
      </c>
      <c r="H1381" s="20">
        <v>135</v>
      </c>
      <c r="I1381"/>
    </row>
    <row r="1382" spans="1:9" x14ac:dyDescent="0.25">
      <c r="A1382" s="228">
        <v>41783</v>
      </c>
      <c r="B1382" s="161" t="s">
        <v>838</v>
      </c>
      <c r="C1382" t="s">
        <v>8</v>
      </c>
      <c r="D1382" t="s">
        <v>33</v>
      </c>
      <c r="E1382" s="162">
        <v>6</v>
      </c>
      <c r="F1382" s="162">
        <v>39.979999999999997</v>
      </c>
      <c r="G1382" s="165">
        <v>239.88</v>
      </c>
      <c r="H1382" s="20">
        <v>135</v>
      </c>
      <c r="I1382"/>
    </row>
    <row r="1383" spans="1:9" x14ac:dyDescent="0.25">
      <c r="A1383" s="228">
        <v>41783</v>
      </c>
      <c r="B1383" s="161" t="s">
        <v>1135</v>
      </c>
      <c r="C1383" t="s">
        <v>8</v>
      </c>
      <c r="D1383" t="s">
        <v>33</v>
      </c>
      <c r="E1383" s="162">
        <v>1</v>
      </c>
      <c r="F1383" s="162">
        <v>1049.2</v>
      </c>
      <c r="G1383" s="165">
        <v>1049.2</v>
      </c>
      <c r="H1383" s="20">
        <v>135</v>
      </c>
      <c r="I1383"/>
    </row>
    <row r="1384" spans="1:9" x14ac:dyDescent="0.25">
      <c r="A1384" s="228">
        <v>41783</v>
      </c>
      <c r="B1384" s="161" t="s">
        <v>843</v>
      </c>
      <c r="C1384" t="s">
        <v>8</v>
      </c>
      <c r="D1384" t="s">
        <v>33</v>
      </c>
      <c r="E1384" s="162">
        <v>6</v>
      </c>
      <c r="F1384" s="162">
        <v>35.11</v>
      </c>
      <c r="G1384" s="165">
        <v>210.66</v>
      </c>
      <c r="H1384" s="20">
        <v>135</v>
      </c>
      <c r="I1384"/>
    </row>
    <row r="1385" spans="1:9" x14ac:dyDescent="0.25">
      <c r="A1385" s="228">
        <v>41785</v>
      </c>
      <c r="B1385" s="161" t="s">
        <v>831</v>
      </c>
      <c r="C1385" t="s">
        <v>1471</v>
      </c>
      <c r="D1385" t="s">
        <v>832</v>
      </c>
      <c r="E1385" s="162">
        <v>4.5</v>
      </c>
      <c r="F1385" s="162">
        <v>54.58</v>
      </c>
      <c r="G1385" s="165">
        <v>245.61</v>
      </c>
      <c r="H1385" s="20">
        <v>135</v>
      </c>
      <c r="I1385"/>
    </row>
    <row r="1386" spans="1:9" x14ac:dyDescent="0.25">
      <c r="A1386" s="228">
        <v>41785</v>
      </c>
      <c r="B1386" s="161" t="s">
        <v>843</v>
      </c>
      <c r="C1386" t="s">
        <v>8</v>
      </c>
      <c r="D1386" t="s">
        <v>33</v>
      </c>
      <c r="E1386" s="162">
        <v>9.5</v>
      </c>
      <c r="F1386" s="162">
        <v>42.72</v>
      </c>
      <c r="G1386" s="165">
        <v>405.84</v>
      </c>
      <c r="H1386" s="20">
        <v>135</v>
      </c>
      <c r="I1386"/>
    </row>
    <row r="1387" spans="1:9" x14ac:dyDescent="0.25">
      <c r="A1387" s="228">
        <v>41785</v>
      </c>
      <c r="B1387" s="161" t="s">
        <v>836</v>
      </c>
      <c r="C1387" t="s">
        <v>8</v>
      </c>
      <c r="D1387" t="s">
        <v>33</v>
      </c>
      <c r="E1387" s="162">
        <v>4</v>
      </c>
      <c r="F1387" s="162">
        <v>38.450000000000003</v>
      </c>
      <c r="G1387" s="165">
        <v>153.80000000000001</v>
      </c>
      <c r="H1387" s="20">
        <v>135</v>
      </c>
      <c r="I1387"/>
    </row>
    <row r="1388" spans="1:9" x14ac:dyDescent="0.25">
      <c r="A1388" s="228">
        <v>41785</v>
      </c>
      <c r="B1388" s="161" t="s">
        <v>837</v>
      </c>
      <c r="C1388" t="s">
        <v>8</v>
      </c>
      <c r="D1388" t="s">
        <v>33</v>
      </c>
      <c r="E1388" s="162">
        <v>8</v>
      </c>
      <c r="F1388" s="162">
        <v>42.72</v>
      </c>
      <c r="G1388" s="165">
        <v>341.76</v>
      </c>
      <c r="H1388" s="20">
        <v>135</v>
      </c>
      <c r="I1388"/>
    </row>
    <row r="1389" spans="1:9" x14ac:dyDescent="0.25">
      <c r="A1389" s="228">
        <v>41785</v>
      </c>
      <c r="B1389" s="161" t="s">
        <v>838</v>
      </c>
      <c r="C1389" t="s">
        <v>8</v>
      </c>
      <c r="D1389" t="s">
        <v>33</v>
      </c>
      <c r="E1389" s="162">
        <v>9.5</v>
      </c>
      <c r="F1389" s="162">
        <v>39.979999999999997</v>
      </c>
      <c r="G1389" s="165">
        <v>379.81</v>
      </c>
      <c r="H1389" s="20">
        <v>135</v>
      </c>
      <c r="I1389"/>
    </row>
    <row r="1390" spans="1:9" x14ac:dyDescent="0.25">
      <c r="A1390" s="228">
        <v>41786</v>
      </c>
      <c r="B1390" s="161" t="s">
        <v>843</v>
      </c>
      <c r="C1390" t="s">
        <v>8</v>
      </c>
      <c r="D1390" t="s">
        <v>33</v>
      </c>
      <c r="E1390" s="162">
        <v>5</v>
      </c>
      <c r="F1390" s="162">
        <v>35.11</v>
      </c>
      <c r="G1390" s="165">
        <v>175.55</v>
      </c>
      <c r="H1390" s="20">
        <v>135</v>
      </c>
      <c r="I1390"/>
    </row>
    <row r="1391" spans="1:9" x14ac:dyDescent="0.25">
      <c r="A1391" s="228">
        <v>41786</v>
      </c>
      <c r="B1391" s="161" t="s">
        <v>838</v>
      </c>
      <c r="C1391" t="s">
        <v>8</v>
      </c>
      <c r="D1391" t="s">
        <v>33</v>
      </c>
      <c r="E1391" s="162">
        <v>9.5</v>
      </c>
      <c r="F1391" s="162">
        <v>39.979999999999997</v>
      </c>
      <c r="G1391" s="165">
        <v>379.81</v>
      </c>
      <c r="H1391" s="20">
        <v>135</v>
      </c>
      <c r="I1391"/>
    </row>
    <row r="1392" spans="1:9" x14ac:dyDescent="0.25">
      <c r="A1392" s="228">
        <v>41786</v>
      </c>
      <c r="B1392" s="161" t="s">
        <v>837</v>
      </c>
      <c r="C1392" t="s">
        <v>8</v>
      </c>
      <c r="D1392" t="s">
        <v>33</v>
      </c>
      <c r="E1392" s="162">
        <v>9.5</v>
      </c>
      <c r="F1392" s="162">
        <v>42.72</v>
      </c>
      <c r="G1392" s="165">
        <v>405.84</v>
      </c>
      <c r="H1392" s="20">
        <v>135</v>
      </c>
      <c r="I1392"/>
    </row>
    <row r="1393" spans="1:9" x14ac:dyDescent="0.25">
      <c r="A1393" s="228">
        <v>41787</v>
      </c>
      <c r="B1393" s="161" t="s">
        <v>837</v>
      </c>
      <c r="C1393" t="s">
        <v>8</v>
      </c>
      <c r="D1393" t="s">
        <v>33</v>
      </c>
      <c r="E1393" s="162">
        <v>6.5</v>
      </c>
      <c r="F1393" s="162">
        <v>42.72</v>
      </c>
      <c r="G1393" s="165">
        <v>277.68</v>
      </c>
      <c r="H1393" s="20">
        <v>135</v>
      </c>
      <c r="I1393"/>
    </row>
    <row r="1394" spans="1:9" x14ac:dyDescent="0.25">
      <c r="A1394" s="228">
        <v>41787</v>
      </c>
      <c r="B1394" s="161" t="s">
        <v>838</v>
      </c>
      <c r="C1394" t="s">
        <v>8</v>
      </c>
      <c r="D1394" t="s">
        <v>33</v>
      </c>
      <c r="E1394" s="162">
        <v>4</v>
      </c>
      <c r="F1394" s="162">
        <v>39.979999999999997</v>
      </c>
      <c r="G1394" s="165">
        <v>159.91999999999999</v>
      </c>
      <c r="H1394" s="20">
        <v>135</v>
      </c>
      <c r="I1394"/>
    </row>
    <row r="1395" spans="1:9" x14ac:dyDescent="0.25">
      <c r="A1395" s="228">
        <v>41787</v>
      </c>
      <c r="B1395" s="161" t="s">
        <v>843</v>
      </c>
      <c r="C1395" t="s">
        <v>8</v>
      </c>
      <c r="D1395" t="s">
        <v>33</v>
      </c>
      <c r="E1395" s="162">
        <v>3</v>
      </c>
      <c r="F1395" s="162">
        <v>35.11</v>
      </c>
      <c r="G1395" s="165">
        <v>105.33</v>
      </c>
      <c r="H1395" s="20">
        <v>135</v>
      </c>
      <c r="I1395"/>
    </row>
    <row r="1396" spans="1:9" x14ac:dyDescent="0.25">
      <c r="A1396" s="228">
        <v>41789</v>
      </c>
      <c r="B1396" s="161" t="s">
        <v>1092</v>
      </c>
      <c r="C1396" t="s">
        <v>821</v>
      </c>
      <c r="D1396" t="s">
        <v>747</v>
      </c>
      <c r="E1396" s="162">
        <v>1</v>
      </c>
      <c r="F1396" s="162">
        <v>5775</v>
      </c>
      <c r="G1396" s="165">
        <v>5775</v>
      </c>
      <c r="H1396" s="20">
        <v>135</v>
      </c>
      <c r="I1396"/>
    </row>
    <row r="1397" spans="1:9" x14ac:dyDescent="0.25">
      <c r="A1397" s="228">
        <v>41793</v>
      </c>
      <c r="B1397" s="161" t="s">
        <v>836</v>
      </c>
      <c r="C1397" t="s">
        <v>8</v>
      </c>
      <c r="D1397" t="s">
        <v>33</v>
      </c>
      <c r="E1397" s="162">
        <v>4</v>
      </c>
      <c r="F1397" s="162">
        <v>38.450000000000003</v>
      </c>
      <c r="G1397" s="165">
        <v>153.80000000000001</v>
      </c>
      <c r="H1397" s="20">
        <v>135</v>
      </c>
      <c r="I1397"/>
    </row>
    <row r="1398" spans="1:9" x14ac:dyDescent="0.25">
      <c r="A1398" s="228">
        <v>41795</v>
      </c>
      <c r="B1398" s="161" t="s">
        <v>829</v>
      </c>
      <c r="C1398" t="s">
        <v>830</v>
      </c>
      <c r="D1398" t="s">
        <v>33</v>
      </c>
      <c r="E1398" s="162">
        <v>5.25</v>
      </c>
      <c r="F1398" s="162">
        <v>110</v>
      </c>
      <c r="G1398" s="165">
        <v>577.5</v>
      </c>
      <c r="H1398" s="20">
        <v>135</v>
      </c>
      <c r="I1398"/>
    </row>
    <row r="1399" spans="1:9" x14ac:dyDescent="0.25">
      <c r="A1399" s="228">
        <v>41796</v>
      </c>
      <c r="B1399" s="161" t="s">
        <v>831</v>
      </c>
      <c r="C1399" t="s">
        <v>1471</v>
      </c>
      <c r="D1399" t="s">
        <v>832</v>
      </c>
      <c r="E1399" s="162">
        <v>1</v>
      </c>
      <c r="F1399" s="162">
        <v>54.58</v>
      </c>
      <c r="G1399" s="165">
        <v>54.58</v>
      </c>
      <c r="H1399" s="20">
        <v>135</v>
      </c>
      <c r="I1399"/>
    </row>
    <row r="1400" spans="1:9" x14ac:dyDescent="0.25">
      <c r="A1400" s="228">
        <v>41806</v>
      </c>
      <c r="B1400" s="161" t="s">
        <v>831</v>
      </c>
      <c r="C1400" t="s">
        <v>1471</v>
      </c>
      <c r="D1400" t="s">
        <v>832</v>
      </c>
      <c r="E1400" s="162">
        <v>7</v>
      </c>
      <c r="F1400" s="162">
        <v>54.58</v>
      </c>
      <c r="G1400" s="165">
        <v>382.06</v>
      </c>
      <c r="H1400" s="20">
        <v>135</v>
      </c>
      <c r="I1400"/>
    </row>
    <row r="1401" spans="1:9" x14ac:dyDescent="0.25">
      <c r="A1401" s="228">
        <v>41806</v>
      </c>
      <c r="B1401" s="161" t="s">
        <v>836</v>
      </c>
      <c r="C1401" t="s">
        <v>8</v>
      </c>
      <c r="D1401" t="s">
        <v>33</v>
      </c>
      <c r="E1401" s="162">
        <v>9</v>
      </c>
      <c r="F1401" s="162">
        <v>38.450000000000003</v>
      </c>
      <c r="G1401" s="165">
        <v>346.05</v>
      </c>
      <c r="H1401" s="20">
        <v>135</v>
      </c>
      <c r="I1401"/>
    </row>
    <row r="1402" spans="1:9" x14ac:dyDescent="0.25">
      <c r="A1402" s="228">
        <v>41806</v>
      </c>
      <c r="B1402" s="161" t="s">
        <v>843</v>
      </c>
      <c r="C1402" t="s">
        <v>8</v>
      </c>
      <c r="D1402" t="s">
        <v>33</v>
      </c>
      <c r="E1402" s="162">
        <v>9.5</v>
      </c>
      <c r="F1402" s="162">
        <v>35.11</v>
      </c>
      <c r="G1402" s="165">
        <v>333.54500000000002</v>
      </c>
      <c r="H1402" s="20">
        <v>135</v>
      </c>
      <c r="I1402"/>
    </row>
    <row r="1403" spans="1:9" x14ac:dyDescent="0.25">
      <c r="A1403" s="228">
        <v>41806</v>
      </c>
      <c r="B1403" s="161" t="s">
        <v>837</v>
      </c>
      <c r="C1403" t="s">
        <v>8</v>
      </c>
      <c r="D1403" t="s">
        <v>33</v>
      </c>
      <c r="E1403" s="162">
        <v>9.5</v>
      </c>
      <c r="F1403" s="162">
        <v>42.72</v>
      </c>
      <c r="G1403" s="165">
        <v>405.84</v>
      </c>
      <c r="H1403" s="20">
        <v>135</v>
      </c>
      <c r="I1403"/>
    </row>
    <row r="1404" spans="1:9" x14ac:dyDescent="0.25">
      <c r="A1404" s="228">
        <v>41806</v>
      </c>
      <c r="B1404" s="161" t="s">
        <v>838</v>
      </c>
      <c r="C1404" t="s">
        <v>8</v>
      </c>
      <c r="D1404" t="s">
        <v>33</v>
      </c>
      <c r="E1404" s="162">
        <v>9.5</v>
      </c>
      <c r="F1404" s="162">
        <v>39.979999999999997</v>
      </c>
      <c r="G1404" s="165">
        <v>379.81</v>
      </c>
      <c r="H1404" s="20">
        <v>135</v>
      </c>
      <c r="I1404"/>
    </row>
    <row r="1405" spans="1:9" x14ac:dyDescent="0.25">
      <c r="A1405" s="228">
        <v>41807</v>
      </c>
      <c r="B1405" s="161" t="s">
        <v>838</v>
      </c>
      <c r="C1405" t="s">
        <v>8</v>
      </c>
      <c r="D1405" t="s">
        <v>33</v>
      </c>
      <c r="E1405" s="162">
        <v>5.5</v>
      </c>
      <c r="F1405" s="162">
        <v>39.979999999999997</v>
      </c>
      <c r="G1405" s="165">
        <v>219.89</v>
      </c>
      <c r="H1405" s="20">
        <v>135</v>
      </c>
      <c r="I1405"/>
    </row>
    <row r="1406" spans="1:9" x14ac:dyDescent="0.25">
      <c r="A1406" s="228">
        <v>41807</v>
      </c>
      <c r="B1406" s="161" t="s">
        <v>831</v>
      </c>
      <c r="C1406" t="s">
        <v>1471</v>
      </c>
      <c r="D1406" t="s">
        <v>832</v>
      </c>
      <c r="E1406" s="162">
        <v>1</v>
      </c>
      <c r="F1406" s="162">
        <v>54.58</v>
      </c>
      <c r="G1406" s="165">
        <v>54.58</v>
      </c>
      <c r="H1406" s="20">
        <v>135</v>
      </c>
      <c r="I1406"/>
    </row>
    <row r="1407" spans="1:9" x14ac:dyDescent="0.25">
      <c r="A1407" s="228">
        <v>41807</v>
      </c>
      <c r="B1407" s="161" t="s">
        <v>837</v>
      </c>
      <c r="C1407" t="s">
        <v>8</v>
      </c>
      <c r="D1407" t="s">
        <v>33</v>
      </c>
      <c r="E1407" s="162">
        <v>5.5</v>
      </c>
      <c r="F1407" s="162">
        <v>42.72</v>
      </c>
      <c r="G1407" s="165">
        <v>234.96</v>
      </c>
      <c r="H1407" s="20">
        <v>135</v>
      </c>
      <c r="I1407"/>
    </row>
    <row r="1408" spans="1:9" x14ac:dyDescent="0.25">
      <c r="A1408" s="228">
        <v>41807</v>
      </c>
      <c r="B1408" s="161" t="s">
        <v>843</v>
      </c>
      <c r="C1408" t="s">
        <v>8</v>
      </c>
      <c r="D1408" t="s">
        <v>33</v>
      </c>
      <c r="E1408" s="162">
        <v>5.5</v>
      </c>
      <c r="F1408" s="162">
        <v>35.11</v>
      </c>
      <c r="G1408" s="165">
        <v>193.10499999999999</v>
      </c>
      <c r="H1408" s="20">
        <v>135</v>
      </c>
      <c r="I1408"/>
    </row>
    <row r="1409" spans="1:9" x14ac:dyDescent="0.25">
      <c r="A1409" s="228">
        <v>41807</v>
      </c>
      <c r="B1409" s="161" t="s">
        <v>836</v>
      </c>
      <c r="C1409" t="s">
        <v>8</v>
      </c>
      <c r="D1409" t="s">
        <v>33</v>
      </c>
      <c r="E1409" s="162">
        <v>5.5</v>
      </c>
      <c r="F1409" s="162">
        <v>38.450000000000003</v>
      </c>
      <c r="G1409" s="165">
        <v>211.47499999999999</v>
      </c>
      <c r="H1409" s="20">
        <v>135</v>
      </c>
      <c r="I1409"/>
    </row>
    <row r="1410" spans="1:9" x14ac:dyDescent="0.25">
      <c r="A1410" s="228">
        <v>41808</v>
      </c>
      <c r="B1410" s="161" t="s">
        <v>838</v>
      </c>
      <c r="C1410" t="s">
        <v>8</v>
      </c>
      <c r="D1410" t="s">
        <v>33</v>
      </c>
      <c r="E1410" s="162">
        <v>6</v>
      </c>
      <c r="F1410" s="162">
        <v>39.979999999999997</v>
      </c>
      <c r="G1410" s="165">
        <v>239.88</v>
      </c>
      <c r="H1410" s="20">
        <v>135</v>
      </c>
      <c r="I1410"/>
    </row>
    <row r="1411" spans="1:9" x14ac:dyDescent="0.25">
      <c r="A1411" s="228">
        <v>41808</v>
      </c>
      <c r="B1411" s="161" t="s">
        <v>831</v>
      </c>
      <c r="C1411" t="s">
        <v>1471</v>
      </c>
      <c r="D1411" t="s">
        <v>832</v>
      </c>
      <c r="E1411" s="162">
        <v>5.5</v>
      </c>
      <c r="F1411" s="162">
        <v>54.58</v>
      </c>
      <c r="G1411" s="165">
        <v>300.19</v>
      </c>
      <c r="H1411" s="20">
        <v>135</v>
      </c>
      <c r="I1411"/>
    </row>
    <row r="1412" spans="1:9" x14ac:dyDescent="0.25">
      <c r="A1412" s="228">
        <v>41808</v>
      </c>
      <c r="B1412" s="161" t="s">
        <v>843</v>
      </c>
      <c r="C1412" t="s">
        <v>8</v>
      </c>
      <c r="D1412" t="s">
        <v>33</v>
      </c>
      <c r="E1412" s="162">
        <v>6</v>
      </c>
      <c r="F1412" s="162">
        <v>35.11</v>
      </c>
      <c r="G1412" s="165">
        <v>210.66</v>
      </c>
      <c r="H1412" s="20">
        <v>135</v>
      </c>
      <c r="I1412"/>
    </row>
    <row r="1413" spans="1:9" x14ac:dyDescent="0.25">
      <c r="A1413" s="228">
        <v>41808</v>
      </c>
      <c r="B1413" s="161" t="s">
        <v>857</v>
      </c>
      <c r="C1413" t="s">
        <v>858</v>
      </c>
      <c r="D1413" t="s">
        <v>33</v>
      </c>
      <c r="E1413" s="162">
        <v>1</v>
      </c>
      <c r="F1413" s="162">
        <v>120</v>
      </c>
      <c r="G1413" s="165">
        <v>120</v>
      </c>
      <c r="H1413" s="20">
        <v>135</v>
      </c>
      <c r="I1413"/>
    </row>
    <row r="1414" spans="1:9" x14ac:dyDescent="0.25">
      <c r="A1414" s="228">
        <v>41808</v>
      </c>
      <c r="B1414" s="161" t="s">
        <v>836</v>
      </c>
      <c r="C1414" t="s">
        <v>8</v>
      </c>
      <c r="D1414" t="s">
        <v>33</v>
      </c>
      <c r="E1414" s="162">
        <v>8.5</v>
      </c>
      <c r="F1414" s="162">
        <v>38.450000000000003</v>
      </c>
      <c r="G1414" s="165">
        <v>326.82499999999999</v>
      </c>
      <c r="H1414" s="20">
        <v>135</v>
      </c>
      <c r="I1414"/>
    </row>
    <row r="1415" spans="1:9" x14ac:dyDescent="0.25">
      <c r="A1415" s="228">
        <v>41808</v>
      </c>
      <c r="B1415" s="161" t="s">
        <v>837</v>
      </c>
      <c r="C1415" t="s">
        <v>8</v>
      </c>
      <c r="D1415" t="s">
        <v>33</v>
      </c>
      <c r="E1415" s="162">
        <v>9.5</v>
      </c>
      <c r="F1415" s="162">
        <v>42.72</v>
      </c>
      <c r="G1415" s="165">
        <v>405.84</v>
      </c>
      <c r="H1415" s="20">
        <v>135</v>
      </c>
      <c r="I1415"/>
    </row>
    <row r="1416" spans="1:9" x14ac:dyDescent="0.25">
      <c r="A1416" s="228">
        <v>41809</v>
      </c>
      <c r="B1416" s="161" t="s">
        <v>838</v>
      </c>
      <c r="C1416" t="s">
        <v>8</v>
      </c>
      <c r="D1416" t="s">
        <v>33</v>
      </c>
      <c r="E1416" s="162">
        <v>6</v>
      </c>
      <c r="F1416" s="162">
        <v>39.979999999999997</v>
      </c>
      <c r="G1416" s="165">
        <v>239.88</v>
      </c>
      <c r="H1416" s="20">
        <v>135</v>
      </c>
      <c r="I1416"/>
    </row>
    <row r="1417" spans="1:9" x14ac:dyDescent="0.25">
      <c r="A1417" s="228">
        <v>41809</v>
      </c>
      <c r="B1417" s="161" t="s">
        <v>831</v>
      </c>
      <c r="C1417" t="s">
        <v>1471</v>
      </c>
      <c r="D1417" t="s">
        <v>832</v>
      </c>
      <c r="E1417" s="162">
        <v>3.5</v>
      </c>
      <c r="F1417" s="162">
        <v>54.58</v>
      </c>
      <c r="G1417" s="165">
        <v>191.03</v>
      </c>
      <c r="H1417" s="20">
        <v>135</v>
      </c>
      <c r="I1417"/>
    </row>
    <row r="1418" spans="1:9" x14ac:dyDescent="0.25">
      <c r="A1418" s="228">
        <v>41809</v>
      </c>
      <c r="B1418" s="161" t="s">
        <v>836</v>
      </c>
      <c r="C1418" t="s">
        <v>8</v>
      </c>
      <c r="D1418" t="s">
        <v>33</v>
      </c>
      <c r="E1418" s="162">
        <v>6.5</v>
      </c>
      <c r="F1418" s="162">
        <v>38.450000000000003</v>
      </c>
      <c r="G1418" s="165">
        <v>249.92500000000001</v>
      </c>
      <c r="H1418" s="20">
        <v>135</v>
      </c>
      <c r="I1418"/>
    </row>
    <row r="1419" spans="1:9" x14ac:dyDescent="0.25">
      <c r="A1419" s="228">
        <v>41809</v>
      </c>
      <c r="B1419" s="161" t="s">
        <v>837</v>
      </c>
      <c r="C1419" t="s">
        <v>8</v>
      </c>
      <c r="D1419" t="s">
        <v>33</v>
      </c>
      <c r="E1419" s="162">
        <v>6.5</v>
      </c>
      <c r="F1419" s="162">
        <v>42.72</v>
      </c>
      <c r="G1419" s="165">
        <v>277.68</v>
      </c>
      <c r="H1419" s="20">
        <v>135</v>
      </c>
      <c r="I1419"/>
    </row>
    <row r="1420" spans="1:9" x14ac:dyDescent="0.25">
      <c r="A1420" s="228">
        <v>41813</v>
      </c>
      <c r="B1420" s="161" t="s">
        <v>831</v>
      </c>
      <c r="C1420" t="s">
        <v>1471</v>
      </c>
      <c r="D1420" t="s">
        <v>832</v>
      </c>
      <c r="E1420" s="162">
        <v>4</v>
      </c>
      <c r="F1420" s="162">
        <v>54.58</v>
      </c>
      <c r="G1420" s="165">
        <v>218.32</v>
      </c>
      <c r="H1420" s="20">
        <v>135</v>
      </c>
      <c r="I1420"/>
    </row>
    <row r="1421" spans="1:9" x14ac:dyDescent="0.25">
      <c r="A1421" s="228">
        <v>41813</v>
      </c>
      <c r="B1421" s="161" t="s">
        <v>836</v>
      </c>
      <c r="C1421" t="s">
        <v>8</v>
      </c>
      <c r="D1421" t="s">
        <v>33</v>
      </c>
      <c r="E1421" s="162">
        <v>3.5</v>
      </c>
      <c r="F1421" s="162">
        <v>38.450000000000003</v>
      </c>
      <c r="G1421" s="165">
        <v>134.57499999999999</v>
      </c>
      <c r="H1421" s="20">
        <v>135</v>
      </c>
      <c r="I1421"/>
    </row>
    <row r="1422" spans="1:9" x14ac:dyDescent="0.25">
      <c r="A1422" s="228">
        <v>41813</v>
      </c>
      <c r="B1422" s="161" t="s">
        <v>843</v>
      </c>
      <c r="C1422" t="s">
        <v>8</v>
      </c>
      <c r="D1422" t="s">
        <v>33</v>
      </c>
      <c r="E1422" s="162">
        <v>3.5</v>
      </c>
      <c r="F1422" s="162">
        <v>35.11</v>
      </c>
      <c r="G1422" s="165">
        <v>122.88500000000001</v>
      </c>
      <c r="H1422" s="20">
        <v>135</v>
      </c>
      <c r="I1422"/>
    </row>
    <row r="1423" spans="1:9" x14ac:dyDescent="0.25">
      <c r="A1423" s="228">
        <v>41813</v>
      </c>
      <c r="B1423" s="161" t="s">
        <v>837</v>
      </c>
      <c r="C1423" t="s">
        <v>8</v>
      </c>
      <c r="D1423" t="s">
        <v>33</v>
      </c>
      <c r="E1423" s="162">
        <v>5</v>
      </c>
      <c r="F1423" s="162">
        <v>42.72</v>
      </c>
      <c r="G1423" s="165">
        <v>213.6</v>
      </c>
      <c r="H1423" s="20">
        <v>135</v>
      </c>
      <c r="I1423"/>
    </row>
    <row r="1424" spans="1:9" x14ac:dyDescent="0.25">
      <c r="A1424" s="228">
        <v>41814</v>
      </c>
      <c r="B1424" s="161" t="s">
        <v>836</v>
      </c>
      <c r="C1424" t="s">
        <v>8</v>
      </c>
      <c r="D1424" t="s">
        <v>33</v>
      </c>
      <c r="E1424" s="162">
        <v>3</v>
      </c>
      <c r="F1424" s="162">
        <v>38.450000000000003</v>
      </c>
      <c r="G1424" s="165">
        <v>115.35</v>
      </c>
      <c r="H1424" s="20">
        <v>135</v>
      </c>
      <c r="I1424"/>
    </row>
    <row r="1425" spans="1:9" x14ac:dyDescent="0.25">
      <c r="A1425" s="228">
        <v>41814</v>
      </c>
      <c r="B1425" s="161" t="s">
        <v>838</v>
      </c>
      <c r="C1425" t="s">
        <v>8</v>
      </c>
      <c r="D1425" t="s">
        <v>33</v>
      </c>
      <c r="E1425" s="162">
        <v>5.5</v>
      </c>
      <c r="F1425" s="162">
        <v>39.979999999999997</v>
      </c>
      <c r="G1425" s="165">
        <v>219.89</v>
      </c>
      <c r="H1425" s="20">
        <v>135</v>
      </c>
      <c r="I1425"/>
    </row>
    <row r="1426" spans="1:9" x14ac:dyDescent="0.25">
      <c r="A1426" s="228">
        <v>41814</v>
      </c>
      <c r="B1426" s="161" t="s">
        <v>831</v>
      </c>
      <c r="C1426" t="s">
        <v>1471</v>
      </c>
      <c r="D1426" t="s">
        <v>832</v>
      </c>
      <c r="E1426" s="162">
        <v>9.5</v>
      </c>
      <c r="F1426" s="162">
        <v>54.58</v>
      </c>
      <c r="G1426" s="165">
        <v>518.51</v>
      </c>
      <c r="H1426" s="20">
        <v>135</v>
      </c>
      <c r="I1426"/>
    </row>
    <row r="1427" spans="1:9" x14ac:dyDescent="0.25">
      <c r="A1427" s="228">
        <v>41816</v>
      </c>
      <c r="B1427" s="161" t="s">
        <v>855</v>
      </c>
      <c r="C1427" t="s">
        <v>856</v>
      </c>
      <c r="D1427" t="s">
        <v>33</v>
      </c>
      <c r="E1427" s="162">
        <v>2</v>
      </c>
      <c r="F1427" s="162">
        <v>21.61</v>
      </c>
      <c r="G1427" s="165">
        <v>43.22</v>
      </c>
      <c r="H1427" s="20">
        <v>135</v>
      </c>
      <c r="I1427"/>
    </row>
    <row r="1428" spans="1:9" x14ac:dyDescent="0.25">
      <c r="A1428" s="228">
        <v>41816</v>
      </c>
      <c r="B1428" s="161" t="s">
        <v>838</v>
      </c>
      <c r="C1428" t="s">
        <v>8</v>
      </c>
      <c r="D1428" t="s">
        <v>33</v>
      </c>
      <c r="E1428" s="162">
        <v>9.5</v>
      </c>
      <c r="F1428" s="162">
        <v>39.979999999999997</v>
      </c>
      <c r="G1428" s="165">
        <v>379.81</v>
      </c>
      <c r="H1428" s="20">
        <v>135</v>
      </c>
      <c r="I1428"/>
    </row>
    <row r="1429" spans="1:9" x14ac:dyDescent="0.25">
      <c r="A1429" s="228">
        <v>41816</v>
      </c>
      <c r="B1429" s="161" t="s">
        <v>831</v>
      </c>
      <c r="C1429" t="s">
        <v>1471</v>
      </c>
      <c r="D1429" t="s">
        <v>832</v>
      </c>
      <c r="E1429" s="162">
        <v>8</v>
      </c>
      <c r="F1429" s="162">
        <v>54.58</v>
      </c>
      <c r="G1429" s="165">
        <v>436.64</v>
      </c>
      <c r="H1429" s="20">
        <v>135</v>
      </c>
      <c r="I1429"/>
    </row>
    <row r="1430" spans="1:9" x14ac:dyDescent="0.25">
      <c r="A1430" s="228">
        <v>41816</v>
      </c>
      <c r="B1430" s="161" t="s">
        <v>836</v>
      </c>
      <c r="C1430" t="s">
        <v>8</v>
      </c>
      <c r="D1430" t="s">
        <v>33</v>
      </c>
      <c r="E1430" s="162">
        <v>9.5</v>
      </c>
      <c r="F1430" s="162">
        <v>38.450000000000003</v>
      </c>
      <c r="G1430" s="165">
        <v>365.27499999999998</v>
      </c>
      <c r="H1430" s="20">
        <v>135</v>
      </c>
      <c r="I1430"/>
    </row>
    <row r="1431" spans="1:9" x14ac:dyDescent="0.25">
      <c r="A1431" s="228">
        <v>41816</v>
      </c>
      <c r="B1431" s="161" t="s">
        <v>837</v>
      </c>
      <c r="C1431" t="s">
        <v>8</v>
      </c>
      <c r="D1431" t="s">
        <v>33</v>
      </c>
      <c r="E1431" s="162">
        <v>6.5</v>
      </c>
      <c r="F1431" s="162">
        <v>42.72</v>
      </c>
      <c r="G1431" s="165">
        <v>277.68</v>
      </c>
      <c r="H1431" s="20">
        <v>135</v>
      </c>
      <c r="I1431"/>
    </row>
    <row r="1432" spans="1:9" ht="30" x14ac:dyDescent="0.25">
      <c r="A1432" s="228">
        <v>41817</v>
      </c>
      <c r="B1432" s="161" t="s">
        <v>1136</v>
      </c>
      <c r="C1432" t="s">
        <v>8</v>
      </c>
      <c r="D1432" t="s">
        <v>33</v>
      </c>
      <c r="E1432" s="162">
        <v>1</v>
      </c>
      <c r="F1432" s="162">
        <v>607</v>
      </c>
      <c r="G1432" s="165">
        <v>667</v>
      </c>
      <c r="H1432" s="20">
        <v>135</v>
      </c>
      <c r="I1432"/>
    </row>
    <row r="1433" spans="1:9" x14ac:dyDescent="0.25">
      <c r="A1433" s="228">
        <v>41817</v>
      </c>
      <c r="B1433" s="161" t="s">
        <v>837</v>
      </c>
      <c r="C1433" t="s">
        <v>8</v>
      </c>
      <c r="D1433" t="s">
        <v>33</v>
      </c>
      <c r="E1433" s="162">
        <v>4</v>
      </c>
      <c r="F1433" s="162">
        <v>42.72</v>
      </c>
      <c r="G1433" s="165">
        <v>170.88</v>
      </c>
      <c r="H1433" s="20">
        <v>135</v>
      </c>
      <c r="I1433"/>
    </row>
    <row r="1434" spans="1:9" x14ac:dyDescent="0.25">
      <c r="A1434" s="228">
        <v>41817</v>
      </c>
      <c r="B1434" s="161" t="s">
        <v>838</v>
      </c>
      <c r="C1434" t="s">
        <v>8</v>
      </c>
      <c r="D1434" t="s">
        <v>33</v>
      </c>
      <c r="E1434" s="162">
        <v>4</v>
      </c>
      <c r="F1434" s="162">
        <v>39.979999999999997</v>
      </c>
      <c r="G1434" s="165">
        <v>159.91999999999999</v>
      </c>
      <c r="H1434" s="20">
        <v>135</v>
      </c>
      <c r="I1434"/>
    </row>
    <row r="1435" spans="1:9" x14ac:dyDescent="0.25">
      <c r="A1435" s="228">
        <v>41818</v>
      </c>
      <c r="B1435" s="161" t="s">
        <v>837</v>
      </c>
      <c r="C1435" t="s">
        <v>8</v>
      </c>
      <c r="D1435" t="s">
        <v>33</v>
      </c>
      <c r="E1435" s="162">
        <v>6</v>
      </c>
      <c r="F1435" s="162">
        <v>42.72</v>
      </c>
      <c r="G1435" s="165">
        <v>256.32</v>
      </c>
      <c r="H1435" s="20">
        <v>135</v>
      </c>
      <c r="I1435"/>
    </row>
    <row r="1436" spans="1:9" x14ac:dyDescent="0.25">
      <c r="A1436" s="228">
        <v>41818</v>
      </c>
      <c r="B1436" s="161" t="s">
        <v>836</v>
      </c>
      <c r="C1436" t="s">
        <v>8</v>
      </c>
      <c r="D1436" t="s">
        <v>33</v>
      </c>
      <c r="E1436" s="162">
        <v>6</v>
      </c>
      <c r="F1436" s="162">
        <v>38.450000000000003</v>
      </c>
      <c r="G1436" s="165">
        <v>230.7</v>
      </c>
      <c r="H1436" s="20">
        <v>135</v>
      </c>
      <c r="I1436"/>
    </row>
    <row r="1437" spans="1:9" x14ac:dyDescent="0.25">
      <c r="A1437" s="228">
        <v>41818</v>
      </c>
      <c r="B1437" s="161" t="s">
        <v>831</v>
      </c>
      <c r="C1437" t="s">
        <v>1471</v>
      </c>
      <c r="D1437" t="s">
        <v>832</v>
      </c>
      <c r="E1437" s="162">
        <v>1</v>
      </c>
      <c r="F1437" s="162">
        <v>54.58</v>
      </c>
      <c r="G1437" s="165">
        <v>54.58</v>
      </c>
      <c r="H1437" s="20">
        <v>135</v>
      </c>
      <c r="I1437"/>
    </row>
    <row r="1438" spans="1:9" x14ac:dyDescent="0.25">
      <c r="A1438" s="228">
        <v>41818</v>
      </c>
      <c r="B1438" s="161" t="s">
        <v>838</v>
      </c>
      <c r="C1438" t="s">
        <v>8</v>
      </c>
      <c r="D1438" t="s">
        <v>33</v>
      </c>
      <c r="E1438" s="162">
        <v>6</v>
      </c>
      <c r="F1438" s="162">
        <v>39.979999999999997</v>
      </c>
      <c r="G1438" s="165">
        <v>239.88</v>
      </c>
      <c r="H1438" s="20">
        <v>135</v>
      </c>
      <c r="I1438"/>
    </row>
    <row r="1439" spans="1:9" x14ac:dyDescent="0.25">
      <c r="A1439" s="228">
        <v>41820</v>
      </c>
      <c r="B1439" s="161" t="s">
        <v>839</v>
      </c>
      <c r="C1439" t="s">
        <v>821</v>
      </c>
      <c r="D1439" t="s">
        <v>747</v>
      </c>
      <c r="E1439" s="162">
        <v>1</v>
      </c>
      <c r="F1439" s="162">
        <v>2715.83</v>
      </c>
      <c r="G1439" s="165">
        <v>2715.83</v>
      </c>
      <c r="H1439" s="20">
        <v>135</v>
      </c>
      <c r="I1439"/>
    </row>
    <row r="1440" spans="1:9" x14ac:dyDescent="0.25">
      <c r="A1440" s="228">
        <v>41820</v>
      </c>
      <c r="B1440" s="161" t="s">
        <v>837</v>
      </c>
      <c r="C1440" t="s">
        <v>8</v>
      </c>
      <c r="D1440" t="s">
        <v>33</v>
      </c>
      <c r="E1440" s="162">
        <v>3</v>
      </c>
      <c r="F1440" s="162">
        <v>42.72</v>
      </c>
      <c r="G1440" s="165">
        <v>128.16</v>
      </c>
      <c r="H1440" s="20">
        <v>135</v>
      </c>
      <c r="I1440"/>
    </row>
    <row r="1441" spans="1:9" x14ac:dyDescent="0.25">
      <c r="A1441" s="228">
        <v>41820</v>
      </c>
      <c r="B1441" s="161" t="s">
        <v>843</v>
      </c>
      <c r="C1441" t="s">
        <v>8</v>
      </c>
      <c r="D1441" t="s">
        <v>33</v>
      </c>
      <c r="E1441" s="162">
        <v>3</v>
      </c>
      <c r="F1441" s="162">
        <v>35.11</v>
      </c>
      <c r="G1441" s="165">
        <v>105.33</v>
      </c>
      <c r="H1441" s="20">
        <v>135</v>
      </c>
      <c r="I1441"/>
    </row>
    <row r="1442" spans="1:9" x14ac:dyDescent="0.25">
      <c r="A1442" s="228">
        <v>41820</v>
      </c>
      <c r="B1442" s="161" t="s">
        <v>838</v>
      </c>
      <c r="C1442" t="s">
        <v>8</v>
      </c>
      <c r="D1442" t="s">
        <v>33</v>
      </c>
      <c r="E1442" s="162">
        <v>3</v>
      </c>
      <c r="F1442" s="162">
        <v>39.979999999999997</v>
      </c>
      <c r="G1442" s="165">
        <v>119.94</v>
      </c>
      <c r="H1442" s="20">
        <v>135</v>
      </c>
      <c r="I1442"/>
    </row>
    <row r="1443" spans="1:9" x14ac:dyDescent="0.25">
      <c r="A1443" s="228">
        <v>41821</v>
      </c>
      <c r="B1443" s="161" t="s">
        <v>838</v>
      </c>
      <c r="C1443" t="s">
        <v>8</v>
      </c>
      <c r="D1443" t="s">
        <v>33</v>
      </c>
      <c r="E1443" s="162">
        <v>3.5</v>
      </c>
      <c r="F1443" s="162">
        <v>39.979999999999997</v>
      </c>
      <c r="G1443" s="165">
        <v>139.93</v>
      </c>
      <c r="H1443" s="20">
        <v>135</v>
      </c>
      <c r="I1443"/>
    </row>
    <row r="1444" spans="1:9" x14ac:dyDescent="0.25">
      <c r="A1444" s="228">
        <v>41821</v>
      </c>
      <c r="B1444" s="161" t="s">
        <v>831</v>
      </c>
      <c r="C1444" t="s">
        <v>1471</v>
      </c>
      <c r="D1444" t="s">
        <v>832</v>
      </c>
      <c r="E1444" s="162">
        <v>1</v>
      </c>
      <c r="F1444" s="162">
        <v>54.58</v>
      </c>
      <c r="G1444" s="165">
        <v>54.58</v>
      </c>
      <c r="H1444" s="20">
        <v>135</v>
      </c>
      <c r="I1444"/>
    </row>
    <row r="1445" spans="1:9" x14ac:dyDescent="0.25">
      <c r="A1445" s="228">
        <v>41821</v>
      </c>
      <c r="B1445" s="161" t="s">
        <v>843</v>
      </c>
      <c r="C1445" t="s">
        <v>8</v>
      </c>
      <c r="D1445" t="s">
        <v>33</v>
      </c>
      <c r="E1445" s="162">
        <v>5</v>
      </c>
      <c r="F1445" s="162">
        <v>35.11</v>
      </c>
      <c r="G1445" s="165">
        <v>175.55</v>
      </c>
      <c r="H1445" s="20">
        <v>135</v>
      </c>
      <c r="I1445"/>
    </row>
    <row r="1446" spans="1:9" x14ac:dyDescent="0.25">
      <c r="A1446" s="228">
        <v>41823</v>
      </c>
      <c r="B1446" s="161" t="s">
        <v>837</v>
      </c>
      <c r="C1446" t="s">
        <v>8</v>
      </c>
      <c r="D1446" t="s">
        <v>33</v>
      </c>
      <c r="E1446" s="162">
        <v>4</v>
      </c>
      <c r="F1446" s="162">
        <v>42.72</v>
      </c>
      <c r="G1446" s="165">
        <v>170.88</v>
      </c>
      <c r="H1446" s="20">
        <v>135</v>
      </c>
      <c r="I1446"/>
    </row>
    <row r="1447" spans="1:9" x14ac:dyDescent="0.25">
      <c r="A1447" s="228">
        <v>41823</v>
      </c>
      <c r="B1447" s="161" t="s">
        <v>836</v>
      </c>
      <c r="C1447" t="s">
        <v>8</v>
      </c>
      <c r="D1447" t="s">
        <v>33</v>
      </c>
      <c r="E1447" s="162">
        <v>2</v>
      </c>
      <c r="F1447" s="162">
        <v>38.450000000000003</v>
      </c>
      <c r="G1447" s="165">
        <v>76.900000000000006</v>
      </c>
      <c r="H1447" s="20">
        <v>135</v>
      </c>
      <c r="I1447"/>
    </row>
    <row r="1448" spans="1:9" x14ac:dyDescent="0.25">
      <c r="A1448" s="228">
        <v>41823</v>
      </c>
      <c r="B1448" s="161" t="s">
        <v>831</v>
      </c>
      <c r="C1448" t="s">
        <v>1471</v>
      </c>
      <c r="D1448" t="s">
        <v>832</v>
      </c>
      <c r="E1448" s="162">
        <v>1.5</v>
      </c>
      <c r="F1448" s="162">
        <v>54.58</v>
      </c>
      <c r="G1448" s="165">
        <v>81.87</v>
      </c>
      <c r="H1448" s="20">
        <v>135</v>
      </c>
      <c r="I1448"/>
    </row>
    <row r="1449" spans="1:9" x14ac:dyDescent="0.25">
      <c r="A1449" s="228">
        <v>41823</v>
      </c>
      <c r="B1449" s="161" t="s">
        <v>838</v>
      </c>
      <c r="C1449" t="s">
        <v>8</v>
      </c>
      <c r="D1449" t="s">
        <v>33</v>
      </c>
      <c r="E1449" s="162">
        <v>8</v>
      </c>
      <c r="F1449" s="162">
        <v>39.979999999999997</v>
      </c>
      <c r="G1449" s="165">
        <v>319.83999999999997</v>
      </c>
      <c r="H1449" s="20">
        <v>135</v>
      </c>
      <c r="I1449"/>
    </row>
    <row r="1450" spans="1:9" x14ac:dyDescent="0.25">
      <c r="A1450" s="228">
        <v>41824</v>
      </c>
      <c r="B1450" s="161" t="s">
        <v>836</v>
      </c>
      <c r="C1450" t="s">
        <v>8</v>
      </c>
      <c r="D1450" t="s">
        <v>33</v>
      </c>
      <c r="E1450" s="162">
        <v>6</v>
      </c>
      <c r="F1450" s="162">
        <v>38.450000000000003</v>
      </c>
      <c r="G1450" s="165">
        <v>230.7</v>
      </c>
      <c r="H1450" s="20">
        <v>135</v>
      </c>
      <c r="I1450"/>
    </row>
    <row r="1451" spans="1:9" x14ac:dyDescent="0.25">
      <c r="A1451" s="228">
        <v>41824</v>
      </c>
      <c r="B1451" s="161" t="s">
        <v>838</v>
      </c>
      <c r="C1451" t="s">
        <v>8</v>
      </c>
      <c r="D1451" t="s">
        <v>33</v>
      </c>
      <c r="E1451" s="162">
        <v>9.5</v>
      </c>
      <c r="F1451" s="162">
        <v>39.979999999999997</v>
      </c>
      <c r="G1451" s="165">
        <v>379.81</v>
      </c>
      <c r="H1451" s="20">
        <v>135</v>
      </c>
      <c r="I1451"/>
    </row>
    <row r="1452" spans="1:9" x14ac:dyDescent="0.25">
      <c r="A1452" s="228">
        <v>41824</v>
      </c>
      <c r="B1452" s="161" t="s">
        <v>831</v>
      </c>
      <c r="C1452" t="s">
        <v>1471</v>
      </c>
      <c r="D1452" t="s">
        <v>832</v>
      </c>
      <c r="E1452" s="162">
        <v>2</v>
      </c>
      <c r="F1452" s="162">
        <v>54.58</v>
      </c>
      <c r="G1452" s="165">
        <v>109.16</v>
      </c>
      <c r="H1452" s="20">
        <v>135</v>
      </c>
      <c r="I1452"/>
    </row>
    <row r="1453" spans="1:9" x14ac:dyDescent="0.25">
      <c r="A1453" s="228">
        <v>41829</v>
      </c>
      <c r="B1453" s="161" t="s">
        <v>838</v>
      </c>
      <c r="C1453" t="s">
        <v>8</v>
      </c>
      <c r="D1453" t="s">
        <v>33</v>
      </c>
      <c r="E1453" s="162">
        <v>6.5</v>
      </c>
      <c r="F1453" s="162">
        <v>39.979999999999997</v>
      </c>
      <c r="G1453" s="165">
        <v>259.87</v>
      </c>
      <c r="H1453" s="20">
        <v>135</v>
      </c>
      <c r="I1453"/>
    </row>
    <row r="1454" spans="1:9" x14ac:dyDescent="0.25">
      <c r="A1454" s="228">
        <v>41829</v>
      </c>
      <c r="B1454" s="161" t="s">
        <v>843</v>
      </c>
      <c r="C1454" t="s">
        <v>8</v>
      </c>
      <c r="D1454" t="s">
        <v>33</v>
      </c>
      <c r="E1454" s="162">
        <v>6.5</v>
      </c>
      <c r="F1454" s="162">
        <v>35.11</v>
      </c>
      <c r="G1454" s="165">
        <v>228.215</v>
      </c>
      <c r="H1454" s="20">
        <v>135</v>
      </c>
      <c r="I1454"/>
    </row>
    <row r="1455" spans="1:9" x14ac:dyDescent="0.25">
      <c r="A1455" s="228">
        <v>41834</v>
      </c>
      <c r="B1455" s="161" t="s">
        <v>503</v>
      </c>
      <c r="C1455" t="s">
        <v>840</v>
      </c>
      <c r="D1455" t="s">
        <v>19</v>
      </c>
      <c r="E1455" s="162">
        <v>5.5</v>
      </c>
      <c r="F1455" s="162"/>
      <c r="G1455" s="165"/>
      <c r="H1455" s="20">
        <v>135</v>
      </c>
      <c r="I1455"/>
    </row>
    <row r="1456" spans="1:9" x14ac:dyDescent="0.25">
      <c r="A1456" s="228">
        <v>41834</v>
      </c>
      <c r="B1456" s="161" t="s">
        <v>836</v>
      </c>
      <c r="C1456" t="s">
        <v>8</v>
      </c>
      <c r="D1456" t="s">
        <v>33</v>
      </c>
      <c r="E1456" s="162">
        <v>4</v>
      </c>
      <c r="F1456" s="162">
        <v>38.450000000000003</v>
      </c>
      <c r="G1456" s="165">
        <v>153.80000000000001</v>
      </c>
      <c r="H1456" s="20">
        <v>135</v>
      </c>
      <c r="I1456"/>
    </row>
    <row r="1457" spans="1:9" x14ac:dyDescent="0.25">
      <c r="A1457" s="228">
        <v>41834</v>
      </c>
      <c r="B1457" s="161" t="s">
        <v>831</v>
      </c>
      <c r="C1457" t="s">
        <v>1471</v>
      </c>
      <c r="D1457" t="s">
        <v>832</v>
      </c>
      <c r="E1457" s="162">
        <v>3</v>
      </c>
      <c r="F1457" s="162">
        <v>54.58</v>
      </c>
      <c r="G1457" s="165">
        <v>163.74</v>
      </c>
      <c r="H1457" s="20">
        <v>135</v>
      </c>
      <c r="I1457"/>
    </row>
    <row r="1458" spans="1:9" x14ac:dyDescent="0.25">
      <c r="A1458" s="228">
        <v>41836</v>
      </c>
      <c r="B1458" s="161" t="s">
        <v>836</v>
      </c>
      <c r="C1458" t="s">
        <v>8</v>
      </c>
      <c r="D1458" t="s">
        <v>33</v>
      </c>
      <c r="E1458" s="162">
        <v>4</v>
      </c>
      <c r="F1458" s="162">
        <v>38.450000000000003</v>
      </c>
      <c r="G1458" s="165">
        <v>153.80000000000001</v>
      </c>
      <c r="H1458" s="20">
        <v>135</v>
      </c>
      <c r="I1458"/>
    </row>
    <row r="1459" spans="1:9" x14ac:dyDescent="0.25">
      <c r="A1459" s="228">
        <v>41836</v>
      </c>
      <c r="B1459" s="161" t="s">
        <v>831</v>
      </c>
      <c r="C1459" t="s">
        <v>1471</v>
      </c>
      <c r="D1459" t="s">
        <v>832</v>
      </c>
      <c r="E1459" s="162">
        <v>2</v>
      </c>
      <c r="F1459" s="162">
        <v>54.58</v>
      </c>
      <c r="G1459" s="165">
        <v>109.16</v>
      </c>
      <c r="H1459" s="20">
        <v>135</v>
      </c>
      <c r="I1459"/>
    </row>
    <row r="1460" spans="1:9" x14ac:dyDescent="0.25">
      <c r="A1460" s="228">
        <v>41837</v>
      </c>
      <c r="B1460" s="161" t="s">
        <v>837</v>
      </c>
      <c r="C1460" t="s">
        <v>8</v>
      </c>
      <c r="D1460" t="s">
        <v>33</v>
      </c>
      <c r="E1460" s="162">
        <v>5</v>
      </c>
      <c r="F1460" s="162">
        <v>42.72</v>
      </c>
      <c r="G1460" s="165">
        <v>213.6</v>
      </c>
      <c r="H1460" s="20">
        <v>135</v>
      </c>
      <c r="I1460"/>
    </row>
    <row r="1461" spans="1:9" x14ac:dyDescent="0.25">
      <c r="A1461" s="228">
        <v>41837</v>
      </c>
      <c r="B1461" s="161" t="s">
        <v>831</v>
      </c>
      <c r="C1461" t="s">
        <v>1471</v>
      </c>
      <c r="D1461" t="s">
        <v>832</v>
      </c>
      <c r="E1461" s="162">
        <v>1</v>
      </c>
      <c r="F1461" s="162">
        <v>54.58</v>
      </c>
      <c r="G1461" s="165">
        <v>54.58</v>
      </c>
      <c r="H1461" s="20">
        <v>135</v>
      </c>
      <c r="I1461"/>
    </row>
    <row r="1462" spans="1:9" x14ac:dyDescent="0.25">
      <c r="A1462" s="228">
        <v>41837</v>
      </c>
      <c r="B1462" s="161" t="s">
        <v>843</v>
      </c>
      <c r="C1462" t="s">
        <v>8</v>
      </c>
      <c r="D1462" t="s">
        <v>33</v>
      </c>
      <c r="E1462" s="162">
        <v>5</v>
      </c>
      <c r="F1462" s="162">
        <v>35.11</v>
      </c>
      <c r="G1462" s="165">
        <v>175.55</v>
      </c>
      <c r="H1462" s="20">
        <v>135</v>
      </c>
      <c r="I1462"/>
    </row>
    <row r="1463" spans="1:9" x14ac:dyDescent="0.25">
      <c r="A1463" s="228">
        <v>41841</v>
      </c>
      <c r="B1463" s="161" t="s">
        <v>836</v>
      </c>
      <c r="C1463" t="s">
        <v>8</v>
      </c>
      <c r="D1463" t="s">
        <v>33</v>
      </c>
      <c r="E1463" s="162">
        <v>8</v>
      </c>
      <c r="F1463" s="162">
        <v>38.450000000000003</v>
      </c>
      <c r="G1463" s="165">
        <v>307.60000000000002</v>
      </c>
      <c r="H1463" s="20">
        <v>135</v>
      </c>
      <c r="I1463"/>
    </row>
    <row r="1464" spans="1:9" x14ac:dyDescent="0.25">
      <c r="A1464" s="228">
        <v>41841</v>
      </c>
      <c r="B1464" s="161" t="s">
        <v>503</v>
      </c>
      <c r="C1464" t="s">
        <v>840</v>
      </c>
      <c r="D1464" t="s">
        <v>33</v>
      </c>
      <c r="E1464" s="162">
        <v>2.5</v>
      </c>
      <c r="F1464" s="162"/>
      <c r="G1464" s="165"/>
      <c r="H1464" s="20">
        <v>135</v>
      </c>
      <c r="I1464"/>
    </row>
    <row r="1465" spans="1:9" x14ac:dyDescent="0.25">
      <c r="A1465" s="228">
        <v>41841</v>
      </c>
      <c r="B1465" s="161" t="s">
        <v>843</v>
      </c>
      <c r="C1465" t="s">
        <v>8</v>
      </c>
      <c r="D1465" t="s">
        <v>33</v>
      </c>
      <c r="E1465" s="162">
        <v>3</v>
      </c>
      <c r="F1465" s="162">
        <v>35.11</v>
      </c>
      <c r="G1465" s="165">
        <v>105.33</v>
      </c>
      <c r="H1465" s="20">
        <v>135</v>
      </c>
      <c r="I1465"/>
    </row>
    <row r="1466" spans="1:9" x14ac:dyDescent="0.25">
      <c r="A1466" s="228">
        <v>41841</v>
      </c>
      <c r="B1466" s="161" t="s">
        <v>838</v>
      </c>
      <c r="C1466" t="s">
        <v>8</v>
      </c>
      <c r="D1466" t="s">
        <v>33</v>
      </c>
      <c r="E1466" s="162">
        <v>1</v>
      </c>
      <c r="F1466" s="162">
        <v>39.979999999999997</v>
      </c>
      <c r="G1466" s="165">
        <v>39.979999999999997</v>
      </c>
      <c r="H1466" s="20">
        <v>135</v>
      </c>
      <c r="I1466"/>
    </row>
    <row r="1467" spans="1:9" x14ac:dyDescent="0.25">
      <c r="A1467" s="228">
        <v>41842</v>
      </c>
      <c r="B1467" s="161" t="s">
        <v>503</v>
      </c>
      <c r="C1467" t="s">
        <v>840</v>
      </c>
      <c r="D1467" t="s">
        <v>19</v>
      </c>
      <c r="E1467" s="162">
        <v>2.5</v>
      </c>
      <c r="F1467" s="162"/>
      <c r="G1467" s="165"/>
      <c r="H1467" s="20">
        <v>135</v>
      </c>
      <c r="I1467"/>
    </row>
    <row r="1468" spans="1:9" x14ac:dyDescent="0.25">
      <c r="A1468" s="228">
        <v>41843</v>
      </c>
      <c r="B1468" s="161" t="s">
        <v>503</v>
      </c>
      <c r="C1468" t="s">
        <v>840</v>
      </c>
      <c r="D1468" t="s">
        <v>19</v>
      </c>
      <c r="E1468" s="162">
        <v>2.5</v>
      </c>
      <c r="F1468" s="162"/>
      <c r="G1468" s="165"/>
      <c r="H1468" s="20">
        <v>135</v>
      </c>
      <c r="I1468"/>
    </row>
    <row r="1469" spans="1:9" x14ac:dyDescent="0.25">
      <c r="A1469" s="228">
        <v>41843</v>
      </c>
      <c r="B1469" s="161" t="s">
        <v>503</v>
      </c>
      <c r="C1469" t="s">
        <v>840</v>
      </c>
      <c r="D1469" t="s">
        <v>33</v>
      </c>
      <c r="E1469" s="162">
        <v>1</v>
      </c>
      <c r="F1469" s="162"/>
      <c r="G1469" s="165"/>
      <c r="H1469" s="20">
        <v>135</v>
      </c>
      <c r="I1469"/>
    </row>
    <row r="1470" spans="1:9" x14ac:dyDescent="0.25">
      <c r="A1470" s="228">
        <v>41843</v>
      </c>
      <c r="B1470" s="161" t="s">
        <v>843</v>
      </c>
      <c r="C1470" t="s">
        <v>8</v>
      </c>
      <c r="D1470" t="s">
        <v>33</v>
      </c>
      <c r="E1470" s="162">
        <v>7</v>
      </c>
      <c r="F1470" s="162">
        <v>35.11</v>
      </c>
      <c r="G1470" s="165">
        <v>245.77</v>
      </c>
      <c r="H1470" s="20">
        <v>135</v>
      </c>
      <c r="I1470"/>
    </row>
    <row r="1471" spans="1:9" x14ac:dyDescent="0.25">
      <c r="A1471" s="228">
        <v>41843</v>
      </c>
      <c r="B1471" s="161" t="s">
        <v>831</v>
      </c>
      <c r="C1471" t="s">
        <v>1471</v>
      </c>
      <c r="D1471" t="s">
        <v>832</v>
      </c>
      <c r="E1471" s="162">
        <v>2</v>
      </c>
      <c r="F1471" s="162">
        <v>54.58</v>
      </c>
      <c r="G1471" s="165">
        <v>109.16</v>
      </c>
      <c r="H1471" s="20">
        <v>135</v>
      </c>
      <c r="I1471"/>
    </row>
    <row r="1472" spans="1:9" x14ac:dyDescent="0.25">
      <c r="A1472" s="228">
        <v>41844</v>
      </c>
      <c r="B1472" s="161" t="s">
        <v>503</v>
      </c>
      <c r="C1472" t="s">
        <v>840</v>
      </c>
      <c r="D1472" t="s">
        <v>19</v>
      </c>
      <c r="E1472" s="162">
        <v>15</v>
      </c>
      <c r="F1472" s="162"/>
      <c r="G1472" s="165"/>
      <c r="H1472" s="20">
        <v>135</v>
      </c>
      <c r="I1472"/>
    </row>
    <row r="1473" spans="1:9" x14ac:dyDescent="0.25">
      <c r="A1473" s="228">
        <v>41844</v>
      </c>
      <c r="B1473" s="161" t="s">
        <v>838</v>
      </c>
      <c r="C1473" t="s">
        <v>8</v>
      </c>
      <c r="D1473" t="s">
        <v>33</v>
      </c>
      <c r="E1473" s="162">
        <v>2</v>
      </c>
      <c r="F1473" s="162">
        <v>39.979999999999997</v>
      </c>
      <c r="G1473" s="165">
        <v>79.959999999999994</v>
      </c>
      <c r="H1473" s="20">
        <v>135</v>
      </c>
      <c r="I1473"/>
    </row>
    <row r="1474" spans="1:9" x14ac:dyDescent="0.25">
      <c r="A1474" s="228">
        <v>41845</v>
      </c>
      <c r="B1474" s="161" t="s">
        <v>503</v>
      </c>
      <c r="C1474" t="s">
        <v>840</v>
      </c>
      <c r="D1474" t="s">
        <v>33</v>
      </c>
      <c r="E1474" s="162">
        <v>4</v>
      </c>
      <c r="F1474" s="162"/>
      <c r="G1474" s="165"/>
      <c r="H1474" s="20">
        <v>135</v>
      </c>
      <c r="I1474"/>
    </row>
    <row r="1475" spans="1:9" x14ac:dyDescent="0.25">
      <c r="A1475" s="228">
        <v>41845</v>
      </c>
      <c r="B1475" s="161" t="s">
        <v>503</v>
      </c>
      <c r="C1475" t="s">
        <v>840</v>
      </c>
      <c r="D1475" t="s">
        <v>19</v>
      </c>
      <c r="E1475" s="162">
        <v>15</v>
      </c>
      <c r="F1475" s="162"/>
      <c r="G1475" s="165"/>
      <c r="H1475" s="20">
        <v>135</v>
      </c>
      <c r="I1475"/>
    </row>
    <row r="1476" spans="1:9" x14ac:dyDescent="0.25">
      <c r="A1476" s="228">
        <v>41845</v>
      </c>
      <c r="B1476" s="161" t="s">
        <v>831</v>
      </c>
      <c r="C1476" t="s">
        <v>1471</v>
      </c>
      <c r="D1476" t="s">
        <v>832</v>
      </c>
      <c r="E1476" s="162">
        <v>5</v>
      </c>
      <c r="F1476" s="162">
        <v>54.58</v>
      </c>
      <c r="G1476" s="165">
        <v>272.89999999999998</v>
      </c>
      <c r="H1476" s="20">
        <v>135</v>
      </c>
      <c r="I1476"/>
    </row>
    <row r="1477" spans="1:9" x14ac:dyDescent="0.25">
      <c r="A1477" s="228">
        <v>41845</v>
      </c>
      <c r="B1477" s="161" t="s">
        <v>838</v>
      </c>
      <c r="C1477" t="s">
        <v>8</v>
      </c>
      <c r="D1477" t="s">
        <v>33</v>
      </c>
      <c r="E1477" s="162">
        <v>5</v>
      </c>
      <c r="F1477" s="162">
        <v>39.979999999999997</v>
      </c>
      <c r="G1477" s="165">
        <v>199.9</v>
      </c>
      <c r="H1477" s="20">
        <v>135</v>
      </c>
      <c r="I1477"/>
    </row>
    <row r="1478" spans="1:9" ht="30" x14ac:dyDescent="0.25">
      <c r="A1478" s="228">
        <v>41846</v>
      </c>
      <c r="B1478" s="161" t="s">
        <v>1137</v>
      </c>
      <c r="C1478" t="s">
        <v>8</v>
      </c>
      <c r="D1478" t="s">
        <v>33</v>
      </c>
      <c r="E1478" s="162">
        <v>1</v>
      </c>
      <c r="F1478" s="162">
        <v>353.89</v>
      </c>
      <c r="G1478" s="165">
        <v>413.89</v>
      </c>
      <c r="H1478" s="20">
        <v>135</v>
      </c>
      <c r="I1478"/>
    </row>
    <row r="1479" spans="1:9" x14ac:dyDescent="0.25">
      <c r="A1479" s="228">
        <v>41846</v>
      </c>
      <c r="B1479" s="161" t="s">
        <v>831</v>
      </c>
      <c r="C1479" t="s">
        <v>1471</v>
      </c>
      <c r="D1479" t="s">
        <v>832</v>
      </c>
      <c r="E1479" s="162">
        <v>6.5</v>
      </c>
      <c r="F1479" s="162">
        <v>54.58</v>
      </c>
      <c r="G1479" s="165">
        <v>354.77</v>
      </c>
      <c r="H1479" s="20">
        <v>135</v>
      </c>
      <c r="I1479"/>
    </row>
    <row r="1480" spans="1:9" x14ac:dyDescent="0.25">
      <c r="A1480" s="228">
        <v>41846</v>
      </c>
      <c r="B1480" s="161" t="s">
        <v>503</v>
      </c>
      <c r="C1480" t="s">
        <v>840</v>
      </c>
      <c r="D1480" t="s">
        <v>19</v>
      </c>
      <c r="E1480" s="162">
        <v>15</v>
      </c>
      <c r="F1480" s="162"/>
      <c r="G1480" s="165"/>
      <c r="H1480" s="20">
        <v>135</v>
      </c>
      <c r="I1480"/>
    </row>
    <row r="1481" spans="1:9" x14ac:dyDescent="0.25">
      <c r="A1481" s="228">
        <v>41848</v>
      </c>
      <c r="B1481" s="161" t="s">
        <v>503</v>
      </c>
      <c r="C1481" t="s">
        <v>840</v>
      </c>
      <c r="D1481" t="s">
        <v>19</v>
      </c>
      <c r="E1481" s="162">
        <v>4</v>
      </c>
      <c r="F1481" s="162"/>
      <c r="G1481" s="165"/>
      <c r="H1481" s="20">
        <v>135</v>
      </c>
      <c r="I1481"/>
    </row>
    <row r="1482" spans="1:9" x14ac:dyDescent="0.25">
      <c r="A1482" s="228">
        <v>41848</v>
      </c>
      <c r="B1482" s="161" t="s">
        <v>843</v>
      </c>
      <c r="C1482" t="s">
        <v>8</v>
      </c>
      <c r="D1482" t="s">
        <v>33</v>
      </c>
      <c r="E1482" s="162">
        <v>6</v>
      </c>
      <c r="F1482" s="162">
        <v>35.11</v>
      </c>
      <c r="G1482" s="165">
        <v>210.66</v>
      </c>
      <c r="H1482" s="20">
        <v>135</v>
      </c>
      <c r="I1482"/>
    </row>
    <row r="1483" spans="1:9" x14ac:dyDescent="0.25">
      <c r="A1483" s="228">
        <v>41848</v>
      </c>
      <c r="B1483" s="161" t="s">
        <v>831</v>
      </c>
      <c r="C1483" t="s">
        <v>1471</v>
      </c>
      <c r="D1483" t="s">
        <v>832</v>
      </c>
      <c r="E1483" s="162">
        <v>5</v>
      </c>
      <c r="F1483" s="162">
        <v>54.58</v>
      </c>
      <c r="G1483" s="165">
        <v>272.89999999999998</v>
      </c>
      <c r="H1483" s="20">
        <v>135</v>
      </c>
      <c r="I1483"/>
    </row>
    <row r="1484" spans="1:9" x14ac:dyDescent="0.25">
      <c r="A1484" s="228">
        <v>41848</v>
      </c>
      <c r="B1484" s="161" t="s">
        <v>836</v>
      </c>
      <c r="C1484" t="s">
        <v>8</v>
      </c>
      <c r="D1484" t="s">
        <v>33</v>
      </c>
      <c r="E1484" s="162">
        <v>2</v>
      </c>
      <c r="F1484" s="162">
        <v>38.450000000000003</v>
      </c>
      <c r="G1484" s="165">
        <v>76.900000000000006</v>
      </c>
      <c r="H1484" s="20">
        <v>135</v>
      </c>
      <c r="I1484"/>
    </row>
    <row r="1485" spans="1:9" x14ac:dyDescent="0.25">
      <c r="A1485" s="228">
        <v>41849</v>
      </c>
      <c r="B1485" s="161" t="s">
        <v>843</v>
      </c>
      <c r="C1485" t="s">
        <v>8</v>
      </c>
      <c r="D1485" t="s">
        <v>33</v>
      </c>
      <c r="E1485" s="162">
        <v>5</v>
      </c>
      <c r="F1485" s="162">
        <v>35.11</v>
      </c>
      <c r="G1485" s="165">
        <v>175.55</v>
      </c>
      <c r="H1485" s="20">
        <v>135</v>
      </c>
      <c r="I1485"/>
    </row>
    <row r="1486" spans="1:9" x14ac:dyDescent="0.25">
      <c r="A1486" s="228">
        <v>41849</v>
      </c>
      <c r="B1486" s="161" t="s">
        <v>836</v>
      </c>
      <c r="C1486" t="s">
        <v>8</v>
      </c>
      <c r="D1486" t="s">
        <v>33</v>
      </c>
      <c r="E1486" s="162">
        <v>3.5</v>
      </c>
      <c r="F1486" s="162">
        <v>38.450000000000003</v>
      </c>
      <c r="G1486" s="165">
        <v>134.57499999999999</v>
      </c>
      <c r="H1486" s="20">
        <v>135</v>
      </c>
      <c r="I1486"/>
    </row>
    <row r="1487" spans="1:9" x14ac:dyDescent="0.25">
      <c r="A1487" s="228">
        <v>41849</v>
      </c>
      <c r="B1487" s="161" t="s">
        <v>503</v>
      </c>
      <c r="C1487" t="s">
        <v>840</v>
      </c>
      <c r="D1487" t="s">
        <v>19</v>
      </c>
      <c r="E1487" s="162">
        <v>2</v>
      </c>
      <c r="F1487" s="162"/>
      <c r="G1487" s="165"/>
      <c r="H1487" s="20">
        <v>135</v>
      </c>
      <c r="I1487"/>
    </row>
    <row r="1488" spans="1:9" x14ac:dyDescent="0.25">
      <c r="A1488" s="228">
        <v>41850</v>
      </c>
      <c r="B1488" s="161" t="s">
        <v>844</v>
      </c>
      <c r="C1488" t="s">
        <v>821</v>
      </c>
      <c r="D1488" t="s">
        <v>747</v>
      </c>
      <c r="E1488" s="162">
        <v>7</v>
      </c>
      <c r="F1488" s="162">
        <v>125</v>
      </c>
      <c r="G1488" s="165">
        <v>875</v>
      </c>
      <c r="H1488" s="20">
        <v>135</v>
      </c>
      <c r="I1488"/>
    </row>
    <row r="1489" spans="1:9" x14ac:dyDescent="0.25">
      <c r="A1489" s="228">
        <v>41850</v>
      </c>
      <c r="B1489" s="161" t="s">
        <v>839</v>
      </c>
      <c r="C1489" t="s">
        <v>821</v>
      </c>
      <c r="D1489" t="s">
        <v>747</v>
      </c>
      <c r="E1489" s="162">
        <v>5.5</v>
      </c>
      <c r="F1489" s="162">
        <v>105</v>
      </c>
      <c r="G1489" s="165">
        <v>577.5</v>
      </c>
      <c r="H1489" s="20">
        <v>135</v>
      </c>
      <c r="I1489"/>
    </row>
    <row r="1490" spans="1:9" x14ac:dyDescent="0.25">
      <c r="A1490" s="228">
        <v>41850</v>
      </c>
      <c r="B1490" s="161" t="s">
        <v>837</v>
      </c>
      <c r="C1490" t="s">
        <v>8</v>
      </c>
      <c r="D1490" t="s">
        <v>33</v>
      </c>
      <c r="E1490" s="162">
        <v>1.5</v>
      </c>
      <c r="F1490" s="162">
        <v>42.72</v>
      </c>
      <c r="G1490" s="165">
        <v>64.08</v>
      </c>
      <c r="H1490" s="20">
        <v>135</v>
      </c>
      <c r="I1490"/>
    </row>
    <row r="1491" spans="1:9" x14ac:dyDescent="0.25">
      <c r="A1491" s="228">
        <v>41850</v>
      </c>
      <c r="B1491" s="161" t="s">
        <v>836</v>
      </c>
      <c r="C1491" t="s">
        <v>8</v>
      </c>
      <c r="D1491" t="s">
        <v>33</v>
      </c>
      <c r="E1491" s="162">
        <v>1.5</v>
      </c>
      <c r="F1491" s="162">
        <v>38.450000000000003</v>
      </c>
      <c r="G1491" s="165">
        <v>57.674999999999997</v>
      </c>
      <c r="H1491" s="20">
        <v>135</v>
      </c>
      <c r="I1491"/>
    </row>
    <row r="1492" spans="1:9" x14ac:dyDescent="0.25">
      <c r="A1492" s="228">
        <v>41855</v>
      </c>
      <c r="B1492" s="161" t="s">
        <v>1109</v>
      </c>
      <c r="C1492" t="s">
        <v>840</v>
      </c>
      <c r="D1492" t="s">
        <v>19</v>
      </c>
      <c r="E1492" s="162">
        <v>1.5</v>
      </c>
      <c r="F1492" s="162"/>
      <c r="G1492" s="165"/>
      <c r="H1492" s="20">
        <v>135</v>
      </c>
      <c r="I1492"/>
    </row>
    <row r="1493" spans="1:9" x14ac:dyDescent="0.25">
      <c r="A1493" s="228">
        <v>41855</v>
      </c>
      <c r="B1493" s="161" t="s">
        <v>831</v>
      </c>
      <c r="C1493" t="s">
        <v>1471</v>
      </c>
      <c r="D1493" t="s">
        <v>832</v>
      </c>
      <c r="E1493" s="162">
        <v>2</v>
      </c>
      <c r="F1493" s="162">
        <v>54.58</v>
      </c>
      <c r="G1493" s="165">
        <v>109.16</v>
      </c>
      <c r="H1493" s="20">
        <v>135</v>
      </c>
      <c r="I1493"/>
    </row>
    <row r="1494" spans="1:9" x14ac:dyDescent="0.25">
      <c r="A1494" s="228">
        <v>41855</v>
      </c>
      <c r="B1494" s="161" t="s">
        <v>837</v>
      </c>
      <c r="C1494" t="s">
        <v>8</v>
      </c>
      <c r="D1494" t="s">
        <v>33</v>
      </c>
      <c r="E1494" s="162">
        <v>1</v>
      </c>
      <c r="F1494" s="162">
        <v>35.11</v>
      </c>
      <c r="G1494" s="165">
        <v>35.11</v>
      </c>
      <c r="H1494" s="20">
        <v>135</v>
      </c>
      <c r="I1494"/>
    </row>
    <row r="1495" spans="1:9" x14ac:dyDescent="0.25">
      <c r="A1495" s="228">
        <v>41856</v>
      </c>
      <c r="B1495" s="161" t="s">
        <v>836</v>
      </c>
      <c r="C1495" t="s">
        <v>8</v>
      </c>
      <c r="D1495" t="s">
        <v>33</v>
      </c>
      <c r="E1495" s="162">
        <v>8</v>
      </c>
      <c r="F1495" s="162">
        <v>38.450000000000003</v>
      </c>
      <c r="G1495" s="165">
        <v>307.60000000000002</v>
      </c>
      <c r="H1495" s="20">
        <v>135</v>
      </c>
      <c r="I1495"/>
    </row>
    <row r="1496" spans="1:9" x14ac:dyDescent="0.25">
      <c r="A1496" s="228">
        <v>41856</v>
      </c>
      <c r="B1496" s="161" t="s">
        <v>855</v>
      </c>
      <c r="C1496" t="s">
        <v>856</v>
      </c>
      <c r="D1496" t="s">
        <v>33</v>
      </c>
      <c r="E1496" s="162">
        <v>5</v>
      </c>
      <c r="F1496" s="162">
        <v>21.61</v>
      </c>
      <c r="G1496" s="165">
        <v>108.05</v>
      </c>
      <c r="H1496" s="20">
        <v>135</v>
      </c>
      <c r="I1496"/>
    </row>
    <row r="1497" spans="1:9" x14ac:dyDescent="0.25">
      <c r="A1497" s="228">
        <v>41856</v>
      </c>
      <c r="B1497" s="161" t="s">
        <v>1109</v>
      </c>
      <c r="C1497" t="s">
        <v>840</v>
      </c>
      <c r="D1497" t="s">
        <v>19</v>
      </c>
      <c r="E1497" s="162"/>
      <c r="F1497" s="162"/>
      <c r="G1497" s="165"/>
      <c r="H1497" s="20">
        <v>135</v>
      </c>
      <c r="I1497"/>
    </row>
    <row r="1498" spans="1:9" x14ac:dyDescent="0.25">
      <c r="A1498" s="228">
        <v>41856</v>
      </c>
      <c r="B1498" s="161" t="s">
        <v>838</v>
      </c>
      <c r="C1498" t="s">
        <v>8</v>
      </c>
      <c r="D1498" t="s">
        <v>33</v>
      </c>
      <c r="E1498" s="162">
        <v>3</v>
      </c>
      <c r="F1498" s="162">
        <v>42.72</v>
      </c>
      <c r="G1498" s="165">
        <v>128.16</v>
      </c>
      <c r="H1498" s="20">
        <v>135</v>
      </c>
      <c r="I1498"/>
    </row>
    <row r="1499" spans="1:9" x14ac:dyDescent="0.25">
      <c r="A1499" s="228">
        <v>41856</v>
      </c>
      <c r="B1499" s="161" t="s">
        <v>831</v>
      </c>
      <c r="C1499" t="s">
        <v>1471</v>
      </c>
      <c r="D1499" t="s">
        <v>832</v>
      </c>
      <c r="E1499" s="162">
        <v>3</v>
      </c>
      <c r="F1499" s="162">
        <v>54.58</v>
      </c>
      <c r="G1499" s="165">
        <v>163.74</v>
      </c>
      <c r="H1499" s="20">
        <v>135</v>
      </c>
      <c r="I1499"/>
    </row>
    <row r="1500" spans="1:9" x14ac:dyDescent="0.25">
      <c r="A1500" s="228">
        <v>41856</v>
      </c>
      <c r="B1500" s="161" t="s">
        <v>837</v>
      </c>
      <c r="C1500" t="s">
        <v>8</v>
      </c>
      <c r="D1500" t="s">
        <v>33</v>
      </c>
      <c r="E1500" s="162">
        <v>1</v>
      </c>
      <c r="F1500" s="162">
        <v>35.11</v>
      </c>
      <c r="G1500" s="165">
        <v>35.11</v>
      </c>
      <c r="H1500" s="20">
        <v>135</v>
      </c>
      <c r="I1500"/>
    </row>
    <row r="1501" spans="1:9" x14ac:dyDescent="0.25">
      <c r="A1501" s="228">
        <v>41856</v>
      </c>
      <c r="B1501" s="161" t="s">
        <v>843</v>
      </c>
      <c r="C1501" t="s">
        <v>8</v>
      </c>
      <c r="D1501" t="s">
        <v>33</v>
      </c>
      <c r="E1501" s="162">
        <v>4.5</v>
      </c>
      <c r="F1501" s="162">
        <v>42.72</v>
      </c>
      <c r="G1501" s="165">
        <v>192.24</v>
      </c>
      <c r="H1501" s="20">
        <v>135</v>
      </c>
      <c r="I1501"/>
    </row>
    <row r="1502" spans="1:9" x14ac:dyDescent="0.25">
      <c r="A1502" s="228">
        <v>41856</v>
      </c>
      <c r="B1502" s="161" t="s">
        <v>837</v>
      </c>
      <c r="C1502" t="s">
        <v>8</v>
      </c>
      <c r="D1502" t="s">
        <v>33</v>
      </c>
      <c r="E1502" s="162">
        <v>5</v>
      </c>
      <c r="F1502" s="162">
        <v>42.72</v>
      </c>
      <c r="G1502" s="165">
        <v>213.6</v>
      </c>
      <c r="H1502" s="20">
        <v>135</v>
      </c>
      <c r="I1502"/>
    </row>
    <row r="1503" spans="1:9" x14ac:dyDescent="0.25">
      <c r="A1503" s="228">
        <v>41857</v>
      </c>
      <c r="B1503" s="161" t="s">
        <v>836</v>
      </c>
      <c r="C1503" t="s">
        <v>8</v>
      </c>
      <c r="D1503" t="s">
        <v>33</v>
      </c>
      <c r="E1503" s="162">
        <v>3</v>
      </c>
      <c r="F1503" s="162">
        <v>38.450000000000003</v>
      </c>
      <c r="G1503" s="165">
        <v>115.35</v>
      </c>
      <c r="H1503" s="20">
        <v>135</v>
      </c>
      <c r="I1503"/>
    </row>
    <row r="1504" spans="1:9" x14ac:dyDescent="0.25">
      <c r="A1504" s="228">
        <v>41857</v>
      </c>
      <c r="B1504" s="161" t="s">
        <v>855</v>
      </c>
      <c r="C1504" t="s">
        <v>856</v>
      </c>
      <c r="D1504" t="s">
        <v>33</v>
      </c>
      <c r="E1504" s="162">
        <v>5</v>
      </c>
      <c r="F1504" s="162">
        <v>21.61</v>
      </c>
      <c r="G1504" s="165">
        <v>108.05</v>
      </c>
      <c r="H1504" s="20">
        <v>135</v>
      </c>
      <c r="I1504"/>
    </row>
    <row r="1505" spans="1:9" x14ac:dyDescent="0.25">
      <c r="A1505" s="228">
        <v>41858</v>
      </c>
      <c r="B1505" s="161" t="s">
        <v>855</v>
      </c>
      <c r="C1505" t="s">
        <v>856</v>
      </c>
      <c r="D1505" t="s">
        <v>33</v>
      </c>
      <c r="E1505" s="162">
        <v>2</v>
      </c>
      <c r="F1505" s="162">
        <v>21.61</v>
      </c>
      <c r="G1505" s="165">
        <v>43.22</v>
      </c>
      <c r="H1505" s="20">
        <v>135</v>
      </c>
      <c r="I1505"/>
    </row>
    <row r="1506" spans="1:9" x14ac:dyDescent="0.25">
      <c r="A1506" s="228">
        <v>41858</v>
      </c>
      <c r="B1506" s="161" t="s">
        <v>831</v>
      </c>
      <c r="C1506" t="s">
        <v>1471</v>
      </c>
      <c r="D1506" t="s">
        <v>832</v>
      </c>
      <c r="E1506" s="162">
        <v>1.5</v>
      </c>
      <c r="F1506" s="162">
        <v>54.58</v>
      </c>
      <c r="G1506" s="165">
        <v>81.87</v>
      </c>
      <c r="H1506" s="20">
        <v>135</v>
      </c>
      <c r="I1506"/>
    </row>
    <row r="1507" spans="1:9" x14ac:dyDescent="0.25">
      <c r="A1507" s="228">
        <v>41859</v>
      </c>
      <c r="B1507" s="161" t="s">
        <v>831</v>
      </c>
      <c r="C1507" t="s">
        <v>1471</v>
      </c>
      <c r="D1507" t="s">
        <v>832</v>
      </c>
      <c r="E1507" s="162">
        <v>2.5</v>
      </c>
      <c r="F1507" s="162">
        <v>54.58</v>
      </c>
      <c r="G1507" s="165">
        <v>136.44999999999999</v>
      </c>
      <c r="H1507" s="20">
        <v>135</v>
      </c>
      <c r="I1507"/>
    </row>
    <row r="1508" spans="1:9" x14ac:dyDescent="0.25">
      <c r="A1508" s="228">
        <v>41862</v>
      </c>
      <c r="B1508" s="161" t="s">
        <v>846</v>
      </c>
      <c r="C1508" t="s">
        <v>847</v>
      </c>
      <c r="D1508" t="s">
        <v>33</v>
      </c>
      <c r="E1508" s="162">
        <v>2</v>
      </c>
      <c r="F1508" s="162">
        <v>145</v>
      </c>
      <c r="G1508" s="165">
        <v>290</v>
      </c>
      <c r="H1508" s="20">
        <v>135</v>
      </c>
      <c r="I1508"/>
    </row>
    <row r="1509" spans="1:9" x14ac:dyDescent="0.25">
      <c r="A1509" s="228">
        <v>41862</v>
      </c>
      <c r="B1509" s="161" t="s">
        <v>831</v>
      </c>
      <c r="C1509" t="s">
        <v>1471</v>
      </c>
      <c r="D1509" t="s">
        <v>832</v>
      </c>
      <c r="E1509" s="162">
        <v>0.5</v>
      </c>
      <c r="F1509" s="162">
        <v>54.58</v>
      </c>
      <c r="G1509" s="165">
        <v>27.29</v>
      </c>
      <c r="H1509" s="20">
        <v>135</v>
      </c>
      <c r="I1509"/>
    </row>
    <row r="1510" spans="1:9" x14ac:dyDescent="0.25">
      <c r="A1510" s="228">
        <v>41862</v>
      </c>
      <c r="B1510" s="161" t="s">
        <v>843</v>
      </c>
      <c r="C1510" t="s">
        <v>8</v>
      </c>
      <c r="D1510" t="s">
        <v>33</v>
      </c>
      <c r="E1510" s="162">
        <v>2</v>
      </c>
      <c r="F1510" s="162">
        <v>35.11</v>
      </c>
      <c r="G1510" s="165">
        <v>70.22</v>
      </c>
      <c r="H1510" s="20">
        <v>135</v>
      </c>
      <c r="I1510"/>
    </row>
    <row r="1511" spans="1:9" x14ac:dyDescent="0.25">
      <c r="A1511" s="228">
        <v>41862</v>
      </c>
      <c r="B1511" s="161" t="s">
        <v>841</v>
      </c>
      <c r="C1511" t="s">
        <v>842</v>
      </c>
      <c r="D1511" t="s">
        <v>33</v>
      </c>
      <c r="E1511" s="162">
        <v>2</v>
      </c>
      <c r="F1511" s="162">
        <v>25.78</v>
      </c>
      <c r="G1511" s="165">
        <v>51.56</v>
      </c>
      <c r="H1511" s="20">
        <v>135</v>
      </c>
      <c r="I1511"/>
    </row>
    <row r="1512" spans="1:9" x14ac:dyDescent="0.25">
      <c r="A1512" s="228">
        <v>41862</v>
      </c>
      <c r="B1512" s="161" t="s">
        <v>837</v>
      </c>
      <c r="C1512" t="s">
        <v>8</v>
      </c>
      <c r="D1512" t="s">
        <v>33</v>
      </c>
      <c r="E1512" s="162">
        <v>2</v>
      </c>
      <c r="F1512" s="162">
        <v>42.72</v>
      </c>
      <c r="G1512" s="165">
        <v>85.44</v>
      </c>
      <c r="H1512" s="20">
        <v>135</v>
      </c>
      <c r="I1512"/>
    </row>
    <row r="1513" spans="1:9" x14ac:dyDescent="0.25">
      <c r="A1513" s="228">
        <v>41871</v>
      </c>
      <c r="B1513" s="161" t="s">
        <v>1109</v>
      </c>
      <c r="C1513" t="s">
        <v>840</v>
      </c>
      <c r="D1513" t="s">
        <v>19</v>
      </c>
      <c r="E1513" s="162">
        <v>8.5</v>
      </c>
      <c r="F1513" s="162"/>
      <c r="G1513" s="165"/>
      <c r="H1513" s="20">
        <v>135</v>
      </c>
      <c r="I1513"/>
    </row>
    <row r="1514" spans="1:9" x14ac:dyDescent="0.25">
      <c r="A1514" s="228">
        <v>41872</v>
      </c>
      <c r="B1514" s="161" t="s">
        <v>1109</v>
      </c>
      <c r="C1514" t="s">
        <v>840</v>
      </c>
      <c r="D1514" t="s">
        <v>19</v>
      </c>
      <c r="E1514" s="162">
        <v>9.5</v>
      </c>
      <c r="F1514" s="162"/>
      <c r="G1514" s="165"/>
      <c r="H1514" s="20">
        <v>135</v>
      </c>
      <c r="I1514"/>
    </row>
    <row r="1515" spans="1:9" x14ac:dyDescent="0.25">
      <c r="A1515" s="228">
        <v>41873</v>
      </c>
      <c r="B1515" s="161" t="s">
        <v>1109</v>
      </c>
      <c r="C1515" t="s">
        <v>840</v>
      </c>
      <c r="D1515" t="s">
        <v>19</v>
      </c>
      <c r="E1515" s="162">
        <v>8.5</v>
      </c>
      <c r="F1515" s="162"/>
      <c r="G1515" s="165"/>
      <c r="H1515" s="20">
        <v>135</v>
      </c>
      <c r="I1515"/>
    </row>
    <row r="1516" spans="1:9" x14ac:dyDescent="0.25">
      <c r="A1516" s="228">
        <v>41874</v>
      </c>
      <c r="B1516" s="161" t="s">
        <v>1109</v>
      </c>
      <c r="C1516" t="s">
        <v>840</v>
      </c>
      <c r="D1516" t="s">
        <v>19</v>
      </c>
      <c r="E1516" s="162">
        <v>6</v>
      </c>
      <c r="F1516" s="162"/>
      <c r="G1516" s="165"/>
      <c r="H1516" s="20">
        <v>135</v>
      </c>
      <c r="I1516"/>
    </row>
    <row r="1517" spans="1:9" x14ac:dyDescent="0.25">
      <c r="A1517" s="228">
        <v>41877</v>
      </c>
      <c r="B1517" s="161" t="s">
        <v>820</v>
      </c>
      <c r="C1517" t="s">
        <v>821</v>
      </c>
      <c r="D1517" t="s">
        <v>747</v>
      </c>
      <c r="E1517" s="162">
        <v>9</v>
      </c>
      <c r="F1517" s="162">
        <v>125</v>
      </c>
      <c r="G1517" s="165">
        <v>1125</v>
      </c>
      <c r="H1517" s="20">
        <v>135</v>
      </c>
      <c r="I1517"/>
    </row>
    <row r="1518" spans="1:9" x14ac:dyDescent="0.25">
      <c r="A1518" s="228">
        <v>41879</v>
      </c>
      <c r="B1518" s="161" t="s">
        <v>838</v>
      </c>
      <c r="C1518" t="s">
        <v>8</v>
      </c>
      <c r="D1518" t="s">
        <v>33</v>
      </c>
      <c r="E1518" s="162">
        <v>4.5</v>
      </c>
      <c r="F1518" s="162">
        <v>39.979999999999997</v>
      </c>
      <c r="G1518" s="165">
        <v>179.91</v>
      </c>
      <c r="H1518" s="20">
        <v>135</v>
      </c>
      <c r="I1518"/>
    </row>
    <row r="1519" spans="1:9" x14ac:dyDescent="0.25">
      <c r="A1519" s="228">
        <v>41879</v>
      </c>
      <c r="B1519" s="161" t="s">
        <v>831</v>
      </c>
      <c r="C1519" t="s">
        <v>1471</v>
      </c>
      <c r="D1519" t="s">
        <v>832</v>
      </c>
      <c r="E1519" s="162">
        <v>5</v>
      </c>
      <c r="F1519" s="162">
        <v>54.58</v>
      </c>
      <c r="G1519" s="165">
        <v>272.89999999999998</v>
      </c>
      <c r="H1519" s="20">
        <v>135</v>
      </c>
      <c r="I1519"/>
    </row>
    <row r="1520" spans="1:9" x14ac:dyDescent="0.25">
      <c r="A1520" s="228">
        <v>41890</v>
      </c>
      <c r="B1520" s="161" t="s">
        <v>837</v>
      </c>
      <c r="C1520" t="s">
        <v>8</v>
      </c>
      <c r="D1520" t="s">
        <v>33</v>
      </c>
      <c r="E1520" s="162">
        <v>2</v>
      </c>
      <c r="F1520" s="162">
        <v>42.72</v>
      </c>
      <c r="G1520" s="165">
        <v>85.44</v>
      </c>
      <c r="H1520" s="20">
        <v>135</v>
      </c>
      <c r="I1520"/>
    </row>
    <row r="1521" spans="1:9" x14ac:dyDescent="0.25">
      <c r="A1521" s="228">
        <v>41890</v>
      </c>
      <c r="B1521" s="161" t="s">
        <v>843</v>
      </c>
      <c r="C1521" t="s">
        <v>8</v>
      </c>
      <c r="D1521" t="s">
        <v>33</v>
      </c>
      <c r="E1521" s="162">
        <v>2</v>
      </c>
      <c r="F1521" s="162">
        <v>35.11</v>
      </c>
      <c r="G1521" s="165">
        <v>70.22</v>
      </c>
      <c r="H1521" s="20">
        <v>135</v>
      </c>
      <c r="I1521"/>
    </row>
    <row r="1522" spans="1:9" x14ac:dyDescent="0.25">
      <c r="A1522" s="228">
        <v>41897</v>
      </c>
      <c r="B1522" s="161" t="s">
        <v>831</v>
      </c>
      <c r="C1522" t="s">
        <v>1471</v>
      </c>
      <c r="D1522" t="s">
        <v>832</v>
      </c>
      <c r="E1522" s="162">
        <v>3</v>
      </c>
      <c r="F1522" s="162">
        <v>54.58</v>
      </c>
      <c r="G1522" s="165">
        <v>163.74</v>
      </c>
      <c r="H1522" s="20">
        <v>135</v>
      </c>
      <c r="I1522"/>
    </row>
    <row r="1523" spans="1:9" x14ac:dyDescent="0.25">
      <c r="A1523" s="228">
        <v>41897</v>
      </c>
      <c r="B1523" s="161" t="s">
        <v>837</v>
      </c>
      <c r="C1523" t="s">
        <v>8</v>
      </c>
      <c r="D1523" t="s">
        <v>33</v>
      </c>
      <c r="E1523" s="162">
        <v>2</v>
      </c>
      <c r="F1523" s="162">
        <v>42.72</v>
      </c>
      <c r="G1523" s="165">
        <v>85.44</v>
      </c>
      <c r="H1523" s="20">
        <v>135</v>
      </c>
      <c r="I1523"/>
    </row>
    <row r="1524" spans="1:9" x14ac:dyDescent="0.25">
      <c r="A1524" s="228">
        <v>41932</v>
      </c>
      <c r="B1524" s="161" t="s">
        <v>1138</v>
      </c>
      <c r="C1524" t="s">
        <v>1139</v>
      </c>
      <c r="D1524" t="s">
        <v>33</v>
      </c>
      <c r="E1524" s="162">
        <v>2.5</v>
      </c>
      <c r="F1524" s="162">
        <v>115</v>
      </c>
      <c r="G1524" s="165">
        <v>287.5</v>
      </c>
      <c r="H1524" s="20">
        <v>135</v>
      </c>
      <c r="I1524"/>
    </row>
    <row r="1525" spans="1:9" x14ac:dyDescent="0.25">
      <c r="A1525" s="228">
        <v>41932</v>
      </c>
      <c r="B1525" s="161" t="s">
        <v>1140</v>
      </c>
      <c r="C1525" t="s">
        <v>1139</v>
      </c>
      <c r="D1525" t="s">
        <v>33</v>
      </c>
      <c r="E1525" s="162">
        <v>3.5</v>
      </c>
      <c r="F1525" s="162">
        <v>100</v>
      </c>
      <c r="G1525" s="165">
        <v>350</v>
      </c>
      <c r="H1525" s="20">
        <v>135</v>
      </c>
      <c r="I1525"/>
    </row>
    <row r="1526" spans="1:9" x14ac:dyDescent="0.25">
      <c r="A1526" s="228">
        <v>41932</v>
      </c>
      <c r="B1526" s="161" t="s">
        <v>838</v>
      </c>
      <c r="C1526" t="s">
        <v>8</v>
      </c>
      <c r="D1526" t="s">
        <v>33</v>
      </c>
      <c r="E1526" s="162">
        <v>9.5</v>
      </c>
      <c r="F1526" s="162">
        <v>39.979999999999997</v>
      </c>
      <c r="G1526" s="165">
        <v>379.81</v>
      </c>
      <c r="H1526" s="20">
        <v>135</v>
      </c>
      <c r="I1526"/>
    </row>
    <row r="1527" spans="1:9" x14ac:dyDescent="0.25">
      <c r="A1527" s="228">
        <v>41933</v>
      </c>
      <c r="B1527" s="161" t="s">
        <v>1141</v>
      </c>
      <c r="C1527" t="s">
        <v>1139</v>
      </c>
      <c r="D1527" t="s">
        <v>33</v>
      </c>
      <c r="E1527" s="162">
        <v>2</v>
      </c>
      <c r="F1527" s="162">
        <v>115</v>
      </c>
      <c r="G1527" s="165">
        <v>230</v>
      </c>
      <c r="H1527" s="20">
        <v>135</v>
      </c>
      <c r="I1527"/>
    </row>
    <row r="1528" spans="1:9" x14ac:dyDescent="0.25">
      <c r="A1528" s="228">
        <v>41933</v>
      </c>
      <c r="B1528" s="161" t="s">
        <v>843</v>
      </c>
      <c r="C1528" t="s">
        <v>8</v>
      </c>
      <c r="D1528" t="s">
        <v>33</v>
      </c>
      <c r="E1528" s="162">
        <v>5</v>
      </c>
      <c r="F1528" s="162">
        <v>35.11</v>
      </c>
      <c r="G1528" s="165">
        <v>175.55</v>
      </c>
      <c r="H1528" s="20">
        <v>135</v>
      </c>
      <c r="I1528"/>
    </row>
    <row r="1529" spans="1:9" x14ac:dyDescent="0.25">
      <c r="A1529" s="228">
        <v>41933</v>
      </c>
      <c r="B1529" s="161" t="s">
        <v>843</v>
      </c>
      <c r="C1529" t="s">
        <v>8</v>
      </c>
      <c r="D1529" t="s">
        <v>33</v>
      </c>
      <c r="E1529" s="162">
        <v>4</v>
      </c>
      <c r="F1529" s="162">
        <v>35.11</v>
      </c>
      <c r="G1529" s="165">
        <v>140.44</v>
      </c>
      <c r="H1529" s="20">
        <v>135</v>
      </c>
      <c r="I1529"/>
    </row>
    <row r="1530" spans="1:9" x14ac:dyDescent="0.25">
      <c r="A1530" s="228">
        <v>41933</v>
      </c>
      <c r="B1530" s="161" t="s">
        <v>831</v>
      </c>
      <c r="C1530" t="s">
        <v>1471</v>
      </c>
      <c r="D1530" t="s">
        <v>832</v>
      </c>
      <c r="E1530" s="162">
        <v>3</v>
      </c>
      <c r="F1530" s="162">
        <v>54.58</v>
      </c>
      <c r="G1530" s="165">
        <v>163.74</v>
      </c>
      <c r="H1530" s="20">
        <v>135</v>
      </c>
      <c r="I1530"/>
    </row>
    <row r="1531" spans="1:9" x14ac:dyDescent="0.25">
      <c r="A1531" s="228">
        <v>41933</v>
      </c>
      <c r="B1531" s="161" t="s">
        <v>838</v>
      </c>
      <c r="C1531" t="s">
        <v>8</v>
      </c>
      <c r="D1531" t="s">
        <v>33</v>
      </c>
      <c r="E1531" s="162">
        <v>8</v>
      </c>
      <c r="F1531" s="162">
        <v>39.979999999999997</v>
      </c>
      <c r="G1531" s="165">
        <v>319.83999999999997</v>
      </c>
      <c r="H1531" s="20">
        <v>135</v>
      </c>
      <c r="I1531"/>
    </row>
    <row r="1532" spans="1:9" x14ac:dyDescent="0.25">
      <c r="A1532" s="228">
        <v>41934</v>
      </c>
      <c r="B1532" s="161" t="s">
        <v>855</v>
      </c>
      <c r="C1532" t="s">
        <v>856</v>
      </c>
      <c r="D1532" t="s">
        <v>33</v>
      </c>
      <c r="E1532" s="162">
        <v>3.5</v>
      </c>
      <c r="F1532" s="162">
        <v>21.61</v>
      </c>
      <c r="G1532" s="165">
        <v>75.635000000000005</v>
      </c>
      <c r="H1532" s="20">
        <v>135</v>
      </c>
      <c r="I1532"/>
    </row>
    <row r="1533" spans="1:9" x14ac:dyDescent="0.25">
      <c r="A1533" s="228">
        <v>41934</v>
      </c>
      <c r="B1533" s="161" t="s">
        <v>843</v>
      </c>
      <c r="C1533" t="s">
        <v>8</v>
      </c>
      <c r="D1533" t="s">
        <v>33</v>
      </c>
      <c r="E1533" s="162">
        <v>8.5</v>
      </c>
      <c r="F1533" s="162">
        <v>35.11</v>
      </c>
      <c r="G1533" s="165">
        <v>298.435</v>
      </c>
      <c r="H1533" s="20">
        <v>135</v>
      </c>
      <c r="I1533"/>
    </row>
    <row r="1534" spans="1:9" x14ac:dyDescent="0.25">
      <c r="A1534" s="228">
        <v>41934</v>
      </c>
      <c r="B1534" s="161" t="s">
        <v>831</v>
      </c>
      <c r="C1534" t="s">
        <v>1471</v>
      </c>
      <c r="D1534" t="s">
        <v>832</v>
      </c>
      <c r="E1534" s="162">
        <v>6.5</v>
      </c>
      <c r="F1534" s="162">
        <v>54.58</v>
      </c>
      <c r="G1534" s="165">
        <v>354.77</v>
      </c>
      <c r="H1534" s="20">
        <v>135</v>
      </c>
      <c r="I1534"/>
    </row>
    <row r="1535" spans="1:9" x14ac:dyDescent="0.25">
      <c r="A1535" s="228">
        <v>41934</v>
      </c>
      <c r="B1535" s="161" t="s">
        <v>838</v>
      </c>
      <c r="C1535" t="s">
        <v>8</v>
      </c>
      <c r="D1535" t="s">
        <v>33</v>
      </c>
      <c r="E1535" s="162">
        <v>8.5</v>
      </c>
      <c r="F1535" s="162">
        <v>39.979999999999997</v>
      </c>
      <c r="G1535" s="165">
        <v>339.83</v>
      </c>
      <c r="H1535" s="20">
        <v>135</v>
      </c>
      <c r="I1535"/>
    </row>
    <row r="1536" spans="1:9" x14ac:dyDescent="0.25">
      <c r="A1536" s="228">
        <v>41935</v>
      </c>
      <c r="B1536" s="161" t="s">
        <v>843</v>
      </c>
      <c r="C1536" t="s">
        <v>8</v>
      </c>
      <c r="D1536" t="s">
        <v>33</v>
      </c>
      <c r="E1536" s="162">
        <v>6.5</v>
      </c>
      <c r="F1536" s="162">
        <v>35.11</v>
      </c>
      <c r="G1536" s="165">
        <v>228.215</v>
      </c>
      <c r="H1536" s="20">
        <v>135</v>
      </c>
      <c r="I1536"/>
    </row>
    <row r="1537" spans="1:9" x14ac:dyDescent="0.25">
      <c r="A1537" s="228">
        <v>41935</v>
      </c>
      <c r="B1537" s="161" t="s">
        <v>831</v>
      </c>
      <c r="C1537" t="s">
        <v>1471</v>
      </c>
      <c r="D1537" t="s">
        <v>832</v>
      </c>
      <c r="E1537" s="162">
        <v>1.5</v>
      </c>
      <c r="F1537" s="162">
        <v>54.58</v>
      </c>
      <c r="G1537" s="165">
        <v>81.87</v>
      </c>
      <c r="H1537" s="20">
        <v>135</v>
      </c>
      <c r="I1537"/>
    </row>
    <row r="1538" spans="1:9" x14ac:dyDescent="0.25">
      <c r="A1538" s="228">
        <v>41936</v>
      </c>
      <c r="B1538" s="161" t="s">
        <v>843</v>
      </c>
      <c r="C1538" t="s">
        <v>8</v>
      </c>
      <c r="D1538" t="s">
        <v>33</v>
      </c>
      <c r="E1538" s="162">
        <v>4</v>
      </c>
      <c r="F1538" s="162">
        <v>35.11</v>
      </c>
      <c r="G1538" s="165">
        <v>140.44</v>
      </c>
      <c r="H1538" s="20">
        <v>135</v>
      </c>
      <c r="I1538"/>
    </row>
    <row r="1539" spans="1:9" x14ac:dyDescent="0.25">
      <c r="A1539" s="228">
        <v>41936</v>
      </c>
      <c r="B1539" s="161" t="s">
        <v>831</v>
      </c>
      <c r="C1539" t="s">
        <v>1471</v>
      </c>
      <c r="D1539" t="s">
        <v>832</v>
      </c>
      <c r="E1539" s="162">
        <v>2</v>
      </c>
      <c r="F1539" s="162">
        <v>54.58</v>
      </c>
      <c r="G1539" s="165">
        <v>109.16</v>
      </c>
      <c r="H1539" s="20">
        <v>135</v>
      </c>
      <c r="I1539"/>
    </row>
    <row r="1540" spans="1:9" x14ac:dyDescent="0.25">
      <c r="A1540" s="228">
        <v>41936</v>
      </c>
      <c r="B1540" s="161" t="s">
        <v>838</v>
      </c>
      <c r="C1540" t="s">
        <v>8</v>
      </c>
      <c r="D1540" t="s">
        <v>33</v>
      </c>
      <c r="E1540" s="162">
        <v>4</v>
      </c>
      <c r="F1540" s="162">
        <v>39.979999999999997</v>
      </c>
      <c r="G1540" s="165">
        <v>159.91999999999999</v>
      </c>
      <c r="H1540" s="20">
        <v>135</v>
      </c>
      <c r="I1540"/>
    </row>
    <row r="1541" spans="1:9" x14ac:dyDescent="0.25">
      <c r="A1541" s="228">
        <v>41942</v>
      </c>
      <c r="B1541" s="161" t="s">
        <v>831</v>
      </c>
      <c r="C1541" t="s">
        <v>1471</v>
      </c>
      <c r="D1541" t="s">
        <v>832</v>
      </c>
      <c r="E1541" s="162">
        <v>8</v>
      </c>
      <c r="F1541" s="162">
        <v>54.58</v>
      </c>
      <c r="G1541" s="165">
        <v>436.64</v>
      </c>
      <c r="H1541" s="20">
        <v>135</v>
      </c>
      <c r="I1541"/>
    </row>
    <row r="1542" spans="1:9" x14ac:dyDescent="0.25">
      <c r="A1542" s="228">
        <v>41942</v>
      </c>
      <c r="B1542" s="161" t="s">
        <v>843</v>
      </c>
      <c r="C1542" t="s">
        <v>8</v>
      </c>
      <c r="D1542" t="s">
        <v>33</v>
      </c>
      <c r="E1542" s="162">
        <v>7.5</v>
      </c>
      <c r="F1542" s="162">
        <v>35.11</v>
      </c>
      <c r="G1542" s="165">
        <v>263.32499999999999</v>
      </c>
      <c r="H1542" s="20">
        <v>135</v>
      </c>
      <c r="I1542"/>
    </row>
    <row r="1543" spans="1:9" x14ac:dyDescent="0.25">
      <c r="A1543" s="228">
        <v>41942</v>
      </c>
      <c r="B1543" s="161" t="s">
        <v>838</v>
      </c>
      <c r="C1543" t="s">
        <v>8</v>
      </c>
      <c r="D1543" t="s">
        <v>33</v>
      </c>
      <c r="E1543" s="162">
        <v>5</v>
      </c>
      <c r="F1543" s="162">
        <v>39.979999999999997</v>
      </c>
      <c r="G1543" s="165">
        <v>199.9</v>
      </c>
      <c r="H1543" s="20">
        <v>135</v>
      </c>
      <c r="I1543"/>
    </row>
    <row r="1544" spans="1:9" x14ac:dyDescent="0.25">
      <c r="A1544" s="228">
        <v>41942</v>
      </c>
      <c r="B1544" s="161" t="s">
        <v>855</v>
      </c>
      <c r="C1544" t="s">
        <v>856</v>
      </c>
      <c r="D1544" t="s">
        <v>33</v>
      </c>
      <c r="E1544" s="162">
        <v>2</v>
      </c>
      <c r="F1544" s="162">
        <v>21.61</v>
      </c>
      <c r="G1544" s="165">
        <v>43.22</v>
      </c>
      <c r="H1544" s="20">
        <v>135</v>
      </c>
      <c r="I1544"/>
    </row>
    <row r="1545" spans="1:9" x14ac:dyDescent="0.25">
      <c r="A1545" s="228">
        <v>41943</v>
      </c>
      <c r="B1545" s="161" t="s">
        <v>843</v>
      </c>
      <c r="C1545" t="s">
        <v>8</v>
      </c>
      <c r="D1545" t="s">
        <v>33</v>
      </c>
      <c r="E1545" s="162">
        <v>2</v>
      </c>
      <c r="F1545" s="162">
        <v>35.11</v>
      </c>
      <c r="G1545" s="165">
        <v>70.22</v>
      </c>
      <c r="H1545" s="20">
        <v>135</v>
      </c>
      <c r="I1545"/>
    </row>
    <row r="1546" spans="1:9" x14ac:dyDescent="0.25">
      <c r="A1546" s="228">
        <v>41943</v>
      </c>
      <c r="B1546" s="161" t="s">
        <v>1140</v>
      </c>
      <c r="C1546" t="s">
        <v>1139</v>
      </c>
      <c r="D1546" t="s">
        <v>33</v>
      </c>
      <c r="E1546" s="162">
        <v>8.5</v>
      </c>
      <c r="F1546" s="162">
        <v>105</v>
      </c>
      <c r="G1546" s="165">
        <v>892.5</v>
      </c>
      <c r="H1546" s="20">
        <v>135</v>
      </c>
      <c r="I1546"/>
    </row>
    <row r="1547" spans="1:9" x14ac:dyDescent="0.25">
      <c r="A1547" s="228">
        <v>41943</v>
      </c>
      <c r="B1547" s="161" t="s">
        <v>838</v>
      </c>
      <c r="C1547" t="s">
        <v>8</v>
      </c>
      <c r="D1547" t="s">
        <v>33</v>
      </c>
      <c r="E1547" s="162">
        <v>1</v>
      </c>
      <c r="F1547" s="162">
        <v>39.979999999999997</v>
      </c>
      <c r="G1547" s="165">
        <v>39.979999999999997</v>
      </c>
      <c r="H1547" s="20">
        <v>135</v>
      </c>
      <c r="I1547"/>
    </row>
    <row r="1548" spans="1:9" x14ac:dyDescent="0.25">
      <c r="A1548" s="228">
        <v>41944</v>
      </c>
      <c r="B1548" s="161" t="s">
        <v>1099</v>
      </c>
      <c r="C1548" t="s">
        <v>1100</v>
      </c>
      <c r="D1548" t="s">
        <v>747</v>
      </c>
      <c r="E1548" s="162">
        <v>22.5</v>
      </c>
      <c r="F1548" s="162"/>
      <c r="G1548" s="165"/>
      <c r="H1548" s="20">
        <v>135</v>
      </c>
      <c r="I1548"/>
    </row>
    <row r="1549" spans="1:9" x14ac:dyDescent="0.25">
      <c r="A1549" s="228">
        <v>41946</v>
      </c>
      <c r="B1549" s="161" t="s">
        <v>838</v>
      </c>
      <c r="C1549" t="s">
        <v>8</v>
      </c>
      <c r="D1549" t="s">
        <v>33</v>
      </c>
      <c r="E1549" s="162">
        <v>1</v>
      </c>
      <c r="F1549" s="162">
        <v>39.979999999999997</v>
      </c>
      <c r="G1549" s="165">
        <v>39.979999999999997</v>
      </c>
      <c r="H1549" s="20">
        <v>135</v>
      </c>
      <c r="I1549"/>
    </row>
    <row r="1550" spans="1:9" x14ac:dyDescent="0.25">
      <c r="A1550" s="228">
        <v>41954</v>
      </c>
      <c r="B1550" s="161" t="s">
        <v>831</v>
      </c>
      <c r="C1550" t="s">
        <v>1471</v>
      </c>
      <c r="D1550" t="s">
        <v>832</v>
      </c>
      <c r="E1550" s="162">
        <v>3</v>
      </c>
      <c r="F1550" s="162">
        <v>54.58</v>
      </c>
      <c r="G1550" s="165">
        <v>163.74</v>
      </c>
      <c r="H1550" s="20">
        <v>135</v>
      </c>
      <c r="I1550"/>
    </row>
    <row r="1551" spans="1:9" x14ac:dyDescent="0.25">
      <c r="A1551" s="228">
        <v>41954</v>
      </c>
      <c r="B1551" s="161" t="s">
        <v>838</v>
      </c>
      <c r="C1551" t="s">
        <v>8</v>
      </c>
      <c r="D1551" t="s">
        <v>33</v>
      </c>
      <c r="E1551" s="162">
        <v>2</v>
      </c>
      <c r="F1551" s="162">
        <v>39.979999999999997</v>
      </c>
      <c r="G1551" s="165">
        <v>79.959999999999994</v>
      </c>
      <c r="H1551" s="20">
        <v>135</v>
      </c>
      <c r="I1551"/>
    </row>
    <row r="1552" spans="1:9" x14ac:dyDescent="0.25">
      <c r="A1552" s="228">
        <v>41954</v>
      </c>
      <c r="B1552" s="161" t="s">
        <v>843</v>
      </c>
      <c r="C1552" t="s">
        <v>8</v>
      </c>
      <c r="D1552" t="s">
        <v>33</v>
      </c>
      <c r="E1552" s="162">
        <v>2</v>
      </c>
      <c r="F1552" s="162">
        <v>35.11</v>
      </c>
      <c r="G1552" s="165">
        <v>70.22</v>
      </c>
      <c r="H1552" s="20">
        <v>135</v>
      </c>
      <c r="I1552"/>
    </row>
    <row r="1553" spans="1:9" x14ac:dyDescent="0.25">
      <c r="A1553" s="228">
        <v>42016</v>
      </c>
      <c r="B1553" s="161" t="s">
        <v>831</v>
      </c>
      <c r="C1553" t="s">
        <v>1471</v>
      </c>
      <c r="D1553" t="s">
        <v>832</v>
      </c>
      <c r="E1553" s="162">
        <v>3</v>
      </c>
      <c r="F1553" s="162">
        <v>54.58</v>
      </c>
      <c r="G1553" s="165">
        <v>163.74</v>
      </c>
      <c r="H1553" s="20">
        <v>135</v>
      </c>
      <c r="I1553"/>
    </row>
    <row r="1554" spans="1:9" x14ac:dyDescent="0.25">
      <c r="A1554" s="228">
        <v>42016</v>
      </c>
      <c r="B1554" s="161" t="s">
        <v>838</v>
      </c>
      <c r="C1554" t="s">
        <v>8</v>
      </c>
      <c r="D1554" t="s">
        <v>33</v>
      </c>
      <c r="E1554" s="162">
        <v>3</v>
      </c>
      <c r="F1554" s="162">
        <v>39.979999999999997</v>
      </c>
      <c r="G1554" s="165">
        <v>119.94</v>
      </c>
      <c r="H1554" s="20">
        <v>135</v>
      </c>
      <c r="I1554"/>
    </row>
    <row r="1555" spans="1:9" x14ac:dyDescent="0.25">
      <c r="A1555" s="228">
        <v>42018</v>
      </c>
      <c r="B1555" s="161" t="s">
        <v>838</v>
      </c>
      <c r="C1555" t="s">
        <v>8</v>
      </c>
      <c r="D1555" t="s">
        <v>33</v>
      </c>
      <c r="E1555" s="162">
        <v>1.5</v>
      </c>
      <c r="F1555" s="162">
        <v>39.979999999999997</v>
      </c>
      <c r="G1555" s="165">
        <v>59.97</v>
      </c>
      <c r="H1555" s="20">
        <v>135</v>
      </c>
      <c r="I1555"/>
    </row>
    <row r="1556" spans="1:9" x14ac:dyDescent="0.25">
      <c r="A1556" s="228">
        <v>42018</v>
      </c>
      <c r="B1556" s="161" t="s">
        <v>831</v>
      </c>
      <c r="C1556" t="s">
        <v>1471</v>
      </c>
      <c r="D1556" t="s">
        <v>832</v>
      </c>
      <c r="E1556" s="162">
        <v>1.5</v>
      </c>
      <c r="F1556" s="162">
        <v>54.58</v>
      </c>
      <c r="G1556" s="165">
        <v>81.87</v>
      </c>
      <c r="H1556" s="20">
        <v>135</v>
      </c>
      <c r="I1556"/>
    </row>
    <row r="1557" spans="1:9" x14ac:dyDescent="0.25">
      <c r="A1557" s="228">
        <v>42020</v>
      </c>
      <c r="B1557" s="161" t="s">
        <v>831</v>
      </c>
      <c r="C1557" t="s">
        <v>1471</v>
      </c>
      <c r="D1557" t="s">
        <v>832</v>
      </c>
      <c r="E1557" s="162">
        <v>5</v>
      </c>
      <c r="F1557" s="162">
        <v>54.58</v>
      </c>
      <c r="G1557" s="165">
        <v>272.89999999999998</v>
      </c>
      <c r="H1557" s="20">
        <v>135</v>
      </c>
      <c r="I1557"/>
    </row>
    <row r="1558" spans="1:9" x14ac:dyDescent="0.25">
      <c r="A1558" s="228">
        <v>42020</v>
      </c>
      <c r="B1558" s="161" t="s">
        <v>838</v>
      </c>
      <c r="C1558" t="s">
        <v>8</v>
      </c>
      <c r="D1558" t="s">
        <v>33</v>
      </c>
      <c r="E1558" s="162">
        <v>5</v>
      </c>
      <c r="F1558" s="162">
        <v>39.979999999999997</v>
      </c>
      <c r="G1558" s="165">
        <v>199.9</v>
      </c>
      <c r="H1558" s="20">
        <v>135</v>
      </c>
      <c r="I1558"/>
    </row>
    <row r="1559" spans="1:9" x14ac:dyDescent="0.25">
      <c r="A1559" s="228">
        <v>42023</v>
      </c>
      <c r="B1559" s="161" t="s">
        <v>831</v>
      </c>
      <c r="C1559" t="s">
        <v>1471</v>
      </c>
      <c r="D1559" t="s">
        <v>832</v>
      </c>
      <c r="E1559" s="162">
        <v>4</v>
      </c>
      <c r="F1559" s="162">
        <v>54.58</v>
      </c>
      <c r="G1559" s="165">
        <v>218.32</v>
      </c>
      <c r="H1559" s="20">
        <v>135</v>
      </c>
      <c r="I1559"/>
    </row>
    <row r="1560" spans="1:9" x14ac:dyDescent="0.25">
      <c r="A1560" s="228">
        <v>42023</v>
      </c>
      <c r="B1560" s="161" t="s">
        <v>862</v>
      </c>
      <c r="C1560" t="s">
        <v>1472</v>
      </c>
      <c r="D1560" t="s">
        <v>33</v>
      </c>
      <c r="E1560" s="162">
        <v>4</v>
      </c>
      <c r="F1560" s="162">
        <v>88.74</v>
      </c>
      <c r="G1560" s="165">
        <v>354.96</v>
      </c>
      <c r="H1560" s="20">
        <v>135</v>
      </c>
      <c r="I1560"/>
    </row>
    <row r="1561" spans="1:9" x14ac:dyDescent="0.25">
      <c r="A1561" s="228">
        <v>42026</v>
      </c>
      <c r="B1561" s="161" t="s">
        <v>843</v>
      </c>
      <c r="C1561" t="s">
        <v>8</v>
      </c>
      <c r="D1561" t="s">
        <v>33</v>
      </c>
      <c r="E1561" s="162">
        <v>6</v>
      </c>
      <c r="F1561" s="162">
        <v>42.72</v>
      </c>
      <c r="G1561" s="165">
        <v>256.32</v>
      </c>
      <c r="H1561" s="20">
        <v>135</v>
      </c>
      <c r="I1561"/>
    </row>
    <row r="1562" spans="1:9" x14ac:dyDescent="0.25">
      <c r="A1562" s="228">
        <v>42026</v>
      </c>
      <c r="B1562" s="161" t="s">
        <v>862</v>
      </c>
      <c r="C1562" t="s">
        <v>1472</v>
      </c>
      <c r="D1562" t="s">
        <v>33</v>
      </c>
      <c r="E1562" s="162">
        <v>8</v>
      </c>
      <c r="F1562" s="162">
        <v>88.74</v>
      </c>
      <c r="G1562" s="165">
        <v>709.92</v>
      </c>
      <c r="H1562" s="20">
        <v>135</v>
      </c>
      <c r="I1562"/>
    </row>
    <row r="1563" spans="1:9" x14ac:dyDescent="0.25">
      <c r="A1563" s="228">
        <v>42026</v>
      </c>
      <c r="B1563" s="161" t="s">
        <v>831</v>
      </c>
      <c r="C1563" t="s">
        <v>1471</v>
      </c>
      <c r="D1563" t="s">
        <v>832</v>
      </c>
      <c r="E1563" s="162">
        <v>8</v>
      </c>
      <c r="F1563" s="162">
        <v>54.58</v>
      </c>
      <c r="G1563" s="165">
        <v>436.64</v>
      </c>
      <c r="H1563" s="20">
        <v>135</v>
      </c>
      <c r="I1563"/>
    </row>
    <row r="1564" spans="1:9" x14ac:dyDescent="0.25">
      <c r="A1564" s="228">
        <v>42053</v>
      </c>
      <c r="B1564" s="161" t="s">
        <v>1099</v>
      </c>
      <c r="C1564" t="s">
        <v>1100</v>
      </c>
      <c r="D1564" t="s">
        <v>747</v>
      </c>
      <c r="E1564" s="162">
        <v>8</v>
      </c>
      <c r="F1564" s="162"/>
      <c r="G1564" s="165"/>
      <c r="H1564" s="20">
        <v>135</v>
      </c>
      <c r="I1564"/>
    </row>
    <row r="1565" spans="1:9" x14ac:dyDescent="0.25">
      <c r="A1565" s="230" t="s">
        <v>642</v>
      </c>
      <c r="B1565" s="231" t="s">
        <v>1142</v>
      </c>
      <c r="C1565" s="232" t="s">
        <v>642</v>
      </c>
      <c r="D1565" s="232" t="s">
        <v>642</v>
      </c>
      <c r="E1565" s="233"/>
      <c r="F1565" s="233"/>
      <c r="G1565" s="234">
        <v>62335.54</v>
      </c>
      <c r="H1565" s="235" t="s">
        <v>642</v>
      </c>
      <c r="I1565"/>
    </row>
    <row r="1566" spans="1:9" x14ac:dyDescent="0.25">
      <c r="A1566" s="228" t="s">
        <v>642</v>
      </c>
      <c r="B1566" s="161" t="s">
        <v>642</v>
      </c>
      <c r="C1566" t="s">
        <v>642</v>
      </c>
      <c r="D1566" t="s">
        <v>642</v>
      </c>
      <c r="E1566" s="162"/>
      <c r="F1566" s="162"/>
      <c r="G1566" s="165"/>
      <c r="H1566" s="20" t="s">
        <v>642</v>
      </c>
      <c r="I1566"/>
    </row>
    <row r="1567" spans="1:9" x14ac:dyDescent="0.25">
      <c r="A1567" s="226" t="s">
        <v>642</v>
      </c>
      <c r="B1567" s="159" t="s">
        <v>1143</v>
      </c>
      <c r="C1567" s="64" t="s">
        <v>642</v>
      </c>
      <c r="D1567" s="64" t="s">
        <v>642</v>
      </c>
      <c r="E1567" s="227"/>
      <c r="F1567" s="227"/>
      <c r="G1567" s="166"/>
      <c r="H1567" s="160" t="s">
        <v>642</v>
      </c>
      <c r="I1567"/>
    </row>
    <row r="1568" spans="1:9" x14ac:dyDescent="0.25">
      <c r="A1568" s="228">
        <v>41726</v>
      </c>
      <c r="B1568" s="161" t="s">
        <v>831</v>
      </c>
      <c r="C1568" t="s">
        <v>1471</v>
      </c>
      <c r="D1568" t="s">
        <v>832</v>
      </c>
      <c r="E1568" s="162">
        <v>1</v>
      </c>
      <c r="F1568" s="162">
        <v>54.58</v>
      </c>
      <c r="G1568" s="165">
        <v>54.58</v>
      </c>
      <c r="H1568" s="20">
        <v>151</v>
      </c>
      <c r="I1568"/>
    </row>
    <row r="1569" spans="1:9" x14ac:dyDescent="0.25">
      <c r="A1569" s="228">
        <v>41726</v>
      </c>
      <c r="B1569" s="161" t="s">
        <v>1144</v>
      </c>
      <c r="C1569" t="s">
        <v>8</v>
      </c>
      <c r="D1569" t="s">
        <v>832</v>
      </c>
      <c r="E1569" s="162">
        <v>1</v>
      </c>
      <c r="F1569" s="162">
        <v>51.54</v>
      </c>
      <c r="G1569" s="165">
        <v>51.54</v>
      </c>
      <c r="H1569" s="20">
        <v>151</v>
      </c>
      <c r="I1569"/>
    </row>
    <row r="1570" spans="1:9" x14ac:dyDescent="0.25">
      <c r="A1570" s="228">
        <v>41764</v>
      </c>
      <c r="B1570" s="161" t="s">
        <v>837</v>
      </c>
      <c r="C1570" t="s">
        <v>8</v>
      </c>
      <c r="D1570" t="s">
        <v>33</v>
      </c>
      <c r="E1570" s="162">
        <v>2</v>
      </c>
      <c r="F1570" s="162">
        <v>42.72</v>
      </c>
      <c r="G1570" s="165">
        <v>85.44</v>
      </c>
      <c r="H1570" s="20">
        <v>151</v>
      </c>
      <c r="I1570"/>
    </row>
    <row r="1571" spans="1:9" x14ac:dyDescent="0.25">
      <c r="A1571" s="228">
        <v>41774</v>
      </c>
      <c r="B1571" s="161" t="s">
        <v>831</v>
      </c>
      <c r="C1571" t="s">
        <v>1471</v>
      </c>
      <c r="D1571" t="s">
        <v>832</v>
      </c>
      <c r="E1571" s="162">
        <v>1.5</v>
      </c>
      <c r="F1571" s="162">
        <v>54.58</v>
      </c>
      <c r="G1571" s="165">
        <v>81.87</v>
      </c>
      <c r="H1571" s="20">
        <v>151</v>
      </c>
      <c r="I1571"/>
    </row>
    <row r="1572" spans="1:9" x14ac:dyDescent="0.25">
      <c r="A1572" s="228">
        <v>41774</v>
      </c>
      <c r="B1572" s="161" t="s">
        <v>838</v>
      </c>
      <c r="C1572" t="s">
        <v>8</v>
      </c>
      <c r="D1572" t="s">
        <v>33</v>
      </c>
      <c r="E1572" s="162">
        <v>1.5</v>
      </c>
      <c r="F1572" s="162">
        <v>39.979999999999997</v>
      </c>
      <c r="G1572" s="165">
        <v>59.97</v>
      </c>
      <c r="H1572" s="20">
        <v>151</v>
      </c>
      <c r="I1572"/>
    </row>
    <row r="1573" spans="1:9" x14ac:dyDescent="0.25">
      <c r="A1573" s="228">
        <v>41774</v>
      </c>
      <c r="B1573" s="161" t="s">
        <v>843</v>
      </c>
      <c r="C1573" t="s">
        <v>8</v>
      </c>
      <c r="D1573" t="s">
        <v>33</v>
      </c>
      <c r="E1573" s="162">
        <v>1.5</v>
      </c>
      <c r="F1573" s="162">
        <v>35.11</v>
      </c>
      <c r="G1573" s="165">
        <v>52.664999999999999</v>
      </c>
      <c r="H1573" s="20">
        <v>151</v>
      </c>
      <c r="I1573"/>
    </row>
    <row r="1574" spans="1:9" x14ac:dyDescent="0.25">
      <c r="A1574" s="228">
        <v>41775</v>
      </c>
      <c r="B1574" s="161" t="s">
        <v>838</v>
      </c>
      <c r="C1574" t="s">
        <v>8</v>
      </c>
      <c r="D1574" t="s">
        <v>33</v>
      </c>
      <c r="E1574" s="162">
        <v>9.5</v>
      </c>
      <c r="F1574" s="162">
        <v>39.979999999999997</v>
      </c>
      <c r="G1574" s="165">
        <v>379.81</v>
      </c>
      <c r="H1574" s="20">
        <v>151</v>
      </c>
      <c r="I1574"/>
    </row>
    <row r="1575" spans="1:9" x14ac:dyDescent="0.25">
      <c r="A1575" s="228">
        <v>41778</v>
      </c>
      <c r="B1575" s="161" t="s">
        <v>843</v>
      </c>
      <c r="C1575" t="s">
        <v>8</v>
      </c>
      <c r="D1575" t="s">
        <v>33</v>
      </c>
      <c r="E1575" s="162">
        <v>3</v>
      </c>
      <c r="F1575" s="162">
        <v>35.11</v>
      </c>
      <c r="G1575" s="165">
        <v>105.33</v>
      </c>
      <c r="H1575" s="20">
        <v>151</v>
      </c>
      <c r="I1575"/>
    </row>
    <row r="1576" spans="1:9" x14ac:dyDescent="0.25">
      <c r="A1576" s="228">
        <v>41778</v>
      </c>
      <c r="B1576" s="161" t="s">
        <v>838</v>
      </c>
      <c r="C1576" t="s">
        <v>8</v>
      </c>
      <c r="D1576" t="s">
        <v>33</v>
      </c>
      <c r="E1576" s="162">
        <v>3</v>
      </c>
      <c r="F1576" s="162">
        <v>39.979999999999997</v>
      </c>
      <c r="G1576" s="165">
        <v>119.94</v>
      </c>
      <c r="H1576" s="20">
        <v>151</v>
      </c>
      <c r="I1576"/>
    </row>
    <row r="1577" spans="1:9" x14ac:dyDescent="0.25">
      <c r="A1577" s="228">
        <v>41779</v>
      </c>
      <c r="B1577" s="161" t="s">
        <v>843</v>
      </c>
      <c r="C1577" t="s">
        <v>8</v>
      </c>
      <c r="D1577" t="s">
        <v>33</v>
      </c>
      <c r="E1577" s="162">
        <v>6</v>
      </c>
      <c r="F1577" s="162">
        <v>35.11</v>
      </c>
      <c r="G1577" s="165">
        <v>210.66</v>
      </c>
      <c r="H1577" s="20">
        <v>151</v>
      </c>
      <c r="I1577"/>
    </row>
    <row r="1578" spans="1:9" x14ac:dyDescent="0.25">
      <c r="A1578" s="228">
        <v>41779</v>
      </c>
      <c r="B1578" s="161" t="s">
        <v>831</v>
      </c>
      <c r="C1578" t="s">
        <v>1471</v>
      </c>
      <c r="D1578" t="s">
        <v>832</v>
      </c>
      <c r="E1578" s="162">
        <v>5</v>
      </c>
      <c r="F1578" s="162">
        <v>54.58</v>
      </c>
      <c r="G1578" s="165">
        <v>272.89999999999998</v>
      </c>
      <c r="H1578" s="20">
        <v>151</v>
      </c>
      <c r="I1578"/>
    </row>
    <row r="1579" spans="1:9" x14ac:dyDescent="0.25">
      <c r="A1579" s="228">
        <v>41779</v>
      </c>
      <c r="B1579" s="161" t="s">
        <v>838</v>
      </c>
      <c r="C1579" t="s">
        <v>8</v>
      </c>
      <c r="D1579" t="s">
        <v>33</v>
      </c>
      <c r="E1579" s="162">
        <v>6</v>
      </c>
      <c r="F1579" s="162">
        <v>39.979999999999997</v>
      </c>
      <c r="G1579" s="165">
        <v>239.88</v>
      </c>
      <c r="H1579" s="20">
        <v>151</v>
      </c>
      <c r="I1579"/>
    </row>
    <row r="1580" spans="1:9" x14ac:dyDescent="0.25">
      <c r="A1580" s="228">
        <v>41801</v>
      </c>
      <c r="B1580" s="161" t="s">
        <v>843</v>
      </c>
      <c r="C1580" t="s">
        <v>8</v>
      </c>
      <c r="D1580" t="s">
        <v>33</v>
      </c>
      <c r="E1580" s="162">
        <v>2</v>
      </c>
      <c r="F1580" s="162">
        <v>35.11</v>
      </c>
      <c r="G1580" s="165">
        <v>70.22</v>
      </c>
      <c r="H1580" s="20">
        <v>151</v>
      </c>
      <c r="I1580"/>
    </row>
    <row r="1581" spans="1:9" x14ac:dyDescent="0.25">
      <c r="A1581" s="228">
        <v>41801</v>
      </c>
      <c r="B1581" s="161" t="s">
        <v>831</v>
      </c>
      <c r="C1581" t="s">
        <v>1471</v>
      </c>
      <c r="D1581" t="s">
        <v>832</v>
      </c>
      <c r="E1581" s="162">
        <v>2</v>
      </c>
      <c r="F1581" s="162">
        <v>54.58</v>
      </c>
      <c r="G1581" s="165">
        <v>109.16</v>
      </c>
      <c r="H1581" s="20">
        <v>151</v>
      </c>
      <c r="I1581"/>
    </row>
    <row r="1582" spans="1:9" x14ac:dyDescent="0.25">
      <c r="A1582" s="228">
        <v>41801</v>
      </c>
      <c r="B1582" s="161" t="s">
        <v>838</v>
      </c>
      <c r="C1582" t="s">
        <v>8</v>
      </c>
      <c r="D1582" t="s">
        <v>33</v>
      </c>
      <c r="E1582" s="162">
        <v>2</v>
      </c>
      <c r="F1582" s="162">
        <v>39.979999999999997</v>
      </c>
      <c r="G1582" s="165">
        <v>79.959999999999994</v>
      </c>
      <c r="H1582" s="20">
        <v>151</v>
      </c>
      <c r="I1582"/>
    </row>
    <row r="1583" spans="1:9" x14ac:dyDescent="0.25">
      <c r="A1583" s="228">
        <v>41864</v>
      </c>
      <c r="B1583" s="161" t="s">
        <v>843</v>
      </c>
      <c r="C1583" t="s">
        <v>8</v>
      </c>
      <c r="D1583" t="s">
        <v>33</v>
      </c>
      <c r="E1583" s="162">
        <v>3</v>
      </c>
      <c r="F1583" s="162">
        <v>35.11</v>
      </c>
      <c r="G1583" s="165">
        <v>105.33</v>
      </c>
      <c r="H1583" s="20">
        <v>151</v>
      </c>
      <c r="I1583"/>
    </row>
    <row r="1584" spans="1:9" x14ac:dyDescent="0.25">
      <c r="A1584" s="228">
        <v>41864</v>
      </c>
      <c r="B1584" s="161" t="s">
        <v>831</v>
      </c>
      <c r="C1584" t="s">
        <v>1471</v>
      </c>
      <c r="D1584" t="s">
        <v>832</v>
      </c>
      <c r="E1584" s="162">
        <v>5.5</v>
      </c>
      <c r="F1584" s="162">
        <v>54.58</v>
      </c>
      <c r="G1584" s="165">
        <v>300.19</v>
      </c>
      <c r="H1584" s="20">
        <v>151</v>
      </c>
      <c r="I1584"/>
    </row>
    <row r="1585" spans="1:9" x14ac:dyDescent="0.25">
      <c r="A1585" s="228">
        <v>41864</v>
      </c>
      <c r="B1585" s="161" t="s">
        <v>838</v>
      </c>
      <c r="C1585" t="s">
        <v>8</v>
      </c>
      <c r="D1585" t="s">
        <v>33</v>
      </c>
      <c r="E1585" s="162">
        <v>2</v>
      </c>
      <c r="F1585" s="162">
        <v>39.979999999999997</v>
      </c>
      <c r="G1585" s="165">
        <v>79.959999999999994</v>
      </c>
      <c r="H1585" s="20">
        <v>151</v>
      </c>
      <c r="I1585"/>
    </row>
    <row r="1586" spans="1:9" x14ac:dyDescent="0.25">
      <c r="A1586" s="228">
        <v>41877</v>
      </c>
      <c r="B1586" s="161" t="s">
        <v>820</v>
      </c>
      <c r="C1586" t="s">
        <v>821</v>
      </c>
      <c r="D1586" t="s">
        <v>747</v>
      </c>
      <c r="E1586" s="162">
        <v>2.5</v>
      </c>
      <c r="F1586" s="162">
        <v>105</v>
      </c>
      <c r="G1586" s="165">
        <v>262.5</v>
      </c>
      <c r="H1586" s="20">
        <v>151</v>
      </c>
      <c r="I1586"/>
    </row>
    <row r="1587" spans="1:9" x14ac:dyDescent="0.25">
      <c r="A1587" s="228">
        <v>42009</v>
      </c>
      <c r="B1587" s="161" t="s">
        <v>831</v>
      </c>
      <c r="C1587" t="s">
        <v>1471</v>
      </c>
      <c r="D1587" t="s">
        <v>832</v>
      </c>
      <c r="E1587" s="162">
        <v>8</v>
      </c>
      <c r="F1587" s="162">
        <v>54.58</v>
      </c>
      <c r="G1587" s="165">
        <v>436.64</v>
      </c>
      <c r="H1587" s="20">
        <v>151</v>
      </c>
      <c r="I1587"/>
    </row>
    <row r="1588" spans="1:9" x14ac:dyDescent="0.25">
      <c r="A1588" s="228">
        <v>42010</v>
      </c>
      <c r="B1588" s="161" t="s">
        <v>831</v>
      </c>
      <c r="C1588" t="s">
        <v>1471</v>
      </c>
      <c r="D1588" t="s">
        <v>832</v>
      </c>
      <c r="E1588" s="162">
        <v>3.5</v>
      </c>
      <c r="F1588" s="162">
        <v>54.58</v>
      </c>
      <c r="G1588" s="165">
        <v>191.03</v>
      </c>
      <c r="H1588" s="20">
        <v>151</v>
      </c>
      <c r="I1588"/>
    </row>
    <row r="1589" spans="1:9" x14ac:dyDescent="0.25">
      <c r="A1589" s="228">
        <v>42012</v>
      </c>
      <c r="B1589" s="161" t="s">
        <v>831</v>
      </c>
      <c r="C1589" t="s">
        <v>1471</v>
      </c>
      <c r="D1589" t="s">
        <v>832</v>
      </c>
      <c r="E1589" s="162">
        <v>4</v>
      </c>
      <c r="F1589" s="162">
        <v>54.58</v>
      </c>
      <c r="G1589" s="165">
        <v>218.32</v>
      </c>
      <c r="H1589" s="20">
        <v>151</v>
      </c>
      <c r="I1589"/>
    </row>
    <row r="1590" spans="1:9" x14ac:dyDescent="0.25">
      <c r="A1590" s="230" t="s">
        <v>642</v>
      </c>
      <c r="B1590" s="231" t="s">
        <v>1145</v>
      </c>
      <c r="C1590" s="232" t="s">
        <v>642</v>
      </c>
      <c r="D1590" s="232" t="s">
        <v>642</v>
      </c>
      <c r="E1590" s="233"/>
      <c r="F1590" s="233"/>
      <c r="G1590" s="234">
        <v>3567.895</v>
      </c>
      <c r="H1590" s="235" t="s">
        <v>642</v>
      </c>
      <c r="I1590"/>
    </row>
    <row r="1591" spans="1:9" x14ac:dyDescent="0.25">
      <c r="A1591" s="228" t="s">
        <v>642</v>
      </c>
      <c r="B1591" s="161" t="s">
        <v>642</v>
      </c>
      <c r="C1591" t="s">
        <v>642</v>
      </c>
      <c r="D1591" t="s">
        <v>642</v>
      </c>
      <c r="E1591" s="162"/>
      <c r="F1591" s="162"/>
      <c r="G1591" s="165"/>
      <c r="H1591" s="20" t="s">
        <v>642</v>
      </c>
      <c r="I1591"/>
    </row>
    <row r="1592" spans="1:9" x14ac:dyDescent="0.25">
      <c r="A1592" s="226" t="s">
        <v>642</v>
      </c>
      <c r="B1592" s="159" t="s">
        <v>1146</v>
      </c>
      <c r="C1592" s="64" t="s">
        <v>642</v>
      </c>
      <c r="D1592" s="64" t="s">
        <v>642</v>
      </c>
      <c r="E1592" s="227"/>
      <c r="F1592" s="227"/>
      <c r="G1592" s="166"/>
      <c r="H1592" s="160" t="s">
        <v>642</v>
      </c>
      <c r="I1592"/>
    </row>
    <row r="1593" spans="1:9" x14ac:dyDescent="0.25">
      <c r="A1593" s="228">
        <v>41850</v>
      </c>
      <c r="B1593" s="161" t="s">
        <v>844</v>
      </c>
      <c r="C1593" t="s">
        <v>821</v>
      </c>
      <c r="D1593" t="s">
        <v>747</v>
      </c>
      <c r="E1593" s="162">
        <v>7</v>
      </c>
      <c r="F1593" s="162">
        <v>125</v>
      </c>
      <c r="G1593" s="165">
        <v>875</v>
      </c>
      <c r="H1593" s="20">
        <v>152</v>
      </c>
      <c r="I1593"/>
    </row>
    <row r="1594" spans="1:9" x14ac:dyDescent="0.25">
      <c r="A1594" s="230" t="s">
        <v>642</v>
      </c>
      <c r="B1594" s="231" t="s">
        <v>1147</v>
      </c>
      <c r="C1594" s="232" t="s">
        <v>642</v>
      </c>
      <c r="D1594" s="232" t="s">
        <v>642</v>
      </c>
      <c r="E1594" s="233"/>
      <c r="F1594" s="233"/>
      <c r="G1594" s="234">
        <v>875</v>
      </c>
      <c r="H1594" s="235" t="s">
        <v>642</v>
      </c>
      <c r="I1594"/>
    </row>
    <row r="1595" spans="1:9" x14ac:dyDescent="0.25">
      <c r="A1595" s="228" t="s">
        <v>642</v>
      </c>
      <c r="B1595" s="161" t="s">
        <v>642</v>
      </c>
      <c r="C1595" t="s">
        <v>642</v>
      </c>
      <c r="D1595" t="s">
        <v>642</v>
      </c>
      <c r="E1595" s="162"/>
      <c r="F1595" s="162"/>
      <c r="G1595" s="165"/>
      <c r="H1595" s="20" t="s">
        <v>642</v>
      </c>
      <c r="I1595"/>
    </row>
    <row r="1596" spans="1:9" x14ac:dyDescent="0.25">
      <c r="A1596" s="226" t="s">
        <v>642</v>
      </c>
      <c r="B1596" s="159" t="s">
        <v>1148</v>
      </c>
      <c r="C1596" s="64" t="s">
        <v>642</v>
      </c>
      <c r="D1596" s="64" t="s">
        <v>642</v>
      </c>
      <c r="E1596" s="227"/>
      <c r="F1596" s="227"/>
      <c r="G1596" s="166"/>
      <c r="H1596" s="160" t="s">
        <v>642</v>
      </c>
      <c r="I1596"/>
    </row>
    <row r="1597" spans="1:9" x14ac:dyDescent="0.25">
      <c r="A1597" s="228">
        <v>41793</v>
      </c>
      <c r="B1597" s="161" t="s">
        <v>836</v>
      </c>
      <c r="C1597" t="s">
        <v>8</v>
      </c>
      <c r="D1597" t="s">
        <v>33</v>
      </c>
      <c r="E1597" s="162">
        <v>2</v>
      </c>
      <c r="F1597" s="162">
        <v>38.450000000000003</v>
      </c>
      <c r="G1597" s="165">
        <v>76.900000000000006</v>
      </c>
      <c r="H1597" s="20">
        <v>222</v>
      </c>
      <c r="I1597"/>
    </row>
    <row r="1598" spans="1:9" x14ac:dyDescent="0.25">
      <c r="A1598" s="230" t="s">
        <v>642</v>
      </c>
      <c r="B1598" s="231" t="s">
        <v>1149</v>
      </c>
      <c r="C1598" s="232" t="s">
        <v>642</v>
      </c>
      <c r="D1598" s="232" t="s">
        <v>642</v>
      </c>
      <c r="E1598" s="233"/>
      <c r="F1598" s="233"/>
      <c r="G1598" s="234">
        <v>76.900000000000006</v>
      </c>
      <c r="H1598" s="235" t="s">
        <v>642</v>
      </c>
      <c r="I1598"/>
    </row>
    <row r="1599" spans="1:9" x14ac:dyDescent="0.25">
      <c r="A1599" s="228" t="s">
        <v>642</v>
      </c>
      <c r="B1599" s="161" t="s">
        <v>642</v>
      </c>
      <c r="C1599" t="s">
        <v>642</v>
      </c>
      <c r="D1599" t="s">
        <v>642</v>
      </c>
      <c r="E1599" s="162"/>
      <c r="F1599" s="162"/>
      <c r="G1599" s="165"/>
      <c r="H1599" s="20" t="s">
        <v>642</v>
      </c>
      <c r="I1599"/>
    </row>
    <row r="1600" spans="1:9" x14ac:dyDescent="0.25">
      <c r="A1600" s="226" t="s">
        <v>642</v>
      </c>
      <c r="B1600" s="159" t="s">
        <v>1150</v>
      </c>
      <c r="C1600" s="64" t="s">
        <v>642</v>
      </c>
      <c r="D1600" s="64" t="s">
        <v>642</v>
      </c>
      <c r="E1600" s="227"/>
      <c r="F1600" s="227"/>
      <c r="G1600" s="166"/>
      <c r="H1600" s="160" t="s">
        <v>642</v>
      </c>
      <c r="I1600"/>
    </row>
    <row r="1601" spans="1:9" x14ac:dyDescent="0.25">
      <c r="A1601" s="228">
        <v>41700</v>
      </c>
      <c r="B1601" s="161" t="s">
        <v>1473</v>
      </c>
      <c r="C1601" t="s">
        <v>1151</v>
      </c>
      <c r="D1601" t="s">
        <v>747</v>
      </c>
      <c r="E1601" s="162">
        <v>2</v>
      </c>
      <c r="F1601" s="162">
        <v>46</v>
      </c>
      <c r="G1601" s="165"/>
      <c r="H1601" s="20">
        <v>901</v>
      </c>
      <c r="I1601"/>
    </row>
    <row r="1602" spans="1:9" x14ac:dyDescent="0.25">
      <c r="A1602" s="228">
        <v>41707</v>
      </c>
      <c r="B1602" s="161" t="s">
        <v>1474</v>
      </c>
      <c r="C1602" t="s">
        <v>1151</v>
      </c>
      <c r="D1602" t="s">
        <v>747</v>
      </c>
      <c r="E1602" s="162">
        <v>4</v>
      </c>
      <c r="F1602" s="162">
        <v>46</v>
      </c>
      <c r="G1602" s="165"/>
      <c r="H1602" s="20">
        <v>901</v>
      </c>
      <c r="I1602"/>
    </row>
    <row r="1603" spans="1:9" x14ac:dyDescent="0.25">
      <c r="A1603" s="228">
        <v>41714</v>
      </c>
      <c r="B1603" s="161" t="s">
        <v>1152</v>
      </c>
      <c r="C1603" t="s">
        <v>1153</v>
      </c>
      <c r="D1603" t="s">
        <v>747</v>
      </c>
      <c r="E1603" s="162">
        <v>2</v>
      </c>
      <c r="F1603" s="162">
        <v>106.25</v>
      </c>
      <c r="G1603" s="165">
        <v>212.5</v>
      </c>
      <c r="H1603" s="20">
        <v>901</v>
      </c>
      <c r="I1603"/>
    </row>
    <row r="1604" spans="1:9" x14ac:dyDescent="0.25">
      <c r="A1604" s="228">
        <v>41714</v>
      </c>
      <c r="B1604" s="161" t="s">
        <v>1475</v>
      </c>
      <c r="C1604" t="s">
        <v>1151</v>
      </c>
      <c r="D1604" t="s">
        <v>747</v>
      </c>
      <c r="E1604" s="162">
        <v>2</v>
      </c>
      <c r="F1604" s="162">
        <v>46</v>
      </c>
      <c r="G1604" s="165"/>
      <c r="H1604" s="20">
        <v>901</v>
      </c>
      <c r="I1604"/>
    </row>
    <row r="1605" spans="1:9" x14ac:dyDescent="0.25">
      <c r="A1605" s="228">
        <v>41721</v>
      </c>
      <c r="B1605" s="161" t="s">
        <v>1154</v>
      </c>
      <c r="C1605" t="s">
        <v>1153</v>
      </c>
      <c r="D1605" t="s">
        <v>747</v>
      </c>
      <c r="E1605" s="162">
        <v>1.5</v>
      </c>
      <c r="F1605" s="162">
        <v>106.25</v>
      </c>
      <c r="G1605" s="165">
        <v>159.375</v>
      </c>
      <c r="H1605" s="20">
        <v>901</v>
      </c>
      <c r="I1605"/>
    </row>
    <row r="1606" spans="1:9" x14ac:dyDescent="0.25">
      <c r="A1606" s="228">
        <v>41728</v>
      </c>
      <c r="B1606" s="161" t="s">
        <v>1476</v>
      </c>
      <c r="C1606" t="s">
        <v>1151</v>
      </c>
      <c r="D1606" t="s">
        <v>747</v>
      </c>
      <c r="E1606" s="162"/>
      <c r="F1606" s="162">
        <v>46</v>
      </c>
      <c r="G1606" s="165"/>
      <c r="H1606" s="20">
        <v>901</v>
      </c>
      <c r="I1606"/>
    </row>
    <row r="1607" spans="1:9" x14ac:dyDescent="0.25">
      <c r="A1607" s="228">
        <v>41735</v>
      </c>
      <c r="B1607" s="161" t="s">
        <v>1477</v>
      </c>
      <c r="C1607" t="s">
        <v>1151</v>
      </c>
      <c r="D1607" t="s">
        <v>747</v>
      </c>
      <c r="E1607" s="162">
        <v>5.5</v>
      </c>
      <c r="F1607" s="162">
        <v>46</v>
      </c>
      <c r="G1607" s="165">
        <v>253</v>
      </c>
      <c r="H1607" s="20">
        <v>901</v>
      </c>
      <c r="I1607"/>
    </row>
    <row r="1608" spans="1:9" x14ac:dyDescent="0.25">
      <c r="A1608" s="228">
        <v>41742</v>
      </c>
      <c r="B1608" s="161" t="s">
        <v>1478</v>
      </c>
      <c r="C1608" t="s">
        <v>1151</v>
      </c>
      <c r="D1608" t="s">
        <v>747</v>
      </c>
      <c r="E1608" s="162">
        <v>6.5</v>
      </c>
      <c r="F1608" s="162">
        <v>46</v>
      </c>
      <c r="G1608" s="165">
        <v>299</v>
      </c>
      <c r="H1608" s="20">
        <v>901</v>
      </c>
      <c r="I1608"/>
    </row>
    <row r="1609" spans="1:9" x14ac:dyDescent="0.25">
      <c r="A1609" s="228">
        <v>41749</v>
      </c>
      <c r="B1609" s="161" t="s">
        <v>1479</v>
      </c>
      <c r="C1609" t="s">
        <v>1151</v>
      </c>
      <c r="D1609" t="s">
        <v>747</v>
      </c>
      <c r="E1609" s="162">
        <v>7</v>
      </c>
      <c r="F1609" s="162">
        <v>46</v>
      </c>
      <c r="G1609" s="165">
        <v>322</v>
      </c>
      <c r="H1609" s="20">
        <v>901</v>
      </c>
      <c r="I1609"/>
    </row>
    <row r="1610" spans="1:9" x14ac:dyDescent="0.25">
      <c r="A1610" s="228">
        <v>41770</v>
      </c>
      <c r="B1610" s="161" t="s">
        <v>1480</v>
      </c>
      <c r="C1610" t="s">
        <v>1151</v>
      </c>
      <c r="D1610" t="s">
        <v>747</v>
      </c>
      <c r="E1610" s="162">
        <v>16.5</v>
      </c>
      <c r="F1610" s="162">
        <v>46</v>
      </c>
      <c r="G1610" s="165">
        <v>759</v>
      </c>
      <c r="H1610" s="20">
        <v>901</v>
      </c>
      <c r="I1610"/>
    </row>
    <row r="1611" spans="1:9" x14ac:dyDescent="0.25">
      <c r="A1611" s="228">
        <v>41777</v>
      </c>
      <c r="B1611" s="161" t="s">
        <v>1481</v>
      </c>
      <c r="C1611" t="s">
        <v>1151</v>
      </c>
      <c r="D1611" t="s">
        <v>747</v>
      </c>
      <c r="E1611" s="162">
        <v>25.5</v>
      </c>
      <c r="F1611" s="162">
        <v>46</v>
      </c>
      <c r="G1611" s="165">
        <v>1173</v>
      </c>
      <c r="H1611" s="20">
        <v>901</v>
      </c>
      <c r="I1611"/>
    </row>
    <row r="1612" spans="1:9" x14ac:dyDescent="0.25">
      <c r="A1612" s="228">
        <v>41784</v>
      </c>
      <c r="B1612" s="161" t="s">
        <v>1482</v>
      </c>
      <c r="C1612" t="s">
        <v>1151</v>
      </c>
      <c r="D1612" t="s">
        <v>747</v>
      </c>
      <c r="E1612" s="162">
        <v>13</v>
      </c>
      <c r="F1612" s="162">
        <v>46</v>
      </c>
      <c r="G1612" s="165">
        <v>598</v>
      </c>
      <c r="H1612" s="20">
        <v>901</v>
      </c>
      <c r="I1612"/>
    </row>
    <row r="1613" spans="1:9" x14ac:dyDescent="0.25">
      <c r="A1613" s="228">
        <v>41791</v>
      </c>
      <c r="B1613" s="161" t="s">
        <v>1483</v>
      </c>
      <c r="C1613" t="s">
        <v>1151</v>
      </c>
      <c r="D1613" t="s">
        <v>747</v>
      </c>
      <c r="E1613" s="162">
        <v>8</v>
      </c>
      <c r="F1613" s="162">
        <v>46</v>
      </c>
      <c r="G1613" s="165">
        <v>368</v>
      </c>
      <c r="H1613" s="20">
        <v>901</v>
      </c>
      <c r="I1613"/>
    </row>
    <row r="1614" spans="1:9" x14ac:dyDescent="0.25">
      <c r="A1614" s="228">
        <v>41805</v>
      </c>
      <c r="B1614" s="161" t="s">
        <v>1484</v>
      </c>
      <c r="C1614" t="s">
        <v>1151</v>
      </c>
      <c r="D1614" t="s">
        <v>747</v>
      </c>
      <c r="E1614" s="162">
        <v>31</v>
      </c>
      <c r="F1614" s="162">
        <v>46</v>
      </c>
      <c r="G1614" s="165">
        <v>1426</v>
      </c>
      <c r="H1614" s="20">
        <v>901</v>
      </c>
      <c r="I1614"/>
    </row>
    <row r="1615" spans="1:9" x14ac:dyDescent="0.25">
      <c r="A1615" s="228">
        <v>41819</v>
      </c>
      <c r="B1615" s="161" t="s">
        <v>1485</v>
      </c>
      <c r="C1615" t="s">
        <v>1151</v>
      </c>
      <c r="D1615" t="s">
        <v>747</v>
      </c>
      <c r="E1615" s="162">
        <v>27</v>
      </c>
      <c r="F1615" s="162">
        <v>46</v>
      </c>
      <c r="G1615" s="165">
        <v>1242</v>
      </c>
      <c r="H1615" s="20">
        <v>901</v>
      </c>
      <c r="I1615"/>
    </row>
    <row r="1616" spans="1:9" x14ac:dyDescent="0.25">
      <c r="A1616" s="228">
        <v>41833</v>
      </c>
      <c r="B1616" s="161" t="s">
        <v>1486</v>
      </c>
      <c r="C1616" t="s">
        <v>1151</v>
      </c>
      <c r="D1616" t="s">
        <v>747</v>
      </c>
      <c r="E1616" s="162">
        <v>23.5</v>
      </c>
      <c r="F1616" s="162">
        <v>46</v>
      </c>
      <c r="G1616" s="165">
        <v>1081</v>
      </c>
      <c r="H1616" s="20">
        <v>901</v>
      </c>
      <c r="I1616"/>
    </row>
    <row r="1617" spans="1:9" x14ac:dyDescent="0.25">
      <c r="A1617" s="228">
        <v>41861</v>
      </c>
      <c r="B1617" s="161" t="s">
        <v>1487</v>
      </c>
      <c r="C1617" t="s">
        <v>1151</v>
      </c>
      <c r="D1617" t="s">
        <v>747</v>
      </c>
      <c r="E1617" s="162">
        <v>21.5</v>
      </c>
      <c r="F1617" s="162">
        <v>46</v>
      </c>
      <c r="G1617" s="165">
        <v>989</v>
      </c>
      <c r="H1617" s="20">
        <v>901</v>
      </c>
      <c r="I1617"/>
    </row>
    <row r="1618" spans="1:9" x14ac:dyDescent="0.25">
      <c r="A1618" s="228">
        <v>41875</v>
      </c>
      <c r="B1618" s="161" t="s">
        <v>1488</v>
      </c>
      <c r="C1618" t="s">
        <v>1151</v>
      </c>
      <c r="D1618" t="s">
        <v>747</v>
      </c>
      <c r="E1618" s="162">
        <v>18.5</v>
      </c>
      <c r="F1618" s="162">
        <v>46</v>
      </c>
      <c r="G1618" s="165">
        <v>851</v>
      </c>
      <c r="H1618" s="20">
        <v>901</v>
      </c>
      <c r="I1618"/>
    </row>
    <row r="1619" spans="1:9" x14ac:dyDescent="0.25">
      <c r="A1619" s="228">
        <v>41889</v>
      </c>
      <c r="B1619" s="161" t="s">
        <v>1489</v>
      </c>
      <c r="C1619" t="s">
        <v>1151</v>
      </c>
      <c r="D1619" t="s">
        <v>747</v>
      </c>
      <c r="E1619" s="162">
        <v>45</v>
      </c>
      <c r="F1619" s="162">
        <v>46</v>
      </c>
      <c r="G1619" s="165">
        <v>2070</v>
      </c>
      <c r="H1619" s="20">
        <v>901</v>
      </c>
      <c r="I1619"/>
    </row>
    <row r="1620" spans="1:9" x14ac:dyDescent="0.25">
      <c r="A1620" s="228">
        <v>41903</v>
      </c>
      <c r="B1620" s="161" t="s">
        <v>1490</v>
      </c>
      <c r="C1620" t="s">
        <v>1151</v>
      </c>
      <c r="D1620" t="s">
        <v>747</v>
      </c>
      <c r="E1620" s="162">
        <v>51.5</v>
      </c>
      <c r="F1620" s="162">
        <v>46</v>
      </c>
      <c r="G1620" s="165">
        <v>2369</v>
      </c>
      <c r="H1620" s="20">
        <v>901</v>
      </c>
      <c r="I1620"/>
    </row>
    <row r="1621" spans="1:9" x14ac:dyDescent="0.25">
      <c r="A1621" s="228">
        <v>41931</v>
      </c>
      <c r="B1621" s="161" t="s">
        <v>1491</v>
      </c>
      <c r="C1621" t="s">
        <v>1151</v>
      </c>
      <c r="D1621" t="s">
        <v>747</v>
      </c>
      <c r="E1621" s="162">
        <v>52</v>
      </c>
      <c r="F1621" s="162">
        <v>46</v>
      </c>
      <c r="G1621" s="165">
        <v>2392</v>
      </c>
      <c r="H1621" s="20">
        <v>901</v>
      </c>
      <c r="I1621"/>
    </row>
    <row r="1622" spans="1:9" x14ac:dyDescent="0.25">
      <c r="A1622" s="228">
        <v>41945</v>
      </c>
      <c r="B1622" s="161" t="s">
        <v>1492</v>
      </c>
      <c r="C1622" t="s">
        <v>1151</v>
      </c>
      <c r="D1622" t="s">
        <v>747</v>
      </c>
      <c r="E1622" s="162">
        <v>51</v>
      </c>
      <c r="F1622" s="162">
        <v>46</v>
      </c>
      <c r="G1622" s="165">
        <v>2346</v>
      </c>
      <c r="H1622" s="20">
        <v>901</v>
      </c>
      <c r="I1622"/>
    </row>
    <row r="1623" spans="1:9" x14ac:dyDescent="0.25">
      <c r="A1623" s="228">
        <v>41959</v>
      </c>
      <c r="B1623" s="161" t="s">
        <v>1493</v>
      </c>
      <c r="C1623" t="s">
        <v>1151</v>
      </c>
      <c r="D1623" t="s">
        <v>747</v>
      </c>
      <c r="E1623" s="162">
        <v>37</v>
      </c>
      <c r="F1623" s="162">
        <v>46</v>
      </c>
      <c r="G1623" s="165">
        <v>1702</v>
      </c>
      <c r="H1623" s="20">
        <v>901</v>
      </c>
      <c r="I1623"/>
    </row>
    <row r="1624" spans="1:9" x14ac:dyDescent="0.25">
      <c r="A1624" s="228">
        <v>41973</v>
      </c>
      <c r="B1624" s="161" t="s">
        <v>1494</v>
      </c>
      <c r="C1624" t="s">
        <v>1151</v>
      </c>
      <c r="D1624" t="s">
        <v>747</v>
      </c>
      <c r="E1624" s="162">
        <v>59</v>
      </c>
      <c r="F1624" s="162">
        <v>46</v>
      </c>
      <c r="G1624" s="165">
        <v>2714</v>
      </c>
      <c r="H1624" s="20">
        <v>901</v>
      </c>
      <c r="I1624"/>
    </row>
    <row r="1625" spans="1:9" x14ac:dyDescent="0.25">
      <c r="A1625" s="228">
        <v>41987</v>
      </c>
      <c r="B1625" s="161" t="s">
        <v>1495</v>
      </c>
      <c r="C1625" t="s">
        <v>1151</v>
      </c>
      <c r="D1625" t="s">
        <v>747</v>
      </c>
      <c r="E1625" s="162">
        <v>58.5</v>
      </c>
      <c r="F1625" s="162">
        <v>46</v>
      </c>
      <c r="G1625" s="165">
        <v>2691</v>
      </c>
      <c r="H1625" s="20">
        <v>901</v>
      </c>
      <c r="I1625"/>
    </row>
    <row r="1626" spans="1:9" x14ac:dyDescent="0.25">
      <c r="A1626" s="228">
        <v>42001</v>
      </c>
      <c r="B1626" s="161" t="s">
        <v>1496</v>
      </c>
      <c r="C1626" t="s">
        <v>1151</v>
      </c>
      <c r="D1626" t="s">
        <v>747</v>
      </c>
      <c r="E1626" s="162">
        <v>7</v>
      </c>
      <c r="F1626" s="162">
        <v>46</v>
      </c>
      <c r="G1626" s="165">
        <v>322</v>
      </c>
      <c r="H1626" s="20">
        <v>901</v>
      </c>
      <c r="I1626"/>
    </row>
    <row r="1627" spans="1:9" x14ac:dyDescent="0.25">
      <c r="A1627" s="228">
        <v>42015</v>
      </c>
      <c r="B1627" s="161" t="s">
        <v>1497</v>
      </c>
      <c r="C1627" t="s">
        <v>1151</v>
      </c>
      <c r="D1627" t="s">
        <v>747</v>
      </c>
      <c r="E1627" s="162">
        <v>4</v>
      </c>
      <c r="F1627" s="162">
        <v>46</v>
      </c>
      <c r="G1627" s="165">
        <v>184</v>
      </c>
      <c r="H1627" s="20">
        <v>901</v>
      </c>
      <c r="I1627"/>
    </row>
    <row r="1628" spans="1:9" x14ac:dyDescent="0.25">
      <c r="A1628" s="228">
        <v>42029</v>
      </c>
      <c r="B1628" s="161" t="s">
        <v>1498</v>
      </c>
      <c r="C1628" t="s">
        <v>1151</v>
      </c>
      <c r="D1628" t="s">
        <v>747</v>
      </c>
      <c r="E1628" s="162">
        <v>1</v>
      </c>
      <c r="F1628" s="162">
        <v>46</v>
      </c>
      <c r="G1628" s="165">
        <v>46</v>
      </c>
      <c r="H1628" s="20">
        <v>901</v>
      </c>
      <c r="I1628"/>
    </row>
    <row r="1629" spans="1:9" x14ac:dyDescent="0.25">
      <c r="A1629" s="228">
        <v>42036</v>
      </c>
      <c r="B1629" s="161" t="s">
        <v>1498</v>
      </c>
      <c r="C1629" t="s">
        <v>1151</v>
      </c>
      <c r="D1629" t="s">
        <v>747</v>
      </c>
      <c r="E1629" s="162">
        <v>4</v>
      </c>
      <c r="F1629" s="162">
        <v>46</v>
      </c>
      <c r="G1629" s="165">
        <v>184</v>
      </c>
      <c r="H1629" s="20">
        <v>901</v>
      </c>
      <c r="I1629"/>
    </row>
    <row r="1630" spans="1:9" x14ac:dyDescent="0.25">
      <c r="A1630" s="228">
        <v>42043</v>
      </c>
      <c r="B1630" s="161" t="s">
        <v>1499</v>
      </c>
      <c r="C1630" t="s">
        <v>1151</v>
      </c>
      <c r="D1630" t="s">
        <v>747</v>
      </c>
      <c r="E1630" s="162">
        <v>4</v>
      </c>
      <c r="F1630" s="162">
        <v>46</v>
      </c>
      <c r="G1630" s="165">
        <v>184</v>
      </c>
      <c r="H1630" s="20">
        <v>901</v>
      </c>
      <c r="I1630"/>
    </row>
    <row r="1631" spans="1:9" x14ac:dyDescent="0.25">
      <c r="A1631" s="228">
        <v>42057</v>
      </c>
      <c r="B1631" s="161" t="s">
        <v>1500</v>
      </c>
      <c r="C1631" t="s">
        <v>1151</v>
      </c>
      <c r="D1631" t="s">
        <v>747</v>
      </c>
      <c r="E1631" s="162">
        <v>6</v>
      </c>
      <c r="F1631" s="162">
        <v>46</v>
      </c>
      <c r="G1631" s="165">
        <v>276</v>
      </c>
      <c r="H1631" s="20">
        <v>901</v>
      </c>
      <c r="I1631"/>
    </row>
    <row r="1632" spans="1:9" x14ac:dyDescent="0.25">
      <c r="A1632" s="228">
        <v>42071</v>
      </c>
      <c r="B1632" s="161" t="s">
        <v>1501</v>
      </c>
      <c r="C1632" t="s">
        <v>1151</v>
      </c>
      <c r="D1632" t="s">
        <v>747</v>
      </c>
      <c r="E1632" s="162">
        <v>9.5</v>
      </c>
      <c r="F1632" s="162">
        <v>46</v>
      </c>
      <c r="G1632" s="165">
        <v>437</v>
      </c>
      <c r="H1632" s="20">
        <v>901</v>
      </c>
      <c r="I1632"/>
    </row>
    <row r="1633" spans="1:9" x14ac:dyDescent="0.25">
      <c r="A1633" s="228">
        <v>42085</v>
      </c>
      <c r="B1633" s="161" t="s">
        <v>1502</v>
      </c>
      <c r="C1633" t="s">
        <v>1151</v>
      </c>
      <c r="D1633" t="s">
        <v>747</v>
      </c>
      <c r="E1633" s="162">
        <v>7</v>
      </c>
      <c r="F1633" s="162">
        <v>46</v>
      </c>
      <c r="G1633" s="165">
        <v>322</v>
      </c>
      <c r="H1633" s="20">
        <v>901</v>
      </c>
      <c r="I1633"/>
    </row>
    <row r="1634" spans="1:9" x14ac:dyDescent="0.25">
      <c r="A1634" s="228">
        <v>42127</v>
      </c>
      <c r="B1634" s="161" t="s">
        <v>1503</v>
      </c>
      <c r="C1634" t="s">
        <v>1151</v>
      </c>
      <c r="D1634" t="s">
        <v>747</v>
      </c>
      <c r="E1634" s="162">
        <v>1.5</v>
      </c>
      <c r="F1634" s="162">
        <v>46</v>
      </c>
      <c r="G1634" s="165">
        <v>69</v>
      </c>
      <c r="H1634" s="20">
        <v>901</v>
      </c>
      <c r="I1634"/>
    </row>
    <row r="1635" spans="1:9" x14ac:dyDescent="0.25">
      <c r="A1635" s="230" t="s">
        <v>642</v>
      </c>
      <c r="B1635" s="231" t="s">
        <v>1155</v>
      </c>
      <c r="C1635" s="232" t="s">
        <v>642</v>
      </c>
      <c r="D1635" s="232" t="s">
        <v>642</v>
      </c>
      <c r="E1635" s="233"/>
      <c r="F1635" s="233"/>
      <c r="G1635" s="234">
        <v>28040.875</v>
      </c>
      <c r="H1635" s="235" t="s">
        <v>642</v>
      </c>
      <c r="I1635"/>
    </row>
    <row r="1636" spans="1:9" x14ac:dyDescent="0.25">
      <c r="A1636" s="228" t="s">
        <v>642</v>
      </c>
      <c r="B1636" s="161" t="s">
        <v>642</v>
      </c>
      <c r="C1636" t="s">
        <v>642</v>
      </c>
      <c r="D1636" t="s">
        <v>642</v>
      </c>
      <c r="E1636" s="162"/>
      <c r="F1636" s="162"/>
      <c r="G1636" s="165"/>
      <c r="H1636" s="20" t="s">
        <v>642</v>
      </c>
      <c r="I1636"/>
    </row>
    <row r="1637" spans="1:9" x14ac:dyDescent="0.25">
      <c r="A1637" s="226" t="s">
        <v>642</v>
      </c>
      <c r="B1637" s="159" t="s">
        <v>1156</v>
      </c>
      <c r="C1637" s="64" t="s">
        <v>642</v>
      </c>
      <c r="D1637" s="64" t="s">
        <v>642</v>
      </c>
      <c r="E1637" s="227"/>
      <c r="F1637" s="227"/>
      <c r="G1637" s="166"/>
      <c r="H1637" s="160" t="s">
        <v>642</v>
      </c>
      <c r="I1637"/>
    </row>
    <row r="1638" spans="1:9" x14ac:dyDescent="0.25">
      <c r="A1638" s="228">
        <v>41726</v>
      </c>
      <c r="B1638" s="161" t="s">
        <v>862</v>
      </c>
      <c r="C1638" t="s">
        <v>1472</v>
      </c>
      <c r="D1638" t="s">
        <v>33</v>
      </c>
      <c r="E1638" s="162">
        <v>5</v>
      </c>
      <c r="F1638" s="162">
        <v>71.8</v>
      </c>
      <c r="G1638" s="165">
        <v>359</v>
      </c>
      <c r="H1638" s="20">
        <v>902</v>
      </c>
      <c r="I1638"/>
    </row>
    <row r="1639" spans="1:9" x14ac:dyDescent="0.25">
      <c r="A1639" s="228">
        <v>41757</v>
      </c>
      <c r="B1639" s="161" t="s">
        <v>862</v>
      </c>
      <c r="C1639" t="s">
        <v>1472</v>
      </c>
      <c r="D1639" t="s">
        <v>33</v>
      </c>
      <c r="E1639" s="162">
        <v>2</v>
      </c>
      <c r="F1639" s="162">
        <v>71.8</v>
      </c>
      <c r="G1639" s="165">
        <v>143.6</v>
      </c>
      <c r="H1639" s="20">
        <v>902</v>
      </c>
      <c r="I1639"/>
    </row>
    <row r="1640" spans="1:9" x14ac:dyDescent="0.25">
      <c r="A1640" s="228">
        <v>41758</v>
      </c>
      <c r="B1640" s="161" t="s">
        <v>862</v>
      </c>
      <c r="C1640" t="s">
        <v>1472</v>
      </c>
      <c r="D1640" t="s">
        <v>33</v>
      </c>
      <c r="E1640" s="162">
        <v>2</v>
      </c>
      <c r="F1640" s="162">
        <v>71.8</v>
      </c>
      <c r="G1640" s="165">
        <v>143.6</v>
      </c>
      <c r="H1640" s="20">
        <v>902</v>
      </c>
      <c r="I1640"/>
    </row>
    <row r="1641" spans="1:9" x14ac:dyDescent="0.25">
      <c r="A1641" s="228">
        <v>41759</v>
      </c>
      <c r="B1641" s="161" t="s">
        <v>862</v>
      </c>
      <c r="C1641" t="s">
        <v>1472</v>
      </c>
      <c r="D1641" t="s">
        <v>33</v>
      </c>
      <c r="E1641" s="162">
        <v>2</v>
      </c>
      <c r="F1641" s="162">
        <v>71.8</v>
      </c>
      <c r="G1641" s="165">
        <v>143.6</v>
      </c>
      <c r="H1641" s="20">
        <v>902</v>
      </c>
      <c r="I1641"/>
    </row>
    <row r="1642" spans="1:9" x14ac:dyDescent="0.25">
      <c r="A1642" s="228">
        <v>41760</v>
      </c>
      <c r="B1642" s="161" t="s">
        <v>862</v>
      </c>
      <c r="C1642" t="s">
        <v>1472</v>
      </c>
      <c r="D1642" t="s">
        <v>33</v>
      </c>
      <c r="E1642" s="162">
        <v>6.5</v>
      </c>
      <c r="F1642" s="162">
        <v>71.8</v>
      </c>
      <c r="G1642" s="165">
        <v>466.7</v>
      </c>
      <c r="H1642" s="20">
        <v>902</v>
      </c>
      <c r="I1642"/>
    </row>
    <row r="1643" spans="1:9" x14ac:dyDescent="0.25">
      <c r="A1643" s="228">
        <v>41761</v>
      </c>
      <c r="B1643" s="161" t="s">
        <v>862</v>
      </c>
      <c r="C1643" t="s">
        <v>1472</v>
      </c>
      <c r="D1643" t="s">
        <v>33</v>
      </c>
      <c r="E1643" s="162">
        <v>2</v>
      </c>
      <c r="F1643" s="162">
        <v>71.8</v>
      </c>
      <c r="G1643" s="165">
        <v>143.6</v>
      </c>
      <c r="H1643" s="20">
        <v>902</v>
      </c>
      <c r="I1643"/>
    </row>
    <row r="1644" spans="1:9" x14ac:dyDescent="0.25">
      <c r="A1644" s="228">
        <v>41766</v>
      </c>
      <c r="B1644" s="161" t="s">
        <v>862</v>
      </c>
      <c r="C1644" t="s">
        <v>1472</v>
      </c>
      <c r="D1644" t="s">
        <v>33</v>
      </c>
      <c r="E1644" s="162">
        <v>8.5</v>
      </c>
      <c r="F1644" s="162">
        <v>71.8</v>
      </c>
      <c r="G1644" s="165">
        <v>610.29999999999995</v>
      </c>
      <c r="H1644" s="20">
        <v>902</v>
      </c>
      <c r="I1644"/>
    </row>
    <row r="1645" spans="1:9" x14ac:dyDescent="0.25">
      <c r="A1645" s="228">
        <v>41767</v>
      </c>
      <c r="B1645" s="161" t="s">
        <v>862</v>
      </c>
      <c r="C1645" t="s">
        <v>1472</v>
      </c>
      <c r="D1645" t="s">
        <v>33</v>
      </c>
      <c r="E1645" s="162">
        <v>8.5</v>
      </c>
      <c r="F1645" s="162">
        <v>71.8</v>
      </c>
      <c r="G1645" s="165">
        <v>610.29999999999995</v>
      </c>
      <c r="H1645" s="20">
        <v>902</v>
      </c>
      <c r="I1645"/>
    </row>
    <row r="1646" spans="1:9" x14ac:dyDescent="0.25">
      <c r="A1646" s="228">
        <v>41768</v>
      </c>
      <c r="B1646" s="161" t="s">
        <v>862</v>
      </c>
      <c r="C1646" t="s">
        <v>1472</v>
      </c>
      <c r="D1646" t="s">
        <v>33</v>
      </c>
      <c r="E1646" s="162">
        <v>4.5</v>
      </c>
      <c r="F1646" s="162">
        <v>71.8</v>
      </c>
      <c r="G1646" s="165">
        <v>323.10000000000002</v>
      </c>
      <c r="H1646" s="20">
        <v>902</v>
      </c>
      <c r="I1646"/>
    </row>
    <row r="1647" spans="1:9" x14ac:dyDescent="0.25">
      <c r="A1647" s="228">
        <v>41769</v>
      </c>
      <c r="B1647" s="161" t="s">
        <v>862</v>
      </c>
      <c r="C1647" t="s">
        <v>1472</v>
      </c>
      <c r="D1647" t="s">
        <v>33</v>
      </c>
      <c r="E1647" s="162">
        <v>2</v>
      </c>
      <c r="F1647" s="162">
        <v>71.8</v>
      </c>
      <c r="G1647" s="165">
        <v>143.6</v>
      </c>
      <c r="H1647" s="20">
        <v>902</v>
      </c>
      <c r="I1647"/>
    </row>
    <row r="1648" spans="1:9" x14ac:dyDescent="0.25">
      <c r="A1648" s="228">
        <v>41771</v>
      </c>
      <c r="B1648" s="161" t="s">
        <v>862</v>
      </c>
      <c r="C1648" t="s">
        <v>1472</v>
      </c>
      <c r="D1648" t="s">
        <v>33</v>
      </c>
      <c r="E1648" s="162">
        <v>6</v>
      </c>
      <c r="F1648" s="162">
        <v>71.8</v>
      </c>
      <c r="G1648" s="165">
        <v>430.8</v>
      </c>
      <c r="H1648" s="20">
        <v>902</v>
      </c>
      <c r="I1648"/>
    </row>
    <row r="1649" spans="1:9" x14ac:dyDescent="0.25">
      <c r="A1649" s="228">
        <v>41772</v>
      </c>
      <c r="B1649" s="161" t="s">
        <v>862</v>
      </c>
      <c r="C1649" t="s">
        <v>1472</v>
      </c>
      <c r="D1649" t="s">
        <v>33</v>
      </c>
      <c r="E1649" s="162">
        <v>5</v>
      </c>
      <c r="F1649" s="162">
        <v>71.8</v>
      </c>
      <c r="G1649" s="165">
        <v>359</v>
      </c>
      <c r="H1649" s="20">
        <v>902</v>
      </c>
      <c r="I1649"/>
    </row>
    <row r="1650" spans="1:9" x14ac:dyDescent="0.25">
      <c r="A1650" s="228">
        <v>41773</v>
      </c>
      <c r="B1650" s="161" t="s">
        <v>862</v>
      </c>
      <c r="C1650" t="s">
        <v>1472</v>
      </c>
      <c r="D1650" t="s">
        <v>33</v>
      </c>
      <c r="E1650" s="162">
        <v>8</v>
      </c>
      <c r="F1650" s="162">
        <v>71.8</v>
      </c>
      <c r="G1650" s="165">
        <v>574.4</v>
      </c>
      <c r="H1650" s="20">
        <v>902</v>
      </c>
      <c r="I1650"/>
    </row>
    <row r="1651" spans="1:9" x14ac:dyDescent="0.25">
      <c r="A1651" s="228">
        <v>41774</v>
      </c>
      <c r="B1651" s="161" t="s">
        <v>862</v>
      </c>
      <c r="C1651" t="s">
        <v>1472</v>
      </c>
      <c r="D1651" t="s">
        <v>33</v>
      </c>
      <c r="E1651" s="162">
        <v>2</v>
      </c>
      <c r="F1651" s="162">
        <v>88.74</v>
      </c>
      <c r="G1651" s="165">
        <v>177.48</v>
      </c>
      <c r="H1651" s="20">
        <v>902</v>
      </c>
      <c r="I1651"/>
    </row>
    <row r="1652" spans="1:9" x14ac:dyDescent="0.25">
      <c r="A1652" s="228">
        <v>41775</v>
      </c>
      <c r="B1652" s="161" t="s">
        <v>862</v>
      </c>
      <c r="C1652" t="s">
        <v>1472</v>
      </c>
      <c r="D1652" t="s">
        <v>33</v>
      </c>
      <c r="E1652" s="162">
        <v>5</v>
      </c>
      <c r="F1652" s="162">
        <v>71.8</v>
      </c>
      <c r="G1652" s="165">
        <v>359</v>
      </c>
      <c r="H1652" s="20">
        <v>902</v>
      </c>
      <c r="I1652"/>
    </row>
    <row r="1653" spans="1:9" x14ac:dyDescent="0.25">
      <c r="A1653" s="228">
        <v>41778</v>
      </c>
      <c r="B1653" s="161" t="s">
        <v>862</v>
      </c>
      <c r="C1653" t="s">
        <v>1472</v>
      </c>
      <c r="D1653" t="s">
        <v>33</v>
      </c>
      <c r="E1653" s="162">
        <v>4</v>
      </c>
      <c r="F1653" s="162">
        <v>71.8</v>
      </c>
      <c r="G1653" s="165">
        <v>287.2</v>
      </c>
      <c r="H1653" s="20">
        <v>902</v>
      </c>
      <c r="I1653"/>
    </row>
    <row r="1654" spans="1:9" x14ac:dyDescent="0.25">
      <c r="A1654" s="228">
        <v>41779</v>
      </c>
      <c r="B1654" s="161" t="s">
        <v>862</v>
      </c>
      <c r="C1654" t="s">
        <v>1472</v>
      </c>
      <c r="D1654" t="s">
        <v>33</v>
      </c>
      <c r="E1654" s="162">
        <v>9</v>
      </c>
      <c r="F1654" s="162">
        <v>71.8</v>
      </c>
      <c r="G1654" s="165">
        <v>646.20000000000005</v>
      </c>
      <c r="H1654" s="20">
        <v>902</v>
      </c>
      <c r="I1654"/>
    </row>
    <row r="1655" spans="1:9" x14ac:dyDescent="0.25">
      <c r="A1655" s="228">
        <v>41780</v>
      </c>
      <c r="B1655" s="161" t="s">
        <v>862</v>
      </c>
      <c r="C1655" t="s">
        <v>1472</v>
      </c>
      <c r="D1655" t="s">
        <v>33</v>
      </c>
      <c r="E1655" s="162">
        <v>8.5</v>
      </c>
      <c r="F1655" s="162">
        <v>71.8</v>
      </c>
      <c r="G1655" s="165">
        <v>610.29999999999995</v>
      </c>
      <c r="H1655" s="20">
        <v>902</v>
      </c>
      <c r="I1655"/>
    </row>
    <row r="1656" spans="1:9" x14ac:dyDescent="0.25">
      <c r="A1656" s="228">
        <v>41781</v>
      </c>
      <c r="B1656" s="161" t="s">
        <v>862</v>
      </c>
      <c r="C1656" t="s">
        <v>1472</v>
      </c>
      <c r="D1656" t="s">
        <v>33</v>
      </c>
      <c r="E1656" s="162">
        <v>5</v>
      </c>
      <c r="F1656" s="162">
        <v>71.8</v>
      </c>
      <c r="G1656" s="165">
        <v>359</v>
      </c>
      <c r="H1656" s="20">
        <v>902</v>
      </c>
      <c r="I1656"/>
    </row>
    <row r="1657" spans="1:9" x14ac:dyDescent="0.25">
      <c r="A1657" s="228">
        <v>41782</v>
      </c>
      <c r="B1657" s="161" t="s">
        <v>862</v>
      </c>
      <c r="C1657" t="s">
        <v>1472</v>
      </c>
      <c r="D1657" t="s">
        <v>33</v>
      </c>
      <c r="E1657" s="162">
        <v>4.5</v>
      </c>
      <c r="F1657" s="162">
        <v>71.8</v>
      </c>
      <c r="G1657" s="165">
        <v>323.10000000000002</v>
      </c>
      <c r="H1657" s="20">
        <v>902</v>
      </c>
      <c r="I1657"/>
    </row>
    <row r="1658" spans="1:9" x14ac:dyDescent="0.25">
      <c r="A1658" s="228">
        <v>41783</v>
      </c>
      <c r="B1658" s="161" t="s">
        <v>862</v>
      </c>
      <c r="C1658" t="s">
        <v>1472</v>
      </c>
      <c r="D1658" t="s">
        <v>33</v>
      </c>
      <c r="E1658" s="162">
        <v>3</v>
      </c>
      <c r="F1658" s="162">
        <v>71.8</v>
      </c>
      <c r="G1658" s="165">
        <v>215.4</v>
      </c>
      <c r="H1658" s="20">
        <v>902</v>
      </c>
      <c r="I1658"/>
    </row>
    <row r="1659" spans="1:9" x14ac:dyDescent="0.25">
      <c r="A1659" s="228">
        <v>41785</v>
      </c>
      <c r="B1659" s="161" t="s">
        <v>862</v>
      </c>
      <c r="C1659" t="s">
        <v>1472</v>
      </c>
      <c r="D1659" t="s">
        <v>33</v>
      </c>
      <c r="E1659" s="162">
        <v>5</v>
      </c>
      <c r="F1659" s="162">
        <v>71.8</v>
      </c>
      <c r="G1659" s="165">
        <v>359</v>
      </c>
      <c r="H1659" s="20">
        <v>902</v>
      </c>
      <c r="I1659"/>
    </row>
    <row r="1660" spans="1:9" x14ac:dyDescent="0.25">
      <c r="A1660" s="228">
        <v>41786</v>
      </c>
      <c r="B1660" s="161" t="s">
        <v>862</v>
      </c>
      <c r="C1660" t="s">
        <v>1472</v>
      </c>
      <c r="D1660" t="s">
        <v>33</v>
      </c>
      <c r="E1660" s="162">
        <v>5</v>
      </c>
      <c r="F1660" s="162">
        <v>71.8</v>
      </c>
      <c r="G1660" s="165">
        <v>359</v>
      </c>
      <c r="H1660" s="20">
        <v>902</v>
      </c>
      <c r="I1660"/>
    </row>
    <row r="1661" spans="1:9" x14ac:dyDescent="0.25">
      <c r="A1661" s="228">
        <v>41787</v>
      </c>
      <c r="B1661" s="161" t="s">
        <v>862</v>
      </c>
      <c r="C1661" t="s">
        <v>1472</v>
      </c>
      <c r="D1661" t="s">
        <v>33</v>
      </c>
      <c r="E1661" s="162">
        <v>5</v>
      </c>
      <c r="F1661" s="162">
        <v>71.8</v>
      </c>
      <c r="G1661" s="165">
        <v>359</v>
      </c>
      <c r="H1661" s="20">
        <v>902</v>
      </c>
      <c r="I1661"/>
    </row>
    <row r="1662" spans="1:9" x14ac:dyDescent="0.25">
      <c r="A1662" s="228">
        <v>41788</v>
      </c>
      <c r="B1662" s="161" t="s">
        <v>862</v>
      </c>
      <c r="C1662" t="s">
        <v>1472</v>
      </c>
      <c r="D1662" t="s">
        <v>33</v>
      </c>
      <c r="E1662" s="162">
        <v>5</v>
      </c>
      <c r="F1662" s="162">
        <v>71.8</v>
      </c>
      <c r="G1662" s="165">
        <v>359</v>
      </c>
      <c r="H1662" s="20">
        <v>902</v>
      </c>
      <c r="I1662"/>
    </row>
    <row r="1663" spans="1:9" x14ac:dyDescent="0.25">
      <c r="A1663" s="228">
        <v>41789</v>
      </c>
      <c r="B1663" s="161" t="s">
        <v>862</v>
      </c>
      <c r="C1663" t="s">
        <v>1472</v>
      </c>
      <c r="D1663" t="s">
        <v>33</v>
      </c>
      <c r="E1663" s="162">
        <v>3</v>
      </c>
      <c r="F1663" s="162">
        <v>71.8</v>
      </c>
      <c r="G1663" s="165">
        <v>215.4</v>
      </c>
      <c r="H1663" s="20">
        <v>902</v>
      </c>
      <c r="I1663"/>
    </row>
    <row r="1664" spans="1:9" x14ac:dyDescent="0.25">
      <c r="A1664" s="228">
        <v>41792</v>
      </c>
      <c r="B1664" s="161" t="s">
        <v>862</v>
      </c>
      <c r="C1664" t="s">
        <v>1472</v>
      </c>
      <c r="D1664" t="s">
        <v>33</v>
      </c>
      <c r="E1664" s="162">
        <v>4.5</v>
      </c>
      <c r="F1664" s="162">
        <v>71.8</v>
      </c>
      <c r="G1664" s="165">
        <v>323.10000000000002</v>
      </c>
      <c r="H1664" s="20">
        <v>902</v>
      </c>
      <c r="I1664"/>
    </row>
    <row r="1665" spans="1:9" x14ac:dyDescent="0.25">
      <c r="A1665" s="228">
        <v>41793</v>
      </c>
      <c r="B1665" s="161" t="s">
        <v>862</v>
      </c>
      <c r="C1665" t="s">
        <v>1472</v>
      </c>
      <c r="D1665" t="s">
        <v>33</v>
      </c>
      <c r="E1665" s="162">
        <v>4.5</v>
      </c>
      <c r="F1665" s="162">
        <v>71.8</v>
      </c>
      <c r="G1665" s="165">
        <v>323.10000000000002</v>
      </c>
      <c r="H1665" s="20">
        <v>902</v>
      </c>
      <c r="I1665"/>
    </row>
    <row r="1666" spans="1:9" x14ac:dyDescent="0.25">
      <c r="A1666" s="228">
        <v>41794</v>
      </c>
      <c r="B1666" s="161" t="s">
        <v>862</v>
      </c>
      <c r="C1666" t="s">
        <v>1472</v>
      </c>
      <c r="D1666" t="s">
        <v>33</v>
      </c>
      <c r="E1666" s="162">
        <v>4.5</v>
      </c>
      <c r="F1666" s="162">
        <v>71.8</v>
      </c>
      <c r="G1666" s="165">
        <v>323.10000000000002</v>
      </c>
      <c r="H1666" s="20">
        <v>902</v>
      </c>
      <c r="I1666"/>
    </row>
    <row r="1667" spans="1:9" x14ac:dyDescent="0.25">
      <c r="A1667" s="228">
        <v>41796</v>
      </c>
      <c r="B1667" s="161" t="s">
        <v>862</v>
      </c>
      <c r="C1667" t="s">
        <v>1472</v>
      </c>
      <c r="D1667" t="s">
        <v>33</v>
      </c>
      <c r="E1667" s="162">
        <v>4.5</v>
      </c>
      <c r="F1667" s="162">
        <v>88.74</v>
      </c>
      <c r="G1667" s="165">
        <v>399.33</v>
      </c>
      <c r="H1667" s="20">
        <v>902</v>
      </c>
      <c r="I1667"/>
    </row>
    <row r="1668" spans="1:9" x14ac:dyDescent="0.25">
      <c r="A1668" s="228">
        <v>41801</v>
      </c>
      <c r="B1668" s="161" t="s">
        <v>862</v>
      </c>
      <c r="C1668" t="s">
        <v>1472</v>
      </c>
      <c r="D1668" t="s">
        <v>33</v>
      </c>
      <c r="E1668" s="162">
        <v>8</v>
      </c>
      <c r="F1668" s="162">
        <v>88.74</v>
      </c>
      <c r="G1668" s="165">
        <v>709.92</v>
      </c>
      <c r="H1668" s="20">
        <v>902</v>
      </c>
      <c r="I1668"/>
    </row>
    <row r="1669" spans="1:9" x14ac:dyDescent="0.25">
      <c r="A1669" s="228">
        <v>41806</v>
      </c>
      <c r="B1669" s="161" t="s">
        <v>862</v>
      </c>
      <c r="C1669" t="s">
        <v>1472</v>
      </c>
      <c r="D1669" t="s">
        <v>33</v>
      </c>
      <c r="E1669" s="162">
        <v>9.5</v>
      </c>
      <c r="F1669" s="162">
        <v>88.74</v>
      </c>
      <c r="G1669" s="165">
        <v>843.03</v>
      </c>
      <c r="H1669" s="20">
        <v>902</v>
      </c>
      <c r="I1669"/>
    </row>
    <row r="1670" spans="1:9" x14ac:dyDescent="0.25">
      <c r="A1670" s="228">
        <v>41807</v>
      </c>
      <c r="B1670" s="161" t="s">
        <v>862</v>
      </c>
      <c r="C1670" t="s">
        <v>1472</v>
      </c>
      <c r="D1670" t="s">
        <v>33</v>
      </c>
      <c r="E1670" s="162">
        <v>5.5</v>
      </c>
      <c r="F1670" s="162">
        <v>88.74</v>
      </c>
      <c r="G1670" s="165">
        <v>488.07</v>
      </c>
      <c r="H1670" s="20">
        <v>902</v>
      </c>
      <c r="I1670"/>
    </row>
    <row r="1671" spans="1:9" x14ac:dyDescent="0.25">
      <c r="A1671" s="228">
        <v>41808</v>
      </c>
      <c r="B1671" s="161" t="s">
        <v>862</v>
      </c>
      <c r="C1671" t="s">
        <v>1472</v>
      </c>
      <c r="D1671" t="s">
        <v>33</v>
      </c>
      <c r="E1671" s="162">
        <v>5.5</v>
      </c>
      <c r="F1671" s="162">
        <v>88.74</v>
      </c>
      <c r="G1671" s="165">
        <v>488.07</v>
      </c>
      <c r="H1671" s="20">
        <v>902</v>
      </c>
      <c r="I1671"/>
    </row>
    <row r="1672" spans="1:9" x14ac:dyDescent="0.25">
      <c r="A1672" s="228">
        <v>41809</v>
      </c>
      <c r="B1672" s="161" t="s">
        <v>862</v>
      </c>
      <c r="C1672" t="s">
        <v>1472</v>
      </c>
      <c r="D1672" t="s">
        <v>33</v>
      </c>
      <c r="E1672" s="162">
        <v>5.5</v>
      </c>
      <c r="F1672" s="162">
        <v>88.74</v>
      </c>
      <c r="G1672" s="165">
        <v>488.07</v>
      </c>
      <c r="H1672" s="20">
        <v>902</v>
      </c>
      <c r="I1672"/>
    </row>
    <row r="1673" spans="1:9" x14ac:dyDescent="0.25">
      <c r="A1673" s="228">
        <v>41813</v>
      </c>
      <c r="B1673" s="161" t="s">
        <v>862</v>
      </c>
      <c r="C1673" t="s">
        <v>1472</v>
      </c>
      <c r="D1673" t="s">
        <v>33</v>
      </c>
      <c r="E1673" s="162">
        <v>4.5</v>
      </c>
      <c r="F1673" s="162">
        <v>88.74</v>
      </c>
      <c r="G1673" s="165">
        <v>399.33</v>
      </c>
      <c r="H1673" s="20">
        <v>902</v>
      </c>
      <c r="I1673"/>
    </row>
    <row r="1674" spans="1:9" x14ac:dyDescent="0.25">
      <c r="A1674" s="228">
        <v>41814</v>
      </c>
      <c r="B1674" s="161" t="s">
        <v>862</v>
      </c>
      <c r="C1674" t="s">
        <v>1472</v>
      </c>
      <c r="D1674" t="s">
        <v>33</v>
      </c>
      <c r="E1674" s="162">
        <v>4.5</v>
      </c>
      <c r="F1674" s="162">
        <v>88.74</v>
      </c>
      <c r="G1674" s="165">
        <v>399.33</v>
      </c>
      <c r="H1674" s="20">
        <v>902</v>
      </c>
      <c r="I1674"/>
    </row>
    <row r="1675" spans="1:9" x14ac:dyDescent="0.25">
      <c r="A1675" s="228">
        <v>41816</v>
      </c>
      <c r="B1675" s="161" t="s">
        <v>862</v>
      </c>
      <c r="C1675" t="s">
        <v>1472</v>
      </c>
      <c r="D1675" t="s">
        <v>33</v>
      </c>
      <c r="E1675" s="162">
        <v>4.5</v>
      </c>
      <c r="F1675" s="162">
        <v>88.74</v>
      </c>
      <c r="G1675" s="165">
        <v>399.33</v>
      </c>
      <c r="H1675" s="20">
        <v>902</v>
      </c>
      <c r="I1675"/>
    </row>
    <row r="1676" spans="1:9" x14ac:dyDescent="0.25">
      <c r="A1676" s="228">
        <v>41817</v>
      </c>
      <c r="B1676" s="161" t="s">
        <v>862</v>
      </c>
      <c r="C1676" t="s">
        <v>1472</v>
      </c>
      <c r="D1676" t="s">
        <v>33</v>
      </c>
      <c r="E1676" s="162">
        <v>2.5</v>
      </c>
      <c r="F1676" s="162">
        <v>88.74</v>
      </c>
      <c r="G1676" s="165">
        <v>221.85</v>
      </c>
      <c r="H1676" s="20">
        <v>902</v>
      </c>
      <c r="I1676"/>
    </row>
    <row r="1677" spans="1:9" x14ac:dyDescent="0.25">
      <c r="A1677" s="228">
        <v>41818</v>
      </c>
      <c r="B1677" s="161" t="s">
        <v>862</v>
      </c>
      <c r="C1677" t="s">
        <v>1472</v>
      </c>
      <c r="D1677" t="s">
        <v>33</v>
      </c>
      <c r="E1677" s="162">
        <v>3</v>
      </c>
      <c r="F1677" s="162">
        <v>88.74</v>
      </c>
      <c r="G1677" s="165">
        <v>266.22000000000003</v>
      </c>
      <c r="H1677" s="20">
        <v>902</v>
      </c>
      <c r="I1677"/>
    </row>
    <row r="1678" spans="1:9" x14ac:dyDescent="0.25">
      <c r="A1678" s="228">
        <v>41820</v>
      </c>
      <c r="B1678" s="161" t="s">
        <v>862</v>
      </c>
      <c r="C1678" t="s">
        <v>1472</v>
      </c>
      <c r="D1678" t="s">
        <v>33</v>
      </c>
      <c r="E1678" s="162">
        <v>5</v>
      </c>
      <c r="F1678" s="162">
        <v>88.74</v>
      </c>
      <c r="G1678" s="165">
        <v>443.7</v>
      </c>
      <c r="H1678" s="20">
        <v>902</v>
      </c>
      <c r="I1678"/>
    </row>
    <row r="1679" spans="1:9" x14ac:dyDescent="0.25">
      <c r="A1679" s="228">
        <v>41821</v>
      </c>
      <c r="B1679" s="161" t="s">
        <v>862</v>
      </c>
      <c r="C1679" t="s">
        <v>1472</v>
      </c>
      <c r="D1679" t="s">
        <v>33</v>
      </c>
      <c r="E1679" s="162">
        <v>4.5</v>
      </c>
      <c r="F1679" s="162">
        <v>88.74</v>
      </c>
      <c r="G1679" s="165">
        <v>399.33</v>
      </c>
      <c r="H1679" s="20">
        <v>902</v>
      </c>
      <c r="I1679"/>
    </row>
    <row r="1680" spans="1:9" x14ac:dyDescent="0.25">
      <c r="A1680" s="228">
        <v>41822</v>
      </c>
      <c r="B1680" s="161" t="s">
        <v>862</v>
      </c>
      <c r="C1680" t="s">
        <v>1472</v>
      </c>
      <c r="D1680" t="s">
        <v>33</v>
      </c>
      <c r="E1680" s="162">
        <v>5</v>
      </c>
      <c r="F1680" s="162">
        <v>88.74</v>
      </c>
      <c r="G1680" s="165">
        <v>443.7</v>
      </c>
      <c r="H1680" s="20">
        <v>902</v>
      </c>
      <c r="I1680"/>
    </row>
    <row r="1681" spans="1:9" x14ac:dyDescent="0.25">
      <c r="A1681" s="228">
        <v>41823</v>
      </c>
      <c r="B1681" s="161" t="s">
        <v>862</v>
      </c>
      <c r="C1681" t="s">
        <v>1472</v>
      </c>
      <c r="D1681" t="s">
        <v>33</v>
      </c>
      <c r="E1681" s="162">
        <v>5</v>
      </c>
      <c r="F1681" s="162">
        <v>88.74</v>
      </c>
      <c r="G1681" s="165">
        <v>443.7</v>
      </c>
      <c r="H1681" s="20">
        <v>902</v>
      </c>
      <c r="I1681"/>
    </row>
    <row r="1682" spans="1:9" x14ac:dyDescent="0.25">
      <c r="A1682" s="228">
        <v>41824</v>
      </c>
      <c r="B1682" s="161" t="s">
        <v>862</v>
      </c>
      <c r="C1682" t="s">
        <v>1472</v>
      </c>
      <c r="D1682" t="s">
        <v>33</v>
      </c>
      <c r="E1682" s="162">
        <v>1</v>
      </c>
      <c r="F1682" s="162">
        <v>88.74</v>
      </c>
      <c r="G1682" s="165">
        <v>88.74</v>
      </c>
      <c r="H1682" s="20">
        <v>902</v>
      </c>
      <c r="I1682"/>
    </row>
    <row r="1683" spans="1:9" x14ac:dyDescent="0.25">
      <c r="A1683" s="228">
        <v>41827</v>
      </c>
      <c r="B1683" s="161" t="s">
        <v>862</v>
      </c>
      <c r="C1683" t="s">
        <v>1472</v>
      </c>
      <c r="D1683" t="s">
        <v>33</v>
      </c>
      <c r="E1683" s="162">
        <v>1</v>
      </c>
      <c r="F1683" s="162">
        <v>88.74</v>
      </c>
      <c r="G1683" s="165">
        <v>88.74</v>
      </c>
      <c r="H1683" s="20">
        <v>902</v>
      </c>
      <c r="I1683"/>
    </row>
    <row r="1684" spans="1:9" x14ac:dyDescent="0.25">
      <c r="A1684" s="228">
        <v>41828</v>
      </c>
      <c r="B1684" s="161" t="s">
        <v>862</v>
      </c>
      <c r="C1684" t="s">
        <v>1472</v>
      </c>
      <c r="D1684" t="s">
        <v>33</v>
      </c>
      <c r="E1684" s="162">
        <v>1</v>
      </c>
      <c r="F1684" s="162">
        <v>88.74</v>
      </c>
      <c r="G1684" s="165">
        <v>88.74</v>
      </c>
      <c r="H1684" s="20">
        <v>902</v>
      </c>
      <c r="I1684"/>
    </row>
    <row r="1685" spans="1:9" x14ac:dyDescent="0.25">
      <c r="A1685" s="228">
        <v>41829</v>
      </c>
      <c r="B1685" s="161" t="s">
        <v>862</v>
      </c>
      <c r="C1685" t="s">
        <v>1472</v>
      </c>
      <c r="D1685" t="s">
        <v>33</v>
      </c>
      <c r="E1685" s="162">
        <v>1</v>
      </c>
      <c r="F1685" s="162">
        <v>88.74</v>
      </c>
      <c r="G1685" s="165">
        <v>88.74</v>
      </c>
      <c r="H1685" s="20">
        <v>902</v>
      </c>
      <c r="I1685"/>
    </row>
    <row r="1686" spans="1:9" x14ac:dyDescent="0.25">
      <c r="A1686" s="228">
        <v>41830</v>
      </c>
      <c r="B1686" s="161" t="s">
        <v>862</v>
      </c>
      <c r="C1686" t="s">
        <v>1472</v>
      </c>
      <c r="D1686" t="s">
        <v>33</v>
      </c>
      <c r="E1686" s="162">
        <v>2</v>
      </c>
      <c r="F1686" s="162">
        <v>88.74</v>
      </c>
      <c r="G1686" s="165">
        <v>177.48</v>
      </c>
      <c r="H1686" s="20">
        <v>902</v>
      </c>
      <c r="I1686"/>
    </row>
    <row r="1687" spans="1:9" x14ac:dyDescent="0.25">
      <c r="A1687" s="228">
        <v>41831</v>
      </c>
      <c r="B1687" s="161" t="s">
        <v>862</v>
      </c>
      <c r="C1687" t="s">
        <v>1472</v>
      </c>
      <c r="D1687" t="s">
        <v>33</v>
      </c>
      <c r="E1687" s="162">
        <v>1.5</v>
      </c>
      <c r="F1687" s="162">
        <v>88.74</v>
      </c>
      <c r="G1687" s="165">
        <v>133.11000000000001</v>
      </c>
      <c r="H1687" s="20">
        <v>902</v>
      </c>
      <c r="I1687"/>
    </row>
    <row r="1688" spans="1:9" x14ac:dyDescent="0.25">
      <c r="A1688" s="228">
        <v>41832</v>
      </c>
      <c r="B1688" s="161" t="s">
        <v>862</v>
      </c>
      <c r="C1688" t="s">
        <v>1472</v>
      </c>
      <c r="D1688" t="s">
        <v>33</v>
      </c>
      <c r="E1688" s="162">
        <v>2.5</v>
      </c>
      <c r="F1688" s="162">
        <v>88.74</v>
      </c>
      <c r="G1688" s="165">
        <v>221.85</v>
      </c>
      <c r="H1688" s="20">
        <v>902</v>
      </c>
      <c r="I1688"/>
    </row>
    <row r="1689" spans="1:9" x14ac:dyDescent="0.25">
      <c r="A1689" s="228">
        <v>41834</v>
      </c>
      <c r="B1689" s="161" t="s">
        <v>862</v>
      </c>
      <c r="C1689" t="s">
        <v>1472</v>
      </c>
      <c r="D1689" t="s">
        <v>33</v>
      </c>
      <c r="E1689" s="162">
        <v>2</v>
      </c>
      <c r="F1689" s="162">
        <v>88.74</v>
      </c>
      <c r="G1689" s="165">
        <v>177.48</v>
      </c>
      <c r="H1689" s="20">
        <v>902</v>
      </c>
      <c r="I1689"/>
    </row>
    <row r="1690" spans="1:9" x14ac:dyDescent="0.25">
      <c r="A1690" s="228">
        <v>41836</v>
      </c>
      <c r="B1690" s="161" t="s">
        <v>862</v>
      </c>
      <c r="C1690" t="s">
        <v>1472</v>
      </c>
      <c r="D1690" t="s">
        <v>33</v>
      </c>
      <c r="E1690" s="162">
        <v>1.5</v>
      </c>
      <c r="F1690" s="162">
        <v>88.74</v>
      </c>
      <c r="G1690" s="165">
        <v>133.11000000000001</v>
      </c>
      <c r="H1690" s="20">
        <v>902</v>
      </c>
      <c r="I1690"/>
    </row>
    <row r="1691" spans="1:9" x14ac:dyDescent="0.25">
      <c r="A1691" s="228">
        <v>41837</v>
      </c>
      <c r="B1691" s="161" t="s">
        <v>862</v>
      </c>
      <c r="C1691" t="s">
        <v>1472</v>
      </c>
      <c r="D1691" t="s">
        <v>33</v>
      </c>
      <c r="E1691" s="162">
        <v>1.5</v>
      </c>
      <c r="F1691" s="162">
        <v>88.74</v>
      </c>
      <c r="G1691" s="165">
        <v>133.11000000000001</v>
      </c>
      <c r="H1691" s="20">
        <v>902</v>
      </c>
      <c r="I1691"/>
    </row>
    <row r="1692" spans="1:9" x14ac:dyDescent="0.25">
      <c r="A1692" s="228">
        <v>41841</v>
      </c>
      <c r="B1692" s="161" t="s">
        <v>862</v>
      </c>
      <c r="C1692" t="s">
        <v>1472</v>
      </c>
      <c r="D1692" t="s">
        <v>33</v>
      </c>
      <c r="E1692" s="162">
        <v>1.5</v>
      </c>
      <c r="F1692" s="162">
        <v>88.74</v>
      </c>
      <c r="G1692" s="165">
        <v>133.11000000000001</v>
      </c>
      <c r="H1692" s="20">
        <v>902</v>
      </c>
      <c r="I1692"/>
    </row>
    <row r="1693" spans="1:9" x14ac:dyDescent="0.25">
      <c r="A1693" s="228">
        <v>41842</v>
      </c>
      <c r="B1693" s="161" t="s">
        <v>862</v>
      </c>
      <c r="C1693" t="s">
        <v>1472</v>
      </c>
      <c r="D1693" t="s">
        <v>33</v>
      </c>
      <c r="E1693" s="162">
        <v>1.5</v>
      </c>
      <c r="F1693" s="162">
        <v>88.74</v>
      </c>
      <c r="G1693" s="165">
        <v>133.11000000000001</v>
      </c>
      <c r="H1693" s="20">
        <v>902</v>
      </c>
      <c r="I1693"/>
    </row>
    <row r="1694" spans="1:9" x14ac:dyDescent="0.25">
      <c r="A1694" s="228">
        <v>41843</v>
      </c>
      <c r="B1694" s="161" t="s">
        <v>862</v>
      </c>
      <c r="C1694" t="s">
        <v>1472</v>
      </c>
      <c r="D1694" t="s">
        <v>33</v>
      </c>
      <c r="E1694" s="162">
        <v>1.5</v>
      </c>
      <c r="F1694" s="162">
        <v>88.74</v>
      </c>
      <c r="G1694" s="165">
        <v>133.11000000000001</v>
      </c>
      <c r="H1694" s="20">
        <v>902</v>
      </c>
      <c r="I1694"/>
    </row>
    <row r="1695" spans="1:9" x14ac:dyDescent="0.25">
      <c r="A1695" s="228">
        <v>41844</v>
      </c>
      <c r="B1695" s="161" t="s">
        <v>862</v>
      </c>
      <c r="C1695" t="s">
        <v>1472</v>
      </c>
      <c r="D1695" t="s">
        <v>33</v>
      </c>
      <c r="E1695" s="162">
        <v>1.5</v>
      </c>
      <c r="F1695" s="162">
        <v>88.74</v>
      </c>
      <c r="G1695" s="165">
        <v>133.11000000000001</v>
      </c>
      <c r="H1695" s="20">
        <v>902</v>
      </c>
      <c r="I1695"/>
    </row>
    <row r="1696" spans="1:9" x14ac:dyDescent="0.25">
      <c r="A1696" s="228">
        <v>41845</v>
      </c>
      <c r="B1696" s="161" t="s">
        <v>862</v>
      </c>
      <c r="C1696" t="s">
        <v>1472</v>
      </c>
      <c r="D1696" t="s">
        <v>33</v>
      </c>
      <c r="E1696" s="162">
        <v>1.5</v>
      </c>
      <c r="F1696" s="162">
        <v>88.74</v>
      </c>
      <c r="G1696" s="165">
        <v>133.11000000000001</v>
      </c>
      <c r="H1696" s="20">
        <v>902</v>
      </c>
      <c r="I1696"/>
    </row>
    <row r="1697" spans="1:9" x14ac:dyDescent="0.25">
      <c r="A1697" s="228">
        <v>41846</v>
      </c>
      <c r="B1697" s="161" t="s">
        <v>862</v>
      </c>
      <c r="C1697" t="s">
        <v>1472</v>
      </c>
      <c r="D1697" t="s">
        <v>33</v>
      </c>
      <c r="E1697" s="162">
        <v>3</v>
      </c>
      <c r="F1697" s="162">
        <v>88.74</v>
      </c>
      <c r="G1697" s="165">
        <v>266.22000000000003</v>
      </c>
      <c r="H1697" s="20">
        <v>902</v>
      </c>
      <c r="I1697"/>
    </row>
    <row r="1698" spans="1:9" x14ac:dyDescent="0.25">
      <c r="A1698" s="228">
        <v>41848</v>
      </c>
      <c r="B1698" s="161" t="s">
        <v>862</v>
      </c>
      <c r="C1698" t="s">
        <v>1472</v>
      </c>
      <c r="D1698" t="s">
        <v>33</v>
      </c>
      <c r="E1698" s="162">
        <v>5</v>
      </c>
      <c r="F1698" s="162">
        <v>88.74</v>
      </c>
      <c r="G1698" s="165">
        <v>443.7</v>
      </c>
      <c r="H1698" s="20">
        <v>902</v>
      </c>
      <c r="I1698"/>
    </row>
    <row r="1699" spans="1:9" x14ac:dyDescent="0.25">
      <c r="A1699" s="228">
        <v>41849</v>
      </c>
      <c r="B1699" s="161" t="s">
        <v>862</v>
      </c>
      <c r="C1699" t="s">
        <v>1472</v>
      </c>
      <c r="D1699" t="s">
        <v>33</v>
      </c>
      <c r="E1699" s="162">
        <v>5</v>
      </c>
      <c r="F1699" s="162">
        <v>88.74</v>
      </c>
      <c r="G1699" s="165">
        <v>443.7</v>
      </c>
      <c r="H1699" s="20">
        <v>902</v>
      </c>
      <c r="I1699"/>
    </row>
    <row r="1700" spans="1:9" x14ac:dyDescent="0.25">
      <c r="A1700" s="228">
        <v>41850</v>
      </c>
      <c r="B1700" s="161" t="s">
        <v>862</v>
      </c>
      <c r="C1700" t="s">
        <v>1472</v>
      </c>
      <c r="D1700" t="s">
        <v>33</v>
      </c>
      <c r="E1700" s="162">
        <v>5</v>
      </c>
      <c r="F1700" s="162">
        <v>88.74</v>
      </c>
      <c r="G1700" s="165">
        <v>443.7</v>
      </c>
      <c r="H1700" s="20">
        <v>902</v>
      </c>
      <c r="I1700"/>
    </row>
    <row r="1701" spans="1:9" x14ac:dyDescent="0.25">
      <c r="A1701" s="228">
        <v>41851</v>
      </c>
      <c r="B1701" s="161" t="s">
        <v>862</v>
      </c>
      <c r="C1701" t="s">
        <v>1472</v>
      </c>
      <c r="D1701" t="s">
        <v>33</v>
      </c>
      <c r="E1701" s="162">
        <v>5</v>
      </c>
      <c r="F1701" s="162">
        <v>88.74</v>
      </c>
      <c r="G1701" s="165">
        <v>443.7</v>
      </c>
      <c r="H1701" s="20">
        <v>902</v>
      </c>
      <c r="I1701"/>
    </row>
    <row r="1702" spans="1:9" x14ac:dyDescent="0.25">
      <c r="A1702" s="228">
        <v>41852</v>
      </c>
      <c r="B1702" s="161" t="s">
        <v>862</v>
      </c>
      <c r="C1702" t="s">
        <v>1472</v>
      </c>
      <c r="D1702" t="s">
        <v>33</v>
      </c>
      <c r="E1702" s="162">
        <v>5</v>
      </c>
      <c r="F1702" s="162">
        <v>88.74</v>
      </c>
      <c r="G1702" s="165">
        <v>443.7</v>
      </c>
      <c r="H1702" s="20">
        <v>902</v>
      </c>
      <c r="I1702"/>
    </row>
    <row r="1703" spans="1:9" x14ac:dyDescent="0.25">
      <c r="A1703" s="228">
        <v>41855</v>
      </c>
      <c r="B1703" s="161" t="s">
        <v>862</v>
      </c>
      <c r="C1703" t="s">
        <v>1472</v>
      </c>
      <c r="D1703" t="s">
        <v>33</v>
      </c>
      <c r="E1703" s="162">
        <v>5</v>
      </c>
      <c r="F1703" s="162">
        <v>88.74</v>
      </c>
      <c r="G1703" s="165">
        <v>443.7</v>
      </c>
      <c r="H1703" s="20">
        <v>902</v>
      </c>
      <c r="I1703"/>
    </row>
    <row r="1704" spans="1:9" x14ac:dyDescent="0.25">
      <c r="A1704" s="228">
        <v>41856</v>
      </c>
      <c r="B1704" s="161" t="s">
        <v>862</v>
      </c>
      <c r="C1704" t="s">
        <v>1472</v>
      </c>
      <c r="D1704" t="s">
        <v>33</v>
      </c>
      <c r="E1704" s="162">
        <v>4.5</v>
      </c>
      <c r="F1704" s="162">
        <v>88.74</v>
      </c>
      <c r="G1704" s="165">
        <v>399.33</v>
      </c>
      <c r="H1704" s="20">
        <v>902</v>
      </c>
      <c r="I1704"/>
    </row>
    <row r="1705" spans="1:9" x14ac:dyDescent="0.25">
      <c r="A1705" s="228">
        <v>41857</v>
      </c>
      <c r="B1705" s="161" t="s">
        <v>862</v>
      </c>
      <c r="C1705" t="s">
        <v>1472</v>
      </c>
      <c r="D1705" t="s">
        <v>33</v>
      </c>
      <c r="E1705" s="162">
        <v>4</v>
      </c>
      <c r="F1705" s="162">
        <v>88.74</v>
      </c>
      <c r="G1705" s="165">
        <v>354.96</v>
      </c>
      <c r="H1705" s="20">
        <v>902</v>
      </c>
      <c r="I1705"/>
    </row>
    <row r="1706" spans="1:9" x14ac:dyDescent="0.25">
      <c r="A1706" s="228">
        <v>41858</v>
      </c>
      <c r="B1706" s="161" t="s">
        <v>862</v>
      </c>
      <c r="C1706" t="s">
        <v>1472</v>
      </c>
      <c r="D1706" t="s">
        <v>33</v>
      </c>
      <c r="E1706" s="162">
        <v>4</v>
      </c>
      <c r="F1706" s="162">
        <v>88.74</v>
      </c>
      <c r="G1706" s="165">
        <v>354.96</v>
      </c>
      <c r="H1706" s="20">
        <v>902</v>
      </c>
      <c r="I1706"/>
    </row>
    <row r="1707" spans="1:9" x14ac:dyDescent="0.25">
      <c r="A1707" s="228">
        <v>41862</v>
      </c>
      <c r="B1707" s="161" t="s">
        <v>862</v>
      </c>
      <c r="C1707" t="s">
        <v>1472</v>
      </c>
      <c r="D1707" t="s">
        <v>33</v>
      </c>
      <c r="E1707" s="162">
        <v>4</v>
      </c>
      <c r="F1707" s="162">
        <v>88.74</v>
      </c>
      <c r="G1707" s="165">
        <v>354.96</v>
      </c>
      <c r="H1707" s="20">
        <v>902</v>
      </c>
      <c r="I1707"/>
    </row>
    <row r="1708" spans="1:9" x14ac:dyDescent="0.25">
      <c r="A1708" s="228">
        <v>41863</v>
      </c>
      <c r="B1708" s="161" t="s">
        <v>862</v>
      </c>
      <c r="C1708" t="s">
        <v>1472</v>
      </c>
      <c r="D1708" t="s">
        <v>33</v>
      </c>
      <c r="E1708" s="162">
        <v>4</v>
      </c>
      <c r="F1708" s="162">
        <v>88.74</v>
      </c>
      <c r="G1708" s="165">
        <v>354.96</v>
      </c>
      <c r="H1708" s="20">
        <v>902</v>
      </c>
      <c r="I1708"/>
    </row>
    <row r="1709" spans="1:9" x14ac:dyDescent="0.25">
      <c r="A1709" s="228">
        <v>41864</v>
      </c>
      <c r="B1709" s="161" t="s">
        <v>862</v>
      </c>
      <c r="C1709" t="s">
        <v>1472</v>
      </c>
      <c r="D1709" t="s">
        <v>33</v>
      </c>
      <c r="E1709" s="162">
        <v>4</v>
      </c>
      <c r="F1709" s="162">
        <v>88.74</v>
      </c>
      <c r="G1709" s="165">
        <v>354.96</v>
      </c>
      <c r="H1709" s="20">
        <v>902</v>
      </c>
      <c r="I1709"/>
    </row>
    <row r="1710" spans="1:9" x14ac:dyDescent="0.25">
      <c r="A1710" s="228">
        <v>41865</v>
      </c>
      <c r="B1710" s="161" t="s">
        <v>862</v>
      </c>
      <c r="C1710" t="s">
        <v>1472</v>
      </c>
      <c r="D1710" t="s">
        <v>33</v>
      </c>
      <c r="E1710" s="162">
        <v>6</v>
      </c>
      <c r="F1710" s="162">
        <v>88.74</v>
      </c>
      <c r="G1710" s="165">
        <v>532.44000000000005</v>
      </c>
      <c r="H1710" s="20">
        <v>902</v>
      </c>
      <c r="I1710"/>
    </row>
    <row r="1711" spans="1:9" x14ac:dyDescent="0.25">
      <c r="A1711" s="228">
        <v>41870</v>
      </c>
      <c r="B1711" s="161" t="s">
        <v>862</v>
      </c>
      <c r="C1711" t="s">
        <v>1472</v>
      </c>
      <c r="D1711" t="s">
        <v>33</v>
      </c>
      <c r="E1711" s="162">
        <v>6</v>
      </c>
      <c r="F1711" s="162">
        <v>88.74</v>
      </c>
      <c r="G1711" s="165">
        <v>532.44000000000005</v>
      </c>
      <c r="H1711" s="20">
        <v>902</v>
      </c>
      <c r="I1711"/>
    </row>
    <row r="1712" spans="1:9" x14ac:dyDescent="0.25">
      <c r="A1712" s="228">
        <v>41871</v>
      </c>
      <c r="B1712" s="161" t="s">
        <v>862</v>
      </c>
      <c r="C1712" t="s">
        <v>1472</v>
      </c>
      <c r="D1712" t="s">
        <v>33</v>
      </c>
      <c r="E1712" s="162">
        <v>6.5</v>
      </c>
      <c r="F1712" s="162">
        <v>88.74</v>
      </c>
      <c r="G1712" s="165">
        <v>576.80999999999995</v>
      </c>
      <c r="H1712" s="20">
        <v>902</v>
      </c>
      <c r="I1712"/>
    </row>
    <row r="1713" spans="1:9" x14ac:dyDescent="0.25">
      <c r="A1713" s="228">
        <v>41872</v>
      </c>
      <c r="B1713" s="161" t="s">
        <v>862</v>
      </c>
      <c r="C1713" t="s">
        <v>1472</v>
      </c>
      <c r="D1713" t="s">
        <v>33</v>
      </c>
      <c r="E1713" s="162">
        <v>7</v>
      </c>
      <c r="F1713" s="162">
        <v>88.74</v>
      </c>
      <c r="G1713" s="165">
        <v>621.17999999999995</v>
      </c>
      <c r="H1713" s="20">
        <v>902</v>
      </c>
      <c r="I1713"/>
    </row>
    <row r="1714" spans="1:9" x14ac:dyDescent="0.25">
      <c r="A1714" s="228">
        <v>41876</v>
      </c>
      <c r="B1714" s="161" t="s">
        <v>862</v>
      </c>
      <c r="C1714" t="s">
        <v>1472</v>
      </c>
      <c r="D1714" t="s">
        <v>33</v>
      </c>
      <c r="E1714" s="162">
        <v>8.5</v>
      </c>
      <c r="F1714" s="162">
        <v>88.74</v>
      </c>
      <c r="G1714" s="165">
        <v>754.29</v>
      </c>
      <c r="H1714" s="20">
        <v>902</v>
      </c>
      <c r="I1714"/>
    </row>
    <row r="1715" spans="1:9" x14ac:dyDescent="0.25">
      <c r="A1715" s="228">
        <v>41877</v>
      </c>
      <c r="B1715" s="161" t="s">
        <v>862</v>
      </c>
      <c r="C1715" t="s">
        <v>1472</v>
      </c>
      <c r="D1715" t="s">
        <v>33</v>
      </c>
      <c r="E1715" s="162">
        <v>6.5</v>
      </c>
      <c r="F1715" s="162">
        <v>88.74</v>
      </c>
      <c r="G1715" s="165">
        <v>576.80999999999995</v>
      </c>
      <c r="H1715" s="20">
        <v>902</v>
      </c>
      <c r="I1715"/>
    </row>
    <row r="1716" spans="1:9" x14ac:dyDescent="0.25">
      <c r="A1716" s="228">
        <v>41878</v>
      </c>
      <c r="B1716" s="161" t="s">
        <v>862</v>
      </c>
      <c r="C1716" t="s">
        <v>1472</v>
      </c>
      <c r="D1716" t="s">
        <v>33</v>
      </c>
      <c r="E1716" s="162">
        <v>6.5</v>
      </c>
      <c r="F1716" s="162">
        <v>88.74</v>
      </c>
      <c r="G1716" s="165">
        <v>576.80999999999995</v>
      </c>
      <c r="H1716" s="20">
        <v>902</v>
      </c>
      <c r="I1716"/>
    </row>
    <row r="1717" spans="1:9" x14ac:dyDescent="0.25">
      <c r="A1717" s="228">
        <v>41879</v>
      </c>
      <c r="B1717" s="161" t="s">
        <v>862</v>
      </c>
      <c r="C1717" t="s">
        <v>1472</v>
      </c>
      <c r="D1717" t="s">
        <v>33</v>
      </c>
      <c r="E1717" s="162">
        <v>6</v>
      </c>
      <c r="F1717" s="162">
        <v>88.74</v>
      </c>
      <c r="G1717" s="165">
        <v>532.44000000000005</v>
      </c>
      <c r="H1717" s="20">
        <v>902</v>
      </c>
      <c r="I1717"/>
    </row>
    <row r="1718" spans="1:9" x14ac:dyDescent="0.25">
      <c r="A1718" s="228">
        <v>41880</v>
      </c>
      <c r="B1718" s="161" t="s">
        <v>862</v>
      </c>
      <c r="C1718" t="s">
        <v>1472</v>
      </c>
      <c r="D1718" t="s">
        <v>33</v>
      </c>
      <c r="E1718" s="162">
        <v>9.5</v>
      </c>
      <c r="F1718" s="162">
        <v>88.74</v>
      </c>
      <c r="G1718" s="165">
        <v>843.03</v>
      </c>
      <c r="H1718" s="20">
        <v>902</v>
      </c>
      <c r="I1718"/>
    </row>
    <row r="1719" spans="1:9" x14ac:dyDescent="0.25">
      <c r="A1719" s="228">
        <v>41883</v>
      </c>
      <c r="B1719" s="161" t="s">
        <v>862</v>
      </c>
      <c r="C1719" t="s">
        <v>1472</v>
      </c>
      <c r="D1719" t="s">
        <v>33</v>
      </c>
      <c r="E1719" s="162">
        <v>10</v>
      </c>
      <c r="F1719" s="162">
        <v>88.74</v>
      </c>
      <c r="G1719" s="165">
        <v>887.4</v>
      </c>
      <c r="H1719" s="20">
        <v>902</v>
      </c>
      <c r="I1719"/>
    </row>
    <row r="1720" spans="1:9" x14ac:dyDescent="0.25">
      <c r="A1720" s="228">
        <v>41884</v>
      </c>
      <c r="B1720" s="161" t="s">
        <v>862</v>
      </c>
      <c r="C1720" t="s">
        <v>1472</v>
      </c>
      <c r="D1720" t="s">
        <v>33</v>
      </c>
      <c r="E1720" s="162">
        <v>10</v>
      </c>
      <c r="F1720" s="162">
        <v>88.74</v>
      </c>
      <c r="G1720" s="165">
        <v>887.4</v>
      </c>
      <c r="H1720" s="20">
        <v>902</v>
      </c>
      <c r="I1720"/>
    </row>
    <row r="1721" spans="1:9" x14ac:dyDescent="0.25">
      <c r="A1721" s="228">
        <v>41885</v>
      </c>
      <c r="B1721" s="161" t="s">
        <v>862</v>
      </c>
      <c r="C1721" t="s">
        <v>1472</v>
      </c>
      <c r="D1721" t="s">
        <v>33</v>
      </c>
      <c r="E1721" s="162">
        <v>10</v>
      </c>
      <c r="F1721" s="162">
        <v>88.74</v>
      </c>
      <c r="G1721" s="165">
        <v>887.4</v>
      </c>
      <c r="H1721" s="20">
        <v>902</v>
      </c>
      <c r="I1721"/>
    </row>
    <row r="1722" spans="1:9" x14ac:dyDescent="0.25">
      <c r="A1722" s="228">
        <v>41886</v>
      </c>
      <c r="B1722" s="161" t="s">
        <v>862</v>
      </c>
      <c r="C1722" t="s">
        <v>1472</v>
      </c>
      <c r="D1722" t="s">
        <v>33</v>
      </c>
      <c r="E1722" s="162">
        <v>10</v>
      </c>
      <c r="F1722" s="162">
        <v>88.74</v>
      </c>
      <c r="G1722" s="165">
        <v>887.4</v>
      </c>
      <c r="H1722" s="20">
        <v>902</v>
      </c>
      <c r="I1722"/>
    </row>
    <row r="1723" spans="1:9" x14ac:dyDescent="0.25">
      <c r="A1723" s="228">
        <v>41887</v>
      </c>
      <c r="B1723" s="161" t="s">
        <v>862</v>
      </c>
      <c r="C1723" t="s">
        <v>1472</v>
      </c>
      <c r="D1723" t="s">
        <v>33</v>
      </c>
      <c r="E1723" s="162">
        <v>10</v>
      </c>
      <c r="F1723" s="162">
        <v>88.74</v>
      </c>
      <c r="G1723" s="165">
        <v>887.4</v>
      </c>
      <c r="H1723" s="20">
        <v>902</v>
      </c>
      <c r="I1723"/>
    </row>
    <row r="1724" spans="1:9" x14ac:dyDescent="0.25">
      <c r="A1724" s="228">
        <v>41890</v>
      </c>
      <c r="B1724" s="161" t="s">
        <v>862</v>
      </c>
      <c r="C1724" t="s">
        <v>1472</v>
      </c>
      <c r="D1724" t="s">
        <v>33</v>
      </c>
      <c r="E1724" s="162">
        <v>8.5</v>
      </c>
      <c r="F1724" s="162">
        <v>88.74</v>
      </c>
      <c r="G1724" s="165">
        <v>754.29</v>
      </c>
      <c r="H1724" s="20">
        <v>902</v>
      </c>
      <c r="I1724"/>
    </row>
    <row r="1725" spans="1:9" x14ac:dyDescent="0.25">
      <c r="A1725" s="228">
        <v>41891</v>
      </c>
      <c r="B1725" s="161" t="s">
        <v>862</v>
      </c>
      <c r="C1725" t="s">
        <v>1472</v>
      </c>
      <c r="D1725" t="s">
        <v>33</v>
      </c>
      <c r="E1725" s="162">
        <v>8.5</v>
      </c>
      <c r="F1725" s="162">
        <v>88.74</v>
      </c>
      <c r="G1725" s="165">
        <v>754.29</v>
      </c>
      <c r="H1725" s="20">
        <v>902</v>
      </c>
      <c r="I1725"/>
    </row>
    <row r="1726" spans="1:9" x14ac:dyDescent="0.25">
      <c r="A1726" s="228">
        <v>41892</v>
      </c>
      <c r="B1726" s="161" t="s">
        <v>862</v>
      </c>
      <c r="C1726" t="s">
        <v>1472</v>
      </c>
      <c r="D1726" t="s">
        <v>33</v>
      </c>
      <c r="E1726" s="162">
        <v>10</v>
      </c>
      <c r="F1726" s="162">
        <v>88.74</v>
      </c>
      <c r="G1726" s="165">
        <v>887.4</v>
      </c>
      <c r="H1726" s="20">
        <v>902</v>
      </c>
      <c r="I1726"/>
    </row>
    <row r="1727" spans="1:9" x14ac:dyDescent="0.25">
      <c r="A1727" s="228">
        <v>41893</v>
      </c>
      <c r="B1727" s="161" t="s">
        <v>862</v>
      </c>
      <c r="C1727" t="s">
        <v>1472</v>
      </c>
      <c r="D1727" t="s">
        <v>33</v>
      </c>
      <c r="E1727" s="162">
        <v>10</v>
      </c>
      <c r="F1727" s="162">
        <v>88.74</v>
      </c>
      <c r="G1727" s="165">
        <v>887.4</v>
      </c>
      <c r="H1727" s="20">
        <v>902</v>
      </c>
      <c r="I1727"/>
    </row>
    <row r="1728" spans="1:9" x14ac:dyDescent="0.25">
      <c r="A1728" s="228">
        <v>41894</v>
      </c>
      <c r="B1728" s="161" t="s">
        <v>862</v>
      </c>
      <c r="C1728" t="s">
        <v>1472</v>
      </c>
      <c r="D1728" t="s">
        <v>33</v>
      </c>
      <c r="E1728" s="162">
        <v>8</v>
      </c>
      <c r="F1728" s="162">
        <v>88.74</v>
      </c>
      <c r="G1728" s="165">
        <v>709.92</v>
      </c>
      <c r="H1728" s="20">
        <v>902</v>
      </c>
      <c r="I1728"/>
    </row>
    <row r="1729" spans="1:9" x14ac:dyDescent="0.25">
      <c r="A1729" s="228">
        <v>41897</v>
      </c>
      <c r="B1729" s="161" t="s">
        <v>862</v>
      </c>
      <c r="C1729" t="s">
        <v>1472</v>
      </c>
      <c r="D1729" t="s">
        <v>33</v>
      </c>
      <c r="E1729" s="162">
        <v>9.5</v>
      </c>
      <c r="F1729" s="162">
        <v>88.74</v>
      </c>
      <c r="G1729" s="165">
        <v>843.03</v>
      </c>
      <c r="H1729" s="20">
        <v>902</v>
      </c>
      <c r="I1729"/>
    </row>
    <row r="1730" spans="1:9" x14ac:dyDescent="0.25">
      <c r="A1730" s="228">
        <v>41898</v>
      </c>
      <c r="B1730" s="161" t="s">
        <v>862</v>
      </c>
      <c r="C1730" t="s">
        <v>1472</v>
      </c>
      <c r="D1730" t="s">
        <v>33</v>
      </c>
      <c r="E1730" s="162">
        <v>10</v>
      </c>
      <c r="F1730" s="162">
        <v>88.74</v>
      </c>
      <c r="G1730" s="165">
        <v>887.4</v>
      </c>
      <c r="H1730" s="20">
        <v>902</v>
      </c>
      <c r="I1730"/>
    </row>
    <row r="1731" spans="1:9" x14ac:dyDescent="0.25">
      <c r="A1731" s="228">
        <v>41899</v>
      </c>
      <c r="B1731" s="161" t="s">
        <v>862</v>
      </c>
      <c r="C1731" t="s">
        <v>1472</v>
      </c>
      <c r="D1731" t="s">
        <v>33</v>
      </c>
      <c r="E1731" s="162">
        <v>9</v>
      </c>
      <c r="F1731" s="162">
        <v>88.74</v>
      </c>
      <c r="G1731" s="165">
        <v>798.66</v>
      </c>
      <c r="H1731" s="20">
        <v>902</v>
      </c>
      <c r="I1731"/>
    </row>
    <row r="1732" spans="1:9" x14ac:dyDescent="0.25">
      <c r="A1732" s="228">
        <v>41900</v>
      </c>
      <c r="B1732" s="161" t="s">
        <v>862</v>
      </c>
      <c r="C1732" t="s">
        <v>1472</v>
      </c>
      <c r="D1732" t="s">
        <v>33</v>
      </c>
      <c r="E1732" s="162">
        <v>9</v>
      </c>
      <c r="F1732" s="162">
        <v>88.74</v>
      </c>
      <c r="G1732" s="165">
        <v>798.66</v>
      </c>
      <c r="H1732" s="20">
        <v>902</v>
      </c>
      <c r="I1732"/>
    </row>
    <row r="1733" spans="1:9" x14ac:dyDescent="0.25">
      <c r="A1733" s="228">
        <v>41901</v>
      </c>
      <c r="B1733" s="161" t="s">
        <v>862</v>
      </c>
      <c r="C1733" t="s">
        <v>1472</v>
      </c>
      <c r="D1733" t="s">
        <v>33</v>
      </c>
      <c r="E1733" s="162">
        <v>9</v>
      </c>
      <c r="F1733" s="162">
        <v>88.74</v>
      </c>
      <c r="G1733" s="165">
        <v>798.66</v>
      </c>
      <c r="H1733" s="20">
        <v>902</v>
      </c>
      <c r="I1733"/>
    </row>
    <row r="1734" spans="1:9" x14ac:dyDescent="0.25">
      <c r="A1734" s="228">
        <v>41904</v>
      </c>
      <c r="B1734" s="161" t="s">
        <v>862</v>
      </c>
      <c r="C1734" t="s">
        <v>1472</v>
      </c>
      <c r="D1734" t="s">
        <v>33</v>
      </c>
      <c r="E1734" s="162">
        <v>9.5</v>
      </c>
      <c r="F1734" s="162">
        <v>88.74</v>
      </c>
      <c r="G1734" s="165">
        <v>843.03</v>
      </c>
      <c r="H1734" s="20">
        <v>902</v>
      </c>
      <c r="I1734"/>
    </row>
    <row r="1735" spans="1:9" x14ac:dyDescent="0.25">
      <c r="A1735" s="228">
        <v>41905</v>
      </c>
      <c r="B1735" s="161" t="s">
        <v>862</v>
      </c>
      <c r="C1735" t="s">
        <v>1472</v>
      </c>
      <c r="D1735" t="s">
        <v>33</v>
      </c>
      <c r="E1735" s="162">
        <v>9.5</v>
      </c>
      <c r="F1735" s="162">
        <v>88.74</v>
      </c>
      <c r="G1735" s="165">
        <v>843.03</v>
      </c>
      <c r="H1735" s="20">
        <v>902</v>
      </c>
      <c r="I1735"/>
    </row>
    <row r="1736" spans="1:9" x14ac:dyDescent="0.25">
      <c r="A1736" s="228">
        <v>41906</v>
      </c>
      <c r="B1736" s="161" t="s">
        <v>862</v>
      </c>
      <c r="C1736" t="s">
        <v>1472</v>
      </c>
      <c r="D1736" t="s">
        <v>33</v>
      </c>
      <c r="E1736" s="162">
        <v>9.5</v>
      </c>
      <c r="F1736" s="162">
        <v>88.74</v>
      </c>
      <c r="G1736" s="165">
        <v>843.03</v>
      </c>
      <c r="H1736" s="20">
        <v>902</v>
      </c>
      <c r="I1736"/>
    </row>
    <row r="1737" spans="1:9" x14ac:dyDescent="0.25">
      <c r="A1737" s="228">
        <v>41907</v>
      </c>
      <c r="B1737" s="161" t="s">
        <v>862</v>
      </c>
      <c r="C1737" t="s">
        <v>1472</v>
      </c>
      <c r="D1737" t="s">
        <v>33</v>
      </c>
      <c r="E1737" s="162">
        <v>10</v>
      </c>
      <c r="F1737" s="162">
        <v>88.74</v>
      </c>
      <c r="G1737" s="165">
        <v>887.4</v>
      </c>
      <c r="H1737" s="20">
        <v>902</v>
      </c>
      <c r="I1737"/>
    </row>
    <row r="1738" spans="1:9" x14ac:dyDescent="0.25">
      <c r="A1738" s="228">
        <v>41908</v>
      </c>
      <c r="B1738" s="161" t="s">
        <v>862</v>
      </c>
      <c r="C1738" t="s">
        <v>1472</v>
      </c>
      <c r="D1738" t="s">
        <v>33</v>
      </c>
      <c r="E1738" s="162">
        <v>8.5</v>
      </c>
      <c r="F1738" s="162">
        <v>88.74</v>
      </c>
      <c r="G1738" s="165">
        <v>754.29</v>
      </c>
      <c r="H1738" s="20">
        <v>902</v>
      </c>
      <c r="I1738"/>
    </row>
    <row r="1739" spans="1:9" x14ac:dyDescent="0.25">
      <c r="A1739" s="228">
        <v>41911</v>
      </c>
      <c r="B1739" s="161" t="s">
        <v>862</v>
      </c>
      <c r="C1739" t="s">
        <v>1472</v>
      </c>
      <c r="D1739" t="s">
        <v>33</v>
      </c>
      <c r="E1739" s="162">
        <v>9</v>
      </c>
      <c r="F1739" s="162">
        <v>88.74</v>
      </c>
      <c r="G1739" s="165">
        <v>798.66</v>
      </c>
      <c r="H1739" s="20">
        <v>902</v>
      </c>
      <c r="I1739"/>
    </row>
    <row r="1740" spans="1:9" x14ac:dyDescent="0.25">
      <c r="A1740" s="228">
        <v>41912</v>
      </c>
      <c r="B1740" s="161" t="s">
        <v>862</v>
      </c>
      <c r="C1740" t="s">
        <v>1472</v>
      </c>
      <c r="D1740" t="s">
        <v>33</v>
      </c>
      <c r="E1740" s="162">
        <v>9</v>
      </c>
      <c r="F1740" s="162">
        <v>88.74</v>
      </c>
      <c r="G1740" s="165">
        <v>798.66</v>
      </c>
      <c r="H1740" s="20">
        <v>902</v>
      </c>
      <c r="I1740"/>
    </row>
    <row r="1741" spans="1:9" x14ac:dyDescent="0.25">
      <c r="A1741" s="228">
        <v>41913</v>
      </c>
      <c r="B1741" s="161" t="s">
        <v>862</v>
      </c>
      <c r="C1741" t="s">
        <v>1472</v>
      </c>
      <c r="D1741" t="s">
        <v>33</v>
      </c>
      <c r="E1741" s="162">
        <v>9</v>
      </c>
      <c r="F1741" s="162">
        <v>88.74</v>
      </c>
      <c r="G1741" s="165">
        <v>798.66</v>
      </c>
      <c r="H1741" s="20">
        <v>902</v>
      </c>
      <c r="I1741"/>
    </row>
    <row r="1742" spans="1:9" x14ac:dyDescent="0.25">
      <c r="A1742" s="228">
        <v>41914</v>
      </c>
      <c r="B1742" s="161" t="s">
        <v>862</v>
      </c>
      <c r="C1742" t="s">
        <v>1472</v>
      </c>
      <c r="D1742" t="s">
        <v>33</v>
      </c>
      <c r="E1742" s="162">
        <v>10</v>
      </c>
      <c r="F1742" s="162">
        <v>88.74</v>
      </c>
      <c r="G1742" s="165">
        <v>887.4</v>
      </c>
      <c r="H1742" s="20">
        <v>902</v>
      </c>
      <c r="I1742"/>
    </row>
    <row r="1743" spans="1:9" x14ac:dyDescent="0.25">
      <c r="A1743" s="228">
        <v>41915</v>
      </c>
      <c r="B1743" s="161" t="s">
        <v>862</v>
      </c>
      <c r="C1743" t="s">
        <v>1472</v>
      </c>
      <c r="D1743" t="s">
        <v>33</v>
      </c>
      <c r="E1743" s="162">
        <v>9</v>
      </c>
      <c r="F1743" s="162">
        <v>88.74</v>
      </c>
      <c r="G1743" s="165">
        <v>798.66</v>
      </c>
      <c r="H1743" s="20">
        <v>902</v>
      </c>
      <c r="I1743"/>
    </row>
    <row r="1744" spans="1:9" x14ac:dyDescent="0.25">
      <c r="A1744" s="228">
        <v>41919</v>
      </c>
      <c r="B1744" s="161" t="s">
        <v>862</v>
      </c>
      <c r="C1744" t="s">
        <v>1472</v>
      </c>
      <c r="D1744" t="s">
        <v>33</v>
      </c>
      <c r="E1744" s="162">
        <v>10.5</v>
      </c>
      <c r="F1744" s="162">
        <v>88.74</v>
      </c>
      <c r="G1744" s="165">
        <v>931.77</v>
      </c>
      <c r="H1744" s="20">
        <v>902</v>
      </c>
      <c r="I1744"/>
    </row>
    <row r="1745" spans="1:9" x14ac:dyDescent="0.25">
      <c r="A1745" s="228">
        <v>41920</v>
      </c>
      <c r="B1745" s="161" t="s">
        <v>862</v>
      </c>
      <c r="C1745" t="s">
        <v>1472</v>
      </c>
      <c r="D1745" t="s">
        <v>33</v>
      </c>
      <c r="E1745" s="162">
        <v>10</v>
      </c>
      <c r="F1745" s="162">
        <v>88.74</v>
      </c>
      <c r="G1745" s="165">
        <v>887.4</v>
      </c>
      <c r="H1745" s="20">
        <v>902</v>
      </c>
      <c r="I1745"/>
    </row>
    <row r="1746" spans="1:9" x14ac:dyDescent="0.25">
      <c r="A1746" s="228">
        <v>41921</v>
      </c>
      <c r="B1746" s="161" t="s">
        <v>862</v>
      </c>
      <c r="C1746" t="s">
        <v>1472</v>
      </c>
      <c r="D1746" t="s">
        <v>33</v>
      </c>
      <c r="E1746" s="162">
        <v>10</v>
      </c>
      <c r="F1746" s="162">
        <v>88.74</v>
      </c>
      <c r="G1746" s="165">
        <v>887.4</v>
      </c>
      <c r="H1746" s="20">
        <v>902</v>
      </c>
      <c r="I1746"/>
    </row>
    <row r="1747" spans="1:9" x14ac:dyDescent="0.25">
      <c r="A1747" s="228">
        <v>41922</v>
      </c>
      <c r="B1747" s="161" t="s">
        <v>862</v>
      </c>
      <c r="C1747" t="s">
        <v>1472</v>
      </c>
      <c r="D1747" t="s">
        <v>33</v>
      </c>
      <c r="E1747" s="162">
        <v>8.5</v>
      </c>
      <c r="F1747" s="162">
        <v>88.74</v>
      </c>
      <c r="G1747" s="165">
        <v>754.29</v>
      </c>
      <c r="H1747" s="20">
        <v>902</v>
      </c>
      <c r="I1747"/>
    </row>
    <row r="1748" spans="1:9" x14ac:dyDescent="0.25">
      <c r="A1748" s="228">
        <v>41925</v>
      </c>
      <c r="B1748" s="161" t="s">
        <v>862</v>
      </c>
      <c r="C1748" t="s">
        <v>1472</v>
      </c>
      <c r="D1748" t="s">
        <v>33</v>
      </c>
      <c r="E1748" s="162">
        <v>8.5</v>
      </c>
      <c r="F1748" s="162">
        <v>88.74</v>
      </c>
      <c r="G1748" s="165">
        <v>754.29</v>
      </c>
      <c r="H1748" s="20">
        <v>902</v>
      </c>
      <c r="I1748"/>
    </row>
    <row r="1749" spans="1:9" x14ac:dyDescent="0.25">
      <c r="A1749" s="228">
        <v>41926</v>
      </c>
      <c r="B1749" s="161" t="s">
        <v>862</v>
      </c>
      <c r="C1749" t="s">
        <v>1472</v>
      </c>
      <c r="D1749" t="s">
        <v>33</v>
      </c>
      <c r="E1749" s="162">
        <v>10</v>
      </c>
      <c r="F1749" s="162">
        <v>88.74</v>
      </c>
      <c r="G1749" s="165">
        <v>887.4</v>
      </c>
      <c r="H1749" s="20">
        <v>902</v>
      </c>
      <c r="I1749"/>
    </row>
    <row r="1750" spans="1:9" x14ac:dyDescent="0.25">
      <c r="A1750" s="228">
        <v>41927</v>
      </c>
      <c r="B1750" s="161" t="s">
        <v>862</v>
      </c>
      <c r="C1750" t="s">
        <v>1472</v>
      </c>
      <c r="D1750" t="s">
        <v>33</v>
      </c>
      <c r="E1750" s="162">
        <v>10.5</v>
      </c>
      <c r="F1750" s="162">
        <v>88.74</v>
      </c>
      <c r="G1750" s="165">
        <v>931.77</v>
      </c>
      <c r="H1750" s="20">
        <v>902</v>
      </c>
      <c r="I1750"/>
    </row>
    <row r="1751" spans="1:9" x14ac:dyDescent="0.25">
      <c r="A1751" s="228">
        <v>41928</v>
      </c>
      <c r="B1751" s="161" t="s">
        <v>862</v>
      </c>
      <c r="C1751" t="s">
        <v>1472</v>
      </c>
      <c r="D1751" t="s">
        <v>33</v>
      </c>
      <c r="E1751" s="162">
        <v>8</v>
      </c>
      <c r="F1751" s="162">
        <v>88.74</v>
      </c>
      <c r="G1751" s="165">
        <v>709.92</v>
      </c>
      <c r="H1751" s="20">
        <v>902</v>
      </c>
      <c r="I1751"/>
    </row>
    <row r="1752" spans="1:9" x14ac:dyDescent="0.25">
      <c r="A1752" s="228">
        <v>41929</v>
      </c>
      <c r="B1752" s="161" t="s">
        <v>862</v>
      </c>
      <c r="C1752" t="s">
        <v>1472</v>
      </c>
      <c r="D1752" t="s">
        <v>33</v>
      </c>
      <c r="E1752" s="162">
        <v>8.5</v>
      </c>
      <c r="F1752" s="162">
        <v>88.74</v>
      </c>
      <c r="G1752" s="165">
        <v>754.29</v>
      </c>
      <c r="H1752" s="20">
        <v>902</v>
      </c>
      <c r="I1752"/>
    </row>
    <row r="1753" spans="1:9" x14ac:dyDescent="0.25">
      <c r="A1753" s="228">
        <v>41932</v>
      </c>
      <c r="B1753" s="161" t="s">
        <v>862</v>
      </c>
      <c r="C1753" t="s">
        <v>1472</v>
      </c>
      <c r="D1753" t="s">
        <v>33</v>
      </c>
      <c r="E1753" s="162">
        <v>10</v>
      </c>
      <c r="F1753" s="162">
        <v>88.74</v>
      </c>
      <c r="G1753" s="165">
        <v>887.4</v>
      </c>
      <c r="H1753" s="20">
        <v>902</v>
      </c>
      <c r="I1753"/>
    </row>
    <row r="1754" spans="1:9" x14ac:dyDescent="0.25">
      <c r="A1754" s="228">
        <v>41933</v>
      </c>
      <c r="B1754" s="161" t="s">
        <v>862</v>
      </c>
      <c r="C1754" t="s">
        <v>1472</v>
      </c>
      <c r="D1754" t="s">
        <v>33</v>
      </c>
      <c r="E1754" s="162">
        <v>9.5</v>
      </c>
      <c r="F1754" s="162">
        <v>88.74</v>
      </c>
      <c r="G1754" s="165">
        <v>843.03</v>
      </c>
      <c r="H1754" s="20">
        <v>902</v>
      </c>
      <c r="I1754"/>
    </row>
    <row r="1755" spans="1:9" x14ac:dyDescent="0.25">
      <c r="A1755" s="228">
        <v>41934</v>
      </c>
      <c r="B1755" s="161" t="s">
        <v>862</v>
      </c>
      <c r="C1755" t="s">
        <v>1472</v>
      </c>
      <c r="D1755" t="s">
        <v>33</v>
      </c>
      <c r="E1755" s="162">
        <v>9</v>
      </c>
      <c r="F1755" s="162">
        <v>88.74</v>
      </c>
      <c r="G1755" s="165">
        <v>798.66</v>
      </c>
      <c r="H1755" s="20">
        <v>902</v>
      </c>
      <c r="I1755"/>
    </row>
    <row r="1756" spans="1:9" x14ac:dyDescent="0.25">
      <c r="A1756" s="228">
        <v>41935</v>
      </c>
      <c r="B1756" s="161" t="s">
        <v>862</v>
      </c>
      <c r="C1756" t="s">
        <v>1472</v>
      </c>
      <c r="D1756" t="s">
        <v>33</v>
      </c>
      <c r="E1756" s="162">
        <v>9</v>
      </c>
      <c r="F1756" s="162">
        <v>88.74</v>
      </c>
      <c r="G1756" s="165">
        <v>798.66</v>
      </c>
      <c r="H1756" s="20">
        <v>902</v>
      </c>
      <c r="I1756"/>
    </row>
    <row r="1757" spans="1:9" x14ac:dyDescent="0.25">
      <c r="A1757" s="228">
        <v>41936</v>
      </c>
      <c r="B1757" s="161" t="s">
        <v>862</v>
      </c>
      <c r="C1757" t="s">
        <v>1472</v>
      </c>
      <c r="D1757" t="s">
        <v>33</v>
      </c>
      <c r="E1757" s="162">
        <v>7</v>
      </c>
      <c r="F1757" s="162">
        <v>88.74</v>
      </c>
      <c r="G1757" s="165">
        <v>621.17999999999995</v>
      </c>
      <c r="H1757" s="20">
        <v>902</v>
      </c>
      <c r="I1757"/>
    </row>
    <row r="1758" spans="1:9" x14ac:dyDescent="0.25">
      <c r="A1758" s="228">
        <v>41939</v>
      </c>
      <c r="B1758" s="161" t="s">
        <v>862</v>
      </c>
      <c r="C1758" t="s">
        <v>1472</v>
      </c>
      <c r="D1758" t="s">
        <v>33</v>
      </c>
      <c r="E1758" s="162">
        <v>8.5</v>
      </c>
      <c r="F1758" s="162">
        <v>88.74</v>
      </c>
      <c r="G1758" s="165">
        <v>754.29</v>
      </c>
      <c r="H1758" s="20">
        <v>902</v>
      </c>
      <c r="I1758"/>
    </row>
    <row r="1759" spans="1:9" x14ac:dyDescent="0.25">
      <c r="A1759" s="228">
        <v>41940</v>
      </c>
      <c r="B1759" s="161" t="s">
        <v>862</v>
      </c>
      <c r="C1759" t="s">
        <v>1472</v>
      </c>
      <c r="D1759" t="s">
        <v>33</v>
      </c>
      <c r="E1759" s="162">
        <v>8.5</v>
      </c>
      <c r="F1759" s="162">
        <v>88.74</v>
      </c>
      <c r="G1759" s="165">
        <v>754.29</v>
      </c>
      <c r="H1759" s="20">
        <v>902</v>
      </c>
      <c r="I1759"/>
    </row>
    <row r="1760" spans="1:9" x14ac:dyDescent="0.25">
      <c r="A1760" s="228">
        <v>41941</v>
      </c>
      <c r="B1760" s="161" t="s">
        <v>862</v>
      </c>
      <c r="C1760" t="s">
        <v>1472</v>
      </c>
      <c r="D1760" t="s">
        <v>33</v>
      </c>
      <c r="E1760" s="162">
        <v>8.5</v>
      </c>
      <c r="F1760" s="162">
        <v>88.74</v>
      </c>
      <c r="G1760" s="165">
        <v>754.29</v>
      </c>
      <c r="H1760" s="20">
        <v>902</v>
      </c>
      <c r="I1760"/>
    </row>
    <row r="1761" spans="1:9" x14ac:dyDescent="0.25">
      <c r="A1761" s="228">
        <v>41942</v>
      </c>
      <c r="B1761" s="161" t="s">
        <v>862</v>
      </c>
      <c r="C1761" t="s">
        <v>1472</v>
      </c>
      <c r="D1761" t="s">
        <v>33</v>
      </c>
      <c r="E1761" s="162">
        <v>10</v>
      </c>
      <c r="F1761" s="162">
        <v>88.74</v>
      </c>
      <c r="G1761" s="165">
        <v>887.4</v>
      </c>
      <c r="H1761" s="20">
        <v>902</v>
      </c>
      <c r="I1761"/>
    </row>
    <row r="1762" spans="1:9" x14ac:dyDescent="0.25">
      <c r="A1762" s="228">
        <v>41943</v>
      </c>
      <c r="B1762" s="161" t="s">
        <v>862</v>
      </c>
      <c r="C1762" t="s">
        <v>1472</v>
      </c>
      <c r="D1762" t="s">
        <v>33</v>
      </c>
      <c r="E1762" s="162">
        <v>10</v>
      </c>
      <c r="F1762" s="162">
        <v>88.74</v>
      </c>
      <c r="G1762" s="165">
        <v>887.4</v>
      </c>
      <c r="H1762" s="20">
        <v>902</v>
      </c>
      <c r="I1762"/>
    </row>
    <row r="1763" spans="1:9" x14ac:dyDescent="0.25">
      <c r="A1763" s="228">
        <v>41944</v>
      </c>
      <c r="B1763" s="161" t="s">
        <v>862</v>
      </c>
      <c r="C1763" t="s">
        <v>1472</v>
      </c>
      <c r="D1763" t="s">
        <v>33</v>
      </c>
      <c r="E1763" s="162">
        <v>7</v>
      </c>
      <c r="F1763" s="162">
        <v>88.74</v>
      </c>
      <c r="G1763" s="165">
        <v>621.17999999999995</v>
      </c>
      <c r="H1763" s="20">
        <v>902</v>
      </c>
      <c r="I1763"/>
    </row>
    <row r="1764" spans="1:9" x14ac:dyDescent="0.25">
      <c r="A1764" s="228">
        <v>41946</v>
      </c>
      <c r="B1764" s="161" t="s">
        <v>862</v>
      </c>
      <c r="C1764" t="s">
        <v>1472</v>
      </c>
      <c r="D1764" t="s">
        <v>33</v>
      </c>
      <c r="E1764" s="162">
        <v>9.5</v>
      </c>
      <c r="F1764" s="162">
        <v>88.74</v>
      </c>
      <c r="G1764" s="165">
        <v>843.03</v>
      </c>
      <c r="H1764" s="20">
        <v>902</v>
      </c>
      <c r="I1764"/>
    </row>
    <row r="1765" spans="1:9" x14ac:dyDescent="0.25">
      <c r="A1765" s="228">
        <v>41947</v>
      </c>
      <c r="B1765" s="161" t="s">
        <v>862</v>
      </c>
      <c r="C1765" t="s">
        <v>1472</v>
      </c>
      <c r="D1765" t="s">
        <v>33</v>
      </c>
      <c r="E1765" s="162">
        <v>10</v>
      </c>
      <c r="F1765" s="162">
        <v>88.74</v>
      </c>
      <c r="G1765" s="165">
        <v>887.4</v>
      </c>
      <c r="H1765" s="20">
        <v>902</v>
      </c>
      <c r="I1765"/>
    </row>
    <row r="1766" spans="1:9" x14ac:dyDescent="0.25">
      <c r="A1766" s="228">
        <v>41948</v>
      </c>
      <c r="B1766" s="161" t="s">
        <v>862</v>
      </c>
      <c r="C1766" t="s">
        <v>1472</v>
      </c>
      <c r="D1766" t="s">
        <v>33</v>
      </c>
      <c r="E1766" s="162">
        <v>8.5</v>
      </c>
      <c r="F1766" s="162">
        <v>88.74</v>
      </c>
      <c r="G1766" s="165">
        <v>754.29</v>
      </c>
      <c r="H1766" s="20">
        <v>902</v>
      </c>
      <c r="I1766"/>
    </row>
    <row r="1767" spans="1:9" x14ac:dyDescent="0.25">
      <c r="A1767" s="228">
        <v>41949</v>
      </c>
      <c r="B1767" s="161" t="s">
        <v>862</v>
      </c>
      <c r="C1767" t="s">
        <v>1472</v>
      </c>
      <c r="D1767" t="s">
        <v>33</v>
      </c>
      <c r="E1767" s="162">
        <v>10.5</v>
      </c>
      <c r="F1767" s="162">
        <v>88.74</v>
      </c>
      <c r="G1767" s="165">
        <v>931.77</v>
      </c>
      <c r="H1767" s="20">
        <v>902</v>
      </c>
      <c r="I1767"/>
    </row>
    <row r="1768" spans="1:9" x14ac:dyDescent="0.25">
      <c r="A1768" s="228">
        <v>41950</v>
      </c>
      <c r="B1768" s="161" t="s">
        <v>862</v>
      </c>
      <c r="C1768" t="s">
        <v>1472</v>
      </c>
      <c r="D1768" t="s">
        <v>33</v>
      </c>
      <c r="E1768" s="162">
        <v>9.5</v>
      </c>
      <c r="F1768" s="162">
        <v>88.74</v>
      </c>
      <c r="G1768" s="165">
        <v>843.03</v>
      </c>
      <c r="H1768" s="20">
        <v>902</v>
      </c>
      <c r="I1768"/>
    </row>
    <row r="1769" spans="1:9" x14ac:dyDescent="0.25">
      <c r="A1769" s="228">
        <v>41953</v>
      </c>
      <c r="B1769" s="161" t="s">
        <v>862</v>
      </c>
      <c r="C1769" t="s">
        <v>1472</v>
      </c>
      <c r="D1769" t="s">
        <v>33</v>
      </c>
      <c r="E1769" s="162">
        <v>9</v>
      </c>
      <c r="F1769" s="162">
        <v>88.74</v>
      </c>
      <c r="G1769" s="165">
        <v>798.66</v>
      </c>
      <c r="H1769" s="20">
        <v>902</v>
      </c>
      <c r="I1769"/>
    </row>
    <row r="1770" spans="1:9" x14ac:dyDescent="0.25">
      <c r="A1770" s="228">
        <v>41954</v>
      </c>
      <c r="B1770" s="161" t="s">
        <v>862</v>
      </c>
      <c r="C1770" t="s">
        <v>1472</v>
      </c>
      <c r="D1770" t="s">
        <v>33</v>
      </c>
      <c r="E1770" s="162">
        <v>11</v>
      </c>
      <c r="F1770" s="162">
        <v>88.74</v>
      </c>
      <c r="G1770" s="165">
        <v>976.14</v>
      </c>
      <c r="H1770" s="20">
        <v>902</v>
      </c>
      <c r="I1770"/>
    </row>
    <row r="1771" spans="1:9" x14ac:dyDescent="0.25">
      <c r="A1771" s="228">
        <v>41955</v>
      </c>
      <c r="B1771" s="161" t="s">
        <v>862</v>
      </c>
      <c r="C1771" t="s">
        <v>1472</v>
      </c>
      <c r="D1771" t="s">
        <v>33</v>
      </c>
      <c r="E1771" s="162">
        <v>10.5</v>
      </c>
      <c r="F1771" s="162">
        <v>88.74</v>
      </c>
      <c r="G1771" s="165">
        <v>931.77</v>
      </c>
      <c r="H1771" s="20">
        <v>902</v>
      </c>
      <c r="I1771"/>
    </row>
    <row r="1772" spans="1:9" x14ac:dyDescent="0.25">
      <c r="A1772" s="228">
        <v>41956</v>
      </c>
      <c r="B1772" s="161" t="s">
        <v>862</v>
      </c>
      <c r="C1772" t="s">
        <v>1472</v>
      </c>
      <c r="D1772" t="s">
        <v>33</v>
      </c>
      <c r="E1772" s="162">
        <v>10.5</v>
      </c>
      <c r="F1772" s="162">
        <v>88.74</v>
      </c>
      <c r="G1772" s="165">
        <v>931.77</v>
      </c>
      <c r="H1772" s="20">
        <v>902</v>
      </c>
      <c r="I1772"/>
    </row>
    <row r="1773" spans="1:9" x14ac:dyDescent="0.25">
      <c r="A1773" s="228">
        <v>41957</v>
      </c>
      <c r="B1773" s="161" t="s">
        <v>862</v>
      </c>
      <c r="C1773" t="s">
        <v>1472</v>
      </c>
      <c r="D1773" t="s">
        <v>33</v>
      </c>
      <c r="E1773" s="162">
        <v>10</v>
      </c>
      <c r="F1773" s="162">
        <v>88.74</v>
      </c>
      <c r="G1773" s="165">
        <v>887.4</v>
      </c>
      <c r="H1773" s="20">
        <v>902</v>
      </c>
      <c r="I1773"/>
    </row>
    <row r="1774" spans="1:9" x14ac:dyDescent="0.25">
      <c r="A1774" s="228">
        <v>41960</v>
      </c>
      <c r="B1774" s="161" t="s">
        <v>862</v>
      </c>
      <c r="C1774" t="s">
        <v>1472</v>
      </c>
      <c r="D1774" t="s">
        <v>33</v>
      </c>
      <c r="E1774" s="162">
        <v>10.5</v>
      </c>
      <c r="F1774" s="162">
        <v>88.74</v>
      </c>
      <c r="G1774" s="165">
        <v>931.77</v>
      </c>
      <c r="H1774" s="20">
        <v>902</v>
      </c>
      <c r="I1774"/>
    </row>
    <row r="1775" spans="1:9" x14ac:dyDescent="0.25">
      <c r="A1775" s="228">
        <v>41961</v>
      </c>
      <c r="B1775" s="161" t="s">
        <v>862</v>
      </c>
      <c r="C1775" t="s">
        <v>1472</v>
      </c>
      <c r="D1775" t="s">
        <v>33</v>
      </c>
      <c r="E1775" s="162">
        <v>10.5</v>
      </c>
      <c r="F1775" s="162">
        <v>88.74</v>
      </c>
      <c r="G1775" s="165">
        <v>931.77</v>
      </c>
      <c r="H1775" s="20">
        <v>902</v>
      </c>
      <c r="I1775"/>
    </row>
    <row r="1776" spans="1:9" x14ac:dyDescent="0.25">
      <c r="A1776" s="228">
        <v>41962</v>
      </c>
      <c r="B1776" s="161" t="s">
        <v>862</v>
      </c>
      <c r="C1776" t="s">
        <v>1472</v>
      </c>
      <c r="D1776" t="s">
        <v>33</v>
      </c>
      <c r="E1776" s="162">
        <v>10.25</v>
      </c>
      <c r="F1776" s="162">
        <v>88.74</v>
      </c>
      <c r="G1776" s="165">
        <v>909.58500000000004</v>
      </c>
      <c r="H1776" s="20">
        <v>902</v>
      </c>
      <c r="I1776"/>
    </row>
    <row r="1777" spans="1:9" x14ac:dyDescent="0.25">
      <c r="A1777" s="228">
        <v>41963</v>
      </c>
      <c r="B1777" s="161" t="s">
        <v>862</v>
      </c>
      <c r="C1777" t="s">
        <v>1472</v>
      </c>
      <c r="D1777" t="s">
        <v>33</v>
      </c>
      <c r="E1777" s="162">
        <v>9.5</v>
      </c>
      <c r="F1777" s="162">
        <v>88.74</v>
      </c>
      <c r="G1777" s="165">
        <v>843.03</v>
      </c>
      <c r="H1777" s="20">
        <v>902</v>
      </c>
      <c r="I1777"/>
    </row>
    <row r="1778" spans="1:9" x14ac:dyDescent="0.25">
      <c r="A1778" s="228">
        <v>41964</v>
      </c>
      <c r="B1778" s="161" t="s">
        <v>862</v>
      </c>
      <c r="C1778" t="s">
        <v>1472</v>
      </c>
      <c r="D1778" t="s">
        <v>33</v>
      </c>
      <c r="E1778" s="162">
        <v>8.5</v>
      </c>
      <c r="F1778" s="162">
        <v>88.74</v>
      </c>
      <c r="G1778" s="165">
        <v>754.29</v>
      </c>
      <c r="H1778" s="20">
        <v>902</v>
      </c>
      <c r="I1778"/>
    </row>
    <row r="1779" spans="1:9" x14ac:dyDescent="0.25">
      <c r="A1779" s="228">
        <v>41968</v>
      </c>
      <c r="B1779" s="161" t="s">
        <v>862</v>
      </c>
      <c r="C1779" t="s">
        <v>1472</v>
      </c>
      <c r="D1779" t="s">
        <v>33</v>
      </c>
      <c r="E1779" s="162">
        <v>11</v>
      </c>
      <c r="F1779" s="162">
        <v>88.74</v>
      </c>
      <c r="G1779" s="165">
        <v>976.14</v>
      </c>
      <c r="H1779" s="20">
        <v>902</v>
      </c>
      <c r="I1779"/>
    </row>
    <row r="1780" spans="1:9" x14ac:dyDescent="0.25">
      <c r="A1780" s="228">
        <v>41969</v>
      </c>
      <c r="B1780" s="161" t="s">
        <v>862</v>
      </c>
      <c r="C1780" t="s">
        <v>1472</v>
      </c>
      <c r="D1780" t="s">
        <v>33</v>
      </c>
      <c r="E1780" s="162">
        <v>11</v>
      </c>
      <c r="F1780" s="162">
        <v>88.74</v>
      </c>
      <c r="G1780" s="165">
        <v>976.14</v>
      </c>
      <c r="H1780" s="20">
        <v>902</v>
      </c>
      <c r="I1780"/>
    </row>
    <row r="1781" spans="1:9" x14ac:dyDescent="0.25">
      <c r="A1781" s="228">
        <v>41970</v>
      </c>
      <c r="B1781" s="161" t="s">
        <v>862</v>
      </c>
      <c r="C1781" t="s">
        <v>1472</v>
      </c>
      <c r="D1781" t="s">
        <v>33</v>
      </c>
      <c r="E1781" s="162">
        <v>10.25</v>
      </c>
      <c r="F1781" s="162">
        <v>88.74</v>
      </c>
      <c r="G1781" s="165">
        <v>909.58500000000004</v>
      </c>
      <c r="H1781" s="20">
        <v>902</v>
      </c>
      <c r="I1781"/>
    </row>
    <row r="1782" spans="1:9" x14ac:dyDescent="0.25">
      <c r="A1782" s="228">
        <v>41971</v>
      </c>
      <c r="B1782" s="161" t="s">
        <v>862</v>
      </c>
      <c r="C1782" t="s">
        <v>1472</v>
      </c>
      <c r="D1782" t="s">
        <v>33</v>
      </c>
      <c r="E1782" s="162">
        <v>9.5</v>
      </c>
      <c r="F1782" s="162">
        <v>88.74</v>
      </c>
      <c r="G1782" s="165">
        <v>843.03</v>
      </c>
      <c r="H1782" s="20">
        <v>902</v>
      </c>
      <c r="I1782"/>
    </row>
    <row r="1783" spans="1:9" x14ac:dyDescent="0.25">
      <c r="A1783" s="228">
        <v>41974</v>
      </c>
      <c r="B1783" s="161" t="s">
        <v>862</v>
      </c>
      <c r="C1783" t="s">
        <v>1472</v>
      </c>
      <c r="D1783" t="s">
        <v>33</v>
      </c>
      <c r="E1783" s="162">
        <v>10</v>
      </c>
      <c r="F1783" s="162">
        <v>88.74</v>
      </c>
      <c r="G1783" s="165">
        <v>887.4</v>
      </c>
      <c r="H1783" s="20">
        <v>902</v>
      </c>
      <c r="I1783"/>
    </row>
    <row r="1784" spans="1:9" x14ac:dyDescent="0.25">
      <c r="A1784" s="228">
        <v>41975</v>
      </c>
      <c r="B1784" s="161" t="s">
        <v>862</v>
      </c>
      <c r="C1784" t="s">
        <v>1472</v>
      </c>
      <c r="D1784" t="s">
        <v>33</v>
      </c>
      <c r="E1784" s="162">
        <v>10</v>
      </c>
      <c r="F1784" s="162">
        <v>88.74</v>
      </c>
      <c r="G1784" s="165">
        <v>887.4</v>
      </c>
      <c r="H1784" s="20">
        <v>902</v>
      </c>
      <c r="I1784"/>
    </row>
    <row r="1785" spans="1:9" x14ac:dyDescent="0.25">
      <c r="A1785" s="228">
        <v>41976</v>
      </c>
      <c r="B1785" s="161" t="s">
        <v>862</v>
      </c>
      <c r="C1785" t="s">
        <v>1472</v>
      </c>
      <c r="D1785" t="s">
        <v>33</v>
      </c>
      <c r="E1785" s="162">
        <v>10</v>
      </c>
      <c r="F1785" s="162">
        <v>88.74</v>
      </c>
      <c r="G1785" s="165">
        <v>887.4</v>
      </c>
      <c r="H1785" s="20">
        <v>902</v>
      </c>
      <c r="I1785"/>
    </row>
    <row r="1786" spans="1:9" x14ac:dyDescent="0.25">
      <c r="A1786" s="228">
        <v>41977</v>
      </c>
      <c r="B1786" s="161" t="s">
        <v>862</v>
      </c>
      <c r="C1786" t="s">
        <v>1472</v>
      </c>
      <c r="D1786" t="s">
        <v>33</v>
      </c>
      <c r="E1786" s="162">
        <v>10</v>
      </c>
      <c r="F1786" s="162">
        <v>88.74</v>
      </c>
      <c r="G1786" s="165">
        <v>887.4</v>
      </c>
      <c r="H1786" s="20">
        <v>902</v>
      </c>
      <c r="I1786"/>
    </row>
    <row r="1787" spans="1:9" x14ac:dyDescent="0.25">
      <c r="A1787" s="228">
        <v>41978</v>
      </c>
      <c r="B1787" s="161" t="s">
        <v>862</v>
      </c>
      <c r="C1787" t="s">
        <v>1472</v>
      </c>
      <c r="D1787" t="s">
        <v>33</v>
      </c>
      <c r="E1787" s="162">
        <v>10</v>
      </c>
      <c r="F1787" s="162">
        <v>88.74</v>
      </c>
      <c r="G1787" s="165">
        <v>887.4</v>
      </c>
      <c r="H1787" s="20">
        <v>902</v>
      </c>
      <c r="I1787"/>
    </row>
    <row r="1788" spans="1:9" x14ac:dyDescent="0.25">
      <c r="A1788" s="228">
        <v>41981</v>
      </c>
      <c r="B1788" s="161" t="s">
        <v>862</v>
      </c>
      <c r="C1788" t="s">
        <v>1472</v>
      </c>
      <c r="D1788" t="s">
        <v>33</v>
      </c>
      <c r="E1788" s="162">
        <v>9</v>
      </c>
      <c r="F1788" s="162">
        <v>88.74</v>
      </c>
      <c r="G1788" s="165">
        <v>798.66</v>
      </c>
      <c r="H1788" s="20">
        <v>902</v>
      </c>
      <c r="I1788"/>
    </row>
    <row r="1789" spans="1:9" x14ac:dyDescent="0.25">
      <c r="A1789" s="228">
        <v>41982</v>
      </c>
      <c r="B1789" s="161" t="s">
        <v>862</v>
      </c>
      <c r="C1789" t="s">
        <v>1472</v>
      </c>
      <c r="D1789" t="s">
        <v>33</v>
      </c>
      <c r="E1789" s="162">
        <v>9</v>
      </c>
      <c r="F1789" s="162">
        <v>88.74</v>
      </c>
      <c r="G1789" s="165">
        <v>798.66</v>
      </c>
      <c r="H1789" s="20">
        <v>902</v>
      </c>
      <c r="I1789"/>
    </row>
    <row r="1790" spans="1:9" x14ac:dyDescent="0.25">
      <c r="A1790" s="228">
        <v>41983</v>
      </c>
      <c r="B1790" s="161" t="s">
        <v>862</v>
      </c>
      <c r="C1790" t="s">
        <v>1472</v>
      </c>
      <c r="D1790" t="s">
        <v>33</v>
      </c>
      <c r="E1790" s="162">
        <v>11.5</v>
      </c>
      <c r="F1790" s="162">
        <v>88.74</v>
      </c>
      <c r="G1790" s="165">
        <v>1020.51</v>
      </c>
      <c r="H1790" s="20">
        <v>902</v>
      </c>
      <c r="I1790"/>
    </row>
    <row r="1791" spans="1:9" x14ac:dyDescent="0.25">
      <c r="A1791" s="228">
        <v>41984</v>
      </c>
      <c r="B1791" s="161" t="s">
        <v>862</v>
      </c>
      <c r="C1791" t="s">
        <v>1472</v>
      </c>
      <c r="D1791" t="s">
        <v>33</v>
      </c>
      <c r="E1791" s="162">
        <v>10</v>
      </c>
      <c r="F1791" s="162">
        <v>88.74</v>
      </c>
      <c r="G1791" s="165">
        <v>887.4</v>
      </c>
      <c r="H1791" s="20">
        <v>902</v>
      </c>
      <c r="I1791"/>
    </row>
    <row r="1792" spans="1:9" x14ac:dyDescent="0.25">
      <c r="A1792" s="228">
        <v>41985</v>
      </c>
      <c r="B1792" s="161" t="s">
        <v>862</v>
      </c>
      <c r="C1792" t="s">
        <v>1472</v>
      </c>
      <c r="D1792" t="s">
        <v>33</v>
      </c>
      <c r="E1792" s="162">
        <v>7.5</v>
      </c>
      <c r="F1792" s="162">
        <v>88.74</v>
      </c>
      <c r="G1792" s="165">
        <v>665.55</v>
      </c>
      <c r="H1792" s="20">
        <v>902</v>
      </c>
      <c r="I1792"/>
    </row>
    <row r="1793" spans="1:9" x14ac:dyDescent="0.25">
      <c r="A1793" s="228">
        <v>41988</v>
      </c>
      <c r="B1793" s="161" t="s">
        <v>862</v>
      </c>
      <c r="C1793" t="s">
        <v>1472</v>
      </c>
      <c r="D1793" t="s">
        <v>33</v>
      </c>
      <c r="E1793" s="162">
        <v>9</v>
      </c>
      <c r="F1793" s="162">
        <v>88.74</v>
      </c>
      <c r="G1793" s="165">
        <v>798.66</v>
      </c>
      <c r="H1793" s="20">
        <v>902</v>
      </c>
      <c r="I1793"/>
    </row>
    <row r="1794" spans="1:9" x14ac:dyDescent="0.25">
      <c r="A1794" s="228">
        <v>41989</v>
      </c>
      <c r="B1794" s="161" t="s">
        <v>862</v>
      </c>
      <c r="C1794" t="s">
        <v>1472</v>
      </c>
      <c r="D1794" t="s">
        <v>33</v>
      </c>
      <c r="E1794" s="162">
        <v>8</v>
      </c>
      <c r="F1794" s="162">
        <v>88.74</v>
      </c>
      <c r="G1794" s="165">
        <v>709.92</v>
      </c>
      <c r="H1794" s="20">
        <v>902</v>
      </c>
      <c r="I1794"/>
    </row>
    <row r="1795" spans="1:9" x14ac:dyDescent="0.25">
      <c r="A1795" s="228">
        <v>41990</v>
      </c>
      <c r="B1795" s="161" t="s">
        <v>862</v>
      </c>
      <c r="C1795" t="s">
        <v>1472</v>
      </c>
      <c r="D1795" t="s">
        <v>33</v>
      </c>
      <c r="E1795" s="162">
        <v>9.5</v>
      </c>
      <c r="F1795" s="162">
        <v>88.74</v>
      </c>
      <c r="G1795" s="165">
        <v>843.03</v>
      </c>
      <c r="H1795" s="20">
        <v>902</v>
      </c>
      <c r="I1795"/>
    </row>
    <row r="1796" spans="1:9" x14ac:dyDescent="0.25">
      <c r="A1796" s="228">
        <v>41991</v>
      </c>
      <c r="B1796" s="161" t="s">
        <v>862</v>
      </c>
      <c r="C1796" t="s">
        <v>1472</v>
      </c>
      <c r="D1796" t="s">
        <v>33</v>
      </c>
      <c r="E1796" s="162">
        <v>10</v>
      </c>
      <c r="F1796" s="162">
        <v>88.74</v>
      </c>
      <c r="G1796" s="165">
        <v>887.4</v>
      </c>
      <c r="H1796" s="20">
        <v>902</v>
      </c>
      <c r="I1796"/>
    </row>
    <row r="1797" spans="1:9" x14ac:dyDescent="0.25">
      <c r="A1797" s="228">
        <v>41992</v>
      </c>
      <c r="B1797" s="161" t="s">
        <v>862</v>
      </c>
      <c r="C1797" t="s">
        <v>1472</v>
      </c>
      <c r="D1797" t="s">
        <v>33</v>
      </c>
      <c r="E1797" s="162">
        <v>6</v>
      </c>
      <c r="F1797" s="162">
        <v>88.74</v>
      </c>
      <c r="G1797" s="165">
        <v>532.44000000000005</v>
      </c>
      <c r="H1797" s="20">
        <v>902</v>
      </c>
      <c r="I1797"/>
    </row>
    <row r="1798" spans="1:9" x14ac:dyDescent="0.25">
      <c r="A1798" s="228">
        <v>42009</v>
      </c>
      <c r="B1798" s="161" t="s">
        <v>862</v>
      </c>
      <c r="C1798" t="s">
        <v>1472</v>
      </c>
      <c r="D1798" t="s">
        <v>33</v>
      </c>
      <c r="E1798" s="162">
        <v>8</v>
      </c>
      <c r="F1798" s="162">
        <v>88.74</v>
      </c>
      <c r="G1798" s="165">
        <v>709.92</v>
      </c>
      <c r="H1798" s="20">
        <v>902</v>
      </c>
      <c r="I1798"/>
    </row>
    <row r="1799" spans="1:9" x14ac:dyDescent="0.25">
      <c r="A1799" s="228">
        <v>42010</v>
      </c>
      <c r="B1799" s="161" t="s">
        <v>862</v>
      </c>
      <c r="C1799" t="s">
        <v>1472</v>
      </c>
      <c r="D1799" t="s">
        <v>33</v>
      </c>
      <c r="E1799" s="162">
        <v>3.5</v>
      </c>
      <c r="F1799" s="162">
        <v>88.74</v>
      </c>
      <c r="G1799" s="165">
        <v>310.58999999999997</v>
      </c>
      <c r="H1799" s="20">
        <v>902</v>
      </c>
      <c r="I1799"/>
    </row>
    <row r="1800" spans="1:9" x14ac:dyDescent="0.25">
      <c r="A1800" s="228">
        <v>42011</v>
      </c>
      <c r="B1800" s="161" t="s">
        <v>862</v>
      </c>
      <c r="C1800" t="s">
        <v>1472</v>
      </c>
      <c r="D1800" t="s">
        <v>33</v>
      </c>
      <c r="E1800" s="162">
        <v>4</v>
      </c>
      <c r="F1800" s="162">
        <v>88.74</v>
      </c>
      <c r="G1800" s="165">
        <v>354.96</v>
      </c>
      <c r="H1800" s="20">
        <v>902</v>
      </c>
      <c r="I1800"/>
    </row>
    <row r="1801" spans="1:9" x14ac:dyDescent="0.25">
      <c r="A1801" s="228">
        <v>42012</v>
      </c>
      <c r="B1801" s="161" t="s">
        <v>862</v>
      </c>
      <c r="C1801" t="s">
        <v>1472</v>
      </c>
      <c r="D1801" t="s">
        <v>33</v>
      </c>
      <c r="E1801" s="162">
        <v>8</v>
      </c>
      <c r="F1801" s="162">
        <v>88.74</v>
      </c>
      <c r="G1801" s="165">
        <v>709.92</v>
      </c>
      <c r="H1801" s="20">
        <v>902</v>
      </c>
      <c r="I1801"/>
    </row>
    <row r="1802" spans="1:9" x14ac:dyDescent="0.25">
      <c r="A1802" s="228">
        <v>42013</v>
      </c>
      <c r="B1802" s="161" t="s">
        <v>862</v>
      </c>
      <c r="C1802" t="s">
        <v>1472</v>
      </c>
      <c r="D1802" t="s">
        <v>33</v>
      </c>
      <c r="E1802" s="162">
        <v>6.5</v>
      </c>
      <c r="F1802" s="162">
        <v>88.74</v>
      </c>
      <c r="G1802" s="165">
        <v>576.80999999999995</v>
      </c>
      <c r="H1802" s="20">
        <v>902</v>
      </c>
      <c r="I1802"/>
    </row>
    <row r="1803" spans="1:9" x14ac:dyDescent="0.25">
      <c r="A1803" s="228">
        <v>42016</v>
      </c>
      <c r="B1803" s="161" t="s">
        <v>862</v>
      </c>
      <c r="C1803" t="s">
        <v>1472</v>
      </c>
      <c r="D1803" t="s">
        <v>33</v>
      </c>
      <c r="E1803" s="162">
        <v>9</v>
      </c>
      <c r="F1803" s="162">
        <v>88.74</v>
      </c>
      <c r="G1803" s="165">
        <v>798.66</v>
      </c>
      <c r="H1803" s="20">
        <v>902</v>
      </c>
      <c r="I1803"/>
    </row>
    <row r="1804" spans="1:9" x14ac:dyDescent="0.25">
      <c r="A1804" s="228">
        <v>42017</v>
      </c>
      <c r="B1804" s="161" t="s">
        <v>862</v>
      </c>
      <c r="C1804" t="s">
        <v>1472</v>
      </c>
      <c r="D1804" t="s">
        <v>33</v>
      </c>
      <c r="E1804" s="162">
        <v>9.5</v>
      </c>
      <c r="F1804" s="162">
        <v>88.74</v>
      </c>
      <c r="G1804" s="165">
        <v>843.03</v>
      </c>
      <c r="H1804" s="20">
        <v>902</v>
      </c>
      <c r="I1804"/>
    </row>
    <row r="1805" spans="1:9" x14ac:dyDescent="0.25">
      <c r="A1805" s="228">
        <v>42018</v>
      </c>
      <c r="B1805" s="161" t="s">
        <v>862</v>
      </c>
      <c r="C1805" t="s">
        <v>1472</v>
      </c>
      <c r="D1805" t="s">
        <v>33</v>
      </c>
      <c r="E1805" s="162">
        <v>9</v>
      </c>
      <c r="F1805" s="162">
        <v>88.74</v>
      </c>
      <c r="G1805" s="165">
        <v>798.66</v>
      </c>
      <c r="H1805" s="20">
        <v>902</v>
      </c>
      <c r="I1805"/>
    </row>
    <row r="1806" spans="1:9" x14ac:dyDescent="0.25">
      <c r="A1806" s="228">
        <v>42020</v>
      </c>
      <c r="B1806" s="161" t="s">
        <v>862</v>
      </c>
      <c r="C1806" t="s">
        <v>1472</v>
      </c>
      <c r="D1806" t="s">
        <v>33</v>
      </c>
      <c r="E1806" s="162">
        <v>9</v>
      </c>
      <c r="F1806" s="162">
        <v>88.74</v>
      </c>
      <c r="G1806" s="165">
        <v>798.66</v>
      </c>
      <c r="H1806" s="20">
        <v>902</v>
      </c>
      <c r="I1806"/>
    </row>
    <row r="1807" spans="1:9" x14ac:dyDescent="0.25">
      <c r="A1807" s="228">
        <v>42023</v>
      </c>
      <c r="B1807" s="161" t="s">
        <v>862</v>
      </c>
      <c r="C1807" t="s">
        <v>1472</v>
      </c>
      <c r="D1807" t="s">
        <v>33</v>
      </c>
      <c r="E1807" s="162">
        <v>4</v>
      </c>
      <c r="F1807" s="162">
        <v>88.74</v>
      </c>
      <c r="G1807" s="165">
        <v>354.96</v>
      </c>
      <c r="H1807" s="20">
        <v>902</v>
      </c>
      <c r="I1807"/>
    </row>
    <row r="1808" spans="1:9" x14ac:dyDescent="0.25">
      <c r="A1808" s="228">
        <v>42024</v>
      </c>
      <c r="B1808" s="161" t="s">
        <v>862</v>
      </c>
      <c r="C1808" t="s">
        <v>1472</v>
      </c>
      <c r="D1808" t="s">
        <v>33</v>
      </c>
      <c r="E1808" s="162">
        <v>8</v>
      </c>
      <c r="F1808" s="162">
        <v>88.74</v>
      </c>
      <c r="G1808" s="165">
        <v>709.92</v>
      </c>
      <c r="H1808" s="20">
        <v>902</v>
      </c>
      <c r="I1808"/>
    </row>
    <row r="1809" spans="1:9" x14ac:dyDescent="0.25">
      <c r="A1809" s="228">
        <v>42027</v>
      </c>
      <c r="B1809" s="161" t="s">
        <v>862</v>
      </c>
      <c r="C1809" t="s">
        <v>1472</v>
      </c>
      <c r="D1809" t="s">
        <v>33</v>
      </c>
      <c r="E1809" s="162">
        <v>6</v>
      </c>
      <c r="F1809" s="162">
        <v>88.74</v>
      </c>
      <c r="G1809" s="165">
        <v>532.44000000000005</v>
      </c>
      <c r="H1809" s="20">
        <v>902</v>
      </c>
      <c r="I1809"/>
    </row>
    <row r="1810" spans="1:9" x14ac:dyDescent="0.25">
      <c r="A1810" s="228">
        <v>42031</v>
      </c>
      <c r="B1810" s="161" t="s">
        <v>862</v>
      </c>
      <c r="C1810" t="s">
        <v>1472</v>
      </c>
      <c r="D1810" t="s">
        <v>33</v>
      </c>
      <c r="E1810" s="162">
        <v>8</v>
      </c>
      <c r="F1810" s="162">
        <v>88.74</v>
      </c>
      <c r="G1810" s="165">
        <v>709.92</v>
      </c>
      <c r="H1810" s="20">
        <v>902</v>
      </c>
      <c r="I1810"/>
    </row>
    <row r="1811" spans="1:9" x14ac:dyDescent="0.25">
      <c r="A1811" s="228">
        <v>42032</v>
      </c>
      <c r="B1811" s="161" t="s">
        <v>862</v>
      </c>
      <c r="C1811" t="s">
        <v>1472</v>
      </c>
      <c r="D1811" t="s">
        <v>33</v>
      </c>
      <c r="E1811" s="162">
        <v>8</v>
      </c>
      <c r="F1811" s="162">
        <v>88.74</v>
      </c>
      <c r="G1811" s="165">
        <v>709.92</v>
      </c>
      <c r="H1811" s="20">
        <v>902</v>
      </c>
      <c r="I1811"/>
    </row>
    <row r="1812" spans="1:9" x14ac:dyDescent="0.25">
      <c r="A1812" s="228">
        <v>42033</v>
      </c>
      <c r="B1812" s="161" t="s">
        <v>862</v>
      </c>
      <c r="C1812" t="s">
        <v>1472</v>
      </c>
      <c r="D1812" t="s">
        <v>33</v>
      </c>
      <c r="E1812" s="162">
        <v>8</v>
      </c>
      <c r="F1812" s="162">
        <v>88.74</v>
      </c>
      <c r="G1812" s="165">
        <v>709.92</v>
      </c>
      <c r="H1812" s="20">
        <v>902</v>
      </c>
      <c r="I1812"/>
    </row>
    <row r="1813" spans="1:9" x14ac:dyDescent="0.25">
      <c r="A1813" s="228">
        <v>42034</v>
      </c>
      <c r="B1813" s="161" t="s">
        <v>862</v>
      </c>
      <c r="C1813" t="s">
        <v>1472</v>
      </c>
      <c r="D1813" t="s">
        <v>33</v>
      </c>
      <c r="E1813" s="162">
        <v>6</v>
      </c>
      <c r="F1813" s="162">
        <v>88.74</v>
      </c>
      <c r="G1813" s="165">
        <v>532.44000000000005</v>
      </c>
      <c r="H1813" s="20">
        <v>902</v>
      </c>
      <c r="I1813"/>
    </row>
    <row r="1814" spans="1:9" x14ac:dyDescent="0.25">
      <c r="A1814" s="228">
        <v>42037</v>
      </c>
      <c r="B1814" s="161" t="s">
        <v>862</v>
      </c>
      <c r="C1814" t="s">
        <v>1472</v>
      </c>
      <c r="D1814" t="s">
        <v>33</v>
      </c>
      <c r="E1814" s="162">
        <v>8</v>
      </c>
      <c r="F1814" s="162">
        <v>88.74</v>
      </c>
      <c r="G1814" s="165">
        <v>709.92</v>
      </c>
      <c r="H1814" s="20">
        <v>902</v>
      </c>
      <c r="I1814"/>
    </row>
    <row r="1815" spans="1:9" x14ac:dyDescent="0.25">
      <c r="A1815" s="228">
        <v>42047</v>
      </c>
      <c r="B1815" s="161" t="s">
        <v>862</v>
      </c>
      <c r="C1815" t="s">
        <v>1472</v>
      </c>
      <c r="D1815" t="s">
        <v>33</v>
      </c>
      <c r="E1815" s="162">
        <v>6</v>
      </c>
      <c r="F1815" s="162">
        <v>88.74</v>
      </c>
      <c r="G1815" s="165">
        <v>532.44000000000005</v>
      </c>
      <c r="H1815" s="20">
        <v>902</v>
      </c>
      <c r="I1815"/>
    </row>
    <row r="1816" spans="1:9" x14ac:dyDescent="0.25">
      <c r="A1816" s="228">
        <v>42048</v>
      </c>
      <c r="B1816" s="161" t="s">
        <v>862</v>
      </c>
      <c r="C1816" t="s">
        <v>1472</v>
      </c>
      <c r="D1816" t="s">
        <v>33</v>
      </c>
      <c r="E1816" s="162">
        <v>6</v>
      </c>
      <c r="F1816" s="162">
        <v>88.74</v>
      </c>
      <c r="G1816" s="165">
        <v>532.44000000000005</v>
      </c>
      <c r="H1816" s="20">
        <v>902</v>
      </c>
      <c r="I1816"/>
    </row>
    <row r="1817" spans="1:9" x14ac:dyDescent="0.25">
      <c r="A1817" s="228">
        <v>42061</v>
      </c>
      <c r="B1817" s="161" t="s">
        <v>862</v>
      </c>
      <c r="C1817" t="s">
        <v>1472</v>
      </c>
      <c r="D1817" t="s">
        <v>33</v>
      </c>
      <c r="E1817" s="162">
        <v>2.5</v>
      </c>
      <c r="F1817" s="162">
        <v>88.74</v>
      </c>
      <c r="G1817" s="165">
        <v>221.85</v>
      </c>
      <c r="H1817" s="20">
        <v>902</v>
      </c>
      <c r="I1817"/>
    </row>
    <row r="1818" spans="1:9" x14ac:dyDescent="0.25">
      <c r="A1818" s="228">
        <v>42068</v>
      </c>
      <c r="B1818" s="161" t="s">
        <v>862</v>
      </c>
      <c r="C1818" t="s">
        <v>1472</v>
      </c>
      <c r="D1818" t="s">
        <v>33</v>
      </c>
      <c r="E1818" s="162">
        <v>1.5</v>
      </c>
      <c r="F1818" s="162">
        <v>88.74</v>
      </c>
      <c r="G1818" s="165">
        <v>133.11000000000001</v>
      </c>
      <c r="H1818" s="20">
        <v>902</v>
      </c>
      <c r="I1818"/>
    </row>
    <row r="1819" spans="1:9" x14ac:dyDescent="0.25">
      <c r="A1819" s="228">
        <v>42082</v>
      </c>
      <c r="B1819" s="161" t="s">
        <v>862</v>
      </c>
      <c r="C1819" t="s">
        <v>1472</v>
      </c>
      <c r="D1819" t="s">
        <v>33</v>
      </c>
      <c r="E1819" s="162">
        <v>9</v>
      </c>
      <c r="F1819" s="162">
        <v>88.74</v>
      </c>
      <c r="G1819" s="165">
        <v>798.66</v>
      </c>
      <c r="H1819" s="20">
        <v>902</v>
      </c>
      <c r="I1819"/>
    </row>
    <row r="1820" spans="1:9" x14ac:dyDescent="0.25">
      <c r="A1820" s="228">
        <v>42089</v>
      </c>
      <c r="B1820" s="161" t="s">
        <v>862</v>
      </c>
      <c r="C1820" t="s">
        <v>1472</v>
      </c>
      <c r="D1820" t="s">
        <v>33</v>
      </c>
      <c r="E1820" s="162">
        <v>8</v>
      </c>
      <c r="F1820" s="162">
        <v>88.74</v>
      </c>
      <c r="G1820" s="165">
        <v>709.92</v>
      </c>
      <c r="H1820" s="20">
        <v>902</v>
      </c>
      <c r="I1820"/>
    </row>
    <row r="1821" spans="1:9" x14ac:dyDescent="0.25">
      <c r="A1821" s="228">
        <v>42129</v>
      </c>
      <c r="B1821" s="161" t="s">
        <v>862</v>
      </c>
      <c r="C1821" t="s">
        <v>1472</v>
      </c>
      <c r="D1821" t="s">
        <v>33</v>
      </c>
      <c r="E1821" s="162">
        <v>4</v>
      </c>
      <c r="F1821" s="162">
        <v>88.74</v>
      </c>
      <c r="G1821" s="165">
        <v>354.96</v>
      </c>
      <c r="H1821" s="20">
        <v>902</v>
      </c>
      <c r="I1821"/>
    </row>
    <row r="1822" spans="1:9" x14ac:dyDescent="0.25">
      <c r="A1822" s="228">
        <v>42130</v>
      </c>
      <c r="B1822" s="161" t="s">
        <v>862</v>
      </c>
      <c r="C1822" t="s">
        <v>1472</v>
      </c>
      <c r="D1822" t="s">
        <v>33</v>
      </c>
      <c r="E1822" s="162">
        <v>8</v>
      </c>
      <c r="F1822" s="162">
        <v>88.74</v>
      </c>
      <c r="G1822" s="165">
        <v>709.92</v>
      </c>
      <c r="H1822" s="20">
        <v>902</v>
      </c>
      <c r="I1822"/>
    </row>
    <row r="1823" spans="1:9" x14ac:dyDescent="0.25">
      <c r="A1823" s="228">
        <v>42131</v>
      </c>
      <c r="B1823" s="161" t="s">
        <v>862</v>
      </c>
      <c r="C1823" t="s">
        <v>1472</v>
      </c>
      <c r="D1823" t="s">
        <v>33</v>
      </c>
      <c r="E1823" s="162">
        <v>8</v>
      </c>
      <c r="F1823" s="162">
        <v>88.74</v>
      </c>
      <c r="G1823" s="165">
        <v>709.92</v>
      </c>
      <c r="H1823" s="20">
        <v>902</v>
      </c>
      <c r="I1823"/>
    </row>
    <row r="1824" spans="1:9" x14ac:dyDescent="0.25">
      <c r="A1824" s="228">
        <v>42139</v>
      </c>
      <c r="B1824" s="161" t="s">
        <v>862</v>
      </c>
      <c r="C1824" t="s">
        <v>1472</v>
      </c>
      <c r="D1824" t="s">
        <v>33</v>
      </c>
      <c r="E1824" s="162">
        <v>6</v>
      </c>
      <c r="F1824" s="162">
        <v>88.74</v>
      </c>
      <c r="G1824" s="165">
        <v>532.44000000000005</v>
      </c>
      <c r="H1824" s="20">
        <v>902</v>
      </c>
      <c r="I1824"/>
    </row>
    <row r="1825" spans="1:9" x14ac:dyDescent="0.25">
      <c r="A1825" s="230" t="s">
        <v>642</v>
      </c>
      <c r="B1825" s="231" t="s">
        <v>1157</v>
      </c>
      <c r="C1825" s="232" t="s">
        <v>642</v>
      </c>
      <c r="D1825" s="232" t="s">
        <v>642</v>
      </c>
      <c r="E1825" s="233"/>
      <c r="F1825" s="233"/>
      <c r="G1825" s="234">
        <v>111790.39</v>
      </c>
      <c r="H1825" s="235" t="s">
        <v>642</v>
      </c>
      <c r="I1825"/>
    </row>
    <row r="1826" spans="1:9" x14ac:dyDescent="0.25">
      <c r="A1826" s="228" t="s">
        <v>642</v>
      </c>
      <c r="B1826" s="161" t="s">
        <v>642</v>
      </c>
      <c r="C1826" t="s">
        <v>642</v>
      </c>
      <c r="D1826" t="s">
        <v>642</v>
      </c>
      <c r="E1826" s="162"/>
      <c r="F1826" s="162"/>
      <c r="G1826" s="165"/>
      <c r="H1826" s="20" t="s">
        <v>642</v>
      </c>
      <c r="I1826"/>
    </row>
    <row r="1827" spans="1:9" x14ac:dyDescent="0.25">
      <c r="A1827" s="226" t="s">
        <v>642</v>
      </c>
      <c r="B1827" s="159" t="s">
        <v>1158</v>
      </c>
      <c r="C1827" s="64" t="s">
        <v>642</v>
      </c>
      <c r="D1827" s="64" t="s">
        <v>642</v>
      </c>
      <c r="E1827" s="227"/>
      <c r="F1827" s="227"/>
      <c r="G1827" s="166"/>
      <c r="H1827" s="160" t="s">
        <v>642</v>
      </c>
      <c r="I1827"/>
    </row>
    <row r="1828" spans="1:9" x14ac:dyDescent="0.25">
      <c r="A1828" s="228">
        <v>41698</v>
      </c>
      <c r="B1828" s="161" t="s">
        <v>1159</v>
      </c>
      <c r="C1828" t="s">
        <v>1160</v>
      </c>
      <c r="D1828" t="s">
        <v>747</v>
      </c>
      <c r="E1828" s="162">
        <v>1</v>
      </c>
      <c r="F1828" s="162">
        <v>237.58</v>
      </c>
      <c r="G1828" s="165">
        <v>237.58</v>
      </c>
      <c r="H1828" s="20">
        <v>903</v>
      </c>
      <c r="I1828"/>
    </row>
    <row r="1829" spans="1:9" x14ac:dyDescent="0.25">
      <c r="A1829" s="228">
        <v>41698</v>
      </c>
      <c r="B1829" s="161" t="s">
        <v>1161</v>
      </c>
      <c r="C1829" t="s">
        <v>1160</v>
      </c>
      <c r="D1829" t="s">
        <v>747</v>
      </c>
      <c r="E1829" s="162">
        <v>1</v>
      </c>
      <c r="F1829" s="162">
        <v>196</v>
      </c>
      <c r="G1829" s="165">
        <v>196</v>
      </c>
      <c r="H1829" s="20">
        <v>903</v>
      </c>
      <c r="I1829"/>
    </row>
    <row r="1830" spans="1:9" x14ac:dyDescent="0.25">
      <c r="A1830" s="228">
        <v>41698</v>
      </c>
      <c r="B1830" s="161" t="s">
        <v>1162</v>
      </c>
      <c r="C1830" t="s">
        <v>1163</v>
      </c>
      <c r="D1830" t="s">
        <v>747</v>
      </c>
      <c r="E1830" s="162">
        <v>1</v>
      </c>
      <c r="F1830" s="162">
        <v>2057.4299999999998</v>
      </c>
      <c r="G1830" s="165">
        <v>2057.4299999999998</v>
      </c>
      <c r="H1830" s="20">
        <v>903</v>
      </c>
      <c r="I1830"/>
    </row>
    <row r="1831" spans="1:9" x14ac:dyDescent="0.25">
      <c r="A1831" s="228">
        <v>41759</v>
      </c>
      <c r="B1831" s="161" t="s">
        <v>1164</v>
      </c>
      <c r="C1831" t="s">
        <v>1165</v>
      </c>
      <c r="D1831" t="s">
        <v>747</v>
      </c>
      <c r="E1831" s="162">
        <v>1</v>
      </c>
      <c r="F1831" s="162">
        <v>19.8</v>
      </c>
      <c r="G1831" s="165">
        <v>19.8</v>
      </c>
      <c r="H1831" s="20">
        <v>903</v>
      </c>
      <c r="I1831"/>
    </row>
    <row r="1832" spans="1:9" x14ac:dyDescent="0.25">
      <c r="A1832" s="228">
        <v>41759</v>
      </c>
      <c r="B1832" s="161" t="s">
        <v>1166</v>
      </c>
      <c r="C1832" t="s">
        <v>1167</v>
      </c>
      <c r="D1832" t="s">
        <v>747</v>
      </c>
      <c r="E1832" s="162">
        <v>1</v>
      </c>
      <c r="F1832" s="162">
        <v>516.74</v>
      </c>
      <c r="G1832" s="165">
        <v>516.74</v>
      </c>
      <c r="H1832" s="20">
        <v>903</v>
      </c>
      <c r="I1832"/>
    </row>
    <row r="1833" spans="1:9" x14ac:dyDescent="0.25">
      <c r="A1833" s="228">
        <v>41762</v>
      </c>
      <c r="B1833" s="161" t="s">
        <v>1164</v>
      </c>
      <c r="C1833" t="s">
        <v>1165</v>
      </c>
      <c r="D1833" t="s">
        <v>747</v>
      </c>
      <c r="E1833" s="162">
        <v>1</v>
      </c>
      <c r="F1833" s="162">
        <v>19.8</v>
      </c>
      <c r="G1833" s="165">
        <v>19.8</v>
      </c>
      <c r="H1833" s="20">
        <v>903</v>
      </c>
      <c r="I1833"/>
    </row>
    <row r="1834" spans="1:9" x14ac:dyDescent="0.25">
      <c r="A1834" s="228">
        <v>41775</v>
      </c>
      <c r="B1834" s="161" t="s">
        <v>1168</v>
      </c>
      <c r="C1834" t="s">
        <v>925</v>
      </c>
      <c r="D1834" t="s">
        <v>747</v>
      </c>
      <c r="E1834" s="162">
        <v>1</v>
      </c>
      <c r="F1834" s="162">
        <v>2.73</v>
      </c>
      <c r="G1834" s="165">
        <v>2.73</v>
      </c>
      <c r="H1834" s="20">
        <v>903</v>
      </c>
      <c r="I1834"/>
    </row>
    <row r="1835" spans="1:9" x14ac:dyDescent="0.25">
      <c r="A1835" s="228">
        <v>41794</v>
      </c>
      <c r="B1835" s="161" t="s">
        <v>1169</v>
      </c>
      <c r="C1835" t="s">
        <v>925</v>
      </c>
      <c r="D1835" t="s">
        <v>747</v>
      </c>
      <c r="E1835" s="162">
        <v>1</v>
      </c>
      <c r="F1835" s="162">
        <v>15.71</v>
      </c>
      <c r="G1835" s="165">
        <v>15.71</v>
      </c>
      <c r="H1835" s="20">
        <v>903</v>
      </c>
      <c r="I1835"/>
    </row>
    <row r="1836" spans="1:9" x14ac:dyDescent="0.25">
      <c r="A1836" s="228">
        <v>41813</v>
      </c>
      <c r="B1836" s="161" t="s">
        <v>1170</v>
      </c>
      <c r="C1836" t="s">
        <v>1171</v>
      </c>
      <c r="D1836" t="s">
        <v>747</v>
      </c>
      <c r="E1836" s="162">
        <v>1</v>
      </c>
      <c r="F1836" s="162">
        <v>566.44000000000005</v>
      </c>
      <c r="G1836" s="165">
        <v>566.44000000000005</v>
      </c>
      <c r="H1836" s="20">
        <v>903</v>
      </c>
      <c r="I1836"/>
    </row>
    <row r="1837" spans="1:9" x14ac:dyDescent="0.25">
      <c r="A1837" s="228">
        <v>41818</v>
      </c>
      <c r="B1837" s="161" t="s">
        <v>1172</v>
      </c>
      <c r="C1837" t="s">
        <v>1171</v>
      </c>
      <c r="D1837" t="s">
        <v>747</v>
      </c>
      <c r="E1837" s="162">
        <v>1</v>
      </c>
      <c r="F1837" s="162">
        <v>268.35000000000002</v>
      </c>
      <c r="G1837" s="165">
        <v>268.35000000000002</v>
      </c>
      <c r="H1837" s="20">
        <v>903</v>
      </c>
      <c r="I1837"/>
    </row>
    <row r="1838" spans="1:9" x14ac:dyDescent="0.25">
      <c r="A1838" s="228">
        <v>41820</v>
      </c>
      <c r="B1838" s="161" t="s">
        <v>1173</v>
      </c>
      <c r="C1838" t="s">
        <v>1160</v>
      </c>
      <c r="D1838" t="s">
        <v>747</v>
      </c>
      <c r="E1838" s="162">
        <v>1</v>
      </c>
      <c r="F1838" s="162">
        <v>434</v>
      </c>
      <c r="G1838" s="165">
        <v>434</v>
      </c>
      <c r="H1838" s="20">
        <v>903</v>
      </c>
      <c r="I1838"/>
    </row>
    <row r="1839" spans="1:9" x14ac:dyDescent="0.25">
      <c r="A1839" s="228">
        <v>41822</v>
      </c>
      <c r="B1839" s="161" t="s">
        <v>1169</v>
      </c>
      <c r="C1839" t="s">
        <v>925</v>
      </c>
      <c r="D1839" t="s">
        <v>747</v>
      </c>
      <c r="E1839" s="162">
        <v>1</v>
      </c>
      <c r="F1839" s="162">
        <v>23.42</v>
      </c>
      <c r="G1839" s="165">
        <v>23.42</v>
      </c>
      <c r="H1839" s="20">
        <v>903</v>
      </c>
      <c r="I1839"/>
    </row>
    <row r="1840" spans="1:9" x14ac:dyDescent="0.25">
      <c r="A1840" s="228">
        <v>41834</v>
      </c>
      <c r="B1840" s="161" t="s">
        <v>1174</v>
      </c>
      <c r="C1840" t="s">
        <v>1175</v>
      </c>
      <c r="D1840" t="s">
        <v>747</v>
      </c>
      <c r="E1840" s="162">
        <v>50</v>
      </c>
      <c r="F1840" s="162">
        <v>2</v>
      </c>
      <c r="G1840" s="165">
        <v>100</v>
      </c>
      <c r="H1840" s="20">
        <v>903</v>
      </c>
      <c r="I1840"/>
    </row>
    <row r="1841" spans="1:9" x14ac:dyDescent="0.25">
      <c r="A1841" s="228">
        <v>41834</v>
      </c>
      <c r="B1841" s="161" t="s">
        <v>1176</v>
      </c>
      <c r="C1841" t="s">
        <v>1175</v>
      </c>
      <c r="D1841" t="s">
        <v>747</v>
      </c>
      <c r="E1841" s="162">
        <v>20</v>
      </c>
      <c r="F1841" s="162">
        <v>2</v>
      </c>
      <c r="G1841" s="165">
        <v>40</v>
      </c>
      <c r="H1841" s="20">
        <v>903</v>
      </c>
      <c r="I1841"/>
    </row>
    <row r="1842" spans="1:9" x14ac:dyDescent="0.25">
      <c r="A1842" s="228">
        <v>41835</v>
      </c>
      <c r="B1842" s="161" t="s">
        <v>1177</v>
      </c>
      <c r="C1842" t="s">
        <v>993</v>
      </c>
      <c r="D1842" t="s">
        <v>747</v>
      </c>
      <c r="E1842" s="162">
        <v>1</v>
      </c>
      <c r="F1842" s="162">
        <v>130</v>
      </c>
      <c r="G1842" s="165">
        <v>130</v>
      </c>
      <c r="H1842" s="20">
        <v>903</v>
      </c>
      <c r="I1842"/>
    </row>
    <row r="1843" spans="1:9" x14ac:dyDescent="0.25">
      <c r="A1843" s="228">
        <v>41845</v>
      </c>
      <c r="B1843" s="161" t="s">
        <v>1178</v>
      </c>
      <c r="C1843" t="s">
        <v>1179</v>
      </c>
      <c r="D1843" t="s">
        <v>747</v>
      </c>
      <c r="E1843" s="162">
        <v>1</v>
      </c>
      <c r="F1843" s="162">
        <v>30.46</v>
      </c>
      <c r="G1843" s="165">
        <v>30.46</v>
      </c>
      <c r="H1843" s="20">
        <v>903</v>
      </c>
      <c r="I1843"/>
    </row>
    <row r="1844" spans="1:9" x14ac:dyDescent="0.25">
      <c r="A1844" s="228">
        <v>41856</v>
      </c>
      <c r="B1844" s="161" t="s">
        <v>1180</v>
      </c>
      <c r="C1844" t="s">
        <v>925</v>
      </c>
      <c r="D1844" t="s">
        <v>747</v>
      </c>
      <c r="E1844" s="162">
        <v>1</v>
      </c>
      <c r="F1844" s="162">
        <v>23.2</v>
      </c>
      <c r="G1844" s="165">
        <v>23.2</v>
      </c>
      <c r="H1844" s="20">
        <v>903</v>
      </c>
      <c r="I1844"/>
    </row>
    <row r="1845" spans="1:9" x14ac:dyDescent="0.25">
      <c r="A1845" s="228">
        <v>41856</v>
      </c>
      <c r="B1845" s="161" t="s">
        <v>1181</v>
      </c>
      <c r="C1845" t="s">
        <v>925</v>
      </c>
      <c r="D1845" t="s">
        <v>747</v>
      </c>
      <c r="E1845" s="162">
        <v>1</v>
      </c>
      <c r="F1845" s="162">
        <v>8.4600000000000009</v>
      </c>
      <c r="G1845" s="165">
        <v>8.4600000000000009</v>
      </c>
      <c r="H1845" s="20">
        <v>903</v>
      </c>
      <c r="I1845"/>
    </row>
    <row r="1846" spans="1:9" x14ac:dyDescent="0.25">
      <c r="A1846" s="228">
        <v>41872</v>
      </c>
      <c r="B1846" s="161" t="s">
        <v>1182</v>
      </c>
      <c r="C1846" t="s">
        <v>1175</v>
      </c>
      <c r="D1846" t="s">
        <v>747</v>
      </c>
      <c r="E1846" s="162">
        <v>30</v>
      </c>
      <c r="F1846" s="162">
        <v>2</v>
      </c>
      <c r="G1846" s="165">
        <v>60</v>
      </c>
      <c r="H1846" s="20">
        <v>903</v>
      </c>
      <c r="I1846"/>
    </row>
    <row r="1847" spans="1:9" x14ac:dyDescent="0.25">
      <c r="A1847" s="228">
        <v>41882</v>
      </c>
      <c r="B1847" s="161" t="s">
        <v>1183</v>
      </c>
      <c r="C1847" t="s">
        <v>1163</v>
      </c>
      <c r="D1847" t="s">
        <v>747</v>
      </c>
      <c r="E1847" s="162">
        <v>1</v>
      </c>
      <c r="F1847" s="162">
        <v>710.09</v>
      </c>
      <c r="G1847" s="165">
        <v>710.09</v>
      </c>
      <c r="H1847" s="20">
        <v>903</v>
      </c>
      <c r="I1847"/>
    </row>
    <row r="1848" spans="1:9" x14ac:dyDescent="0.25">
      <c r="A1848" s="228">
        <v>41882</v>
      </c>
      <c r="B1848" s="161" t="s">
        <v>1184</v>
      </c>
      <c r="C1848" t="s">
        <v>1160</v>
      </c>
      <c r="D1848" t="s">
        <v>747</v>
      </c>
      <c r="E1848" s="162">
        <v>1</v>
      </c>
      <c r="F1848" s="162">
        <v>434</v>
      </c>
      <c r="G1848" s="165">
        <v>434</v>
      </c>
      <c r="H1848" s="20">
        <v>903</v>
      </c>
      <c r="I1848"/>
    </row>
    <row r="1849" spans="1:9" x14ac:dyDescent="0.25">
      <c r="A1849" s="228">
        <v>41891</v>
      </c>
      <c r="B1849" s="161" t="s">
        <v>1185</v>
      </c>
      <c r="C1849" t="s">
        <v>1175</v>
      </c>
      <c r="D1849" t="s">
        <v>747</v>
      </c>
      <c r="E1849" s="162">
        <v>25</v>
      </c>
      <c r="F1849" s="162">
        <v>2</v>
      </c>
      <c r="G1849" s="165">
        <v>50</v>
      </c>
      <c r="H1849" s="20">
        <v>903</v>
      </c>
      <c r="I1849"/>
    </row>
    <row r="1850" spans="1:9" x14ac:dyDescent="0.25">
      <c r="A1850" s="228">
        <v>41912</v>
      </c>
      <c r="B1850" s="161" t="s">
        <v>1186</v>
      </c>
      <c r="C1850" t="s">
        <v>1160</v>
      </c>
      <c r="D1850" t="s">
        <v>747</v>
      </c>
      <c r="E1850" s="162">
        <v>1</v>
      </c>
      <c r="F1850" s="162">
        <v>420</v>
      </c>
      <c r="G1850" s="165">
        <v>420</v>
      </c>
      <c r="H1850" s="20">
        <v>903</v>
      </c>
      <c r="I1850"/>
    </row>
    <row r="1851" spans="1:9" x14ac:dyDescent="0.25">
      <c r="A1851" s="228">
        <v>41926</v>
      </c>
      <c r="B1851" s="161" t="s">
        <v>1187</v>
      </c>
      <c r="C1851" t="s">
        <v>993</v>
      </c>
      <c r="D1851" t="s">
        <v>747</v>
      </c>
      <c r="E1851" s="162">
        <v>1.5</v>
      </c>
      <c r="F1851" s="162">
        <v>135</v>
      </c>
      <c r="G1851" s="165">
        <v>202.5</v>
      </c>
      <c r="H1851" s="20">
        <v>903</v>
      </c>
      <c r="I1851"/>
    </row>
    <row r="1852" spans="1:9" x14ac:dyDescent="0.25">
      <c r="A1852" s="228">
        <v>41929</v>
      </c>
      <c r="B1852" s="161" t="s">
        <v>1170</v>
      </c>
      <c r="C1852" t="s">
        <v>1171</v>
      </c>
      <c r="D1852" t="s">
        <v>747</v>
      </c>
      <c r="E1852" s="162">
        <v>1</v>
      </c>
      <c r="F1852" s="162">
        <v>566.44000000000005</v>
      </c>
      <c r="G1852" s="165">
        <v>566.44000000000005</v>
      </c>
      <c r="H1852" s="20">
        <v>903</v>
      </c>
      <c r="I1852"/>
    </row>
    <row r="1853" spans="1:9" x14ac:dyDescent="0.25">
      <c r="A1853" s="228">
        <v>41942</v>
      </c>
      <c r="B1853" s="161" t="s">
        <v>1188</v>
      </c>
      <c r="C1853" t="s">
        <v>1139</v>
      </c>
      <c r="D1853" t="s">
        <v>33</v>
      </c>
      <c r="E1853" s="162">
        <v>1</v>
      </c>
      <c r="F1853" s="162">
        <v>100</v>
      </c>
      <c r="G1853" s="165">
        <v>100</v>
      </c>
      <c r="H1853" s="20">
        <v>903</v>
      </c>
      <c r="I1853"/>
    </row>
    <row r="1854" spans="1:9" x14ac:dyDescent="0.25">
      <c r="A1854" s="228">
        <v>41943</v>
      </c>
      <c r="B1854" s="161" t="s">
        <v>1189</v>
      </c>
      <c r="C1854" t="s">
        <v>1160</v>
      </c>
      <c r="D1854" t="s">
        <v>747</v>
      </c>
      <c r="E1854" s="162">
        <v>1</v>
      </c>
      <c r="F1854" s="162">
        <v>526.07000000000005</v>
      </c>
      <c r="G1854" s="165">
        <v>526.07000000000005</v>
      </c>
      <c r="H1854" s="20">
        <v>903</v>
      </c>
      <c r="I1854"/>
    </row>
    <row r="1855" spans="1:9" x14ac:dyDescent="0.25">
      <c r="A1855" s="228">
        <v>41943</v>
      </c>
      <c r="B1855" s="161" t="s">
        <v>1189</v>
      </c>
      <c r="C1855" t="s">
        <v>1167</v>
      </c>
      <c r="D1855" t="s">
        <v>747</v>
      </c>
      <c r="E1855" s="162">
        <v>1</v>
      </c>
      <c r="F1855" s="162">
        <v>434</v>
      </c>
      <c r="G1855" s="165">
        <v>434</v>
      </c>
      <c r="H1855" s="20">
        <v>903</v>
      </c>
      <c r="I1855"/>
    </row>
    <row r="1856" spans="1:9" x14ac:dyDescent="0.25">
      <c r="A1856" s="228">
        <v>41948</v>
      </c>
      <c r="B1856" s="161" t="s">
        <v>1182</v>
      </c>
      <c r="C1856" t="s">
        <v>1175</v>
      </c>
      <c r="D1856" t="s">
        <v>747</v>
      </c>
      <c r="E1856" s="162">
        <v>30</v>
      </c>
      <c r="F1856" s="162">
        <v>2</v>
      </c>
      <c r="G1856" s="165">
        <v>60</v>
      </c>
      <c r="H1856" s="20">
        <v>903</v>
      </c>
      <c r="I1856"/>
    </row>
    <row r="1857" spans="1:9" x14ac:dyDescent="0.25">
      <c r="A1857" s="228">
        <v>41962</v>
      </c>
      <c r="B1857" s="161" t="s">
        <v>1190</v>
      </c>
      <c r="C1857" t="s">
        <v>1160</v>
      </c>
      <c r="D1857" t="s">
        <v>747</v>
      </c>
      <c r="E1857" s="162">
        <v>1</v>
      </c>
      <c r="F1857" s="162">
        <v>310.04000000000002</v>
      </c>
      <c r="G1857" s="165">
        <v>310.04000000000002</v>
      </c>
      <c r="H1857" s="20">
        <v>903</v>
      </c>
      <c r="I1857"/>
    </row>
    <row r="1858" spans="1:9" x14ac:dyDescent="0.25">
      <c r="A1858" s="228">
        <v>41963</v>
      </c>
      <c r="B1858" s="161" t="s">
        <v>1191</v>
      </c>
      <c r="C1858" t="s">
        <v>925</v>
      </c>
      <c r="D1858" t="s">
        <v>747</v>
      </c>
      <c r="E1858" s="162">
        <v>1</v>
      </c>
      <c r="F1858" s="162">
        <v>2.6</v>
      </c>
      <c r="G1858" s="165">
        <v>2.6</v>
      </c>
      <c r="H1858" s="20">
        <v>903</v>
      </c>
      <c r="I1858"/>
    </row>
    <row r="1859" spans="1:9" x14ac:dyDescent="0.25">
      <c r="A1859" s="228">
        <v>41967</v>
      </c>
      <c r="B1859" s="161" t="s">
        <v>1170</v>
      </c>
      <c r="C1859" t="s">
        <v>1171</v>
      </c>
      <c r="D1859" t="s">
        <v>747</v>
      </c>
      <c r="E1859" s="162">
        <v>1</v>
      </c>
      <c r="F1859" s="162">
        <v>1132.73</v>
      </c>
      <c r="G1859" s="165">
        <v>1132.73</v>
      </c>
      <c r="H1859" s="20">
        <v>903</v>
      </c>
      <c r="I1859"/>
    </row>
    <row r="1860" spans="1:9" x14ac:dyDescent="0.25">
      <c r="A1860" s="228">
        <v>41969</v>
      </c>
      <c r="B1860" s="161" t="s">
        <v>1192</v>
      </c>
      <c r="C1860" t="s">
        <v>1175</v>
      </c>
      <c r="D1860" t="s">
        <v>747</v>
      </c>
      <c r="E1860" s="162">
        <v>10</v>
      </c>
      <c r="F1860" s="162">
        <v>2</v>
      </c>
      <c r="G1860" s="165">
        <v>20</v>
      </c>
      <c r="H1860" s="20">
        <v>903</v>
      </c>
      <c r="I1860"/>
    </row>
    <row r="1861" spans="1:9" x14ac:dyDescent="0.25">
      <c r="A1861" s="228">
        <v>41973</v>
      </c>
      <c r="B1861" s="161" t="s">
        <v>1193</v>
      </c>
      <c r="C1861" t="s">
        <v>1160</v>
      </c>
      <c r="D1861" t="s">
        <v>747</v>
      </c>
      <c r="E1861" s="162">
        <v>1</v>
      </c>
      <c r="F1861" s="162">
        <v>470.4</v>
      </c>
      <c r="G1861" s="165">
        <v>470.4</v>
      </c>
      <c r="H1861" s="20">
        <v>903</v>
      </c>
      <c r="I1861"/>
    </row>
    <row r="1862" spans="1:9" x14ac:dyDescent="0.25">
      <c r="A1862" s="228">
        <v>41983</v>
      </c>
      <c r="B1862" s="161" t="s">
        <v>1192</v>
      </c>
      <c r="C1862" t="s">
        <v>1175</v>
      </c>
      <c r="D1862" t="s">
        <v>747</v>
      </c>
      <c r="E1862" s="162">
        <v>10</v>
      </c>
      <c r="F1862" s="162">
        <v>2</v>
      </c>
      <c r="G1862" s="165">
        <v>20</v>
      </c>
      <c r="H1862" s="20">
        <v>903</v>
      </c>
      <c r="I1862"/>
    </row>
    <row r="1863" spans="1:9" x14ac:dyDescent="0.25">
      <c r="A1863" s="228">
        <v>42004</v>
      </c>
      <c r="B1863" s="161" t="s">
        <v>1194</v>
      </c>
      <c r="C1863" t="s">
        <v>1163</v>
      </c>
      <c r="D1863" t="s">
        <v>747</v>
      </c>
      <c r="E1863" s="162">
        <v>1</v>
      </c>
      <c r="F1863" s="162">
        <v>897.67</v>
      </c>
      <c r="G1863" s="165">
        <v>897.67</v>
      </c>
      <c r="H1863" s="20">
        <v>903</v>
      </c>
      <c r="I1863"/>
    </row>
    <row r="1864" spans="1:9" x14ac:dyDescent="0.25">
      <c r="A1864" s="228">
        <v>42004</v>
      </c>
      <c r="B1864" s="161" t="s">
        <v>1195</v>
      </c>
      <c r="C1864" t="s">
        <v>1160</v>
      </c>
      <c r="D1864" t="s">
        <v>747</v>
      </c>
      <c r="E1864" s="162">
        <v>1</v>
      </c>
      <c r="F1864" s="162">
        <v>434</v>
      </c>
      <c r="G1864" s="165">
        <v>434</v>
      </c>
      <c r="H1864" s="20">
        <v>903</v>
      </c>
      <c r="I1864"/>
    </row>
    <row r="1865" spans="1:9" x14ac:dyDescent="0.25">
      <c r="A1865" s="228">
        <v>42035</v>
      </c>
      <c r="B1865" s="161" t="s">
        <v>1196</v>
      </c>
      <c r="C1865" t="s">
        <v>1160</v>
      </c>
      <c r="D1865" t="s">
        <v>747</v>
      </c>
      <c r="E1865" s="162">
        <v>1</v>
      </c>
      <c r="F1865" s="162">
        <v>439.04</v>
      </c>
      <c r="G1865" s="165">
        <v>439.04</v>
      </c>
      <c r="H1865" s="20">
        <v>903</v>
      </c>
      <c r="I1865"/>
    </row>
    <row r="1866" spans="1:9" x14ac:dyDescent="0.25">
      <c r="A1866" s="228">
        <v>42103</v>
      </c>
      <c r="B1866" s="161" t="s">
        <v>1197</v>
      </c>
      <c r="C1866" t="s">
        <v>993</v>
      </c>
      <c r="D1866" t="s">
        <v>747</v>
      </c>
      <c r="E1866" s="162">
        <v>1</v>
      </c>
      <c r="F1866" s="162">
        <v>272.73</v>
      </c>
      <c r="G1866" s="165">
        <v>272.73</v>
      </c>
      <c r="H1866" s="20">
        <v>903</v>
      </c>
      <c r="I1866"/>
    </row>
    <row r="1867" spans="1:9" x14ac:dyDescent="0.25">
      <c r="A1867" s="230" t="s">
        <v>642</v>
      </c>
      <c r="B1867" s="231" t="s">
        <v>1198</v>
      </c>
      <c r="C1867" s="232" t="s">
        <v>642</v>
      </c>
      <c r="D1867" s="232" t="s">
        <v>642</v>
      </c>
      <c r="E1867" s="233"/>
      <c r="F1867" s="233"/>
      <c r="G1867" s="234">
        <v>12252.43</v>
      </c>
      <c r="H1867" s="235" t="s">
        <v>642</v>
      </c>
      <c r="I1867"/>
    </row>
    <row r="1868" spans="1:9" x14ac:dyDescent="0.25">
      <c r="A1868" s="228" t="s">
        <v>642</v>
      </c>
      <c r="B1868" s="161" t="s">
        <v>642</v>
      </c>
      <c r="C1868" t="s">
        <v>642</v>
      </c>
      <c r="D1868" t="s">
        <v>642</v>
      </c>
      <c r="E1868" s="162"/>
      <c r="F1868" s="162"/>
      <c r="G1868" s="165"/>
      <c r="H1868" s="20" t="s">
        <v>642</v>
      </c>
      <c r="I1868"/>
    </row>
    <row r="1869" spans="1:9" x14ac:dyDescent="0.25">
      <c r="A1869" s="226" t="s">
        <v>642</v>
      </c>
      <c r="B1869" s="159" t="s">
        <v>1199</v>
      </c>
      <c r="C1869" s="64" t="s">
        <v>642</v>
      </c>
      <c r="D1869" s="64" t="s">
        <v>642</v>
      </c>
      <c r="E1869" s="227"/>
      <c r="F1869" s="227"/>
      <c r="G1869" s="166"/>
      <c r="H1869" s="160" t="s">
        <v>642</v>
      </c>
      <c r="I1869"/>
    </row>
    <row r="1870" spans="1:9" x14ac:dyDescent="0.25">
      <c r="A1870" s="228">
        <v>41698</v>
      </c>
      <c r="B1870" s="161" t="s">
        <v>1200</v>
      </c>
      <c r="C1870" t="s">
        <v>1201</v>
      </c>
      <c r="D1870" t="s">
        <v>747</v>
      </c>
      <c r="E1870" s="162">
        <v>1</v>
      </c>
      <c r="F1870" s="162">
        <v>28.51</v>
      </c>
      <c r="G1870" s="165">
        <v>28.51</v>
      </c>
      <c r="H1870" s="20">
        <v>904</v>
      </c>
      <c r="I1870"/>
    </row>
    <row r="1871" spans="1:9" x14ac:dyDescent="0.25">
      <c r="A1871" s="228">
        <v>41698</v>
      </c>
      <c r="B1871" s="161" t="s">
        <v>1202</v>
      </c>
      <c r="C1871" t="s">
        <v>1201</v>
      </c>
      <c r="D1871" t="s">
        <v>747</v>
      </c>
      <c r="E1871" s="162">
        <v>1</v>
      </c>
      <c r="F1871" s="162">
        <v>23.52</v>
      </c>
      <c r="G1871" s="165">
        <v>23.52</v>
      </c>
      <c r="H1871" s="20">
        <v>904</v>
      </c>
      <c r="I1871"/>
    </row>
    <row r="1872" spans="1:9" x14ac:dyDescent="0.25">
      <c r="A1872" s="228">
        <v>41698</v>
      </c>
      <c r="B1872" s="161" t="s">
        <v>1203</v>
      </c>
      <c r="C1872" t="s">
        <v>1201</v>
      </c>
      <c r="D1872" t="s">
        <v>747</v>
      </c>
      <c r="E1872" s="162">
        <v>1</v>
      </c>
      <c r="F1872" s="162">
        <v>243.25</v>
      </c>
      <c r="G1872" s="165">
        <v>243.25</v>
      </c>
      <c r="H1872" s="20">
        <v>904</v>
      </c>
      <c r="I1872"/>
    </row>
    <row r="1873" spans="1:9" x14ac:dyDescent="0.25">
      <c r="A1873" s="228">
        <v>41712</v>
      </c>
      <c r="B1873" s="161" t="s">
        <v>1204</v>
      </c>
      <c r="C1873" t="s">
        <v>1201</v>
      </c>
      <c r="D1873" t="s">
        <v>747</v>
      </c>
      <c r="E1873" s="162">
        <v>1</v>
      </c>
      <c r="F1873" s="162">
        <v>7976.88</v>
      </c>
      <c r="G1873" s="165">
        <v>7976.88</v>
      </c>
      <c r="H1873" s="20">
        <v>904</v>
      </c>
      <c r="I1873"/>
    </row>
    <row r="1874" spans="1:9" x14ac:dyDescent="0.25">
      <c r="A1874" s="228">
        <v>41759</v>
      </c>
      <c r="B1874" s="161" t="s">
        <v>1202</v>
      </c>
      <c r="C1874" t="s">
        <v>1201</v>
      </c>
      <c r="D1874" t="s">
        <v>747</v>
      </c>
      <c r="E1874" s="162">
        <v>1</v>
      </c>
      <c r="F1874" s="162">
        <v>61.09</v>
      </c>
      <c r="G1874" s="165">
        <v>61.09</v>
      </c>
      <c r="H1874" s="20">
        <v>904</v>
      </c>
      <c r="I1874"/>
    </row>
    <row r="1875" spans="1:9" x14ac:dyDescent="0.25">
      <c r="A1875" s="228">
        <v>41759</v>
      </c>
      <c r="B1875" s="161" t="s">
        <v>1205</v>
      </c>
      <c r="C1875" t="s">
        <v>1201</v>
      </c>
      <c r="D1875" t="s">
        <v>747</v>
      </c>
      <c r="E1875" s="162">
        <v>1</v>
      </c>
      <c r="F1875" s="162">
        <v>72</v>
      </c>
      <c r="G1875" s="165">
        <v>72</v>
      </c>
      <c r="H1875" s="20">
        <v>904</v>
      </c>
      <c r="I1875"/>
    </row>
    <row r="1876" spans="1:9" x14ac:dyDescent="0.25">
      <c r="A1876" s="228">
        <v>41767</v>
      </c>
      <c r="B1876" s="161" t="s">
        <v>1206</v>
      </c>
      <c r="C1876" t="s">
        <v>1201</v>
      </c>
      <c r="D1876" t="s">
        <v>747</v>
      </c>
      <c r="E1876" s="162">
        <v>1</v>
      </c>
      <c r="F1876" s="162">
        <v>180</v>
      </c>
      <c r="G1876" s="165">
        <v>180</v>
      </c>
      <c r="H1876" s="20">
        <v>904</v>
      </c>
      <c r="I1876"/>
    </row>
    <row r="1877" spans="1:9" x14ac:dyDescent="0.25">
      <c r="A1877" s="228">
        <v>41774</v>
      </c>
      <c r="B1877" s="161" t="s">
        <v>1207</v>
      </c>
      <c r="C1877" t="s">
        <v>1201</v>
      </c>
      <c r="D1877" t="s">
        <v>747</v>
      </c>
      <c r="E1877" s="162">
        <v>1</v>
      </c>
      <c r="F1877" s="162">
        <v>64.319999999999993</v>
      </c>
      <c r="G1877" s="165">
        <v>64.319999999999993</v>
      </c>
      <c r="H1877" s="20">
        <v>904</v>
      </c>
      <c r="I1877"/>
    </row>
    <row r="1878" spans="1:9" x14ac:dyDescent="0.25">
      <c r="A1878" s="228">
        <v>41820</v>
      </c>
      <c r="B1878" s="161" t="s">
        <v>1202</v>
      </c>
      <c r="C1878" t="s">
        <v>1201</v>
      </c>
      <c r="D1878" t="s">
        <v>747</v>
      </c>
      <c r="E1878" s="162">
        <v>1</v>
      </c>
      <c r="F1878" s="162">
        <v>50.4</v>
      </c>
      <c r="G1878" s="165">
        <v>50.4</v>
      </c>
      <c r="H1878" s="20">
        <v>904</v>
      </c>
      <c r="I1878"/>
    </row>
    <row r="1879" spans="1:9" x14ac:dyDescent="0.25">
      <c r="A1879" s="228">
        <v>41882</v>
      </c>
      <c r="B1879" s="161" t="s">
        <v>1202</v>
      </c>
      <c r="C1879" t="s">
        <v>1201</v>
      </c>
      <c r="D1879" t="s">
        <v>747</v>
      </c>
      <c r="E1879" s="162">
        <v>1</v>
      </c>
      <c r="F1879" s="162">
        <v>52.08</v>
      </c>
      <c r="G1879" s="165">
        <v>52.08</v>
      </c>
      <c r="H1879" s="20">
        <v>904</v>
      </c>
      <c r="I1879"/>
    </row>
    <row r="1880" spans="1:9" x14ac:dyDescent="0.25">
      <c r="A1880" s="228">
        <v>41882</v>
      </c>
      <c r="B1880" s="161" t="s">
        <v>1208</v>
      </c>
      <c r="C1880" t="s">
        <v>1201</v>
      </c>
      <c r="D1880" t="s">
        <v>747</v>
      </c>
      <c r="E1880" s="162">
        <v>1</v>
      </c>
      <c r="F1880" s="162">
        <v>83.95</v>
      </c>
      <c r="G1880" s="165">
        <v>83.95</v>
      </c>
      <c r="H1880" s="20">
        <v>904</v>
      </c>
      <c r="I1880"/>
    </row>
    <row r="1881" spans="1:9" x14ac:dyDescent="0.25">
      <c r="A1881" s="228">
        <v>41894</v>
      </c>
      <c r="B1881" s="161" t="s">
        <v>1206</v>
      </c>
      <c r="C1881" t="s">
        <v>1201</v>
      </c>
      <c r="D1881" t="s">
        <v>747</v>
      </c>
      <c r="E1881" s="162">
        <v>1</v>
      </c>
      <c r="F1881" s="162">
        <v>144</v>
      </c>
      <c r="G1881" s="165">
        <v>144</v>
      </c>
      <c r="H1881" s="20">
        <v>904</v>
      </c>
      <c r="I1881"/>
    </row>
    <row r="1882" spans="1:9" x14ac:dyDescent="0.25">
      <c r="A1882" s="228">
        <v>41905</v>
      </c>
      <c r="B1882" s="161" t="s">
        <v>1209</v>
      </c>
      <c r="C1882" t="s">
        <v>1201</v>
      </c>
      <c r="D1882" t="s">
        <v>747</v>
      </c>
      <c r="E1882" s="162">
        <v>1</v>
      </c>
      <c r="F1882" s="162">
        <v>16.079999999999998</v>
      </c>
      <c r="G1882" s="165">
        <v>16.079999999999998</v>
      </c>
      <c r="H1882" s="20">
        <v>904</v>
      </c>
      <c r="I1882"/>
    </row>
    <row r="1883" spans="1:9" x14ac:dyDescent="0.25">
      <c r="A1883" s="228">
        <v>41908</v>
      </c>
      <c r="B1883" s="161" t="s">
        <v>1207</v>
      </c>
      <c r="C1883" t="s">
        <v>1201</v>
      </c>
      <c r="D1883" t="s">
        <v>747</v>
      </c>
      <c r="E1883" s="162">
        <v>1</v>
      </c>
      <c r="F1883" s="162">
        <v>200.16</v>
      </c>
      <c r="G1883" s="165">
        <v>200.16</v>
      </c>
      <c r="H1883" s="20">
        <v>904</v>
      </c>
      <c r="I1883"/>
    </row>
    <row r="1884" spans="1:9" x14ac:dyDescent="0.25">
      <c r="A1884" s="228">
        <v>41908</v>
      </c>
      <c r="B1884" s="161" t="s">
        <v>1210</v>
      </c>
      <c r="C1884" t="s">
        <v>1201</v>
      </c>
      <c r="D1884" t="s">
        <v>747</v>
      </c>
      <c r="E1884" s="162">
        <v>1</v>
      </c>
      <c r="F1884" s="162">
        <v>100.8</v>
      </c>
      <c r="G1884" s="165">
        <v>100.8</v>
      </c>
      <c r="H1884" s="20">
        <v>904</v>
      </c>
      <c r="I1884"/>
    </row>
    <row r="1885" spans="1:9" x14ac:dyDescent="0.25">
      <c r="A1885" s="228">
        <v>41908</v>
      </c>
      <c r="B1885" s="161" t="s">
        <v>1210</v>
      </c>
      <c r="C1885" t="s">
        <v>1201</v>
      </c>
      <c r="D1885" t="s">
        <v>747</v>
      </c>
      <c r="E1885" s="162">
        <v>1</v>
      </c>
      <c r="F1885" s="162">
        <v>134.4</v>
      </c>
      <c r="G1885" s="165">
        <v>134.4</v>
      </c>
      <c r="H1885" s="20">
        <v>904</v>
      </c>
      <c r="I1885"/>
    </row>
    <row r="1886" spans="1:9" x14ac:dyDescent="0.25">
      <c r="A1886" s="228">
        <v>41912</v>
      </c>
      <c r="B1886" s="161" t="s">
        <v>1211</v>
      </c>
      <c r="C1886" t="s">
        <v>1201</v>
      </c>
      <c r="D1886" t="s">
        <v>747</v>
      </c>
      <c r="E1886" s="162">
        <v>1</v>
      </c>
      <c r="F1886" s="162">
        <v>15.36</v>
      </c>
      <c r="G1886" s="165">
        <v>15.36</v>
      </c>
      <c r="H1886" s="20">
        <v>904</v>
      </c>
      <c r="I1886"/>
    </row>
    <row r="1887" spans="1:9" x14ac:dyDescent="0.25">
      <c r="A1887" s="228">
        <v>41912</v>
      </c>
      <c r="B1887" s="161" t="s">
        <v>1202</v>
      </c>
      <c r="C1887" t="s">
        <v>1201</v>
      </c>
      <c r="D1887" t="s">
        <v>747</v>
      </c>
      <c r="E1887" s="162">
        <v>1</v>
      </c>
      <c r="F1887" s="162">
        <v>50.4</v>
      </c>
      <c r="G1887" s="165">
        <v>50.4</v>
      </c>
      <c r="H1887" s="20">
        <v>904</v>
      </c>
      <c r="I1887"/>
    </row>
    <row r="1888" spans="1:9" x14ac:dyDescent="0.25">
      <c r="A1888" s="228">
        <v>41915</v>
      </c>
      <c r="B1888" s="161" t="s">
        <v>1212</v>
      </c>
      <c r="C1888" t="s">
        <v>1201</v>
      </c>
      <c r="D1888" t="s">
        <v>747</v>
      </c>
      <c r="E1888" s="162">
        <v>1</v>
      </c>
      <c r="F1888" s="162">
        <v>67.2</v>
      </c>
      <c r="G1888" s="165">
        <v>67.2</v>
      </c>
      <c r="H1888" s="20">
        <v>904</v>
      </c>
      <c r="I1888"/>
    </row>
    <row r="1889" spans="1:9" x14ac:dyDescent="0.25">
      <c r="A1889" s="228">
        <v>41915</v>
      </c>
      <c r="B1889" s="161" t="s">
        <v>1213</v>
      </c>
      <c r="C1889" t="s">
        <v>1201</v>
      </c>
      <c r="D1889" t="s">
        <v>747</v>
      </c>
      <c r="E1889" s="162">
        <v>1</v>
      </c>
      <c r="F1889" s="162">
        <v>33.36</v>
      </c>
      <c r="G1889" s="165">
        <v>33.36</v>
      </c>
      <c r="H1889" s="20">
        <v>904</v>
      </c>
      <c r="I1889"/>
    </row>
    <row r="1890" spans="1:9" ht="30" x14ac:dyDescent="0.25">
      <c r="A1890" s="228">
        <v>41943</v>
      </c>
      <c r="B1890" s="161" t="s">
        <v>1214</v>
      </c>
      <c r="C1890" t="s">
        <v>1201</v>
      </c>
      <c r="D1890" t="s">
        <v>747</v>
      </c>
      <c r="E1890" s="162">
        <v>1</v>
      </c>
      <c r="F1890" s="162">
        <v>52.08</v>
      </c>
      <c r="G1890" s="165">
        <v>52.08</v>
      </c>
      <c r="H1890" s="20">
        <v>904</v>
      </c>
      <c r="I1890"/>
    </row>
    <row r="1891" spans="1:9" ht="30" x14ac:dyDescent="0.25">
      <c r="A1891" s="228">
        <v>41943</v>
      </c>
      <c r="B1891" s="161" t="s">
        <v>1214</v>
      </c>
      <c r="C1891" t="s">
        <v>1201</v>
      </c>
      <c r="D1891" t="s">
        <v>747</v>
      </c>
      <c r="E1891" s="162">
        <v>1</v>
      </c>
      <c r="F1891" s="162">
        <v>63.13</v>
      </c>
      <c r="G1891" s="165">
        <v>63.13</v>
      </c>
      <c r="H1891" s="20">
        <v>904</v>
      </c>
      <c r="I1891"/>
    </row>
    <row r="1892" spans="1:9" ht="30" x14ac:dyDescent="0.25">
      <c r="A1892" s="228">
        <v>41962</v>
      </c>
      <c r="B1892" s="161" t="s">
        <v>1215</v>
      </c>
      <c r="C1892" t="s">
        <v>1201</v>
      </c>
      <c r="D1892" t="s">
        <v>747</v>
      </c>
      <c r="E1892" s="162">
        <v>1</v>
      </c>
      <c r="F1892" s="162">
        <v>36.659999999999997</v>
      </c>
      <c r="G1892" s="165">
        <v>36.659999999999997</v>
      </c>
      <c r="H1892" s="20">
        <v>904</v>
      </c>
      <c r="I1892"/>
    </row>
    <row r="1893" spans="1:9" ht="30" x14ac:dyDescent="0.25">
      <c r="A1893" s="228">
        <v>42004</v>
      </c>
      <c r="B1893" s="161" t="s">
        <v>1216</v>
      </c>
      <c r="C1893" t="s">
        <v>1201</v>
      </c>
      <c r="D1893" t="s">
        <v>747</v>
      </c>
      <c r="E1893" s="162">
        <v>1</v>
      </c>
      <c r="F1893" s="162">
        <v>106.13</v>
      </c>
      <c r="G1893" s="165">
        <v>106.13</v>
      </c>
      <c r="H1893" s="20">
        <v>904</v>
      </c>
      <c r="I1893"/>
    </row>
    <row r="1894" spans="1:9" ht="30" x14ac:dyDescent="0.25">
      <c r="A1894" s="228">
        <v>42004</v>
      </c>
      <c r="B1894" s="161" t="s">
        <v>1217</v>
      </c>
      <c r="C1894" t="s">
        <v>1201</v>
      </c>
      <c r="D1894" t="s">
        <v>747</v>
      </c>
      <c r="E1894" s="162">
        <v>1</v>
      </c>
      <c r="F1894" s="162">
        <v>52.08</v>
      </c>
      <c r="G1894" s="165">
        <v>52.08</v>
      </c>
      <c r="H1894" s="20">
        <v>904</v>
      </c>
      <c r="I1894"/>
    </row>
    <row r="1895" spans="1:9" x14ac:dyDescent="0.25">
      <c r="A1895" s="230" t="s">
        <v>642</v>
      </c>
      <c r="B1895" s="231" t="s">
        <v>1218</v>
      </c>
      <c r="C1895" s="232" t="s">
        <v>642</v>
      </c>
      <c r="D1895" s="232" t="s">
        <v>642</v>
      </c>
      <c r="E1895" s="233"/>
      <c r="F1895" s="233"/>
      <c r="G1895" s="234">
        <v>9907.84</v>
      </c>
      <c r="H1895" s="235" t="s">
        <v>642</v>
      </c>
      <c r="I1895"/>
    </row>
    <row r="1896" spans="1:9" x14ac:dyDescent="0.25">
      <c r="A1896" s="228" t="s">
        <v>642</v>
      </c>
      <c r="B1896" s="161" t="s">
        <v>642</v>
      </c>
      <c r="C1896" t="s">
        <v>642</v>
      </c>
      <c r="D1896" t="s">
        <v>642</v>
      </c>
      <c r="E1896" s="162"/>
      <c r="F1896" s="162"/>
      <c r="G1896" s="165"/>
      <c r="H1896" s="20" t="s">
        <v>642</v>
      </c>
      <c r="I1896"/>
    </row>
    <row r="1897" spans="1:9" x14ac:dyDescent="0.25">
      <c r="A1897" s="226" t="s">
        <v>642</v>
      </c>
      <c r="B1897" s="159" t="s">
        <v>1219</v>
      </c>
      <c r="C1897" s="64" t="s">
        <v>642</v>
      </c>
      <c r="D1897" s="64" t="s">
        <v>642</v>
      </c>
      <c r="E1897" s="227"/>
      <c r="F1897" s="227"/>
      <c r="G1897" s="166"/>
      <c r="H1897" s="160" t="s">
        <v>642</v>
      </c>
      <c r="I1897"/>
    </row>
    <row r="1898" spans="1:9" x14ac:dyDescent="0.25">
      <c r="A1898" s="228">
        <v>41775</v>
      </c>
      <c r="B1898" s="161" t="s">
        <v>1220</v>
      </c>
      <c r="C1898" t="s">
        <v>925</v>
      </c>
      <c r="D1898" t="s">
        <v>747</v>
      </c>
      <c r="E1898" s="162">
        <v>1</v>
      </c>
      <c r="F1898" s="162">
        <v>7.73</v>
      </c>
      <c r="G1898" s="165">
        <v>7.73</v>
      </c>
      <c r="H1898" s="20">
        <v>905</v>
      </c>
      <c r="I1898"/>
    </row>
    <row r="1899" spans="1:9" x14ac:dyDescent="0.25">
      <c r="A1899" s="228">
        <v>41781</v>
      </c>
      <c r="B1899" s="161" t="s">
        <v>1221</v>
      </c>
      <c r="C1899" t="s">
        <v>925</v>
      </c>
      <c r="D1899" t="s">
        <v>747</v>
      </c>
      <c r="E1899" s="162">
        <v>1</v>
      </c>
      <c r="F1899" s="162">
        <v>-13.05</v>
      </c>
      <c r="G1899" s="165">
        <v>-13.05</v>
      </c>
      <c r="H1899" s="20">
        <v>905</v>
      </c>
      <c r="I1899"/>
    </row>
    <row r="1900" spans="1:9" ht="45" x14ac:dyDescent="0.25">
      <c r="A1900" s="228">
        <v>41781</v>
      </c>
      <c r="B1900" s="161" t="s">
        <v>1222</v>
      </c>
      <c r="C1900" t="s">
        <v>925</v>
      </c>
      <c r="D1900" t="s">
        <v>747</v>
      </c>
      <c r="E1900" s="162">
        <v>1</v>
      </c>
      <c r="F1900" s="162">
        <v>2998.25</v>
      </c>
      <c r="G1900" s="165">
        <v>2998.25</v>
      </c>
      <c r="H1900" s="20">
        <v>905</v>
      </c>
      <c r="I1900"/>
    </row>
    <row r="1901" spans="1:9" x14ac:dyDescent="0.25">
      <c r="A1901" s="228">
        <v>41782</v>
      </c>
      <c r="B1901" s="161" t="s">
        <v>1223</v>
      </c>
      <c r="C1901" t="s">
        <v>925</v>
      </c>
      <c r="D1901" t="s">
        <v>747</v>
      </c>
      <c r="E1901" s="162">
        <v>1</v>
      </c>
      <c r="F1901" s="162">
        <v>46.73</v>
      </c>
      <c r="G1901" s="165">
        <v>46.73</v>
      </c>
      <c r="H1901" s="20">
        <v>905</v>
      </c>
      <c r="I1901"/>
    </row>
    <row r="1902" spans="1:9" ht="45" x14ac:dyDescent="0.25">
      <c r="A1902" s="228">
        <v>41796</v>
      </c>
      <c r="B1902" s="161" t="s">
        <v>1224</v>
      </c>
      <c r="C1902" t="s">
        <v>925</v>
      </c>
      <c r="D1902" t="s">
        <v>747</v>
      </c>
      <c r="E1902" s="162">
        <v>1</v>
      </c>
      <c r="F1902" s="162">
        <v>137.5</v>
      </c>
      <c r="G1902" s="165">
        <v>137.5</v>
      </c>
      <c r="H1902" s="20">
        <v>905</v>
      </c>
      <c r="I1902"/>
    </row>
    <row r="1903" spans="1:9" x14ac:dyDescent="0.25">
      <c r="A1903" s="228">
        <v>41820</v>
      </c>
      <c r="B1903" s="161" t="s">
        <v>1225</v>
      </c>
      <c r="C1903" t="s">
        <v>925</v>
      </c>
      <c r="D1903" t="s">
        <v>747</v>
      </c>
      <c r="E1903" s="162">
        <v>1</v>
      </c>
      <c r="F1903" s="162">
        <v>100.55</v>
      </c>
      <c r="G1903" s="165">
        <v>100.55</v>
      </c>
      <c r="H1903" s="20">
        <v>905</v>
      </c>
      <c r="I1903"/>
    </row>
    <row r="1904" spans="1:9" x14ac:dyDescent="0.25">
      <c r="A1904" s="228">
        <v>41862</v>
      </c>
      <c r="B1904" s="161" t="s">
        <v>1226</v>
      </c>
      <c r="C1904" t="s">
        <v>925</v>
      </c>
      <c r="D1904" t="s">
        <v>747</v>
      </c>
      <c r="E1904" s="162">
        <v>1</v>
      </c>
      <c r="F1904" s="162">
        <v>8.02</v>
      </c>
      <c r="G1904" s="165">
        <v>8.02</v>
      </c>
      <c r="H1904" s="20">
        <v>905</v>
      </c>
      <c r="I1904"/>
    </row>
    <row r="1905" spans="1:9" x14ac:dyDescent="0.25">
      <c r="A1905" s="228">
        <v>41883</v>
      </c>
      <c r="B1905" s="161" t="s">
        <v>1227</v>
      </c>
      <c r="C1905" t="s">
        <v>925</v>
      </c>
      <c r="D1905" t="s">
        <v>747</v>
      </c>
      <c r="E1905" s="162">
        <v>1</v>
      </c>
      <c r="F1905" s="162">
        <v>1.94</v>
      </c>
      <c r="G1905" s="165">
        <v>1.94</v>
      </c>
      <c r="H1905" s="20">
        <v>905</v>
      </c>
      <c r="I1905"/>
    </row>
    <row r="1906" spans="1:9" x14ac:dyDescent="0.25">
      <c r="A1906" s="228">
        <v>41883</v>
      </c>
      <c r="B1906" s="161" t="s">
        <v>1228</v>
      </c>
      <c r="C1906" t="s">
        <v>925</v>
      </c>
      <c r="D1906" t="s">
        <v>747</v>
      </c>
      <c r="E1906" s="162">
        <v>1</v>
      </c>
      <c r="F1906" s="162">
        <v>64.88</v>
      </c>
      <c r="G1906" s="165">
        <v>64.88</v>
      </c>
      <c r="H1906" s="20">
        <v>905</v>
      </c>
      <c r="I1906"/>
    </row>
    <row r="1907" spans="1:9" x14ac:dyDescent="0.25">
      <c r="A1907" s="228">
        <v>41884</v>
      </c>
      <c r="B1907" s="161" t="s">
        <v>1229</v>
      </c>
      <c r="C1907" t="s">
        <v>925</v>
      </c>
      <c r="D1907" t="s">
        <v>747</v>
      </c>
      <c r="E1907" s="162">
        <v>1</v>
      </c>
      <c r="F1907" s="162">
        <v>22</v>
      </c>
      <c r="G1907" s="165">
        <v>22</v>
      </c>
      <c r="H1907" s="20">
        <v>905</v>
      </c>
      <c r="I1907"/>
    </row>
    <row r="1908" spans="1:9" x14ac:dyDescent="0.25">
      <c r="A1908" s="228">
        <v>41887</v>
      </c>
      <c r="B1908" s="161" t="s">
        <v>1230</v>
      </c>
      <c r="C1908" t="s">
        <v>925</v>
      </c>
      <c r="D1908" t="s">
        <v>747</v>
      </c>
      <c r="E1908" s="162">
        <v>1</v>
      </c>
      <c r="F1908" s="162">
        <v>22.91</v>
      </c>
      <c r="G1908" s="165">
        <v>22.91</v>
      </c>
      <c r="H1908" s="20">
        <v>905</v>
      </c>
      <c r="I1908"/>
    </row>
    <row r="1909" spans="1:9" x14ac:dyDescent="0.25">
      <c r="A1909" s="228">
        <v>41933</v>
      </c>
      <c r="B1909" s="161" t="s">
        <v>1231</v>
      </c>
      <c r="C1909" t="s">
        <v>925</v>
      </c>
      <c r="D1909" t="s">
        <v>747</v>
      </c>
      <c r="E1909" s="162">
        <v>1</v>
      </c>
      <c r="F1909" s="162">
        <v>11.32</v>
      </c>
      <c r="G1909" s="165">
        <v>11.32</v>
      </c>
      <c r="H1909" s="20">
        <v>905</v>
      </c>
      <c r="I1909"/>
    </row>
    <row r="1910" spans="1:9" x14ac:dyDescent="0.25">
      <c r="A1910" s="228">
        <v>41982</v>
      </c>
      <c r="B1910" s="161" t="s">
        <v>1232</v>
      </c>
      <c r="C1910" t="s">
        <v>1233</v>
      </c>
      <c r="D1910" t="s">
        <v>747</v>
      </c>
      <c r="E1910" s="162">
        <v>1</v>
      </c>
      <c r="F1910" s="162">
        <v>419.09</v>
      </c>
      <c r="G1910" s="165">
        <v>419.09</v>
      </c>
      <c r="H1910" s="20">
        <v>905</v>
      </c>
      <c r="I1910"/>
    </row>
    <row r="1911" spans="1:9" x14ac:dyDescent="0.25">
      <c r="A1911" s="228">
        <v>41985</v>
      </c>
      <c r="B1911" s="161" t="s">
        <v>1234</v>
      </c>
      <c r="C1911" t="s">
        <v>925</v>
      </c>
      <c r="D1911" t="s">
        <v>747</v>
      </c>
      <c r="E1911" s="162"/>
      <c r="F1911" s="162">
        <v>95.86</v>
      </c>
      <c r="G1911" s="165"/>
      <c r="H1911" s="20">
        <v>905</v>
      </c>
      <c r="I1911"/>
    </row>
    <row r="1912" spans="1:9" x14ac:dyDescent="0.25">
      <c r="A1912" s="228">
        <v>41985</v>
      </c>
      <c r="B1912" s="161" t="s">
        <v>1235</v>
      </c>
      <c r="C1912" t="s">
        <v>925</v>
      </c>
      <c r="D1912" t="s">
        <v>747</v>
      </c>
      <c r="E1912" s="162">
        <v>1</v>
      </c>
      <c r="F1912" s="162">
        <v>132.5</v>
      </c>
      <c r="G1912" s="165">
        <v>132.5</v>
      </c>
      <c r="H1912" s="20">
        <v>905</v>
      </c>
      <c r="I1912"/>
    </row>
    <row r="1913" spans="1:9" x14ac:dyDescent="0.25">
      <c r="A1913" s="230" t="s">
        <v>642</v>
      </c>
      <c r="B1913" s="231" t="s">
        <v>1236</v>
      </c>
      <c r="C1913" s="232" t="s">
        <v>642</v>
      </c>
      <c r="D1913" s="232" t="s">
        <v>642</v>
      </c>
      <c r="E1913" s="233"/>
      <c r="F1913" s="233"/>
      <c r="G1913" s="234">
        <v>3960.37</v>
      </c>
      <c r="H1913" s="235" t="s">
        <v>642</v>
      </c>
      <c r="I1913"/>
    </row>
    <row r="1914" spans="1:9" x14ac:dyDescent="0.25">
      <c r="A1914" s="228" t="s">
        <v>642</v>
      </c>
      <c r="B1914" s="161" t="s">
        <v>642</v>
      </c>
      <c r="C1914" t="s">
        <v>642</v>
      </c>
      <c r="D1914" t="s">
        <v>642</v>
      </c>
      <c r="E1914" s="162"/>
      <c r="F1914" s="162"/>
      <c r="G1914" s="165"/>
      <c r="H1914" s="20" t="s">
        <v>642</v>
      </c>
      <c r="I1914"/>
    </row>
    <row r="1915" spans="1:9" x14ac:dyDescent="0.25">
      <c r="A1915" s="226" t="s">
        <v>642</v>
      </c>
      <c r="B1915" s="159" t="s">
        <v>1237</v>
      </c>
      <c r="C1915" s="64" t="s">
        <v>642</v>
      </c>
      <c r="D1915" s="64" t="s">
        <v>642</v>
      </c>
      <c r="E1915" s="227"/>
      <c r="F1915" s="227"/>
      <c r="G1915" s="166"/>
      <c r="H1915" s="160" t="s">
        <v>642</v>
      </c>
      <c r="I1915"/>
    </row>
    <row r="1916" spans="1:9" x14ac:dyDescent="0.25">
      <c r="A1916" s="228">
        <v>41801</v>
      </c>
      <c r="B1916" s="161" t="s">
        <v>1238</v>
      </c>
      <c r="C1916" t="s">
        <v>1171</v>
      </c>
      <c r="D1916" t="s">
        <v>747</v>
      </c>
      <c r="E1916" s="162">
        <v>1</v>
      </c>
      <c r="F1916" s="162">
        <v>900</v>
      </c>
      <c r="G1916" s="165">
        <v>900</v>
      </c>
      <c r="H1916" s="20">
        <v>906</v>
      </c>
      <c r="I1916"/>
    </row>
    <row r="1917" spans="1:9" x14ac:dyDescent="0.25">
      <c r="A1917" s="228">
        <v>41814</v>
      </c>
      <c r="B1917" s="161" t="s">
        <v>1238</v>
      </c>
      <c r="C1917" t="s">
        <v>1171</v>
      </c>
      <c r="D1917" t="s">
        <v>747</v>
      </c>
      <c r="E1917" s="162">
        <v>3</v>
      </c>
      <c r="F1917" s="162">
        <v>300</v>
      </c>
      <c r="G1917" s="165">
        <v>900</v>
      </c>
      <c r="H1917" s="20">
        <v>906</v>
      </c>
      <c r="I1917"/>
    </row>
    <row r="1918" spans="1:9" x14ac:dyDescent="0.25">
      <c r="A1918" s="228">
        <v>41942</v>
      </c>
      <c r="B1918" s="161" t="s">
        <v>1140</v>
      </c>
      <c r="C1918" t="s">
        <v>1139</v>
      </c>
      <c r="D1918" t="s">
        <v>33</v>
      </c>
      <c r="E1918" s="162">
        <v>9</v>
      </c>
      <c r="F1918" s="162">
        <v>105</v>
      </c>
      <c r="G1918" s="165">
        <v>945</v>
      </c>
      <c r="H1918" s="20">
        <v>906</v>
      </c>
      <c r="I1918"/>
    </row>
    <row r="1919" spans="1:9" x14ac:dyDescent="0.25">
      <c r="A1919" s="228">
        <v>41943</v>
      </c>
      <c r="B1919" s="161" t="s">
        <v>863</v>
      </c>
      <c r="C1919" t="s">
        <v>864</v>
      </c>
      <c r="D1919" t="s">
        <v>33</v>
      </c>
      <c r="E1919" s="162">
        <v>6</v>
      </c>
      <c r="F1919" s="162">
        <v>46.5</v>
      </c>
      <c r="G1919" s="165">
        <v>279</v>
      </c>
      <c r="H1919" s="20">
        <v>906</v>
      </c>
      <c r="I1919"/>
    </row>
    <row r="1920" spans="1:9" x14ac:dyDescent="0.25">
      <c r="A1920" s="228">
        <v>41943</v>
      </c>
      <c r="B1920" s="161" t="s">
        <v>831</v>
      </c>
      <c r="C1920" t="s">
        <v>1471</v>
      </c>
      <c r="D1920" t="s">
        <v>832</v>
      </c>
      <c r="E1920" s="162">
        <v>2</v>
      </c>
      <c r="F1920" s="162">
        <v>54.58</v>
      </c>
      <c r="G1920" s="165">
        <v>109.16</v>
      </c>
      <c r="H1920" s="20">
        <v>906</v>
      </c>
      <c r="I1920"/>
    </row>
    <row r="1921" spans="1:9" x14ac:dyDescent="0.25">
      <c r="A1921" s="228">
        <v>41943</v>
      </c>
      <c r="B1921" s="161" t="s">
        <v>843</v>
      </c>
      <c r="C1921" t="s">
        <v>8</v>
      </c>
      <c r="D1921" t="s">
        <v>33</v>
      </c>
      <c r="E1921" s="162">
        <v>7.5</v>
      </c>
      <c r="F1921" s="162">
        <v>35.11</v>
      </c>
      <c r="G1921" s="165">
        <v>263.32499999999999</v>
      </c>
      <c r="H1921" s="20">
        <v>906</v>
      </c>
      <c r="I1921"/>
    </row>
    <row r="1922" spans="1:9" x14ac:dyDescent="0.25">
      <c r="A1922" s="228">
        <v>41943</v>
      </c>
      <c r="B1922" s="161" t="s">
        <v>855</v>
      </c>
      <c r="C1922" t="s">
        <v>856</v>
      </c>
      <c r="D1922" t="s">
        <v>33</v>
      </c>
      <c r="E1922" s="162">
        <v>2</v>
      </c>
      <c r="F1922" s="162">
        <v>21.61</v>
      </c>
      <c r="G1922" s="165">
        <v>43.22</v>
      </c>
      <c r="H1922" s="20">
        <v>906</v>
      </c>
      <c r="I1922"/>
    </row>
    <row r="1923" spans="1:9" x14ac:dyDescent="0.25">
      <c r="A1923" s="228">
        <v>41943</v>
      </c>
      <c r="B1923" s="161" t="s">
        <v>838</v>
      </c>
      <c r="C1923" t="s">
        <v>8</v>
      </c>
      <c r="D1923" t="s">
        <v>33</v>
      </c>
      <c r="E1923" s="162">
        <v>8.5</v>
      </c>
      <c r="F1923" s="162">
        <v>39.979999999999997</v>
      </c>
      <c r="G1923" s="165">
        <v>339.83</v>
      </c>
      <c r="H1923" s="20">
        <v>906</v>
      </c>
      <c r="I1923"/>
    </row>
    <row r="1924" spans="1:9" x14ac:dyDescent="0.25">
      <c r="A1924" s="228">
        <v>41946</v>
      </c>
      <c r="B1924" s="161" t="s">
        <v>831</v>
      </c>
      <c r="C1924" t="s">
        <v>1471</v>
      </c>
      <c r="D1924" t="s">
        <v>832</v>
      </c>
      <c r="E1924" s="162">
        <v>9</v>
      </c>
      <c r="F1924" s="162">
        <v>54.58</v>
      </c>
      <c r="G1924" s="165">
        <v>491.22</v>
      </c>
      <c r="H1924" s="20">
        <v>906</v>
      </c>
      <c r="I1924"/>
    </row>
    <row r="1925" spans="1:9" x14ac:dyDescent="0.25">
      <c r="A1925" s="228">
        <v>41946</v>
      </c>
      <c r="B1925" s="161" t="s">
        <v>1239</v>
      </c>
      <c r="C1925" t="s">
        <v>1139</v>
      </c>
      <c r="D1925" t="s">
        <v>33</v>
      </c>
      <c r="E1925" s="162">
        <v>7.5</v>
      </c>
      <c r="F1925" s="162">
        <v>105</v>
      </c>
      <c r="G1925" s="165">
        <v>787.5</v>
      </c>
      <c r="H1925" s="20">
        <v>906</v>
      </c>
      <c r="I1925"/>
    </row>
    <row r="1926" spans="1:9" x14ac:dyDescent="0.25">
      <c r="A1926" s="228">
        <v>41946</v>
      </c>
      <c r="B1926" s="161" t="s">
        <v>863</v>
      </c>
      <c r="C1926" t="s">
        <v>864</v>
      </c>
      <c r="D1926" t="s">
        <v>33</v>
      </c>
      <c r="E1926" s="162">
        <v>9</v>
      </c>
      <c r="F1926" s="162">
        <v>46.5</v>
      </c>
      <c r="G1926" s="165">
        <v>418.5</v>
      </c>
      <c r="H1926" s="20">
        <v>906</v>
      </c>
      <c r="I1926"/>
    </row>
    <row r="1927" spans="1:9" x14ac:dyDescent="0.25">
      <c r="A1927" s="228">
        <v>41946</v>
      </c>
      <c r="B1927" s="161" t="s">
        <v>855</v>
      </c>
      <c r="C1927" t="s">
        <v>856</v>
      </c>
      <c r="D1927" t="s">
        <v>33</v>
      </c>
      <c r="E1927" s="162">
        <v>3.5</v>
      </c>
      <c r="F1927" s="162">
        <v>21.61</v>
      </c>
      <c r="G1927" s="165">
        <v>75.635000000000005</v>
      </c>
      <c r="H1927" s="20">
        <v>906</v>
      </c>
      <c r="I1927"/>
    </row>
    <row r="1928" spans="1:9" x14ac:dyDescent="0.25">
      <c r="A1928" s="228">
        <v>41946</v>
      </c>
      <c r="B1928" s="161" t="s">
        <v>843</v>
      </c>
      <c r="C1928" t="s">
        <v>8</v>
      </c>
      <c r="D1928" t="s">
        <v>33</v>
      </c>
      <c r="E1928" s="162">
        <v>9</v>
      </c>
      <c r="F1928" s="162">
        <v>35.11</v>
      </c>
      <c r="G1928" s="165">
        <v>315.99</v>
      </c>
      <c r="H1928" s="20">
        <v>906</v>
      </c>
      <c r="I1928"/>
    </row>
    <row r="1929" spans="1:9" x14ac:dyDescent="0.25">
      <c r="A1929" s="228">
        <v>41946</v>
      </c>
      <c r="B1929" s="161" t="s">
        <v>831</v>
      </c>
      <c r="C1929" t="s">
        <v>1471</v>
      </c>
      <c r="D1929" t="s">
        <v>832</v>
      </c>
      <c r="E1929" s="162">
        <v>3.5</v>
      </c>
      <c r="F1929" s="162">
        <v>54.58</v>
      </c>
      <c r="G1929" s="165">
        <v>191.03</v>
      </c>
      <c r="H1929" s="20">
        <v>906</v>
      </c>
      <c r="I1929"/>
    </row>
    <row r="1930" spans="1:9" x14ac:dyDescent="0.25">
      <c r="A1930" s="228">
        <v>41947</v>
      </c>
      <c r="B1930" s="161" t="s">
        <v>863</v>
      </c>
      <c r="C1930" t="s">
        <v>864</v>
      </c>
      <c r="D1930" t="s">
        <v>33</v>
      </c>
      <c r="E1930" s="162">
        <v>9.5</v>
      </c>
      <c r="F1930" s="162">
        <v>46.5</v>
      </c>
      <c r="G1930" s="165">
        <v>441.75</v>
      </c>
      <c r="H1930" s="20">
        <v>906</v>
      </c>
      <c r="I1930"/>
    </row>
    <row r="1931" spans="1:9" x14ac:dyDescent="0.25">
      <c r="A1931" s="228">
        <v>41947</v>
      </c>
      <c r="B1931" s="161" t="s">
        <v>829</v>
      </c>
      <c r="C1931" t="s">
        <v>830</v>
      </c>
      <c r="D1931" t="s">
        <v>33</v>
      </c>
      <c r="E1931" s="162">
        <v>8.5</v>
      </c>
      <c r="F1931" s="162">
        <v>110</v>
      </c>
      <c r="G1931" s="165">
        <v>935</v>
      </c>
      <c r="H1931" s="20">
        <v>906</v>
      </c>
      <c r="I1931"/>
    </row>
    <row r="1932" spans="1:9" x14ac:dyDescent="0.25">
      <c r="A1932" s="228">
        <v>41947</v>
      </c>
      <c r="B1932" s="161" t="s">
        <v>855</v>
      </c>
      <c r="C1932" t="s">
        <v>856</v>
      </c>
      <c r="D1932" t="s">
        <v>33</v>
      </c>
      <c r="E1932" s="162">
        <v>2</v>
      </c>
      <c r="F1932" s="162">
        <v>21.61</v>
      </c>
      <c r="G1932" s="165">
        <v>43.22</v>
      </c>
      <c r="H1932" s="20">
        <v>906</v>
      </c>
      <c r="I1932"/>
    </row>
    <row r="1933" spans="1:9" x14ac:dyDescent="0.25">
      <c r="A1933" s="228">
        <v>41947</v>
      </c>
      <c r="B1933" s="161" t="s">
        <v>838</v>
      </c>
      <c r="C1933" t="s">
        <v>8</v>
      </c>
      <c r="D1933" t="s">
        <v>33</v>
      </c>
      <c r="E1933" s="162">
        <v>9.5</v>
      </c>
      <c r="F1933" s="162">
        <v>39.979999999999997</v>
      </c>
      <c r="G1933" s="165">
        <v>379.81</v>
      </c>
      <c r="H1933" s="20">
        <v>906</v>
      </c>
      <c r="I1933"/>
    </row>
    <row r="1934" spans="1:9" x14ac:dyDescent="0.25">
      <c r="A1934" s="228">
        <v>41947</v>
      </c>
      <c r="B1934" s="161" t="s">
        <v>843</v>
      </c>
      <c r="C1934" t="s">
        <v>8</v>
      </c>
      <c r="D1934" t="s">
        <v>33</v>
      </c>
      <c r="E1934" s="162">
        <v>8.5</v>
      </c>
      <c r="F1934" s="162">
        <v>35.11</v>
      </c>
      <c r="G1934" s="165">
        <v>298.435</v>
      </c>
      <c r="H1934" s="20">
        <v>906</v>
      </c>
      <c r="I1934"/>
    </row>
    <row r="1935" spans="1:9" x14ac:dyDescent="0.25">
      <c r="A1935" s="228">
        <v>41947</v>
      </c>
      <c r="B1935" s="161" t="s">
        <v>831</v>
      </c>
      <c r="C1935" t="s">
        <v>1471</v>
      </c>
      <c r="D1935" t="s">
        <v>832</v>
      </c>
      <c r="E1935" s="162">
        <v>7.5</v>
      </c>
      <c r="F1935" s="162">
        <v>54.58</v>
      </c>
      <c r="G1935" s="165">
        <v>409.35</v>
      </c>
      <c r="H1935" s="20">
        <v>906</v>
      </c>
      <c r="I1935"/>
    </row>
    <row r="1936" spans="1:9" x14ac:dyDescent="0.25">
      <c r="A1936" s="228">
        <v>41949</v>
      </c>
      <c r="B1936" s="161" t="s">
        <v>838</v>
      </c>
      <c r="C1936" t="s">
        <v>8</v>
      </c>
      <c r="D1936" t="s">
        <v>33</v>
      </c>
      <c r="E1936" s="162">
        <v>3</v>
      </c>
      <c r="F1936" s="162">
        <v>39.979999999999997</v>
      </c>
      <c r="G1936" s="165">
        <v>119.94</v>
      </c>
      <c r="H1936" s="20">
        <v>906</v>
      </c>
      <c r="I1936"/>
    </row>
    <row r="1937" spans="1:9" x14ac:dyDescent="0.25">
      <c r="A1937" s="228">
        <v>41949</v>
      </c>
      <c r="B1937" s="161" t="s">
        <v>831</v>
      </c>
      <c r="C1937" t="s">
        <v>1471</v>
      </c>
      <c r="D1937" t="s">
        <v>832</v>
      </c>
      <c r="E1937" s="162">
        <v>3</v>
      </c>
      <c r="F1937" s="162">
        <v>54.58</v>
      </c>
      <c r="G1937" s="165">
        <v>163.74</v>
      </c>
      <c r="H1937" s="20">
        <v>906</v>
      </c>
      <c r="I1937"/>
    </row>
    <row r="1938" spans="1:9" x14ac:dyDescent="0.25">
      <c r="A1938" s="228">
        <v>41993</v>
      </c>
      <c r="B1938" s="161" t="s">
        <v>829</v>
      </c>
      <c r="C1938" t="s">
        <v>830</v>
      </c>
      <c r="D1938" t="s">
        <v>33</v>
      </c>
      <c r="E1938" s="162">
        <v>7.75</v>
      </c>
      <c r="F1938" s="162">
        <v>110</v>
      </c>
      <c r="G1938" s="165">
        <v>852.5</v>
      </c>
      <c r="H1938" s="20">
        <v>906</v>
      </c>
      <c r="I1938"/>
    </row>
    <row r="1939" spans="1:9" x14ac:dyDescent="0.25">
      <c r="A1939" s="228">
        <v>42018</v>
      </c>
      <c r="B1939" s="161" t="s">
        <v>831</v>
      </c>
      <c r="C1939" t="s">
        <v>1471</v>
      </c>
      <c r="D1939" t="s">
        <v>832</v>
      </c>
      <c r="E1939" s="162">
        <v>1.5</v>
      </c>
      <c r="F1939" s="162">
        <v>54.58</v>
      </c>
      <c r="G1939" s="165">
        <v>81.87</v>
      </c>
      <c r="H1939" s="20">
        <v>906</v>
      </c>
      <c r="I1939"/>
    </row>
    <row r="1940" spans="1:9" x14ac:dyDescent="0.25">
      <c r="A1940" s="228">
        <v>42018</v>
      </c>
      <c r="B1940" s="161" t="s">
        <v>838</v>
      </c>
      <c r="C1940" t="s">
        <v>8</v>
      </c>
      <c r="D1940" t="s">
        <v>33</v>
      </c>
      <c r="E1940" s="162">
        <v>1.5</v>
      </c>
      <c r="F1940" s="162">
        <v>39.979999999999997</v>
      </c>
      <c r="G1940" s="165">
        <v>59.97</v>
      </c>
      <c r="H1940" s="20">
        <v>906</v>
      </c>
      <c r="I1940"/>
    </row>
    <row r="1941" spans="1:9" x14ac:dyDescent="0.25">
      <c r="A1941" s="228">
        <v>42020</v>
      </c>
      <c r="B1941" s="161" t="s">
        <v>838</v>
      </c>
      <c r="C1941" t="s">
        <v>8</v>
      </c>
      <c r="D1941" t="s">
        <v>33</v>
      </c>
      <c r="E1941" s="162">
        <v>3</v>
      </c>
      <c r="F1941" s="162">
        <v>39.979999999999997</v>
      </c>
      <c r="G1941" s="165">
        <v>119.94</v>
      </c>
      <c r="H1941" s="20">
        <v>906</v>
      </c>
      <c r="I1941"/>
    </row>
    <row r="1942" spans="1:9" x14ac:dyDescent="0.25">
      <c r="A1942" s="228">
        <v>42020</v>
      </c>
      <c r="B1942" s="161" t="s">
        <v>831</v>
      </c>
      <c r="C1942" t="s">
        <v>1471</v>
      </c>
      <c r="D1942" t="s">
        <v>832</v>
      </c>
      <c r="E1942" s="162">
        <v>3</v>
      </c>
      <c r="F1942" s="162">
        <v>54.58</v>
      </c>
      <c r="G1942" s="165">
        <v>163.74</v>
      </c>
      <c r="H1942" s="20">
        <v>906</v>
      </c>
      <c r="I1942"/>
    </row>
    <row r="1943" spans="1:9" x14ac:dyDescent="0.25">
      <c r="A1943" s="228">
        <v>42024</v>
      </c>
      <c r="B1943" s="161" t="s">
        <v>831</v>
      </c>
      <c r="C1943" t="s">
        <v>1471</v>
      </c>
      <c r="D1943" t="s">
        <v>832</v>
      </c>
      <c r="E1943" s="162">
        <v>8</v>
      </c>
      <c r="F1943" s="162">
        <v>54.58</v>
      </c>
      <c r="G1943" s="165">
        <v>436.64</v>
      </c>
      <c r="H1943" s="20">
        <v>906</v>
      </c>
      <c r="I1943"/>
    </row>
    <row r="1944" spans="1:9" ht="30" x14ac:dyDescent="0.25">
      <c r="A1944" s="228">
        <v>42026</v>
      </c>
      <c r="B1944" s="161" t="s">
        <v>1240</v>
      </c>
      <c r="C1944" t="s">
        <v>1241</v>
      </c>
      <c r="D1944" t="s">
        <v>747</v>
      </c>
      <c r="E1944" s="162">
        <v>14.6</v>
      </c>
      <c r="F1944" s="162">
        <v>171</v>
      </c>
      <c r="G1944" s="165">
        <v>2496.6</v>
      </c>
      <c r="H1944" s="20">
        <v>906</v>
      </c>
      <c r="I1944"/>
    </row>
    <row r="1945" spans="1:9" x14ac:dyDescent="0.25">
      <c r="A1945" s="228">
        <v>42051</v>
      </c>
      <c r="B1945" s="161" t="s">
        <v>862</v>
      </c>
      <c r="C1945" t="s">
        <v>1472</v>
      </c>
      <c r="D1945" t="s">
        <v>33</v>
      </c>
      <c r="E1945" s="162">
        <v>8</v>
      </c>
      <c r="F1945" s="162">
        <v>88.74</v>
      </c>
      <c r="G1945" s="165">
        <v>709.92</v>
      </c>
      <c r="H1945" s="20">
        <v>906</v>
      </c>
      <c r="I1945"/>
    </row>
    <row r="1946" spans="1:9" x14ac:dyDescent="0.25">
      <c r="A1946" s="228">
        <v>42051</v>
      </c>
      <c r="B1946" s="161" t="s">
        <v>843</v>
      </c>
      <c r="C1946" t="s">
        <v>8</v>
      </c>
      <c r="D1946" t="s">
        <v>33</v>
      </c>
      <c r="E1946" s="162">
        <v>8</v>
      </c>
      <c r="F1946" s="162">
        <v>42.72</v>
      </c>
      <c r="G1946" s="165">
        <v>341.76</v>
      </c>
      <c r="H1946" s="20">
        <v>906</v>
      </c>
      <c r="I1946"/>
    </row>
    <row r="1947" spans="1:9" x14ac:dyDescent="0.25">
      <c r="A1947" s="228">
        <v>42052</v>
      </c>
      <c r="B1947" s="161" t="s">
        <v>1242</v>
      </c>
      <c r="C1947" t="s">
        <v>925</v>
      </c>
      <c r="D1947" t="s">
        <v>747</v>
      </c>
      <c r="E1947" s="162">
        <v>1</v>
      </c>
      <c r="F1947" s="162">
        <v>200.75</v>
      </c>
      <c r="G1947" s="165">
        <v>200.75</v>
      </c>
      <c r="H1947" s="20">
        <v>906</v>
      </c>
      <c r="I1947"/>
    </row>
    <row r="1948" spans="1:9" x14ac:dyDescent="0.25">
      <c r="A1948" s="228">
        <v>42052</v>
      </c>
      <c r="B1948" s="161" t="s">
        <v>862</v>
      </c>
      <c r="C1948" t="s">
        <v>1472</v>
      </c>
      <c r="D1948" t="s">
        <v>33</v>
      </c>
      <c r="E1948" s="162">
        <v>6</v>
      </c>
      <c r="F1948" s="162">
        <v>88.74</v>
      </c>
      <c r="G1948" s="165">
        <v>532.44000000000005</v>
      </c>
      <c r="H1948" s="20">
        <v>906</v>
      </c>
      <c r="I1948"/>
    </row>
    <row r="1949" spans="1:9" x14ac:dyDescent="0.25">
      <c r="A1949" s="228">
        <v>42052</v>
      </c>
      <c r="B1949" s="161" t="s">
        <v>843</v>
      </c>
      <c r="C1949" t="s">
        <v>8</v>
      </c>
      <c r="D1949" t="s">
        <v>33</v>
      </c>
      <c r="E1949" s="162">
        <v>6</v>
      </c>
      <c r="F1949" s="162">
        <v>42.72</v>
      </c>
      <c r="G1949" s="165">
        <v>256.32</v>
      </c>
      <c r="H1949" s="20">
        <v>906</v>
      </c>
      <c r="I1949"/>
    </row>
    <row r="1950" spans="1:9" x14ac:dyDescent="0.25">
      <c r="A1950" s="228">
        <v>42053</v>
      </c>
      <c r="B1950" s="161" t="s">
        <v>843</v>
      </c>
      <c r="C1950" t="s">
        <v>8</v>
      </c>
      <c r="D1950" t="s">
        <v>33</v>
      </c>
      <c r="E1950" s="162">
        <v>6.5</v>
      </c>
      <c r="F1950" s="162">
        <v>42.72</v>
      </c>
      <c r="G1950" s="165">
        <v>277.68</v>
      </c>
      <c r="H1950" s="20">
        <v>906</v>
      </c>
      <c r="I1950"/>
    </row>
    <row r="1951" spans="1:9" x14ac:dyDescent="0.25">
      <c r="A1951" s="228">
        <v>42053</v>
      </c>
      <c r="B1951" s="161" t="s">
        <v>862</v>
      </c>
      <c r="C1951" t="s">
        <v>1472</v>
      </c>
      <c r="D1951" t="s">
        <v>33</v>
      </c>
      <c r="E1951" s="162">
        <v>6.5</v>
      </c>
      <c r="F1951" s="162">
        <v>88.74</v>
      </c>
      <c r="G1951" s="165">
        <v>576.80999999999995</v>
      </c>
      <c r="H1951" s="20">
        <v>906</v>
      </c>
      <c r="I1951"/>
    </row>
    <row r="1952" spans="1:9" x14ac:dyDescent="0.25">
      <c r="A1952" s="228">
        <v>42053</v>
      </c>
      <c r="B1952" s="161" t="s">
        <v>1243</v>
      </c>
      <c r="C1952" t="s">
        <v>1086</v>
      </c>
      <c r="D1952" t="s">
        <v>747</v>
      </c>
      <c r="E1952" s="162">
        <v>1</v>
      </c>
      <c r="F1952" s="162">
        <v>240</v>
      </c>
      <c r="G1952" s="165">
        <v>240</v>
      </c>
      <c r="H1952" s="20">
        <v>906</v>
      </c>
      <c r="I1952"/>
    </row>
    <row r="1953" spans="1:9" x14ac:dyDescent="0.25">
      <c r="A1953" s="228">
        <v>42053</v>
      </c>
      <c r="B1953" s="161" t="s">
        <v>1244</v>
      </c>
      <c r="C1953" t="s">
        <v>1245</v>
      </c>
      <c r="D1953" t="s">
        <v>747</v>
      </c>
      <c r="E1953" s="162">
        <v>12.28</v>
      </c>
      <c r="F1953" s="162">
        <v>50.12</v>
      </c>
      <c r="G1953" s="165">
        <v>615.47360000000003</v>
      </c>
      <c r="H1953" s="20">
        <v>906</v>
      </c>
      <c r="I1953"/>
    </row>
    <row r="1954" spans="1:9" x14ac:dyDescent="0.25">
      <c r="A1954" s="228">
        <v>42054</v>
      </c>
      <c r="B1954" s="161" t="s">
        <v>1246</v>
      </c>
      <c r="C1954" t="s">
        <v>847</v>
      </c>
      <c r="D1954" t="s">
        <v>747</v>
      </c>
      <c r="E1954" s="162">
        <v>1</v>
      </c>
      <c r="F1954" s="162">
        <v>215.65</v>
      </c>
      <c r="G1954" s="165">
        <v>215.65</v>
      </c>
      <c r="H1954" s="20">
        <v>906</v>
      </c>
      <c r="I1954"/>
    </row>
    <row r="1955" spans="1:9" x14ac:dyDescent="0.25">
      <c r="A1955" s="228">
        <v>42061</v>
      </c>
      <c r="B1955" s="161" t="s">
        <v>831</v>
      </c>
      <c r="C1955" t="s">
        <v>1471</v>
      </c>
      <c r="D1955" t="s">
        <v>832</v>
      </c>
      <c r="E1955" s="162">
        <v>2.5</v>
      </c>
      <c r="F1955" s="162">
        <v>54.58</v>
      </c>
      <c r="G1955" s="165">
        <v>136.44999999999999</v>
      </c>
      <c r="H1955" s="20">
        <v>906</v>
      </c>
      <c r="I1955"/>
    </row>
    <row r="1956" spans="1:9" x14ac:dyDescent="0.25">
      <c r="A1956" s="228">
        <v>42066</v>
      </c>
      <c r="B1956" s="161" t="s">
        <v>1247</v>
      </c>
      <c r="C1956" t="s">
        <v>1086</v>
      </c>
      <c r="D1956" t="s">
        <v>747</v>
      </c>
      <c r="E1956" s="162">
        <v>1</v>
      </c>
      <c r="F1956" s="162">
        <v>80</v>
      </c>
      <c r="G1956" s="165">
        <v>80</v>
      </c>
      <c r="H1956" s="20">
        <v>906</v>
      </c>
      <c r="I1956"/>
    </row>
    <row r="1957" spans="1:9" x14ac:dyDescent="0.25">
      <c r="A1957" s="228">
        <v>42067</v>
      </c>
      <c r="B1957" s="161" t="s">
        <v>1243</v>
      </c>
      <c r="C1957" t="s">
        <v>1086</v>
      </c>
      <c r="D1957" t="s">
        <v>747</v>
      </c>
      <c r="E1957" s="162">
        <v>1</v>
      </c>
      <c r="F1957" s="162">
        <v>240</v>
      </c>
      <c r="G1957" s="165">
        <v>240</v>
      </c>
      <c r="H1957" s="20">
        <v>906</v>
      </c>
      <c r="I1957"/>
    </row>
    <row r="1958" spans="1:9" x14ac:dyDescent="0.25">
      <c r="A1958" s="228">
        <v>42067</v>
      </c>
      <c r="B1958" s="161" t="s">
        <v>1243</v>
      </c>
      <c r="C1958" t="s">
        <v>1086</v>
      </c>
      <c r="D1958" t="s">
        <v>747</v>
      </c>
      <c r="E1958" s="162">
        <v>1</v>
      </c>
      <c r="F1958" s="162">
        <v>84.17</v>
      </c>
      <c r="G1958" s="165">
        <v>84.17</v>
      </c>
      <c r="H1958" s="20">
        <v>906</v>
      </c>
      <c r="I1958"/>
    </row>
    <row r="1959" spans="1:9" x14ac:dyDescent="0.25">
      <c r="A1959" s="228">
        <v>42067</v>
      </c>
      <c r="B1959" s="161" t="s">
        <v>1248</v>
      </c>
      <c r="C1959" t="s">
        <v>1086</v>
      </c>
      <c r="D1959" t="s">
        <v>747</v>
      </c>
      <c r="E1959" s="162">
        <v>1</v>
      </c>
      <c r="F1959" s="162">
        <v>285.35000000000002</v>
      </c>
      <c r="G1959" s="165">
        <v>285.35000000000002</v>
      </c>
      <c r="H1959" s="20">
        <v>906</v>
      </c>
      <c r="I1959"/>
    </row>
    <row r="1960" spans="1:9" x14ac:dyDescent="0.25">
      <c r="A1960" s="228">
        <v>42068</v>
      </c>
      <c r="B1960" s="161" t="s">
        <v>1244</v>
      </c>
      <c r="C1960" t="s">
        <v>1245</v>
      </c>
      <c r="D1960" t="s">
        <v>747</v>
      </c>
      <c r="E1960" s="162">
        <v>12.94</v>
      </c>
      <c r="F1960" s="162">
        <v>50.12</v>
      </c>
      <c r="G1960" s="165">
        <v>648.55280000000005</v>
      </c>
      <c r="H1960" s="20">
        <v>906</v>
      </c>
      <c r="I1960"/>
    </row>
    <row r="1961" spans="1:9" x14ac:dyDescent="0.25">
      <c r="A1961" s="228">
        <v>42068</v>
      </c>
      <c r="B1961" s="161" t="s">
        <v>831</v>
      </c>
      <c r="C1961" t="s">
        <v>1471</v>
      </c>
      <c r="D1961" t="s">
        <v>832</v>
      </c>
      <c r="E1961" s="162">
        <v>1.5</v>
      </c>
      <c r="F1961" s="162">
        <v>54.58</v>
      </c>
      <c r="G1961" s="165">
        <v>81.87</v>
      </c>
      <c r="H1961" s="20">
        <v>906</v>
      </c>
      <c r="I1961"/>
    </row>
    <row r="1962" spans="1:9" x14ac:dyDescent="0.25">
      <c r="A1962" s="228">
        <v>42072</v>
      </c>
      <c r="B1962" s="161" t="s">
        <v>1249</v>
      </c>
      <c r="C1962" t="s">
        <v>1086</v>
      </c>
      <c r="D1962" t="s">
        <v>747</v>
      </c>
      <c r="E1962" s="162">
        <v>1</v>
      </c>
      <c r="F1962" s="162">
        <v>240</v>
      </c>
      <c r="G1962" s="165">
        <v>240</v>
      </c>
      <c r="H1962" s="20">
        <v>906</v>
      </c>
      <c r="I1962"/>
    </row>
    <row r="1963" spans="1:9" x14ac:dyDescent="0.25">
      <c r="A1963" s="228">
        <v>42080</v>
      </c>
      <c r="B1963" s="161" t="s">
        <v>1250</v>
      </c>
      <c r="C1963" t="s">
        <v>1251</v>
      </c>
      <c r="D1963" t="s">
        <v>747</v>
      </c>
      <c r="E1963" s="162">
        <v>6</v>
      </c>
      <c r="F1963" s="162">
        <v>2.65</v>
      </c>
      <c r="G1963" s="165">
        <v>15.9</v>
      </c>
      <c r="H1963" s="20">
        <v>906</v>
      </c>
      <c r="I1963"/>
    </row>
    <row r="1964" spans="1:9" ht="30" x14ac:dyDescent="0.25">
      <c r="A1964" s="228">
        <v>42081</v>
      </c>
      <c r="B1964" s="161" t="s">
        <v>1252</v>
      </c>
      <c r="C1964" t="s">
        <v>1253</v>
      </c>
      <c r="D1964" t="s">
        <v>747</v>
      </c>
      <c r="E1964" s="162">
        <v>1</v>
      </c>
      <c r="F1964" s="162">
        <v>440</v>
      </c>
      <c r="G1964" s="165">
        <v>440</v>
      </c>
      <c r="H1964" s="20">
        <v>906</v>
      </c>
      <c r="I1964"/>
    </row>
    <row r="1965" spans="1:9" x14ac:dyDescent="0.25">
      <c r="A1965" s="228">
        <v>42081</v>
      </c>
      <c r="B1965" s="161" t="s">
        <v>1254</v>
      </c>
      <c r="C1965" t="s">
        <v>1255</v>
      </c>
      <c r="D1965" t="s">
        <v>747</v>
      </c>
      <c r="E1965" s="162">
        <v>1</v>
      </c>
      <c r="F1965" s="162">
        <v>60</v>
      </c>
      <c r="G1965" s="165">
        <v>60</v>
      </c>
      <c r="H1965" s="20">
        <v>906</v>
      </c>
      <c r="I1965"/>
    </row>
    <row r="1966" spans="1:9" x14ac:dyDescent="0.25">
      <c r="A1966" s="228">
        <v>42082</v>
      </c>
      <c r="B1966" s="161" t="s">
        <v>829</v>
      </c>
      <c r="C1966" t="s">
        <v>830</v>
      </c>
      <c r="D1966" t="s">
        <v>33</v>
      </c>
      <c r="E1966" s="162">
        <v>2</v>
      </c>
      <c r="F1966" s="162">
        <v>110</v>
      </c>
      <c r="G1966" s="165">
        <v>220</v>
      </c>
      <c r="H1966" s="20">
        <v>906</v>
      </c>
      <c r="I1966"/>
    </row>
    <row r="1967" spans="1:9" x14ac:dyDescent="0.25">
      <c r="A1967" s="228">
        <v>42090</v>
      </c>
      <c r="B1967" s="161" t="s">
        <v>1256</v>
      </c>
      <c r="C1967" t="s">
        <v>1065</v>
      </c>
      <c r="D1967" t="s">
        <v>747</v>
      </c>
      <c r="E1967" s="162">
        <v>1</v>
      </c>
      <c r="F1967" s="162">
        <v>310</v>
      </c>
      <c r="G1967" s="165">
        <v>310</v>
      </c>
      <c r="H1967" s="20">
        <v>906</v>
      </c>
      <c r="I1967"/>
    </row>
    <row r="1968" spans="1:9" ht="30" x14ac:dyDescent="0.25">
      <c r="A1968" s="228">
        <v>42096</v>
      </c>
      <c r="B1968" s="161" t="s">
        <v>1257</v>
      </c>
      <c r="C1968" t="s">
        <v>1241</v>
      </c>
      <c r="D1968" t="s">
        <v>747</v>
      </c>
      <c r="E1968" s="162">
        <v>7.2</v>
      </c>
      <c r="F1968" s="162">
        <v>236.334</v>
      </c>
      <c r="G1968" s="165">
        <v>1701.6048000000001</v>
      </c>
      <c r="H1968" s="20">
        <v>906</v>
      </c>
      <c r="I1968"/>
    </row>
    <row r="1969" spans="1:9" ht="30" x14ac:dyDescent="0.25">
      <c r="A1969" s="228">
        <v>42104</v>
      </c>
      <c r="B1969" s="161" t="s">
        <v>1258</v>
      </c>
      <c r="C1969" t="s">
        <v>1065</v>
      </c>
      <c r="D1969" t="s">
        <v>747</v>
      </c>
      <c r="E1969" s="162">
        <v>1</v>
      </c>
      <c r="F1969" s="162">
        <v>620</v>
      </c>
      <c r="G1969" s="165">
        <v>620</v>
      </c>
      <c r="H1969" s="20">
        <v>906</v>
      </c>
      <c r="I1969"/>
    </row>
    <row r="1970" spans="1:9" x14ac:dyDescent="0.25">
      <c r="A1970" s="228">
        <v>42129</v>
      </c>
      <c r="B1970" s="161" t="s">
        <v>1259</v>
      </c>
      <c r="C1970" t="s">
        <v>967</v>
      </c>
      <c r="D1970" t="s">
        <v>747</v>
      </c>
      <c r="E1970" s="162">
        <v>2</v>
      </c>
      <c r="F1970" s="162">
        <v>6.8920000000000003</v>
      </c>
      <c r="G1970" s="165">
        <v>13.784000000000001</v>
      </c>
      <c r="H1970" s="20">
        <v>906</v>
      </c>
      <c r="I1970"/>
    </row>
    <row r="1971" spans="1:9" x14ac:dyDescent="0.25">
      <c r="A1971" s="228">
        <v>42131</v>
      </c>
      <c r="B1971" s="161" t="s">
        <v>1260</v>
      </c>
      <c r="C1971" t="s">
        <v>1241</v>
      </c>
      <c r="D1971" t="s">
        <v>747</v>
      </c>
      <c r="E1971" s="162">
        <v>0.6</v>
      </c>
      <c r="F1971" s="162">
        <v>397.67</v>
      </c>
      <c r="G1971" s="165">
        <v>238.602</v>
      </c>
      <c r="H1971" s="20">
        <v>906</v>
      </c>
      <c r="I1971"/>
    </row>
    <row r="1972" spans="1:9" ht="30" x14ac:dyDescent="0.25">
      <c r="A1972" s="228">
        <v>42135</v>
      </c>
      <c r="B1972" s="161" t="s">
        <v>1261</v>
      </c>
      <c r="C1972" t="s">
        <v>919</v>
      </c>
      <c r="D1972" t="s">
        <v>747</v>
      </c>
      <c r="E1972" s="162">
        <v>1</v>
      </c>
      <c r="F1972" s="162">
        <v>1560</v>
      </c>
      <c r="G1972" s="165">
        <v>1560</v>
      </c>
      <c r="H1972" s="20">
        <v>906</v>
      </c>
      <c r="I1972"/>
    </row>
    <row r="1973" spans="1:9" x14ac:dyDescent="0.25">
      <c r="A1973" s="230" t="s">
        <v>642</v>
      </c>
      <c r="B1973" s="231" t="s">
        <v>1262</v>
      </c>
      <c r="C1973" s="232" t="s">
        <v>642</v>
      </c>
      <c r="D1973" s="232" t="s">
        <v>642</v>
      </c>
      <c r="E1973" s="233"/>
      <c r="F1973" s="233"/>
      <c r="G1973" s="234">
        <v>24005.002199999999</v>
      </c>
      <c r="H1973" s="235" t="s">
        <v>642</v>
      </c>
      <c r="I1973"/>
    </row>
    <row r="1974" spans="1:9" x14ac:dyDescent="0.25">
      <c r="A1974" s="228" t="s">
        <v>642</v>
      </c>
      <c r="B1974" s="161" t="s">
        <v>642</v>
      </c>
      <c r="C1974" t="s">
        <v>642</v>
      </c>
      <c r="D1974" t="s">
        <v>642</v>
      </c>
      <c r="E1974" s="162"/>
      <c r="F1974" s="162"/>
      <c r="G1974" s="165"/>
      <c r="H1974" s="20" t="s">
        <v>642</v>
      </c>
      <c r="I1974"/>
    </row>
    <row r="1975" spans="1:9" x14ac:dyDescent="0.25">
      <c r="A1975" s="226" t="s">
        <v>642</v>
      </c>
      <c r="B1975" s="159" t="s">
        <v>1263</v>
      </c>
      <c r="C1975" s="64" t="s">
        <v>642</v>
      </c>
      <c r="D1975" s="64" t="s">
        <v>642</v>
      </c>
      <c r="E1975" s="227"/>
      <c r="F1975" s="227"/>
      <c r="G1975" s="166"/>
      <c r="H1975" s="160" t="s">
        <v>642</v>
      </c>
      <c r="I1975"/>
    </row>
    <row r="1976" spans="1:9" x14ac:dyDescent="0.25">
      <c r="A1976" s="228">
        <v>41869</v>
      </c>
      <c r="B1976" s="161" t="s">
        <v>838</v>
      </c>
      <c r="C1976" t="s">
        <v>8</v>
      </c>
      <c r="D1976" t="s">
        <v>33</v>
      </c>
      <c r="E1976" s="162">
        <v>2.5</v>
      </c>
      <c r="F1976" s="162">
        <v>39.979999999999997</v>
      </c>
      <c r="G1976" s="165">
        <v>99.95</v>
      </c>
      <c r="H1976" s="20">
        <v>910</v>
      </c>
      <c r="I1976"/>
    </row>
    <row r="1977" spans="1:9" x14ac:dyDescent="0.25">
      <c r="A1977" s="228">
        <v>41869</v>
      </c>
      <c r="B1977" s="161" t="s">
        <v>841</v>
      </c>
      <c r="C1977" t="s">
        <v>842</v>
      </c>
      <c r="D1977" t="s">
        <v>33</v>
      </c>
      <c r="E1977" s="162">
        <v>2.5</v>
      </c>
      <c r="F1977" s="162">
        <v>25.78</v>
      </c>
      <c r="G1977" s="165">
        <v>64.45</v>
      </c>
      <c r="H1977" s="20">
        <v>910</v>
      </c>
      <c r="I1977"/>
    </row>
    <row r="1978" spans="1:9" x14ac:dyDescent="0.25">
      <c r="A1978" s="228">
        <v>41869</v>
      </c>
      <c r="B1978" s="161" t="s">
        <v>843</v>
      </c>
      <c r="C1978" t="s">
        <v>8</v>
      </c>
      <c r="D1978" t="s">
        <v>33</v>
      </c>
      <c r="E1978" s="162">
        <v>2.5</v>
      </c>
      <c r="F1978" s="162">
        <v>35.11</v>
      </c>
      <c r="G1978" s="165">
        <v>87.775000000000006</v>
      </c>
      <c r="H1978" s="20">
        <v>910</v>
      </c>
      <c r="I1978"/>
    </row>
    <row r="1979" spans="1:9" x14ac:dyDescent="0.25">
      <c r="A1979" s="228">
        <v>41927</v>
      </c>
      <c r="B1979" s="161" t="s">
        <v>1264</v>
      </c>
      <c r="C1979" t="s">
        <v>830</v>
      </c>
      <c r="D1979" t="s">
        <v>33</v>
      </c>
      <c r="E1979" s="162">
        <v>10</v>
      </c>
      <c r="F1979" s="162">
        <v>110</v>
      </c>
      <c r="G1979" s="165">
        <v>1100</v>
      </c>
      <c r="H1979" s="20">
        <v>910</v>
      </c>
      <c r="I1979"/>
    </row>
    <row r="1980" spans="1:9" x14ac:dyDescent="0.25">
      <c r="A1980" s="228">
        <v>41928</v>
      </c>
      <c r="B1980" s="161" t="s">
        <v>838</v>
      </c>
      <c r="C1980" t="s">
        <v>8</v>
      </c>
      <c r="D1980" t="s">
        <v>33</v>
      </c>
      <c r="E1980" s="162">
        <v>2</v>
      </c>
      <c r="F1980" s="162">
        <v>39.979999999999997</v>
      </c>
      <c r="G1980" s="165">
        <v>79.959999999999994</v>
      </c>
      <c r="H1980" s="20">
        <v>910</v>
      </c>
      <c r="I1980"/>
    </row>
    <row r="1981" spans="1:9" x14ac:dyDescent="0.25">
      <c r="A1981" s="228">
        <v>41928</v>
      </c>
      <c r="B1981" s="161" t="s">
        <v>890</v>
      </c>
      <c r="C1981" t="s">
        <v>864</v>
      </c>
      <c r="D1981" t="s">
        <v>33</v>
      </c>
      <c r="E1981" s="162">
        <v>2</v>
      </c>
      <c r="F1981" s="162">
        <v>46.5</v>
      </c>
      <c r="G1981" s="165">
        <v>93</v>
      </c>
      <c r="H1981" s="20">
        <v>910</v>
      </c>
      <c r="I1981"/>
    </row>
    <row r="1982" spans="1:9" x14ac:dyDescent="0.25">
      <c r="A1982" s="228">
        <v>41929</v>
      </c>
      <c r="B1982" s="161" t="s">
        <v>843</v>
      </c>
      <c r="C1982" t="s">
        <v>8</v>
      </c>
      <c r="D1982" t="s">
        <v>33</v>
      </c>
      <c r="E1982" s="162">
        <v>6.5</v>
      </c>
      <c r="F1982" s="162">
        <v>35.11</v>
      </c>
      <c r="G1982" s="165">
        <v>228.215</v>
      </c>
      <c r="H1982" s="20">
        <v>910</v>
      </c>
      <c r="I1982"/>
    </row>
    <row r="1983" spans="1:9" x14ac:dyDescent="0.25">
      <c r="A1983" s="228">
        <v>41929</v>
      </c>
      <c r="B1983" s="161" t="s">
        <v>855</v>
      </c>
      <c r="C1983" t="s">
        <v>856</v>
      </c>
      <c r="D1983" t="s">
        <v>33</v>
      </c>
      <c r="E1983" s="162">
        <v>3</v>
      </c>
      <c r="F1983" s="162">
        <v>21.61</v>
      </c>
      <c r="G1983" s="165">
        <v>64.83</v>
      </c>
      <c r="H1983" s="20">
        <v>910</v>
      </c>
      <c r="I1983"/>
    </row>
    <row r="1984" spans="1:9" x14ac:dyDescent="0.25">
      <c r="A1984" s="228">
        <v>41929</v>
      </c>
      <c r="B1984" s="161" t="s">
        <v>838</v>
      </c>
      <c r="C1984" t="s">
        <v>8</v>
      </c>
      <c r="D1984" t="s">
        <v>33</v>
      </c>
      <c r="E1984" s="162">
        <v>6.5</v>
      </c>
      <c r="F1984" s="162">
        <v>39.979999999999997</v>
      </c>
      <c r="G1984" s="165">
        <v>259.87</v>
      </c>
      <c r="H1984" s="20">
        <v>910</v>
      </c>
      <c r="I1984"/>
    </row>
    <row r="1985" spans="1:9" x14ac:dyDescent="0.25">
      <c r="A1985" s="228">
        <v>41932</v>
      </c>
      <c r="B1985" s="161" t="s">
        <v>855</v>
      </c>
      <c r="C1985" t="s">
        <v>856</v>
      </c>
      <c r="D1985" t="s">
        <v>33</v>
      </c>
      <c r="E1985" s="162">
        <v>4</v>
      </c>
      <c r="F1985" s="162">
        <v>21.61</v>
      </c>
      <c r="G1985" s="165">
        <v>86.44</v>
      </c>
      <c r="H1985" s="20">
        <v>910</v>
      </c>
      <c r="I1985"/>
    </row>
    <row r="1986" spans="1:9" x14ac:dyDescent="0.25">
      <c r="A1986" s="228">
        <v>41939</v>
      </c>
      <c r="B1986" s="161" t="s">
        <v>863</v>
      </c>
      <c r="C1986" t="s">
        <v>864</v>
      </c>
      <c r="D1986" t="s">
        <v>33</v>
      </c>
      <c r="E1986" s="162">
        <v>2</v>
      </c>
      <c r="F1986" s="162">
        <v>46.5</v>
      </c>
      <c r="G1986" s="165">
        <v>93</v>
      </c>
      <c r="H1986" s="20">
        <v>910</v>
      </c>
      <c r="I1986"/>
    </row>
    <row r="1987" spans="1:9" x14ac:dyDescent="0.25">
      <c r="A1987" s="228">
        <v>41939</v>
      </c>
      <c r="B1987" s="161" t="s">
        <v>841</v>
      </c>
      <c r="C1987" t="s">
        <v>842</v>
      </c>
      <c r="D1987" t="s">
        <v>33</v>
      </c>
      <c r="E1987" s="162">
        <v>8</v>
      </c>
      <c r="F1987" s="162">
        <v>25.78</v>
      </c>
      <c r="G1987" s="165">
        <v>206.24</v>
      </c>
      <c r="H1987" s="20">
        <v>910</v>
      </c>
      <c r="I1987"/>
    </row>
    <row r="1988" spans="1:9" x14ac:dyDescent="0.25">
      <c r="A1988" s="228">
        <v>41939</v>
      </c>
      <c r="B1988" s="161" t="s">
        <v>838</v>
      </c>
      <c r="C1988" t="s">
        <v>8</v>
      </c>
      <c r="D1988" t="s">
        <v>33</v>
      </c>
      <c r="E1988" s="162">
        <v>8</v>
      </c>
      <c r="F1988" s="162">
        <v>39.979999999999997</v>
      </c>
      <c r="G1988" s="165">
        <v>319.83999999999997</v>
      </c>
      <c r="H1988" s="20">
        <v>910</v>
      </c>
      <c r="I1988"/>
    </row>
    <row r="1989" spans="1:9" x14ac:dyDescent="0.25">
      <c r="A1989" s="228">
        <v>41939</v>
      </c>
      <c r="B1989" s="161" t="s">
        <v>831</v>
      </c>
      <c r="C1989" t="s">
        <v>1471</v>
      </c>
      <c r="D1989" t="s">
        <v>832</v>
      </c>
      <c r="E1989" s="162">
        <v>8</v>
      </c>
      <c r="F1989" s="162">
        <v>54.58</v>
      </c>
      <c r="G1989" s="165">
        <v>436.64</v>
      </c>
      <c r="H1989" s="20">
        <v>910</v>
      </c>
      <c r="I1989"/>
    </row>
    <row r="1990" spans="1:9" x14ac:dyDescent="0.25">
      <c r="A1990" s="228">
        <v>41939</v>
      </c>
      <c r="B1990" s="161" t="s">
        <v>843</v>
      </c>
      <c r="C1990" t="s">
        <v>8</v>
      </c>
      <c r="D1990" t="s">
        <v>33</v>
      </c>
      <c r="E1990" s="162">
        <v>8</v>
      </c>
      <c r="F1990" s="162">
        <v>35.11</v>
      </c>
      <c r="G1990" s="165">
        <v>280.88</v>
      </c>
      <c r="H1990" s="20">
        <v>910</v>
      </c>
      <c r="I1990"/>
    </row>
    <row r="1991" spans="1:9" x14ac:dyDescent="0.25">
      <c r="A1991" s="228">
        <v>41948</v>
      </c>
      <c r="B1991" s="161" t="s">
        <v>838</v>
      </c>
      <c r="C1991" t="s">
        <v>8</v>
      </c>
      <c r="D1991" t="s">
        <v>33</v>
      </c>
      <c r="E1991" s="162">
        <v>6.5</v>
      </c>
      <c r="F1991" s="162">
        <v>39.979999999999997</v>
      </c>
      <c r="G1991" s="165">
        <v>259.87</v>
      </c>
      <c r="H1991" s="20">
        <v>910</v>
      </c>
      <c r="I1991"/>
    </row>
    <row r="1992" spans="1:9" x14ac:dyDescent="0.25">
      <c r="A1992" s="228">
        <v>41948</v>
      </c>
      <c r="B1992" s="161" t="s">
        <v>843</v>
      </c>
      <c r="C1992" t="s">
        <v>8</v>
      </c>
      <c r="D1992" t="s">
        <v>33</v>
      </c>
      <c r="E1992" s="162">
        <v>6.5</v>
      </c>
      <c r="F1992" s="162">
        <v>35.11</v>
      </c>
      <c r="G1992" s="165">
        <v>228.215</v>
      </c>
      <c r="H1992" s="20">
        <v>910</v>
      </c>
      <c r="I1992"/>
    </row>
    <row r="1993" spans="1:9" x14ac:dyDescent="0.25">
      <c r="A1993" s="228">
        <v>41948</v>
      </c>
      <c r="B1993" s="161" t="s">
        <v>831</v>
      </c>
      <c r="C1993" t="s">
        <v>1471</v>
      </c>
      <c r="D1993" t="s">
        <v>832</v>
      </c>
      <c r="E1993" s="162">
        <v>7.5</v>
      </c>
      <c r="F1993" s="162">
        <v>54.58</v>
      </c>
      <c r="G1993" s="165">
        <v>409.35</v>
      </c>
      <c r="H1993" s="20">
        <v>910</v>
      </c>
      <c r="I1993"/>
    </row>
    <row r="1994" spans="1:9" x14ac:dyDescent="0.25">
      <c r="A1994" s="228">
        <v>41949</v>
      </c>
      <c r="B1994" s="161" t="s">
        <v>831</v>
      </c>
      <c r="C1994" t="s">
        <v>1471</v>
      </c>
      <c r="D1994" t="s">
        <v>832</v>
      </c>
      <c r="E1994" s="162">
        <v>3</v>
      </c>
      <c r="F1994" s="162">
        <v>54.58</v>
      </c>
      <c r="G1994" s="165">
        <v>163.74</v>
      </c>
      <c r="H1994" s="20">
        <v>910</v>
      </c>
      <c r="I1994"/>
    </row>
    <row r="1995" spans="1:9" x14ac:dyDescent="0.25">
      <c r="A1995" s="228">
        <v>41949</v>
      </c>
      <c r="B1995" s="161" t="s">
        <v>843</v>
      </c>
      <c r="C1995" t="s">
        <v>8</v>
      </c>
      <c r="D1995" t="s">
        <v>33</v>
      </c>
      <c r="E1995" s="162">
        <v>3</v>
      </c>
      <c r="F1995" s="162">
        <v>35.11</v>
      </c>
      <c r="G1995" s="165">
        <v>105.33</v>
      </c>
      <c r="H1995" s="20">
        <v>910</v>
      </c>
      <c r="I1995"/>
    </row>
    <row r="1996" spans="1:9" x14ac:dyDescent="0.25">
      <c r="A1996" s="228">
        <v>41950</v>
      </c>
      <c r="B1996" s="161" t="s">
        <v>843</v>
      </c>
      <c r="C1996" t="s">
        <v>8</v>
      </c>
      <c r="D1996" t="s">
        <v>33</v>
      </c>
      <c r="E1996" s="162">
        <v>3</v>
      </c>
      <c r="F1996" s="162">
        <v>35.11</v>
      </c>
      <c r="G1996" s="165">
        <v>105.33</v>
      </c>
      <c r="H1996" s="20">
        <v>910</v>
      </c>
      <c r="I1996"/>
    </row>
    <row r="1997" spans="1:9" x14ac:dyDescent="0.25">
      <c r="A1997" s="228">
        <v>41950</v>
      </c>
      <c r="B1997" s="161" t="s">
        <v>870</v>
      </c>
      <c r="C1997" t="s">
        <v>871</v>
      </c>
      <c r="D1997" t="s">
        <v>33</v>
      </c>
      <c r="E1997" s="162">
        <v>3</v>
      </c>
      <c r="F1997" s="162">
        <v>42.79</v>
      </c>
      <c r="G1997" s="165">
        <v>128.37</v>
      </c>
      <c r="H1997" s="20">
        <v>910</v>
      </c>
      <c r="I1997"/>
    </row>
    <row r="1998" spans="1:9" x14ac:dyDescent="0.25">
      <c r="A1998" s="228">
        <v>41950</v>
      </c>
      <c r="B1998" s="161" t="s">
        <v>838</v>
      </c>
      <c r="C1998" t="s">
        <v>8</v>
      </c>
      <c r="D1998" t="s">
        <v>33</v>
      </c>
      <c r="E1998" s="162">
        <v>3</v>
      </c>
      <c r="F1998" s="162">
        <v>39.979999999999997</v>
      </c>
      <c r="G1998" s="165">
        <v>119.94</v>
      </c>
      <c r="H1998" s="20">
        <v>910</v>
      </c>
      <c r="I1998"/>
    </row>
    <row r="1999" spans="1:9" x14ac:dyDescent="0.25">
      <c r="A1999" s="228">
        <v>41950</v>
      </c>
      <c r="B1999" s="161" t="s">
        <v>831</v>
      </c>
      <c r="C1999" t="s">
        <v>1471</v>
      </c>
      <c r="D1999" t="s">
        <v>832</v>
      </c>
      <c r="E1999" s="162">
        <v>3</v>
      </c>
      <c r="F1999" s="162">
        <v>54.58</v>
      </c>
      <c r="G1999" s="165">
        <v>163.74</v>
      </c>
      <c r="H1999" s="20">
        <v>910</v>
      </c>
      <c r="I1999"/>
    </row>
    <row r="2000" spans="1:9" x14ac:dyDescent="0.25">
      <c r="A2000" s="228">
        <v>41961</v>
      </c>
      <c r="B2000" s="161" t="s">
        <v>831</v>
      </c>
      <c r="C2000" t="s">
        <v>1471</v>
      </c>
      <c r="D2000" t="s">
        <v>832</v>
      </c>
      <c r="E2000" s="162">
        <v>3.5</v>
      </c>
      <c r="F2000" s="162">
        <v>54.58</v>
      </c>
      <c r="G2000" s="165">
        <v>191.03</v>
      </c>
      <c r="H2000" s="20">
        <v>910</v>
      </c>
      <c r="I2000"/>
    </row>
    <row r="2001" spans="1:9" x14ac:dyDescent="0.25">
      <c r="A2001" s="228">
        <v>41962</v>
      </c>
      <c r="B2001" s="161" t="s">
        <v>831</v>
      </c>
      <c r="C2001" t="s">
        <v>1471</v>
      </c>
      <c r="D2001" t="s">
        <v>832</v>
      </c>
      <c r="E2001" s="162">
        <v>1</v>
      </c>
      <c r="F2001" s="162">
        <v>54.58</v>
      </c>
      <c r="G2001" s="165">
        <v>54.58</v>
      </c>
      <c r="H2001" s="20">
        <v>910</v>
      </c>
      <c r="I2001"/>
    </row>
    <row r="2002" spans="1:9" x14ac:dyDescent="0.25">
      <c r="A2002" s="228">
        <v>42027</v>
      </c>
      <c r="B2002" s="161" t="s">
        <v>831</v>
      </c>
      <c r="C2002" t="s">
        <v>1471</v>
      </c>
      <c r="D2002" t="s">
        <v>832</v>
      </c>
      <c r="E2002" s="162">
        <v>1</v>
      </c>
      <c r="F2002" s="162">
        <v>54.58</v>
      </c>
      <c r="G2002" s="165">
        <v>54.58</v>
      </c>
      <c r="H2002" s="20">
        <v>910</v>
      </c>
      <c r="I2002"/>
    </row>
    <row r="2003" spans="1:9" x14ac:dyDescent="0.25">
      <c r="A2003" s="228">
        <v>42031</v>
      </c>
      <c r="B2003" s="161" t="s">
        <v>831</v>
      </c>
      <c r="C2003" t="s">
        <v>1471</v>
      </c>
      <c r="D2003" t="s">
        <v>832</v>
      </c>
      <c r="E2003" s="162">
        <v>1</v>
      </c>
      <c r="F2003" s="162">
        <v>54.58</v>
      </c>
      <c r="G2003" s="165">
        <v>54.58</v>
      </c>
      <c r="H2003" s="20">
        <v>910</v>
      </c>
      <c r="I2003"/>
    </row>
    <row r="2004" spans="1:9" x14ac:dyDescent="0.25">
      <c r="A2004" s="228">
        <v>42032</v>
      </c>
      <c r="B2004" s="161" t="s">
        <v>831</v>
      </c>
      <c r="C2004" t="s">
        <v>1471</v>
      </c>
      <c r="D2004" t="s">
        <v>832</v>
      </c>
      <c r="E2004" s="162">
        <v>8</v>
      </c>
      <c r="F2004" s="162">
        <v>54.58</v>
      </c>
      <c r="G2004" s="165">
        <v>436.64</v>
      </c>
      <c r="H2004" s="20">
        <v>910</v>
      </c>
      <c r="I2004"/>
    </row>
    <row r="2005" spans="1:9" x14ac:dyDescent="0.25">
      <c r="A2005" s="228">
        <v>42032</v>
      </c>
      <c r="B2005" s="161" t="s">
        <v>843</v>
      </c>
      <c r="C2005" t="s">
        <v>8</v>
      </c>
      <c r="D2005" t="s">
        <v>33</v>
      </c>
      <c r="E2005" s="162">
        <v>6</v>
      </c>
      <c r="F2005" s="162">
        <v>42.72</v>
      </c>
      <c r="G2005" s="165">
        <v>256.32</v>
      </c>
      <c r="H2005" s="20">
        <v>910</v>
      </c>
      <c r="I2005"/>
    </row>
    <row r="2006" spans="1:9" x14ac:dyDescent="0.25">
      <c r="A2006" s="228">
        <v>42033</v>
      </c>
      <c r="B2006" s="161" t="s">
        <v>831</v>
      </c>
      <c r="C2006" t="s">
        <v>1471</v>
      </c>
      <c r="D2006" t="s">
        <v>832</v>
      </c>
      <c r="E2006" s="162">
        <v>1</v>
      </c>
      <c r="F2006" s="162">
        <v>54.58</v>
      </c>
      <c r="G2006" s="165">
        <v>54.58</v>
      </c>
      <c r="H2006" s="20">
        <v>910</v>
      </c>
      <c r="I2006"/>
    </row>
    <row r="2007" spans="1:9" x14ac:dyDescent="0.25">
      <c r="A2007" s="228">
        <v>42033</v>
      </c>
      <c r="B2007" s="161" t="s">
        <v>843</v>
      </c>
      <c r="C2007" t="s">
        <v>8</v>
      </c>
      <c r="D2007" t="s">
        <v>33</v>
      </c>
      <c r="E2007" s="162">
        <v>1</v>
      </c>
      <c r="F2007" s="162">
        <v>42.72</v>
      </c>
      <c r="G2007" s="165">
        <v>42.72</v>
      </c>
      <c r="H2007" s="20">
        <v>910</v>
      </c>
      <c r="I2007"/>
    </row>
    <row r="2008" spans="1:9" x14ac:dyDescent="0.25">
      <c r="A2008" s="228">
        <v>42068</v>
      </c>
      <c r="B2008" s="161" t="s">
        <v>831</v>
      </c>
      <c r="C2008" t="s">
        <v>1471</v>
      </c>
      <c r="D2008" t="s">
        <v>832</v>
      </c>
      <c r="E2008" s="162">
        <v>1.5</v>
      </c>
      <c r="F2008" s="162">
        <v>54.58</v>
      </c>
      <c r="G2008" s="165">
        <v>81.87</v>
      </c>
      <c r="H2008" s="20">
        <v>910</v>
      </c>
      <c r="I2008"/>
    </row>
    <row r="2009" spans="1:9" x14ac:dyDescent="0.25">
      <c r="A2009" s="228">
        <v>42082</v>
      </c>
      <c r="B2009" s="161" t="s">
        <v>1265</v>
      </c>
      <c r="C2009" t="s">
        <v>833</v>
      </c>
      <c r="D2009" t="s">
        <v>747</v>
      </c>
      <c r="E2009" s="162">
        <v>7</v>
      </c>
      <c r="F2009" s="162">
        <v>35</v>
      </c>
      <c r="G2009" s="165">
        <v>245</v>
      </c>
      <c r="H2009" s="20">
        <v>910</v>
      </c>
      <c r="I2009"/>
    </row>
    <row r="2010" spans="1:9" x14ac:dyDescent="0.25">
      <c r="A2010" s="228">
        <v>42082</v>
      </c>
      <c r="B2010" s="161" t="s">
        <v>829</v>
      </c>
      <c r="C2010" t="s">
        <v>830</v>
      </c>
      <c r="D2010" t="s">
        <v>33</v>
      </c>
      <c r="E2010" s="162">
        <v>2</v>
      </c>
      <c r="F2010" s="162">
        <v>110</v>
      </c>
      <c r="G2010" s="165">
        <v>220</v>
      </c>
      <c r="H2010" s="20">
        <v>910</v>
      </c>
      <c r="I2010"/>
    </row>
    <row r="2011" spans="1:9" x14ac:dyDescent="0.25">
      <c r="A2011" s="228">
        <v>42082</v>
      </c>
      <c r="B2011" s="161" t="s">
        <v>843</v>
      </c>
      <c r="C2011" t="s">
        <v>8</v>
      </c>
      <c r="D2011" t="s">
        <v>33</v>
      </c>
      <c r="E2011" s="162">
        <v>1</v>
      </c>
      <c r="F2011" s="162">
        <v>42.72</v>
      </c>
      <c r="G2011" s="165">
        <v>42.72</v>
      </c>
      <c r="H2011" s="20">
        <v>910</v>
      </c>
      <c r="I2011"/>
    </row>
    <row r="2012" spans="1:9" x14ac:dyDescent="0.25">
      <c r="A2012" s="228">
        <v>42082</v>
      </c>
      <c r="B2012" s="161" t="s">
        <v>831</v>
      </c>
      <c r="C2012" t="s">
        <v>1471</v>
      </c>
      <c r="D2012" t="s">
        <v>832</v>
      </c>
      <c r="E2012" s="162">
        <v>7</v>
      </c>
      <c r="F2012" s="162">
        <v>54.58</v>
      </c>
      <c r="G2012" s="165">
        <v>382.06</v>
      </c>
      <c r="H2012" s="20">
        <v>910</v>
      </c>
      <c r="I2012"/>
    </row>
    <row r="2013" spans="1:9" x14ac:dyDescent="0.25">
      <c r="A2013" s="228">
        <v>42103</v>
      </c>
      <c r="B2013" s="161" t="s">
        <v>831</v>
      </c>
      <c r="C2013" t="s">
        <v>1471</v>
      </c>
      <c r="D2013" t="s">
        <v>832</v>
      </c>
      <c r="E2013" s="162">
        <v>6</v>
      </c>
      <c r="F2013" s="162">
        <v>54.58</v>
      </c>
      <c r="G2013" s="165">
        <v>327.48</v>
      </c>
      <c r="H2013" s="20">
        <v>910</v>
      </c>
      <c r="I2013"/>
    </row>
    <row r="2014" spans="1:9" x14ac:dyDescent="0.25">
      <c r="A2014" s="228">
        <v>42103</v>
      </c>
      <c r="B2014" s="161" t="s">
        <v>829</v>
      </c>
      <c r="C2014" t="s">
        <v>830</v>
      </c>
      <c r="D2014" t="s">
        <v>747</v>
      </c>
      <c r="E2014" s="162">
        <v>5</v>
      </c>
      <c r="F2014" s="162">
        <v>110</v>
      </c>
      <c r="G2014" s="165">
        <v>550</v>
      </c>
      <c r="H2014" s="20">
        <v>910</v>
      </c>
      <c r="I2014"/>
    </row>
    <row r="2015" spans="1:9" x14ac:dyDescent="0.25">
      <c r="A2015" s="230" t="s">
        <v>642</v>
      </c>
      <c r="B2015" s="231" t="s">
        <v>1266</v>
      </c>
      <c r="C2015" s="232" t="s">
        <v>642</v>
      </c>
      <c r="D2015" s="232" t="s">
        <v>642</v>
      </c>
      <c r="E2015" s="233"/>
      <c r="F2015" s="233"/>
      <c r="G2015" s="234">
        <v>8179.1350000000002</v>
      </c>
      <c r="H2015" s="235" t="s">
        <v>642</v>
      </c>
      <c r="I2015"/>
    </row>
    <row r="2016" spans="1:9" x14ac:dyDescent="0.25">
      <c r="A2016" s="228" t="s">
        <v>642</v>
      </c>
      <c r="B2016" s="161" t="s">
        <v>642</v>
      </c>
      <c r="C2016" t="s">
        <v>642</v>
      </c>
      <c r="D2016" t="s">
        <v>642</v>
      </c>
      <c r="E2016" s="162"/>
      <c r="F2016" s="162"/>
      <c r="G2016" s="165"/>
      <c r="H2016" s="20" t="s">
        <v>642</v>
      </c>
      <c r="I2016"/>
    </row>
    <row r="2017" spans="1:9" x14ac:dyDescent="0.25">
      <c r="A2017" s="226" t="s">
        <v>642</v>
      </c>
      <c r="B2017" s="159" t="s">
        <v>1267</v>
      </c>
      <c r="C2017" s="64" t="s">
        <v>642</v>
      </c>
      <c r="D2017" s="64" t="s">
        <v>642</v>
      </c>
      <c r="E2017" s="227"/>
      <c r="F2017" s="227"/>
      <c r="G2017" s="166"/>
      <c r="H2017" s="160" t="s">
        <v>642</v>
      </c>
      <c r="I2017"/>
    </row>
    <row r="2018" spans="1:9" x14ac:dyDescent="0.25">
      <c r="A2018" s="228">
        <v>41774</v>
      </c>
      <c r="B2018" s="161" t="s">
        <v>843</v>
      </c>
      <c r="C2018" t="s">
        <v>8</v>
      </c>
      <c r="D2018" t="s">
        <v>33</v>
      </c>
      <c r="E2018" s="162">
        <v>6</v>
      </c>
      <c r="F2018" s="162">
        <v>42.72</v>
      </c>
      <c r="G2018" s="165">
        <v>256.32</v>
      </c>
      <c r="H2018" s="20">
        <v>913</v>
      </c>
      <c r="I2018"/>
    </row>
    <row r="2019" spans="1:9" x14ac:dyDescent="0.25">
      <c r="A2019" s="228">
        <v>41774</v>
      </c>
      <c r="B2019" s="161" t="s">
        <v>862</v>
      </c>
      <c r="C2019" t="s">
        <v>1472</v>
      </c>
      <c r="D2019" t="s">
        <v>33</v>
      </c>
      <c r="E2019" s="162">
        <v>6</v>
      </c>
      <c r="F2019" s="162">
        <v>71.8</v>
      </c>
      <c r="G2019" s="165">
        <v>430.8</v>
      </c>
      <c r="H2019" s="20">
        <v>913</v>
      </c>
      <c r="I2019"/>
    </row>
    <row r="2020" spans="1:9" x14ac:dyDescent="0.25">
      <c r="A2020" s="228">
        <v>41774</v>
      </c>
      <c r="B2020" s="161" t="s">
        <v>838</v>
      </c>
      <c r="C2020" t="s">
        <v>8</v>
      </c>
      <c r="D2020" t="s">
        <v>33</v>
      </c>
      <c r="E2020" s="162">
        <v>6.5</v>
      </c>
      <c r="F2020" s="162">
        <v>39.979999999999997</v>
      </c>
      <c r="G2020" s="165">
        <v>259.87</v>
      </c>
      <c r="H2020" s="20">
        <v>913</v>
      </c>
      <c r="I2020"/>
    </row>
    <row r="2021" spans="1:9" x14ac:dyDescent="0.25">
      <c r="A2021" s="228">
        <v>41774</v>
      </c>
      <c r="B2021" s="161" t="s">
        <v>843</v>
      </c>
      <c r="C2021" t="s">
        <v>8</v>
      </c>
      <c r="D2021" t="s">
        <v>33</v>
      </c>
      <c r="E2021" s="162">
        <v>6.5</v>
      </c>
      <c r="F2021" s="162">
        <v>35.11</v>
      </c>
      <c r="G2021" s="165">
        <v>228.215</v>
      </c>
      <c r="H2021" s="20">
        <v>913</v>
      </c>
      <c r="I2021"/>
    </row>
    <row r="2022" spans="1:9" x14ac:dyDescent="0.25">
      <c r="A2022" s="228">
        <v>41774</v>
      </c>
      <c r="B2022" s="161" t="s">
        <v>831</v>
      </c>
      <c r="C2022" t="s">
        <v>1471</v>
      </c>
      <c r="D2022" t="s">
        <v>832</v>
      </c>
      <c r="E2022" s="162">
        <v>6.5</v>
      </c>
      <c r="F2022" s="162">
        <v>54.58</v>
      </c>
      <c r="G2022" s="165">
        <v>354.77</v>
      </c>
      <c r="H2022" s="20">
        <v>913</v>
      </c>
      <c r="I2022"/>
    </row>
    <row r="2023" spans="1:9" x14ac:dyDescent="0.25">
      <c r="A2023" s="228">
        <v>41801</v>
      </c>
      <c r="B2023" s="161" t="s">
        <v>831</v>
      </c>
      <c r="C2023" t="s">
        <v>1471</v>
      </c>
      <c r="D2023" t="s">
        <v>832</v>
      </c>
      <c r="E2023" s="162">
        <v>6</v>
      </c>
      <c r="F2023" s="162">
        <v>54.58</v>
      </c>
      <c r="G2023" s="165">
        <v>327.48</v>
      </c>
      <c r="H2023" s="20">
        <v>913</v>
      </c>
      <c r="I2023"/>
    </row>
    <row r="2024" spans="1:9" x14ac:dyDescent="0.25">
      <c r="A2024" s="228">
        <v>41801</v>
      </c>
      <c r="B2024" s="161" t="s">
        <v>843</v>
      </c>
      <c r="C2024" t="s">
        <v>8</v>
      </c>
      <c r="D2024" t="s">
        <v>33</v>
      </c>
      <c r="E2024" s="162">
        <v>6</v>
      </c>
      <c r="F2024" s="162">
        <v>42.72</v>
      </c>
      <c r="G2024" s="165">
        <v>256.32</v>
      </c>
      <c r="H2024" s="20">
        <v>913</v>
      </c>
      <c r="I2024"/>
    </row>
    <row r="2025" spans="1:9" x14ac:dyDescent="0.25">
      <c r="A2025" s="228">
        <v>41801</v>
      </c>
      <c r="B2025" s="161" t="s">
        <v>843</v>
      </c>
      <c r="C2025" t="s">
        <v>8</v>
      </c>
      <c r="D2025" t="s">
        <v>33</v>
      </c>
      <c r="E2025" s="162">
        <v>6</v>
      </c>
      <c r="F2025" s="162">
        <v>35.11</v>
      </c>
      <c r="G2025" s="165">
        <v>210.66</v>
      </c>
      <c r="H2025" s="20">
        <v>913</v>
      </c>
      <c r="I2025"/>
    </row>
    <row r="2026" spans="1:9" x14ac:dyDescent="0.25">
      <c r="A2026" s="228">
        <v>41801</v>
      </c>
      <c r="B2026" s="161" t="s">
        <v>838</v>
      </c>
      <c r="C2026" t="s">
        <v>8</v>
      </c>
      <c r="D2026" t="s">
        <v>33</v>
      </c>
      <c r="E2026" s="162">
        <v>6</v>
      </c>
      <c r="F2026" s="162">
        <v>39.979999999999997</v>
      </c>
      <c r="G2026" s="165">
        <v>239.88</v>
      </c>
      <c r="H2026" s="20">
        <v>913</v>
      </c>
      <c r="I2026"/>
    </row>
    <row r="2027" spans="1:9" x14ac:dyDescent="0.25">
      <c r="A2027" s="228">
        <v>41803</v>
      </c>
      <c r="B2027" s="161" t="s">
        <v>831</v>
      </c>
      <c r="C2027" t="s">
        <v>1471</v>
      </c>
      <c r="D2027" t="s">
        <v>832</v>
      </c>
      <c r="E2027" s="162">
        <v>3.5</v>
      </c>
      <c r="F2027" s="162">
        <v>54.58</v>
      </c>
      <c r="G2027" s="165">
        <v>191.03</v>
      </c>
      <c r="H2027" s="20">
        <v>913</v>
      </c>
      <c r="I2027"/>
    </row>
    <row r="2028" spans="1:9" x14ac:dyDescent="0.25">
      <c r="A2028" s="228">
        <v>41803</v>
      </c>
      <c r="B2028" s="161" t="s">
        <v>843</v>
      </c>
      <c r="C2028" t="s">
        <v>8</v>
      </c>
      <c r="D2028" t="s">
        <v>33</v>
      </c>
      <c r="E2028" s="162">
        <v>3.5</v>
      </c>
      <c r="F2028" s="162">
        <v>35.11</v>
      </c>
      <c r="G2028" s="165">
        <v>122.88500000000001</v>
      </c>
      <c r="H2028" s="20">
        <v>913</v>
      </c>
      <c r="I2028"/>
    </row>
    <row r="2029" spans="1:9" x14ac:dyDescent="0.25">
      <c r="A2029" s="228">
        <v>41803</v>
      </c>
      <c r="B2029" s="161" t="s">
        <v>843</v>
      </c>
      <c r="C2029" t="s">
        <v>8</v>
      </c>
      <c r="D2029" t="s">
        <v>33</v>
      </c>
      <c r="E2029" s="162">
        <v>2</v>
      </c>
      <c r="F2029" s="162">
        <v>42.72</v>
      </c>
      <c r="G2029" s="165">
        <v>85.44</v>
      </c>
      <c r="H2029" s="20">
        <v>913</v>
      </c>
      <c r="I2029"/>
    </row>
    <row r="2030" spans="1:9" x14ac:dyDescent="0.25">
      <c r="A2030" s="228">
        <v>41803</v>
      </c>
      <c r="B2030" s="161" t="s">
        <v>838</v>
      </c>
      <c r="C2030" t="s">
        <v>8</v>
      </c>
      <c r="D2030" t="s">
        <v>33</v>
      </c>
      <c r="E2030" s="162">
        <v>3.5</v>
      </c>
      <c r="F2030" s="162">
        <v>39.979999999999997</v>
      </c>
      <c r="G2030" s="165">
        <v>139.93</v>
      </c>
      <c r="H2030" s="20">
        <v>913</v>
      </c>
      <c r="I2030"/>
    </row>
    <row r="2031" spans="1:9" x14ac:dyDescent="0.25">
      <c r="A2031" s="228">
        <v>41901</v>
      </c>
      <c r="B2031" s="161" t="s">
        <v>1268</v>
      </c>
      <c r="C2031" t="s">
        <v>864</v>
      </c>
      <c r="D2031" t="s">
        <v>33</v>
      </c>
      <c r="E2031" s="162">
        <v>2.5</v>
      </c>
      <c r="F2031" s="162">
        <v>48</v>
      </c>
      <c r="G2031" s="165">
        <v>120</v>
      </c>
      <c r="H2031" s="20">
        <v>913</v>
      </c>
      <c r="I2031"/>
    </row>
    <row r="2032" spans="1:9" x14ac:dyDescent="0.25">
      <c r="A2032" s="228">
        <v>41904</v>
      </c>
      <c r="B2032" s="161" t="s">
        <v>857</v>
      </c>
      <c r="C2032" t="s">
        <v>858</v>
      </c>
      <c r="D2032" t="s">
        <v>33</v>
      </c>
      <c r="E2032" s="162">
        <v>2</v>
      </c>
      <c r="F2032" s="162">
        <v>120</v>
      </c>
      <c r="G2032" s="165">
        <v>240</v>
      </c>
      <c r="H2032" s="20">
        <v>913</v>
      </c>
      <c r="I2032"/>
    </row>
    <row r="2033" spans="1:9" x14ac:dyDescent="0.25">
      <c r="A2033" s="228">
        <v>42010</v>
      </c>
      <c r="B2033" s="161" t="s">
        <v>862</v>
      </c>
      <c r="C2033" t="s">
        <v>1472</v>
      </c>
      <c r="D2033" t="s">
        <v>33</v>
      </c>
      <c r="E2033" s="162">
        <v>4.5</v>
      </c>
      <c r="F2033" s="162">
        <v>88.74</v>
      </c>
      <c r="G2033" s="165">
        <v>399.33</v>
      </c>
      <c r="H2033" s="20">
        <v>913</v>
      </c>
      <c r="I2033"/>
    </row>
    <row r="2034" spans="1:9" x14ac:dyDescent="0.25">
      <c r="A2034" s="228">
        <v>42010</v>
      </c>
      <c r="B2034" s="161" t="s">
        <v>831</v>
      </c>
      <c r="C2034" t="s">
        <v>1471</v>
      </c>
      <c r="D2034" t="s">
        <v>832</v>
      </c>
      <c r="E2034" s="162">
        <v>4.5</v>
      </c>
      <c r="F2034" s="162">
        <v>54.58</v>
      </c>
      <c r="G2034" s="165">
        <v>245.61</v>
      </c>
      <c r="H2034" s="20">
        <v>913</v>
      </c>
      <c r="I2034"/>
    </row>
    <row r="2035" spans="1:9" x14ac:dyDescent="0.25">
      <c r="A2035" s="228">
        <v>42010</v>
      </c>
      <c r="B2035" s="161" t="s">
        <v>843</v>
      </c>
      <c r="C2035" t="s">
        <v>8</v>
      </c>
      <c r="D2035" t="s">
        <v>33</v>
      </c>
      <c r="E2035" s="162">
        <v>4.5</v>
      </c>
      <c r="F2035" s="162">
        <v>42.72</v>
      </c>
      <c r="G2035" s="165">
        <v>192.24</v>
      </c>
      <c r="H2035" s="20">
        <v>913</v>
      </c>
      <c r="I2035"/>
    </row>
    <row r="2036" spans="1:9" x14ac:dyDescent="0.25">
      <c r="A2036" s="228">
        <v>42011</v>
      </c>
      <c r="B2036" s="161" t="s">
        <v>831</v>
      </c>
      <c r="C2036" t="s">
        <v>1471</v>
      </c>
      <c r="D2036" t="s">
        <v>832</v>
      </c>
      <c r="E2036" s="162">
        <v>4</v>
      </c>
      <c r="F2036" s="162">
        <v>54.58</v>
      </c>
      <c r="G2036" s="165">
        <v>218.32</v>
      </c>
      <c r="H2036" s="20">
        <v>913</v>
      </c>
      <c r="I2036"/>
    </row>
    <row r="2037" spans="1:9" x14ac:dyDescent="0.25">
      <c r="A2037" s="228">
        <v>42011</v>
      </c>
      <c r="B2037" s="161" t="s">
        <v>843</v>
      </c>
      <c r="C2037" t="s">
        <v>8</v>
      </c>
      <c r="D2037" t="s">
        <v>33</v>
      </c>
      <c r="E2037" s="162">
        <v>4</v>
      </c>
      <c r="F2037" s="162">
        <v>42.72</v>
      </c>
      <c r="G2037" s="165">
        <v>170.88</v>
      </c>
      <c r="H2037" s="20">
        <v>913</v>
      </c>
      <c r="I2037"/>
    </row>
    <row r="2038" spans="1:9" x14ac:dyDescent="0.25">
      <c r="A2038" s="228">
        <v>42011</v>
      </c>
      <c r="B2038" s="161" t="s">
        <v>862</v>
      </c>
      <c r="C2038" t="s">
        <v>1472</v>
      </c>
      <c r="D2038" t="s">
        <v>33</v>
      </c>
      <c r="E2038" s="162">
        <v>4</v>
      </c>
      <c r="F2038" s="162">
        <v>88.74</v>
      </c>
      <c r="G2038" s="165">
        <v>354.96</v>
      </c>
      <c r="H2038" s="20">
        <v>913</v>
      </c>
      <c r="I2038"/>
    </row>
    <row r="2039" spans="1:9" x14ac:dyDescent="0.25">
      <c r="A2039" s="228">
        <v>42027</v>
      </c>
      <c r="B2039" s="161" t="s">
        <v>831</v>
      </c>
      <c r="C2039" t="s">
        <v>1471</v>
      </c>
      <c r="D2039" t="s">
        <v>832</v>
      </c>
      <c r="E2039" s="162">
        <v>4.5</v>
      </c>
      <c r="F2039" s="162">
        <v>54.58</v>
      </c>
      <c r="G2039" s="165">
        <v>245.61</v>
      </c>
      <c r="H2039" s="20">
        <v>913</v>
      </c>
      <c r="I2039"/>
    </row>
    <row r="2040" spans="1:9" x14ac:dyDescent="0.25">
      <c r="A2040" s="228">
        <v>42027</v>
      </c>
      <c r="B2040" s="161" t="s">
        <v>843</v>
      </c>
      <c r="C2040" t="s">
        <v>8</v>
      </c>
      <c r="D2040" t="s">
        <v>33</v>
      </c>
      <c r="E2040" s="162">
        <v>4.5</v>
      </c>
      <c r="F2040" s="162">
        <v>42.72</v>
      </c>
      <c r="G2040" s="165">
        <v>192.24</v>
      </c>
      <c r="H2040" s="20">
        <v>913</v>
      </c>
      <c r="I2040"/>
    </row>
    <row r="2041" spans="1:9" x14ac:dyDescent="0.25">
      <c r="A2041" s="230" t="s">
        <v>642</v>
      </c>
      <c r="B2041" s="231" t="s">
        <v>1269</v>
      </c>
      <c r="C2041" s="232" t="s">
        <v>642</v>
      </c>
      <c r="D2041" s="232" t="s">
        <v>642</v>
      </c>
      <c r="E2041" s="233"/>
      <c r="F2041" s="233"/>
      <c r="G2041" s="234">
        <v>5482.79</v>
      </c>
      <c r="H2041" s="235" t="s">
        <v>642</v>
      </c>
      <c r="I2041"/>
    </row>
    <row r="2042" spans="1:9" x14ac:dyDescent="0.25">
      <c r="A2042" s="228" t="s">
        <v>642</v>
      </c>
      <c r="B2042" s="161" t="s">
        <v>642</v>
      </c>
      <c r="C2042" t="s">
        <v>642</v>
      </c>
      <c r="D2042" t="s">
        <v>642</v>
      </c>
      <c r="E2042" s="162"/>
      <c r="F2042" s="162"/>
      <c r="G2042" s="165"/>
      <c r="H2042" s="20" t="s">
        <v>642</v>
      </c>
      <c r="I2042"/>
    </row>
    <row r="2043" spans="1:9" x14ac:dyDescent="0.25">
      <c r="A2043" s="226" t="s">
        <v>642</v>
      </c>
      <c r="B2043" s="159" t="s">
        <v>1270</v>
      </c>
      <c r="C2043" s="64" t="s">
        <v>642</v>
      </c>
      <c r="D2043" s="64" t="s">
        <v>642</v>
      </c>
      <c r="E2043" s="227"/>
      <c r="F2043" s="227"/>
      <c r="G2043" s="166"/>
      <c r="H2043" s="160" t="s">
        <v>642</v>
      </c>
      <c r="I2043"/>
    </row>
    <row r="2044" spans="1:9" x14ac:dyDescent="0.25">
      <c r="A2044" s="228">
        <v>41865</v>
      </c>
      <c r="B2044" s="161" t="s">
        <v>843</v>
      </c>
      <c r="C2044" t="s">
        <v>8</v>
      </c>
      <c r="D2044" t="s">
        <v>33</v>
      </c>
      <c r="E2044" s="162">
        <v>1</v>
      </c>
      <c r="F2044" s="162">
        <v>42.72</v>
      </c>
      <c r="G2044" s="165">
        <v>42.72</v>
      </c>
      <c r="H2044" s="20">
        <v>914</v>
      </c>
      <c r="I2044"/>
    </row>
    <row r="2045" spans="1:9" x14ac:dyDescent="0.25">
      <c r="A2045" s="228">
        <v>41865</v>
      </c>
      <c r="B2045" s="161" t="s">
        <v>837</v>
      </c>
      <c r="C2045" t="s">
        <v>8</v>
      </c>
      <c r="D2045" t="s">
        <v>33</v>
      </c>
      <c r="E2045" s="162">
        <v>1</v>
      </c>
      <c r="F2045" s="162">
        <v>35.11</v>
      </c>
      <c r="G2045" s="165">
        <v>35.11</v>
      </c>
      <c r="H2045" s="20">
        <v>914</v>
      </c>
      <c r="I2045"/>
    </row>
    <row r="2046" spans="1:9" x14ac:dyDescent="0.25">
      <c r="A2046" s="228">
        <v>41865</v>
      </c>
      <c r="B2046" s="161" t="s">
        <v>831</v>
      </c>
      <c r="C2046" t="s">
        <v>1471</v>
      </c>
      <c r="D2046" t="s">
        <v>832</v>
      </c>
      <c r="E2046" s="162">
        <v>1</v>
      </c>
      <c r="F2046" s="162">
        <v>54.58</v>
      </c>
      <c r="G2046" s="165">
        <v>54.58</v>
      </c>
      <c r="H2046" s="20">
        <v>914</v>
      </c>
      <c r="I2046"/>
    </row>
    <row r="2047" spans="1:9" x14ac:dyDescent="0.25">
      <c r="A2047" s="228">
        <v>41865</v>
      </c>
      <c r="B2047" s="161" t="s">
        <v>843</v>
      </c>
      <c r="C2047" t="s">
        <v>8</v>
      </c>
      <c r="D2047" t="s">
        <v>33</v>
      </c>
      <c r="E2047" s="162">
        <v>1</v>
      </c>
      <c r="F2047" s="162">
        <v>35.11</v>
      </c>
      <c r="G2047" s="165">
        <v>35.11</v>
      </c>
      <c r="H2047" s="20">
        <v>914</v>
      </c>
      <c r="I2047"/>
    </row>
    <row r="2048" spans="1:9" x14ac:dyDescent="0.25">
      <c r="A2048" s="228">
        <v>41865</v>
      </c>
      <c r="B2048" s="161" t="s">
        <v>838</v>
      </c>
      <c r="C2048" t="s">
        <v>8</v>
      </c>
      <c r="D2048" t="s">
        <v>33</v>
      </c>
      <c r="E2048" s="162">
        <v>1</v>
      </c>
      <c r="F2048" s="162">
        <v>39.979999999999997</v>
      </c>
      <c r="G2048" s="165">
        <v>39.979999999999997</v>
      </c>
      <c r="H2048" s="20">
        <v>914</v>
      </c>
      <c r="I2048"/>
    </row>
    <row r="2049" spans="1:9" x14ac:dyDescent="0.25">
      <c r="A2049" s="230" t="s">
        <v>642</v>
      </c>
      <c r="B2049" s="231" t="s">
        <v>1271</v>
      </c>
      <c r="C2049" s="232" t="s">
        <v>642</v>
      </c>
      <c r="D2049" s="232" t="s">
        <v>642</v>
      </c>
      <c r="E2049" s="233"/>
      <c r="F2049" s="233"/>
      <c r="G2049" s="234">
        <v>207.5</v>
      </c>
      <c r="H2049" s="235" t="s">
        <v>642</v>
      </c>
      <c r="I2049"/>
    </row>
    <row r="2050" spans="1:9" x14ac:dyDescent="0.25">
      <c r="A2050" s="228" t="s">
        <v>642</v>
      </c>
      <c r="B2050" s="161" t="s">
        <v>642</v>
      </c>
      <c r="C2050" t="s">
        <v>642</v>
      </c>
      <c r="D2050" t="s">
        <v>642</v>
      </c>
      <c r="E2050" s="162"/>
      <c r="F2050" s="162"/>
      <c r="G2050" s="165"/>
      <c r="H2050" s="20" t="s">
        <v>642</v>
      </c>
      <c r="I2050"/>
    </row>
    <row r="2051" spans="1:9" x14ac:dyDescent="0.25">
      <c r="A2051" s="226" t="s">
        <v>642</v>
      </c>
      <c r="B2051" s="159" t="s">
        <v>1272</v>
      </c>
      <c r="C2051" s="64" t="s">
        <v>642</v>
      </c>
      <c r="D2051" s="64" t="s">
        <v>642</v>
      </c>
      <c r="E2051" s="227"/>
      <c r="F2051" s="227"/>
      <c r="G2051" s="166"/>
      <c r="H2051" s="160" t="s">
        <v>642</v>
      </c>
      <c r="I2051"/>
    </row>
    <row r="2052" spans="1:9" x14ac:dyDescent="0.25">
      <c r="A2052" s="228">
        <v>41726</v>
      </c>
      <c r="B2052" s="161" t="s">
        <v>843</v>
      </c>
      <c r="C2052" t="s">
        <v>8</v>
      </c>
      <c r="D2052" t="s">
        <v>33</v>
      </c>
      <c r="E2052" s="162">
        <v>6</v>
      </c>
      <c r="F2052" s="162">
        <v>42.72</v>
      </c>
      <c r="G2052" s="165">
        <v>256.32</v>
      </c>
      <c r="H2052" s="20">
        <v>916</v>
      </c>
      <c r="I2052"/>
    </row>
    <row r="2053" spans="1:9" x14ac:dyDescent="0.25">
      <c r="A2053" s="228">
        <v>41759</v>
      </c>
      <c r="B2053" s="161" t="s">
        <v>843</v>
      </c>
      <c r="C2053" t="s">
        <v>8</v>
      </c>
      <c r="D2053" t="s">
        <v>33</v>
      </c>
      <c r="E2053" s="162">
        <v>4.5</v>
      </c>
      <c r="F2053" s="162">
        <v>42.72</v>
      </c>
      <c r="G2053" s="165">
        <v>192.24</v>
      </c>
      <c r="H2053" s="20">
        <v>916</v>
      </c>
      <c r="I2053"/>
    </row>
    <row r="2054" spans="1:9" x14ac:dyDescent="0.25">
      <c r="A2054" s="228">
        <v>41760</v>
      </c>
      <c r="B2054" s="161" t="s">
        <v>843</v>
      </c>
      <c r="C2054" t="s">
        <v>8</v>
      </c>
      <c r="D2054" t="s">
        <v>33</v>
      </c>
      <c r="E2054" s="162">
        <v>9.5</v>
      </c>
      <c r="F2054" s="162">
        <v>42.72</v>
      </c>
      <c r="G2054" s="165">
        <v>405.84</v>
      </c>
      <c r="H2054" s="20">
        <v>916</v>
      </c>
      <c r="I2054"/>
    </row>
    <row r="2055" spans="1:9" x14ac:dyDescent="0.25">
      <c r="A2055" s="228">
        <v>41761</v>
      </c>
      <c r="B2055" s="161" t="s">
        <v>843</v>
      </c>
      <c r="C2055" t="s">
        <v>8</v>
      </c>
      <c r="D2055" t="s">
        <v>33</v>
      </c>
      <c r="E2055" s="162">
        <v>2</v>
      </c>
      <c r="F2055" s="162">
        <v>42.72</v>
      </c>
      <c r="G2055" s="165">
        <v>85.44</v>
      </c>
      <c r="H2055" s="20">
        <v>916</v>
      </c>
      <c r="I2055"/>
    </row>
    <row r="2056" spans="1:9" x14ac:dyDescent="0.25">
      <c r="A2056" s="228">
        <v>41766</v>
      </c>
      <c r="B2056" s="161" t="s">
        <v>843</v>
      </c>
      <c r="C2056" t="s">
        <v>8</v>
      </c>
      <c r="D2056" t="s">
        <v>33</v>
      </c>
      <c r="E2056" s="162">
        <v>4</v>
      </c>
      <c r="F2056" s="162">
        <v>42.72</v>
      </c>
      <c r="G2056" s="165">
        <v>170.88</v>
      </c>
      <c r="H2056" s="20">
        <v>916</v>
      </c>
      <c r="I2056"/>
    </row>
    <row r="2057" spans="1:9" x14ac:dyDescent="0.25">
      <c r="A2057" s="228">
        <v>41767</v>
      </c>
      <c r="B2057" s="161" t="s">
        <v>843</v>
      </c>
      <c r="C2057" t="s">
        <v>8</v>
      </c>
      <c r="D2057" t="s">
        <v>33</v>
      </c>
      <c r="E2057" s="162">
        <v>7</v>
      </c>
      <c r="F2057" s="162">
        <v>42.72</v>
      </c>
      <c r="G2057" s="165">
        <v>299.04000000000002</v>
      </c>
      <c r="H2057" s="20">
        <v>916</v>
      </c>
      <c r="I2057"/>
    </row>
    <row r="2058" spans="1:9" x14ac:dyDescent="0.25">
      <c r="A2058" s="228">
        <v>41769</v>
      </c>
      <c r="B2058" s="161" t="s">
        <v>843</v>
      </c>
      <c r="C2058" t="s">
        <v>8</v>
      </c>
      <c r="D2058" t="s">
        <v>33</v>
      </c>
      <c r="E2058" s="162">
        <v>6</v>
      </c>
      <c r="F2058" s="162">
        <v>42.72</v>
      </c>
      <c r="G2058" s="165">
        <v>256.32</v>
      </c>
      <c r="H2058" s="20">
        <v>916</v>
      </c>
      <c r="I2058"/>
    </row>
    <row r="2059" spans="1:9" x14ac:dyDescent="0.25">
      <c r="A2059" s="228">
        <v>41771</v>
      </c>
      <c r="B2059" s="161" t="s">
        <v>843</v>
      </c>
      <c r="C2059" t="s">
        <v>8</v>
      </c>
      <c r="D2059" t="s">
        <v>33</v>
      </c>
      <c r="E2059" s="162">
        <v>8.5</v>
      </c>
      <c r="F2059" s="162">
        <v>42.72</v>
      </c>
      <c r="G2059" s="165">
        <v>363.12</v>
      </c>
      <c r="H2059" s="20">
        <v>916</v>
      </c>
      <c r="I2059"/>
    </row>
    <row r="2060" spans="1:9" x14ac:dyDescent="0.25">
      <c r="A2060" s="228">
        <v>41773</v>
      </c>
      <c r="B2060" s="161" t="s">
        <v>843</v>
      </c>
      <c r="C2060" t="s">
        <v>8</v>
      </c>
      <c r="D2060" t="s">
        <v>33</v>
      </c>
      <c r="E2060" s="162">
        <v>8</v>
      </c>
      <c r="F2060" s="162">
        <v>42.72</v>
      </c>
      <c r="G2060" s="165">
        <v>341.76</v>
      </c>
      <c r="H2060" s="20">
        <v>916</v>
      </c>
      <c r="I2060"/>
    </row>
    <row r="2061" spans="1:9" x14ac:dyDescent="0.25">
      <c r="A2061" s="228">
        <v>41774</v>
      </c>
      <c r="B2061" s="161" t="s">
        <v>843</v>
      </c>
      <c r="C2061" t="s">
        <v>8</v>
      </c>
      <c r="D2061" t="s">
        <v>33</v>
      </c>
      <c r="E2061" s="162">
        <v>2</v>
      </c>
      <c r="F2061" s="162">
        <v>42.72</v>
      </c>
      <c r="G2061" s="165">
        <v>85.44</v>
      </c>
      <c r="H2061" s="20">
        <v>916</v>
      </c>
      <c r="I2061"/>
    </row>
    <row r="2062" spans="1:9" x14ac:dyDescent="0.25">
      <c r="A2062" s="228">
        <v>41775</v>
      </c>
      <c r="B2062" s="161" t="s">
        <v>843</v>
      </c>
      <c r="C2062" t="s">
        <v>8</v>
      </c>
      <c r="D2062" t="s">
        <v>33</v>
      </c>
      <c r="E2062" s="162">
        <v>5</v>
      </c>
      <c r="F2062" s="162">
        <v>42.72</v>
      </c>
      <c r="G2062" s="165">
        <v>213.6</v>
      </c>
      <c r="H2062" s="20">
        <v>916</v>
      </c>
      <c r="I2062"/>
    </row>
    <row r="2063" spans="1:9" x14ac:dyDescent="0.25">
      <c r="A2063" s="228">
        <v>41778</v>
      </c>
      <c r="B2063" s="161" t="s">
        <v>843</v>
      </c>
      <c r="C2063" t="s">
        <v>8</v>
      </c>
      <c r="D2063" t="s">
        <v>33</v>
      </c>
      <c r="E2063" s="162">
        <v>4</v>
      </c>
      <c r="F2063" s="162">
        <v>42.72</v>
      </c>
      <c r="G2063" s="165">
        <v>170.88</v>
      </c>
      <c r="H2063" s="20">
        <v>916</v>
      </c>
      <c r="I2063"/>
    </row>
    <row r="2064" spans="1:9" x14ac:dyDescent="0.25">
      <c r="A2064" s="228">
        <v>41779</v>
      </c>
      <c r="B2064" s="161" t="s">
        <v>843</v>
      </c>
      <c r="C2064" t="s">
        <v>8</v>
      </c>
      <c r="D2064" t="s">
        <v>33</v>
      </c>
      <c r="E2064" s="162">
        <v>9</v>
      </c>
      <c r="F2064" s="162">
        <v>42.72</v>
      </c>
      <c r="G2064" s="165">
        <v>384.48</v>
      </c>
      <c r="H2064" s="20">
        <v>916</v>
      </c>
      <c r="I2064"/>
    </row>
    <row r="2065" spans="1:9" x14ac:dyDescent="0.25">
      <c r="A2065" s="228">
        <v>41781</v>
      </c>
      <c r="B2065" s="161" t="s">
        <v>843</v>
      </c>
      <c r="C2065" t="s">
        <v>8</v>
      </c>
      <c r="D2065" t="s">
        <v>33</v>
      </c>
      <c r="E2065" s="162">
        <v>5</v>
      </c>
      <c r="F2065" s="162">
        <v>42.72</v>
      </c>
      <c r="G2065" s="165">
        <v>213.6</v>
      </c>
      <c r="H2065" s="20">
        <v>916</v>
      </c>
      <c r="I2065"/>
    </row>
    <row r="2066" spans="1:9" x14ac:dyDescent="0.25">
      <c r="A2066" s="228">
        <v>41782</v>
      </c>
      <c r="B2066" s="161" t="s">
        <v>843</v>
      </c>
      <c r="C2066" t="s">
        <v>8</v>
      </c>
      <c r="D2066" t="s">
        <v>33</v>
      </c>
      <c r="E2066" s="162">
        <v>4.5</v>
      </c>
      <c r="F2066" s="162">
        <v>42.72</v>
      </c>
      <c r="G2066" s="165">
        <v>192.24</v>
      </c>
      <c r="H2066" s="20">
        <v>916</v>
      </c>
      <c r="I2066"/>
    </row>
    <row r="2067" spans="1:9" x14ac:dyDescent="0.25">
      <c r="A2067" s="228">
        <v>41785</v>
      </c>
      <c r="B2067" s="161" t="s">
        <v>843</v>
      </c>
      <c r="C2067" t="s">
        <v>8</v>
      </c>
      <c r="D2067" t="s">
        <v>33</v>
      </c>
      <c r="E2067" s="162">
        <v>5</v>
      </c>
      <c r="F2067" s="162">
        <v>35.11</v>
      </c>
      <c r="G2067" s="165">
        <v>175.55</v>
      </c>
      <c r="H2067" s="20">
        <v>916</v>
      </c>
      <c r="I2067"/>
    </row>
    <row r="2068" spans="1:9" x14ac:dyDescent="0.25">
      <c r="A2068" s="228">
        <v>41786</v>
      </c>
      <c r="B2068" s="161" t="s">
        <v>843</v>
      </c>
      <c r="C2068" t="s">
        <v>8</v>
      </c>
      <c r="D2068" t="s">
        <v>33</v>
      </c>
      <c r="E2068" s="162">
        <v>5</v>
      </c>
      <c r="F2068" s="162">
        <v>42.72</v>
      </c>
      <c r="G2068" s="165">
        <v>213.6</v>
      </c>
      <c r="H2068" s="20">
        <v>916</v>
      </c>
      <c r="I2068"/>
    </row>
    <row r="2069" spans="1:9" x14ac:dyDescent="0.25">
      <c r="A2069" s="228">
        <v>41787</v>
      </c>
      <c r="B2069" s="161" t="s">
        <v>843</v>
      </c>
      <c r="C2069" t="s">
        <v>8</v>
      </c>
      <c r="D2069" t="s">
        <v>33</v>
      </c>
      <c r="E2069" s="162">
        <v>5</v>
      </c>
      <c r="F2069" s="162">
        <v>42.72</v>
      </c>
      <c r="G2069" s="165">
        <v>213.6</v>
      </c>
      <c r="H2069" s="20">
        <v>916</v>
      </c>
      <c r="I2069"/>
    </row>
    <row r="2070" spans="1:9" x14ac:dyDescent="0.25">
      <c r="A2070" s="228">
        <v>41788</v>
      </c>
      <c r="B2070" s="161" t="s">
        <v>843</v>
      </c>
      <c r="C2070" t="s">
        <v>8</v>
      </c>
      <c r="D2070" t="s">
        <v>33</v>
      </c>
      <c r="E2070" s="162">
        <v>5</v>
      </c>
      <c r="F2070" s="162">
        <v>42.72</v>
      </c>
      <c r="G2070" s="165">
        <v>213.6</v>
      </c>
      <c r="H2070" s="20">
        <v>916</v>
      </c>
      <c r="I2070"/>
    </row>
    <row r="2071" spans="1:9" x14ac:dyDescent="0.25">
      <c r="A2071" s="228">
        <v>41789</v>
      </c>
      <c r="B2071" s="161" t="s">
        <v>843</v>
      </c>
      <c r="C2071" t="s">
        <v>8</v>
      </c>
      <c r="D2071" t="s">
        <v>33</v>
      </c>
      <c r="E2071" s="162">
        <v>3</v>
      </c>
      <c r="F2071" s="162">
        <v>42.72</v>
      </c>
      <c r="G2071" s="165">
        <v>128.16</v>
      </c>
      <c r="H2071" s="20">
        <v>916</v>
      </c>
      <c r="I2071"/>
    </row>
    <row r="2072" spans="1:9" x14ac:dyDescent="0.25">
      <c r="A2072" s="228">
        <v>41792</v>
      </c>
      <c r="B2072" s="161" t="s">
        <v>843</v>
      </c>
      <c r="C2072" t="s">
        <v>8</v>
      </c>
      <c r="D2072" t="s">
        <v>33</v>
      </c>
      <c r="E2072" s="162">
        <v>4.5</v>
      </c>
      <c r="F2072" s="162">
        <v>42.72</v>
      </c>
      <c r="G2072" s="165">
        <v>192.24</v>
      </c>
      <c r="H2072" s="20">
        <v>916</v>
      </c>
      <c r="I2072"/>
    </row>
    <row r="2073" spans="1:9" x14ac:dyDescent="0.25">
      <c r="A2073" s="228">
        <v>41793</v>
      </c>
      <c r="B2073" s="161" t="s">
        <v>843</v>
      </c>
      <c r="C2073" t="s">
        <v>8</v>
      </c>
      <c r="D2073" t="s">
        <v>33</v>
      </c>
      <c r="E2073" s="162">
        <v>4.5</v>
      </c>
      <c r="F2073" s="162">
        <v>42.72</v>
      </c>
      <c r="G2073" s="165">
        <v>192.24</v>
      </c>
      <c r="H2073" s="20">
        <v>916</v>
      </c>
      <c r="I2073"/>
    </row>
    <row r="2074" spans="1:9" x14ac:dyDescent="0.25">
      <c r="A2074" s="228">
        <v>41794</v>
      </c>
      <c r="B2074" s="161" t="s">
        <v>843</v>
      </c>
      <c r="C2074" t="s">
        <v>8</v>
      </c>
      <c r="D2074" t="s">
        <v>33</v>
      </c>
      <c r="E2074" s="162">
        <v>4.5</v>
      </c>
      <c r="F2074" s="162">
        <v>42.72</v>
      </c>
      <c r="G2074" s="165">
        <v>192.24</v>
      </c>
      <c r="H2074" s="20">
        <v>916</v>
      </c>
      <c r="I2074"/>
    </row>
    <row r="2075" spans="1:9" x14ac:dyDescent="0.25">
      <c r="A2075" s="228">
        <v>41796</v>
      </c>
      <c r="B2075" s="161" t="s">
        <v>843</v>
      </c>
      <c r="C2075" t="s">
        <v>8</v>
      </c>
      <c r="D2075" t="s">
        <v>33</v>
      </c>
      <c r="E2075" s="162">
        <v>5.5</v>
      </c>
      <c r="F2075" s="162">
        <v>42.72</v>
      </c>
      <c r="G2075" s="165">
        <v>234.96</v>
      </c>
      <c r="H2075" s="20">
        <v>916</v>
      </c>
      <c r="I2075"/>
    </row>
    <row r="2076" spans="1:9" x14ac:dyDescent="0.25">
      <c r="A2076" s="228">
        <v>41801</v>
      </c>
      <c r="B2076" s="161" t="s">
        <v>843</v>
      </c>
      <c r="C2076" t="s">
        <v>8</v>
      </c>
      <c r="D2076" t="s">
        <v>33</v>
      </c>
      <c r="E2076" s="162">
        <v>2</v>
      </c>
      <c r="F2076" s="162">
        <v>42.72</v>
      </c>
      <c r="G2076" s="165">
        <v>85.44</v>
      </c>
      <c r="H2076" s="20">
        <v>916</v>
      </c>
      <c r="I2076"/>
    </row>
    <row r="2077" spans="1:9" x14ac:dyDescent="0.25">
      <c r="A2077" s="228">
        <v>41803</v>
      </c>
      <c r="B2077" s="161" t="s">
        <v>843</v>
      </c>
      <c r="C2077" t="s">
        <v>8</v>
      </c>
      <c r="D2077" t="s">
        <v>33</v>
      </c>
      <c r="E2077" s="162">
        <v>2</v>
      </c>
      <c r="F2077" s="162">
        <v>42.72</v>
      </c>
      <c r="G2077" s="165">
        <v>85.44</v>
      </c>
      <c r="H2077" s="20">
        <v>916</v>
      </c>
      <c r="I2077"/>
    </row>
    <row r="2078" spans="1:9" x14ac:dyDescent="0.25">
      <c r="A2078" s="228">
        <v>41806</v>
      </c>
      <c r="B2078" s="161" t="s">
        <v>843</v>
      </c>
      <c r="C2078" t="s">
        <v>8</v>
      </c>
      <c r="D2078" t="s">
        <v>33</v>
      </c>
      <c r="E2078" s="162">
        <v>9.5</v>
      </c>
      <c r="F2078" s="162">
        <v>42.72</v>
      </c>
      <c r="G2078" s="165">
        <v>405.84</v>
      </c>
      <c r="H2078" s="20">
        <v>916</v>
      </c>
      <c r="I2078"/>
    </row>
    <row r="2079" spans="1:9" x14ac:dyDescent="0.25">
      <c r="A2079" s="228">
        <v>41807</v>
      </c>
      <c r="B2079" s="161" t="s">
        <v>843</v>
      </c>
      <c r="C2079" t="s">
        <v>8</v>
      </c>
      <c r="D2079" t="s">
        <v>33</v>
      </c>
      <c r="E2079" s="162">
        <v>5.5</v>
      </c>
      <c r="F2079" s="162">
        <v>42.72</v>
      </c>
      <c r="G2079" s="165">
        <v>234.96</v>
      </c>
      <c r="H2079" s="20">
        <v>916</v>
      </c>
      <c r="I2079"/>
    </row>
    <row r="2080" spans="1:9" x14ac:dyDescent="0.25">
      <c r="A2080" s="228">
        <v>41808</v>
      </c>
      <c r="B2080" s="161" t="s">
        <v>843</v>
      </c>
      <c r="C2080" t="s">
        <v>8</v>
      </c>
      <c r="D2080" t="s">
        <v>33</v>
      </c>
      <c r="E2080" s="162">
        <v>5.5</v>
      </c>
      <c r="F2080" s="162">
        <v>42.72</v>
      </c>
      <c r="G2080" s="165">
        <v>234.96</v>
      </c>
      <c r="H2080" s="20">
        <v>916</v>
      </c>
      <c r="I2080"/>
    </row>
    <row r="2081" spans="1:9" x14ac:dyDescent="0.25">
      <c r="A2081" s="228">
        <v>41809</v>
      </c>
      <c r="B2081" s="161" t="s">
        <v>843</v>
      </c>
      <c r="C2081" t="s">
        <v>8</v>
      </c>
      <c r="D2081" t="s">
        <v>33</v>
      </c>
      <c r="E2081" s="162">
        <v>5.5</v>
      </c>
      <c r="F2081" s="162">
        <v>42.72</v>
      </c>
      <c r="G2081" s="165">
        <v>234.96</v>
      </c>
      <c r="H2081" s="20">
        <v>916</v>
      </c>
      <c r="I2081"/>
    </row>
    <row r="2082" spans="1:9" x14ac:dyDescent="0.25">
      <c r="A2082" s="228">
        <v>41813</v>
      </c>
      <c r="B2082" s="161" t="s">
        <v>843</v>
      </c>
      <c r="C2082" t="s">
        <v>8</v>
      </c>
      <c r="D2082" t="s">
        <v>33</v>
      </c>
      <c r="E2082" s="162">
        <v>4</v>
      </c>
      <c r="F2082" s="162">
        <v>42.72</v>
      </c>
      <c r="G2082" s="165">
        <v>170.88</v>
      </c>
      <c r="H2082" s="20">
        <v>916</v>
      </c>
      <c r="I2082"/>
    </row>
    <row r="2083" spans="1:9" x14ac:dyDescent="0.25">
      <c r="A2083" s="228">
        <v>41814</v>
      </c>
      <c r="B2083" s="161" t="s">
        <v>843</v>
      </c>
      <c r="C2083" t="s">
        <v>8</v>
      </c>
      <c r="D2083" t="s">
        <v>33</v>
      </c>
      <c r="E2083" s="162">
        <v>4.5</v>
      </c>
      <c r="F2083" s="162">
        <v>42.72</v>
      </c>
      <c r="G2083" s="165">
        <v>192.24</v>
      </c>
      <c r="H2083" s="20">
        <v>916</v>
      </c>
      <c r="I2083"/>
    </row>
    <row r="2084" spans="1:9" x14ac:dyDescent="0.25">
      <c r="A2084" s="228">
        <v>41815</v>
      </c>
      <c r="B2084" s="161" t="s">
        <v>843</v>
      </c>
      <c r="C2084" t="s">
        <v>8</v>
      </c>
      <c r="D2084" t="s">
        <v>33</v>
      </c>
      <c r="E2084" s="162">
        <v>4</v>
      </c>
      <c r="F2084" s="162">
        <v>42.72</v>
      </c>
      <c r="G2084" s="165">
        <v>170.88</v>
      </c>
      <c r="H2084" s="20">
        <v>916</v>
      </c>
      <c r="I2084"/>
    </row>
    <row r="2085" spans="1:9" x14ac:dyDescent="0.25">
      <c r="A2085" s="228">
        <v>41816</v>
      </c>
      <c r="B2085" s="161" t="s">
        <v>843</v>
      </c>
      <c r="C2085" t="s">
        <v>8</v>
      </c>
      <c r="D2085" t="s">
        <v>33</v>
      </c>
      <c r="E2085" s="162">
        <v>4.5</v>
      </c>
      <c r="F2085" s="162">
        <v>42.72</v>
      </c>
      <c r="G2085" s="165">
        <v>192.24</v>
      </c>
      <c r="H2085" s="20">
        <v>916</v>
      </c>
      <c r="I2085"/>
    </row>
    <row r="2086" spans="1:9" x14ac:dyDescent="0.25">
      <c r="A2086" s="228">
        <v>41817</v>
      </c>
      <c r="B2086" s="161" t="s">
        <v>843</v>
      </c>
      <c r="C2086" t="s">
        <v>8</v>
      </c>
      <c r="D2086" t="s">
        <v>33</v>
      </c>
      <c r="E2086" s="162">
        <v>4.5</v>
      </c>
      <c r="F2086" s="162">
        <v>42.72</v>
      </c>
      <c r="G2086" s="165">
        <v>192.24</v>
      </c>
      <c r="H2086" s="20">
        <v>916</v>
      </c>
      <c r="I2086"/>
    </row>
    <row r="2087" spans="1:9" x14ac:dyDescent="0.25">
      <c r="A2087" s="228">
        <v>41820</v>
      </c>
      <c r="B2087" s="161" t="s">
        <v>843</v>
      </c>
      <c r="C2087" t="s">
        <v>8</v>
      </c>
      <c r="D2087" t="s">
        <v>33</v>
      </c>
      <c r="E2087" s="162">
        <v>4.5</v>
      </c>
      <c r="F2087" s="162">
        <v>42.72</v>
      </c>
      <c r="G2087" s="165">
        <v>192.24</v>
      </c>
      <c r="H2087" s="20">
        <v>916</v>
      </c>
      <c r="I2087"/>
    </row>
    <row r="2088" spans="1:9" x14ac:dyDescent="0.25">
      <c r="A2088" s="228">
        <v>41821</v>
      </c>
      <c r="B2088" s="161" t="s">
        <v>843</v>
      </c>
      <c r="C2088" t="s">
        <v>8</v>
      </c>
      <c r="D2088" t="s">
        <v>33</v>
      </c>
      <c r="E2088" s="162">
        <v>4.5</v>
      </c>
      <c r="F2088" s="162">
        <v>42.72</v>
      </c>
      <c r="G2088" s="165">
        <v>192.24</v>
      </c>
      <c r="H2088" s="20">
        <v>916</v>
      </c>
      <c r="I2088"/>
    </row>
    <row r="2089" spans="1:9" x14ac:dyDescent="0.25">
      <c r="A2089" s="228">
        <v>41822</v>
      </c>
      <c r="B2089" s="161" t="s">
        <v>843</v>
      </c>
      <c r="C2089" t="s">
        <v>8</v>
      </c>
      <c r="D2089" t="s">
        <v>33</v>
      </c>
      <c r="E2089" s="162">
        <v>4.5</v>
      </c>
      <c r="F2089" s="162">
        <v>42.72</v>
      </c>
      <c r="G2089" s="165">
        <v>192.24</v>
      </c>
      <c r="H2089" s="20">
        <v>916</v>
      </c>
      <c r="I2089"/>
    </row>
    <row r="2090" spans="1:9" x14ac:dyDescent="0.25">
      <c r="A2090" s="228">
        <v>41823</v>
      </c>
      <c r="B2090" s="161" t="s">
        <v>843</v>
      </c>
      <c r="C2090" t="s">
        <v>8</v>
      </c>
      <c r="D2090" t="s">
        <v>33</v>
      </c>
      <c r="E2090" s="162">
        <v>4</v>
      </c>
      <c r="F2090" s="162">
        <v>42.72</v>
      </c>
      <c r="G2090" s="165">
        <v>170.88</v>
      </c>
      <c r="H2090" s="20">
        <v>916</v>
      </c>
      <c r="I2090"/>
    </row>
    <row r="2091" spans="1:9" x14ac:dyDescent="0.25">
      <c r="A2091" s="228">
        <v>41824</v>
      </c>
      <c r="B2091" s="161" t="s">
        <v>843</v>
      </c>
      <c r="C2091" t="s">
        <v>8</v>
      </c>
      <c r="D2091" t="s">
        <v>33</v>
      </c>
      <c r="E2091" s="162">
        <v>4.5</v>
      </c>
      <c r="F2091" s="162">
        <v>42.72</v>
      </c>
      <c r="G2091" s="165">
        <v>192.24</v>
      </c>
      <c r="H2091" s="20">
        <v>916</v>
      </c>
      <c r="I2091"/>
    </row>
    <row r="2092" spans="1:9" x14ac:dyDescent="0.25">
      <c r="A2092" s="228">
        <v>41827</v>
      </c>
      <c r="B2092" s="161" t="s">
        <v>843</v>
      </c>
      <c r="C2092" t="s">
        <v>8</v>
      </c>
      <c r="D2092" t="s">
        <v>33</v>
      </c>
      <c r="E2092" s="162">
        <v>4</v>
      </c>
      <c r="F2092" s="162">
        <v>42.72</v>
      </c>
      <c r="G2092" s="165">
        <v>170.88</v>
      </c>
      <c r="H2092" s="20">
        <v>916</v>
      </c>
      <c r="I2092"/>
    </row>
    <row r="2093" spans="1:9" x14ac:dyDescent="0.25">
      <c r="A2093" s="228">
        <v>41828</v>
      </c>
      <c r="B2093" s="161" t="s">
        <v>843</v>
      </c>
      <c r="C2093" t="s">
        <v>8</v>
      </c>
      <c r="D2093" t="s">
        <v>33</v>
      </c>
      <c r="E2093" s="162">
        <v>4.5</v>
      </c>
      <c r="F2093" s="162">
        <v>42.72</v>
      </c>
      <c r="G2093" s="165">
        <v>192.24</v>
      </c>
      <c r="H2093" s="20">
        <v>916</v>
      </c>
      <c r="I2093"/>
    </row>
    <row r="2094" spans="1:9" x14ac:dyDescent="0.25">
      <c r="A2094" s="228">
        <v>41829</v>
      </c>
      <c r="B2094" s="161" t="s">
        <v>843</v>
      </c>
      <c r="C2094" t="s">
        <v>8</v>
      </c>
      <c r="D2094" t="s">
        <v>33</v>
      </c>
      <c r="E2094" s="162">
        <v>2.5</v>
      </c>
      <c r="F2094" s="162">
        <v>42.72</v>
      </c>
      <c r="G2094" s="165">
        <v>106.8</v>
      </c>
      <c r="H2094" s="20">
        <v>916</v>
      </c>
      <c r="I2094"/>
    </row>
    <row r="2095" spans="1:9" x14ac:dyDescent="0.25">
      <c r="A2095" s="228">
        <v>41830</v>
      </c>
      <c r="B2095" s="161" t="s">
        <v>843</v>
      </c>
      <c r="C2095" t="s">
        <v>8</v>
      </c>
      <c r="D2095" t="s">
        <v>33</v>
      </c>
      <c r="E2095" s="162">
        <v>4.5</v>
      </c>
      <c r="F2095" s="162">
        <v>42.72</v>
      </c>
      <c r="G2095" s="165">
        <v>192.24</v>
      </c>
      <c r="H2095" s="20">
        <v>916</v>
      </c>
      <c r="I2095"/>
    </row>
    <row r="2096" spans="1:9" x14ac:dyDescent="0.25">
      <c r="A2096" s="228">
        <v>41831</v>
      </c>
      <c r="B2096" s="161" t="s">
        <v>843</v>
      </c>
      <c r="C2096" t="s">
        <v>8</v>
      </c>
      <c r="D2096" t="s">
        <v>33</v>
      </c>
      <c r="E2096" s="162">
        <v>4</v>
      </c>
      <c r="F2096" s="162">
        <v>42.72</v>
      </c>
      <c r="G2096" s="165">
        <v>170.88</v>
      </c>
      <c r="H2096" s="20">
        <v>916</v>
      </c>
      <c r="I2096"/>
    </row>
    <row r="2097" spans="1:9" x14ac:dyDescent="0.25">
      <c r="A2097" s="228">
        <v>41834</v>
      </c>
      <c r="B2097" s="161" t="s">
        <v>843</v>
      </c>
      <c r="C2097" t="s">
        <v>8</v>
      </c>
      <c r="D2097" t="s">
        <v>33</v>
      </c>
      <c r="E2097" s="162">
        <v>2</v>
      </c>
      <c r="F2097" s="162">
        <v>42.72</v>
      </c>
      <c r="G2097" s="165">
        <v>85.44</v>
      </c>
      <c r="H2097" s="20">
        <v>916</v>
      </c>
      <c r="I2097"/>
    </row>
    <row r="2098" spans="1:9" x14ac:dyDescent="0.25">
      <c r="A2098" s="228">
        <v>41836</v>
      </c>
      <c r="B2098" s="161" t="s">
        <v>843</v>
      </c>
      <c r="C2098" t="s">
        <v>8</v>
      </c>
      <c r="D2098" t="s">
        <v>33</v>
      </c>
      <c r="E2098" s="162">
        <v>1.5</v>
      </c>
      <c r="F2098" s="162">
        <v>42.72</v>
      </c>
      <c r="G2098" s="165">
        <v>64.08</v>
      </c>
      <c r="H2098" s="20">
        <v>916</v>
      </c>
      <c r="I2098"/>
    </row>
    <row r="2099" spans="1:9" x14ac:dyDescent="0.25">
      <c r="A2099" s="228">
        <v>41837</v>
      </c>
      <c r="B2099" s="161" t="s">
        <v>843</v>
      </c>
      <c r="C2099" t="s">
        <v>8</v>
      </c>
      <c r="D2099" t="s">
        <v>33</v>
      </c>
      <c r="E2099" s="162">
        <v>1.5</v>
      </c>
      <c r="F2099" s="162">
        <v>42.72</v>
      </c>
      <c r="G2099" s="165">
        <v>64.08</v>
      </c>
      <c r="H2099" s="20">
        <v>916</v>
      </c>
      <c r="I2099"/>
    </row>
    <row r="2100" spans="1:9" x14ac:dyDescent="0.25">
      <c r="A2100" s="228">
        <v>41841</v>
      </c>
      <c r="B2100" s="161" t="s">
        <v>843</v>
      </c>
      <c r="C2100" t="s">
        <v>8</v>
      </c>
      <c r="D2100" t="s">
        <v>33</v>
      </c>
      <c r="E2100" s="162">
        <v>1.5</v>
      </c>
      <c r="F2100" s="162">
        <v>42.72</v>
      </c>
      <c r="G2100" s="165">
        <v>64.08</v>
      </c>
      <c r="H2100" s="20">
        <v>916</v>
      </c>
      <c r="I2100"/>
    </row>
    <row r="2101" spans="1:9" x14ac:dyDescent="0.25">
      <c r="A2101" s="228">
        <v>41842</v>
      </c>
      <c r="B2101" s="161" t="s">
        <v>843</v>
      </c>
      <c r="C2101" t="s">
        <v>8</v>
      </c>
      <c r="D2101" t="s">
        <v>33</v>
      </c>
      <c r="E2101" s="162">
        <v>1</v>
      </c>
      <c r="F2101" s="162">
        <v>42.72</v>
      </c>
      <c r="G2101" s="165">
        <v>42.72</v>
      </c>
      <c r="H2101" s="20">
        <v>916</v>
      </c>
      <c r="I2101"/>
    </row>
    <row r="2102" spans="1:9" x14ac:dyDescent="0.25">
      <c r="A2102" s="228">
        <v>41843</v>
      </c>
      <c r="B2102" s="161" t="s">
        <v>843</v>
      </c>
      <c r="C2102" t="s">
        <v>8</v>
      </c>
      <c r="D2102" t="s">
        <v>33</v>
      </c>
      <c r="E2102" s="162">
        <v>1.5</v>
      </c>
      <c r="F2102" s="162">
        <v>42.72</v>
      </c>
      <c r="G2102" s="165">
        <v>64.08</v>
      </c>
      <c r="H2102" s="20">
        <v>916</v>
      </c>
      <c r="I2102"/>
    </row>
    <row r="2103" spans="1:9" x14ac:dyDescent="0.25">
      <c r="A2103" s="228">
        <v>41844</v>
      </c>
      <c r="B2103" s="161" t="s">
        <v>843</v>
      </c>
      <c r="C2103" t="s">
        <v>8</v>
      </c>
      <c r="D2103" t="s">
        <v>33</v>
      </c>
      <c r="E2103" s="162">
        <v>1.5</v>
      </c>
      <c r="F2103" s="162">
        <v>42.72</v>
      </c>
      <c r="G2103" s="165">
        <v>64.08</v>
      </c>
      <c r="H2103" s="20">
        <v>916</v>
      </c>
      <c r="I2103"/>
    </row>
    <row r="2104" spans="1:9" x14ac:dyDescent="0.25">
      <c r="A2104" s="228">
        <v>41845</v>
      </c>
      <c r="B2104" s="161" t="s">
        <v>843</v>
      </c>
      <c r="C2104" t="s">
        <v>8</v>
      </c>
      <c r="D2104" t="s">
        <v>33</v>
      </c>
      <c r="E2104" s="162">
        <v>2</v>
      </c>
      <c r="F2104" s="162">
        <v>42.72</v>
      </c>
      <c r="G2104" s="165">
        <v>85.44</v>
      </c>
      <c r="H2104" s="20">
        <v>916</v>
      </c>
      <c r="I2104"/>
    </row>
    <row r="2105" spans="1:9" x14ac:dyDescent="0.25">
      <c r="A2105" s="228">
        <v>41855</v>
      </c>
      <c r="B2105" s="161" t="s">
        <v>843</v>
      </c>
      <c r="C2105" t="s">
        <v>8</v>
      </c>
      <c r="D2105" t="s">
        <v>33</v>
      </c>
      <c r="E2105" s="162">
        <v>3.5</v>
      </c>
      <c r="F2105" s="162">
        <v>42.72</v>
      </c>
      <c r="G2105" s="165">
        <v>149.52000000000001</v>
      </c>
      <c r="H2105" s="20">
        <v>916</v>
      </c>
      <c r="I2105"/>
    </row>
    <row r="2106" spans="1:9" x14ac:dyDescent="0.25">
      <c r="A2106" s="228">
        <v>41856</v>
      </c>
      <c r="B2106" s="161" t="s">
        <v>843</v>
      </c>
      <c r="C2106" t="s">
        <v>8</v>
      </c>
      <c r="D2106" t="s">
        <v>33</v>
      </c>
      <c r="E2106" s="162">
        <v>4</v>
      </c>
      <c r="F2106" s="162">
        <v>42.72</v>
      </c>
      <c r="G2106" s="165">
        <v>170.88</v>
      </c>
      <c r="H2106" s="20">
        <v>916</v>
      </c>
      <c r="I2106"/>
    </row>
    <row r="2107" spans="1:9" x14ac:dyDescent="0.25">
      <c r="A2107" s="228">
        <v>41857</v>
      </c>
      <c r="B2107" s="161" t="s">
        <v>843</v>
      </c>
      <c r="C2107" t="s">
        <v>8</v>
      </c>
      <c r="D2107" t="s">
        <v>33</v>
      </c>
      <c r="E2107" s="162">
        <v>4</v>
      </c>
      <c r="F2107" s="162">
        <v>42.72</v>
      </c>
      <c r="G2107" s="165">
        <v>170.88</v>
      </c>
      <c r="H2107" s="20">
        <v>916</v>
      </c>
      <c r="I2107"/>
    </row>
    <row r="2108" spans="1:9" x14ac:dyDescent="0.25">
      <c r="A2108" s="228">
        <v>41858</v>
      </c>
      <c r="B2108" s="161" t="s">
        <v>843</v>
      </c>
      <c r="C2108" t="s">
        <v>8</v>
      </c>
      <c r="D2108" t="s">
        <v>33</v>
      </c>
      <c r="E2108" s="162">
        <v>4</v>
      </c>
      <c r="F2108" s="162">
        <v>42.72</v>
      </c>
      <c r="G2108" s="165">
        <v>170.88</v>
      </c>
      <c r="H2108" s="20">
        <v>916</v>
      </c>
      <c r="I2108"/>
    </row>
    <row r="2109" spans="1:9" x14ac:dyDescent="0.25">
      <c r="A2109" s="228">
        <v>41859</v>
      </c>
      <c r="B2109" s="161" t="s">
        <v>843</v>
      </c>
      <c r="C2109" t="s">
        <v>8</v>
      </c>
      <c r="D2109" t="s">
        <v>33</v>
      </c>
      <c r="E2109" s="162">
        <v>1.5</v>
      </c>
      <c r="F2109" s="162">
        <v>42.72</v>
      </c>
      <c r="G2109" s="165">
        <v>64.08</v>
      </c>
      <c r="H2109" s="20">
        <v>916</v>
      </c>
      <c r="I2109"/>
    </row>
    <row r="2110" spans="1:9" x14ac:dyDescent="0.25">
      <c r="A2110" s="228">
        <v>41862</v>
      </c>
      <c r="B2110" s="161" t="s">
        <v>843</v>
      </c>
      <c r="C2110" t="s">
        <v>8</v>
      </c>
      <c r="D2110" t="s">
        <v>33</v>
      </c>
      <c r="E2110" s="162">
        <v>4</v>
      </c>
      <c r="F2110" s="162">
        <v>42.72</v>
      </c>
      <c r="G2110" s="165">
        <v>170.88</v>
      </c>
      <c r="H2110" s="20">
        <v>916</v>
      </c>
      <c r="I2110"/>
    </row>
    <row r="2111" spans="1:9" x14ac:dyDescent="0.25">
      <c r="A2111" s="228">
        <v>41863</v>
      </c>
      <c r="B2111" s="161" t="s">
        <v>843</v>
      </c>
      <c r="C2111" t="s">
        <v>8</v>
      </c>
      <c r="D2111" t="s">
        <v>33</v>
      </c>
      <c r="E2111" s="162">
        <v>4</v>
      </c>
      <c r="F2111" s="162">
        <v>42.72</v>
      </c>
      <c r="G2111" s="165">
        <v>170.88</v>
      </c>
      <c r="H2111" s="20">
        <v>916</v>
      </c>
      <c r="I2111"/>
    </row>
    <row r="2112" spans="1:9" x14ac:dyDescent="0.25">
      <c r="A2112" s="228">
        <v>41864</v>
      </c>
      <c r="B2112" s="161" t="s">
        <v>843</v>
      </c>
      <c r="C2112" t="s">
        <v>8</v>
      </c>
      <c r="D2112" t="s">
        <v>33</v>
      </c>
      <c r="E2112" s="162">
        <v>4</v>
      </c>
      <c r="F2112" s="162">
        <v>42.72</v>
      </c>
      <c r="G2112" s="165">
        <v>170.88</v>
      </c>
      <c r="H2112" s="20">
        <v>916</v>
      </c>
      <c r="I2112"/>
    </row>
    <row r="2113" spans="1:9" x14ac:dyDescent="0.25">
      <c r="A2113" s="228">
        <v>41865</v>
      </c>
      <c r="B2113" s="161" t="s">
        <v>843</v>
      </c>
      <c r="C2113" t="s">
        <v>8</v>
      </c>
      <c r="D2113" t="s">
        <v>33</v>
      </c>
      <c r="E2113" s="162">
        <v>6</v>
      </c>
      <c r="F2113" s="162">
        <v>42.72</v>
      </c>
      <c r="G2113" s="165">
        <v>256.32</v>
      </c>
      <c r="H2113" s="20">
        <v>916</v>
      </c>
      <c r="I2113"/>
    </row>
    <row r="2114" spans="1:9" x14ac:dyDescent="0.25">
      <c r="A2114" s="228">
        <v>41870</v>
      </c>
      <c r="B2114" s="161" t="s">
        <v>843</v>
      </c>
      <c r="C2114" t="s">
        <v>8</v>
      </c>
      <c r="D2114" t="s">
        <v>33</v>
      </c>
      <c r="E2114" s="162">
        <v>6</v>
      </c>
      <c r="F2114" s="162">
        <v>42.72</v>
      </c>
      <c r="G2114" s="165">
        <v>256.32</v>
      </c>
      <c r="H2114" s="20">
        <v>916</v>
      </c>
      <c r="I2114"/>
    </row>
    <row r="2115" spans="1:9" x14ac:dyDescent="0.25">
      <c r="A2115" s="228">
        <v>41871</v>
      </c>
      <c r="B2115" s="161" t="s">
        <v>843</v>
      </c>
      <c r="C2115" t="s">
        <v>8</v>
      </c>
      <c r="D2115" t="s">
        <v>33</v>
      </c>
      <c r="E2115" s="162">
        <v>6.5</v>
      </c>
      <c r="F2115" s="162">
        <v>42.72</v>
      </c>
      <c r="G2115" s="165">
        <v>277.68</v>
      </c>
      <c r="H2115" s="20">
        <v>916</v>
      </c>
      <c r="I2115"/>
    </row>
    <row r="2116" spans="1:9" x14ac:dyDescent="0.25">
      <c r="A2116" s="228">
        <v>41872</v>
      </c>
      <c r="B2116" s="161" t="s">
        <v>843</v>
      </c>
      <c r="C2116" t="s">
        <v>8</v>
      </c>
      <c r="D2116" t="s">
        <v>33</v>
      </c>
      <c r="E2116" s="162">
        <v>7</v>
      </c>
      <c r="F2116" s="162">
        <v>42.72</v>
      </c>
      <c r="G2116" s="165">
        <v>299.04000000000002</v>
      </c>
      <c r="H2116" s="20">
        <v>916</v>
      </c>
      <c r="I2116"/>
    </row>
    <row r="2117" spans="1:9" x14ac:dyDescent="0.25">
      <c r="A2117" s="228">
        <v>41876</v>
      </c>
      <c r="B2117" s="161" t="s">
        <v>843</v>
      </c>
      <c r="C2117" t="s">
        <v>8</v>
      </c>
      <c r="D2117" t="s">
        <v>33</v>
      </c>
      <c r="E2117" s="162">
        <v>8.5</v>
      </c>
      <c r="F2117" s="162">
        <v>42.72</v>
      </c>
      <c r="G2117" s="165">
        <v>363.12</v>
      </c>
      <c r="H2117" s="20">
        <v>916</v>
      </c>
      <c r="I2117"/>
    </row>
    <row r="2118" spans="1:9" x14ac:dyDescent="0.25">
      <c r="A2118" s="228">
        <v>41877</v>
      </c>
      <c r="B2118" s="161" t="s">
        <v>843</v>
      </c>
      <c r="C2118" t="s">
        <v>8</v>
      </c>
      <c r="D2118" t="s">
        <v>33</v>
      </c>
      <c r="E2118" s="162">
        <v>8</v>
      </c>
      <c r="F2118" s="162">
        <v>42.72</v>
      </c>
      <c r="G2118" s="165">
        <v>341.76</v>
      </c>
      <c r="H2118" s="20">
        <v>916</v>
      </c>
      <c r="I2118"/>
    </row>
    <row r="2119" spans="1:9" x14ac:dyDescent="0.25">
      <c r="A2119" s="228">
        <v>41878</v>
      </c>
      <c r="B2119" s="161" t="s">
        <v>843</v>
      </c>
      <c r="C2119" t="s">
        <v>8</v>
      </c>
      <c r="D2119" t="s">
        <v>33</v>
      </c>
      <c r="E2119" s="162">
        <v>8</v>
      </c>
      <c r="F2119" s="162">
        <v>42.72</v>
      </c>
      <c r="G2119" s="165">
        <v>341.76</v>
      </c>
      <c r="H2119" s="20">
        <v>916</v>
      </c>
      <c r="I2119"/>
    </row>
    <row r="2120" spans="1:9" x14ac:dyDescent="0.25">
      <c r="A2120" s="228">
        <v>41879</v>
      </c>
      <c r="B2120" s="161" t="s">
        <v>843</v>
      </c>
      <c r="C2120" t="s">
        <v>8</v>
      </c>
      <c r="D2120" t="s">
        <v>33</v>
      </c>
      <c r="E2120" s="162">
        <v>6.5</v>
      </c>
      <c r="F2120" s="162">
        <v>42.72</v>
      </c>
      <c r="G2120" s="165">
        <v>277.68</v>
      </c>
      <c r="H2120" s="20">
        <v>916</v>
      </c>
      <c r="I2120"/>
    </row>
    <row r="2121" spans="1:9" x14ac:dyDescent="0.25">
      <c r="A2121" s="228">
        <v>41880</v>
      </c>
      <c r="B2121" s="161" t="s">
        <v>843</v>
      </c>
      <c r="C2121" t="s">
        <v>8</v>
      </c>
      <c r="D2121" t="s">
        <v>33</v>
      </c>
      <c r="E2121" s="162">
        <v>8.5</v>
      </c>
      <c r="F2121" s="162">
        <v>42.72</v>
      </c>
      <c r="G2121" s="165">
        <v>363.12</v>
      </c>
      <c r="H2121" s="20">
        <v>916</v>
      </c>
      <c r="I2121"/>
    </row>
    <row r="2122" spans="1:9" x14ac:dyDescent="0.25">
      <c r="A2122" s="228">
        <v>41883</v>
      </c>
      <c r="B2122" s="161" t="s">
        <v>843</v>
      </c>
      <c r="C2122" t="s">
        <v>8</v>
      </c>
      <c r="D2122" t="s">
        <v>33</v>
      </c>
      <c r="E2122" s="162">
        <v>9.5</v>
      </c>
      <c r="F2122" s="162">
        <v>42.72</v>
      </c>
      <c r="G2122" s="165">
        <v>405.84</v>
      </c>
      <c r="H2122" s="20">
        <v>916</v>
      </c>
      <c r="I2122"/>
    </row>
    <row r="2123" spans="1:9" x14ac:dyDescent="0.25">
      <c r="A2123" s="228">
        <v>41884</v>
      </c>
      <c r="B2123" s="161" t="s">
        <v>843</v>
      </c>
      <c r="C2123" t="s">
        <v>8</v>
      </c>
      <c r="D2123" t="s">
        <v>33</v>
      </c>
      <c r="E2123" s="162">
        <v>9.5</v>
      </c>
      <c r="F2123" s="162">
        <v>42.72</v>
      </c>
      <c r="G2123" s="165">
        <v>405.84</v>
      </c>
      <c r="H2123" s="20">
        <v>916</v>
      </c>
      <c r="I2123"/>
    </row>
    <row r="2124" spans="1:9" x14ac:dyDescent="0.25">
      <c r="A2124" s="228">
        <v>41884</v>
      </c>
      <c r="B2124" s="161" t="s">
        <v>837</v>
      </c>
      <c r="C2124" t="s">
        <v>8</v>
      </c>
      <c r="D2124" t="s">
        <v>33</v>
      </c>
      <c r="E2124" s="162">
        <v>2</v>
      </c>
      <c r="F2124" s="162">
        <v>42.72</v>
      </c>
      <c r="G2124" s="165">
        <v>85.44</v>
      </c>
      <c r="H2124" s="20">
        <v>916</v>
      </c>
      <c r="I2124"/>
    </row>
    <row r="2125" spans="1:9" x14ac:dyDescent="0.25">
      <c r="A2125" s="228">
        <v>41885</v>
      </c>
      <c r="B2125" s="161" t="s">
        <v>843</v>
      </c>
      <c r="C2125" t="s">
        <v>8</v>
      </c>
      <c r="D2125" t="s">
        <v>33</v>
      </c>
      <c r="E2125" s="162">
        <v>9.5</v>
      </c>
      <c r="F2125" s="162">
        <v>42.72</v>
      </c>
      <c r="G2125" s="165">
        <v>405.84</v>
      </c>
      <c r="H2125" s="20">
        <v>916</v>
      </c>
      <c r="I2125"/>
    </row>
    <row r="2126" spans="1:9" x14ac:dyDescent="0.25">
      <c r="A2126" s="228">
        <v>41886</v>
      </c>
      <c r="B2126" s="161" t="s">
        <v>843</v>
      </c>
      <c r="C2126" t="s">
        <v>8</v>
      </c>
      <c r="D2126" t="s">
        <v>33</v>
      </c>
      <c r="E2126" s="162">
        <v>9.5</v>
      </c>
      <c r="F2126" s="162">
        <v>42.72</v>
      </c>
      <c r="G2126" s="165">
        <v>405.84</v>
      </c>
      <c r="H2126" s="20">
        <v>916</v>
      </c>
      <c r="I2126"/>
    </row>
    <row r="2127" spans="1:9" x14ac:dyDescent="0.25">
      <c r="A2127" s="228">
        <v>41887</v>
      </c>
      <c r="B2127" s="161" t="s">
        <v>843</v>
      </c>
      <c r="C2127" t="s">
        <v>8</v>
      </c>
      <c r="D2127" t="s">
        <v>33</v>
      </c>
      <c r="E2127" s="162">
        <v>6</v>
      </c>
      <c r="F2127" s="162">
        <v>42.72</v>
      </c>
      <c r="G2127" s="165">
        <v>256.32</v>
      </c>
      <c r="H2127" s="20">
        <v>916</v>
      </c>
      <c r="I2127"/>
    </row>
    <row r="2128" spans="1:9" x14ac:dyDescent="0.25">
      <c r="A2128" s="228">
        <v>41890</v>
      </c>
      <c r="B2128" s="161" t="s">
        <v>843</v>
      </c>
      <c r="C2128" t="s">
        <v>8</v>
      </c>
      <c r="D2128" t="s">
        <v>33</v>
      </c>
      <c r="E2128" s="162">
        <v>8</v>
      </c>
      <c r="F2128" s="162">
        <v>42.72</v>
      </c>
      <c r="G2128" s="165">
        <v>341.76</v>
      </c>
      <c r="H2128" s="20">
        <v>916</v>
      </c>
      <c r="I2128"/>
    </row>
    <row r="2129" spans="1:9" x14ac:dyDescent="0.25">
      <c r="A2129" s="228">
        <v>41891</v>
      </c>
      <c r="B2129" s="161" t="s">
        <v>843</v>
      </c>
      <c r="C2129" t="s">
        <v>8</v>
      </c>
      <c r="D2129" t="s">
        <v>33</v>
      </c>
      <c r="E2129" s="162">
        <v>8</v>
      </c>
      <c r="F2129" s="162">
        <v>42.72</v>
      </c>
      <c r="G2129" s="165">
        <v>341.76</v>
      </c>
      <c r="H2129" s="20">
        <v>916</v>
      </c>
      <c r="I2129"/>
    </row>
    <row r="2130" spans="1:9" x14ac:dyDescent="0.25">
      <c r="A2130" s="228">
        <v>41892</v>
      </c>
      <c r="B2130" s="161" t="s">
        <v>843</v>
      </c>
      <c r="C2130" t="s">
        <v>8</v>
      </c>
      <c r="D2130" t="s">
        <v>33</v>
      </c>
      <c r="E2130" s="162">
        <v>8</v>
      </c>
      <c r="F2130" s="162">
        <v>42.72</v>
      </c>
      <c r="G2130" s="165">
        <v>341.76</v>
      </c>
      <c r="H2130" s="20">
        <v>916</v>
      </c>
      <c r="I2130"/>
    </row>
    <row r="2131" spans="1:9" x14ac:dyDescent="0.25">
      <c r="A2131" s="228">
        <v>41893</v>
      </c>
      <c r="B2131" s="161" t="s">
        <v>843</v>
      </c>
      <c r="C2131" t="s">
        <v>8</v>
      </c>
      <c r="D2131" t="s">
        <v>33</v>
      </c>
      <c r="E2131" s="162">
        <v>9.5</v>
      </c>
      <c r="F2131" s="162">
        <v>42.72</v>
      </c>
      <c r="G2131" s="165">
        <v>405.84</v>
      </c>
      <c r="H2131" s="20">
        <v>916</v>
      </c>
      <c r="I2131"/>
    </row>
    <row r="2132" spans="1:9" x14ac:dyDescent="0.25">
      <c r="A2132" s="228">
        <v>41894</v>
      </c>
      <c r="B2132" s="161" t="s">
        <v>843</v>
      </c>
      <c r="C2132" t="s">
        <v>8</v>
      </c>
      <c r="D2132" t="s">
        <v>33</v>
      </c>
      <c r="E2132" s="162">
        <v>6</v>
      </c>
      <c r="F2132" s="162">
        <v>42.72</v>
      </c>
      <c r="G2132" s="165">
        <v>256.32</v>
      </c>
      <c r="H2132" s="20">
        <v>916</v>
      </c>
      <c r="I2132"/>
    </row>
    <row r="2133" spans="1:9" x14ac:dyDescent="0.25">
      <c r="A2133" s="228">
        <v>41897</v>
      </c>
      <c r="B2133" s="161" t="s">
        <v>843</v>
      </c>
      <c r="C2133" t="s">
        <v>8</v>
      </c>
      <c r="D2133" t="s">
        <v>33</v>
      </c>
      <c r="E2133" s="162">
        <v>2.5</v>
      </c>
      <c r="F2133" s="162">
        <v>42.72</v>
      </c>
      <c r="G2133" s="165">
        <v>106.8</v>
      </c>
      <c r="H2133" s="20">
        <v>916</v>
      </c>
      <c r="I2133"/>
    </row>
    <row r="2134" spans="1:9" x14ac:dyDescent="0.25">
      <c r="A2134" s="228">
        <v>41898</v>
      </c>
      <c r="B2134" s="161" t="s">
        <v>843</v>
      </c>
      <c r="C2134" t="s">
        <v>8</v>
      </c>
      <c r="D2134" t="s">
        <v>33</v>
      </c>
      <c r="E2134" s="162">
        <v>9.5</v>
      </c>
      <c r="F2134" s="162">
        <v>42.72</v>
      </c>
      <c r="G2134" s="165">
        <v>405.84</v>
      </c>
      <c r="H2134" s="20">
        <v>916</v>
      </c>
      <c r="I2134"/>
    </row>
    <row r="2135" spans="1:9" x14ac:dyDescent="0.25">
      <c r="A2135" s="228">
        <v>41899</v>
      </c>
      <c r="B2135" s="161" t="s">
        <v>843</v>
      </c>
      <c r="C2135" t="s">
        <v>8</v>
      </c>
      <c r="D2135" t="s">
        <v>33</v>
      </c>
      <c r="E2135" s="162">
        <v>8.5</v>
      </c>
      <c r="F2135" s="162">
        <v>42.72</v>
      </c>
      <c r="G2135" s="165">
        <v>363.12</v>
      </c>
      <c r="H2135" s="20">
        <v>916</v>
      </c>
      <c r="I2135"/>
    </row>
    <row r="2136" spans="1:9" x14ac:dyDescent="0.25">
      <c r="A2136" s="228">
        <v>41900</v>
      </c>
      <c r="B2136" s="161" t="s">
        <v>843</v>
      </c>
      <c r="C2136" t="s">
        <v>8</v>
      </c>
      <c r="D2136" t="s">
        <v>33</v>
      </c>
      <c r="E2136" s="162">
        <v>8.5</v>
      </c>
      <c r="F2136" s="162">
        <v>42.72</v>
      </c>
      <c r="G2136" s="165">
        <v>363.12</v>
      </c>
      <c r="H2136" s="20">
        <v>916</v>
      </c>
      <c r="I2136"/>
    </row>
    <row r="2137" spans="1:9" x14ac:dyDescent="0.25">
      <c r="A2137" s="228">
        <v>41901</v>
      </c>
      <c r="B2137" s="161" t="s">
        <v>843</v>
      </c>
      <c r="C2137" t="s">
        <v>8</v>
      </c>
      <c r="D2137" t="s">
        <v>33</v>
      </c>
      <c r="E2137" s="162">
        <v>8.5</v>
      </c>
      <c r="F2137" s="162">
        <v>42.72</v>
      </c>
      <c r="G2137" s="165">
        <v>363.12</v>
      </c>
      <c r="H2137" s="20">
        <v>916</v>
      </c>
      <c r="I2137"/>
    </row>
    <row r="2138" spans="1:9" x14ac:dyDescent="0.25">
      <c r="A2138" s="228">
        <v>41904</v>
      </c>
      <c r="B2138" s="161" t="s">
        <v>843</v>
      </c>
      <c r="C2138" t="s">
        <v>8</v>
      </c>
      <c r="D2138" t="s">
        <v>33</v>
      </c>
      <c r="E2138" s="162">
        <v>9</v>
      </c>
      <c r="F2138" s="162">
        <v>42.72</v>
      </c>
      <c r="G2138" s="165">
        <v>384.48</v>
      </c>
      <c r="H2138" s="20">
        <v>916</v>
      </c>
      <c r="I2138"/>
    </row>
    <row r="2139" spans="1:9" x14ac:dyDescent="0.25">
      <c r="A2139" s="228">
        <v>41905</v>
      </c>
      <c r="B2139" s="161" t="s">
        <v>843</v>
      </c>
      <c r="C2139" t="s">
        <v>8</v>
      </c>
      <c r="D2139" t="s">
        <v>33</v>
      </c>
      <c r="E2139" s="162">
        <v>9</v>
      </c>
      <c r="F2139" s="162">
        <v>42.72</v>
      </c>
      <c r="G2139" s="165">
        <v>384.48</v>
      </c>
      <c r="H2139" s="20">
        <v>916</v>
      </c>
      <c r="I2139"/>
    </row>
    <row r="2140" spans="1:9" x14ac:dyDescent="0.25">
      <c r="A2140" s="228">
        <v>41906</v>
      </c>
      <c r="B2140" s="161" t="s">
        <v>843</v>
      </c>
      <c r="C2140" t="s">
        <v>8</v>
      </c>
      <c r="D2140" t="s">
        <v>33</v>
      </c>
      <c r="E2140" s="162">
        <v>8.5</v>
      </c>
      <c r="F2140" s="162">
        <v>42.72</v>
      </c>
      <c r="G2140" s="165">
        <v>363.12</v>
      </c>
      <c r="H2140" s="20">
        <v>916</v>
      </c>
      <c r="I2140"/>
    </row>
    <row r="2141" spans="1:9" x14ac:dyDescent="0.25">
      <c r="A2141" s="228">
        <v>41907</v>
      </c>
      <c r="B2141" s="161" t="s">
        <v>843</v>
      </c>
      <c r="C2141" t="s">
        <v>8</v>
      </c>
      <c r="D2141" t="s">
        <v>33</v>
      </c>
      <c r="E2141" s="162">
        <v>9.5</v>
      </c>
      <c r="F2141" s="162">
        <v>42.72</v>
      </c>
      <c r="G2141" s="165">
        <v>405.84</v>
      </c>
      <c r="H2141" s="20">
        <v>916</v>
      </c>
      <c r="I2141"/>
    </row>
    <row r="2142" spans="1:9" x14ac:dyDescent="0.25">
      <c r="A2142" s="228">
        <v>41908</v>
      </c>
      <c r="B2142" s="161" t="s">
        <v>843</v>
      </c>
      <c r="C2142" t="s">
        <v>8</v>
      </c>
      <c r="D2142" t="s">
        <v>33</v>
      </c>
      <c r="E2142" s="162">
        <v>8</v>
      </c>
      <c r="F2142" s="162">
        <v>42.72</v>
      </c>
      <c r="G2142" s="165">
        <v>341.76</v>
      </c>
      <c r="H2142" s="20">
        <v>916</v>
      </c>
      <c r="I2142"/>
    </row>
    <row r="2143" spans="1:9" x14ac:dyDescent="0.25">
      <c r="A2143" s="228">
        <v>41911</v>
      </c>
      <c r="B2143" s="161" t="s">
        <v>843</v>
      </c>
      <c r="C2143" t="s">
        <v>8</v>
      </c>
      <c r="D2143" t="s">
        <v>33</v>
      </c>
      <c r="E2143" s="162">
        <v>8.5</v>
      </c>
      <c r="F2143" s="162">
        <v>42.72</v>
      </c>
      <c r="G2143" s="165">
        <v>363.12</v>
      </c>
      <c r="H2143" s="20">
        <v>916</v>
      </c>
      <c r="I2143"/>
    </row>
    <row r="2144" spans="1:9" x14ac:dyDescent="0.25">
      <c r="A2144" s="228">
        <v>41912</v>
      </c>
      <c r="B2144" s="161" t="s">
        <v>843</v>
      </c>
      <c r="C2144" t="s">
        <v>8</v>
      </c>
      <c r="D2144" t="s">
        <v>33</v>
      </c>
      <c r="E2144" s="162">
        <v>8.5</v>
      </c>
      <c r="F2144" s="162">
        <v>42.72</v>
      </c>
      <c r="G2144" s="165">
        <v>363.12</v>
      </c>
      <c r="H2144" s="20">
        <v>916</v>
      </c>
      <c r="I2144"/>
    </row>
    <row r="2145" spans="1:9" x14ac:dyDescent="0.25">
      <c r="A2145" s="228">
        <v>41913</v>
      </c>
      <c r="B2145" s="161" t="s">
        <v>843</v>
      </c>
      <c r="C2145" t="s">
        <v>8</v>
      </c>
      <c r="D2145" t="s">
        <v>33</v>
      </c>
      <c r="E2145" s="162">
        <v>8.5</v>
      </c>
      <c r="F2145" s="162">
        <v>42.72</v>
      </c>
      <c r="G2145" s="165">
        <v>363.12</v>
      </c>
      <c r="H2145" s="20">
        <v>916</v>
      </c>
      <c r="I2145"/>
    </row>
    <row r="2146" spans="1:9" x14ac:dyDescent="0.25">
      <c r="A2146" s="228">
        <v>41914</v>
      </c>
      <c r="B2146" s="161" t="s">
        <v>843</v>
      </c>
      <c r="C2146" t="s">
        <v>8</v>
      </c>
      <c r="D2146" t="s">
        <v>33</v>
      </c>
      <c r="E2146" s="162">
        <v>9.5</v>
      </c>
      <c r="F2146" s="162">
        <v>42.72</v>
      </c>
      <c r="G2146" s="165">
        <v>405.84</v>
      </c>
      <c r="H2146" s="20">
        <v>916</v>
      </c>
      <c r="I2146"/>
    </row>
    <row r="2147" spans="1:9" x14ac:dyDescent="0.25">
      <c r="A2147" s="228">
        <v>41915</v>
      </c>
      <c r="B2147" s="161" t="s">
        <v>843</v>
      </c>
      <c r="C2147" t="s">
        <v>8</v>
      </c>
      <c r="D2147" t="s">
        <v>33</v>
      </c>
      <c r="E2147" s="162">
        <v>8</v>
      </c>
      <c r="F2147" s="162">
        <v>42.72</v>
      </c>
      <c r="G2147" s="165">
        <v>341.76</v>
      </c>
      <c r="H2147" s="20">
        <v>916</v>
      </c>
      <c r="I2147"/>
    </row>
    <row r="2148" spans="1:9" x14ac:dyDescent="0.25">
      <c r="A2148" s="228">
        <v>41919</v>
      </c>
      <c r="B2148" s="161" t="s">
        <v>843</v>
      </c>
      <c r="C2148" t="s">
        <v>8</v>
      </c>
      <c r="D2148" t="s">
        <v>33</v>
      </c>
      <c r="E2148" s="162">
        <v>9.5</v>
      </c>
      <c r="F2148" s="162">
        <v>42.72</v>
      </c>
      <c r="G2148" s="165">
        <v>405.84</v>
      </c>
      <c r="H2148" s="20">
        <v>916</v>
      </c>
      <c r="I2148"/>
    </row>
    <row r="2149" spans="1:9" x14ac:dyDescent="0.25">
      <c r="A2149" s="228">
        <v>41920</v>
      </c>
      <c r="B2149" s="161" t="s">
        <v>843</v>
      </c>
      <c r="C2149" t="s">
        <v>8</v>
      </c>
      <c r="D2149" t="s">
        <v>33</v>
      </c>
      <c r="E2149" s="162">
        <v>9.5</v>
      </c>
      <c r="F2149" s="162">
        <v>42.72</v>
      </c>
      <c r="G2149" s="165">
        <v>405.84</v>
      </c>
      <c r="H2149" s="20">
        <v>916</v>
      </c>
      <c r="I2149"/>
    </row>
    <row r="2150" spans="1:9" x14ac:dyDescent="0.25">
      <c r="A2150" s="228">
        <v>41921</v>
      </c>
      <c r="B2150" s="161" t="s">
        <v>843</v>
      </c>
      <c r="C2150" t="s">
        <v>8</v>
      </c>
      <c r="D2150" t="s">
        <v>33</v>
      </c>
      <c r="E2150" s="162">
        <v>9.5</v>
      </c>
      <c r="F2150" s="162">
        <v>42.72</v>
      </c>
      <c r="G2150" s="165">
        <v>405.84</v>
      </c>
      <c r="H2150" s="20">
        <v>916</v>
      </c>
      <c r="I2150"/>
    </row>
    <row r="2151" spans="1:9" x14ac:dyDescent="0.25">
      <c r="A2151" s="228">
        <v>41922</v>
      </c>
      <c r="B2151" s="161" t="s">
        <v>843</v>
      </c>
      <c r="C2151" t="s">
        <v>8</v>
      </c>
      <c r="D2151" t="s">
        <v>33</v>
      </c>
      <c r="E2151" s="162">
        <v>8</v>
      </c>
      <c r="F2151" s="162">
        <v>42.72</v>
      </c>
      <c r="G2151" s="165">
        <v>341.76</v>
      </c>
      <c r="H2151" s="20">
        <v>916</v>
      </c>
      <c r="I2151"/>
    </row>
    <row r="2152" spans="1:9" x14ac:dyDescent="0.25">
      <c r="A2152" s="228">
        <v>41925</v>
      </c>
      <c r="B2152" s="161" t="s">
        <v>843</v>
      </c>
      <c r="C2152" t="s">
        <v>8</v>
      </c>
      <c r="D2152" t="s">
        <v>33</v>
      </c>
      <c r="E2152" s="162">
        <v>8</v>
      </c>
      <c r="F2152" s="162">
        <v>42.72</v>
      </c>
      <c r="G2152" s="165">
        <v>341.76</v>
      </c>
      <c r="H2152" s="20">
        <v>916</v>
      </c>
      <c r="I2152"/>
    </row>
    <row r="2153" spans="1:9" x14ac:dyDescent="0.25">
      <c r="A2153" s="228">
        <v>41926</v>
      </c>
      <c r="B2153" s="161" t="s">
        <v>843</v>
      </c>
      <c r="C2153" t="s">
        <v>8</v>
      </c>
      <c r="D2153" t="s">
        <v>33</v>
      </c>
      <c r="E2153" s="162">
        <v>9</v>
      </c>
      <c r="F2153" s="162">
        <v>42.72</v>
      </c>
      <c r="G2153" s="165">
        <v>384.48</v>
      </c>
      <c r="H2153" s="20">
        <v>916</v>
      </c>
      <c r="I2153"/>
    </row>
    <row r="2154" spans="1:9" x14ac:dyDescent="0.25">
      <c r="A2154" s="228">
        <v>41928</v>
      </c>
      <c r="B2154" s="161" t="s">
        <v>843</v>
      </c>
      <c r="C2154" t="s">
        <v>8</v>
      </c>
      <c r="D2154" t="s">
        <v>33</v>
      </c>
      <c r="E2154" s="162">
        <v>8</v>
      </c>
      <c r="F2154" s="162">
        <v>42.72</v>
      </c>
      <c r="G2154" s="165">
        <v>341.76</v>
      </c>
      <c r="H2154" s="20">
        <v>916</v>
      </c>
      <c r="I2154"/>
    </row>
    <row r="2155" spans="1:9" x14ac:dyDescent="0.25">
      <c r="A2155" s="228">
        <v>41929</v>
      </c>
      <c r="B2155" s="161" t="s">
        <v>843</v>
      </c>
      <c r="C2155" t="s">
        <v>8</v>
      </c>
      <c r="D2155" t="s">
        <v>33</v>
      </c>
      <c r="E2155" s="162">
        <v>6.5</v>
      </c>
      <c r="F2155" s="162">
        <v>42.72</v>
      </c>
      <c r="G2155" s="165">
        <v>277.68</v>
      </c>
      <c r="H2155" s="20">
        <v>916</v>
      </c>
      <c r="I2155"/>
    </row>
    <row r="2156" spans="1:9" x14ac:dyDescent="0.25">
      <c r="A2156" s="228">
        <v>41932</v>
      </c>
      <c r="B2156" s="161" t="s">
        <v>843</v>
      </c>
      <c r="C2156" t="s">
        <v>8</v>
      </c>
      <c r="D2156" t="s">
        <v>33</v>
      </c>
      <c r="E2156" s="162">
        <v>9.5</v>
      </c>
      <c r="F2156" s="162">
        <v>42.72</v>
      </c>
      <c r="G2156" s="165">
        <v>405.84</v>
      </c>
      <c r="H2156" s="20">
        <v>916</v>
      </c>
      <c r="I2156"/>
    </row>
    <row r="2157" spans="1:9" x14ac:dyDescent="0.25">
      <c r="A2157" s="228">
        <v>41933</v>
      </c>
      <c r="B2157" s="161" t="s">
        <v>843</v>
      </c>
      <c r="C2157" t="s">
        <v>8</v>
      </c>
      <c r="D2157" t="s">
        <v>33</v>
      </c>
      <c r="E2157" s="162">
        <v>9</v>
      </c>
      <c r="F2157" s="162">
        <v>42.72</v>
      </c>
      <c r="G2157" s="165">
        <v>384.48</v>
      </c>
      <c r="H2157" s="20">
        <v>916</v>
      </c>
      <c r="I2157"/>
    </row>
    <row r="2158" spans="1:9" x14ac:dyDescent="0.25">
      <c r="A2158" s="228">
        <v>41934</v>
      </c>
      <c r="B2158" s="161" t="s">
        <v>843</v>
      </c>
      <c r="C2158" t="s">
        <v>8</v>
      </c>
      <c r="D2158" t="s">
        <v>33</v>
      </c>
      <c r="E2158" s="162">
        <v>8.5</v>
      </c>
      <c r="F2158" s="162">
        <v>42.72</v>
      </c>
      <c r="G2158" s="165">
        <v>363.12</v>
      </c>
      <c r="H2158" s="20">
        <v>916</v>
      </c>
      <c r="I2158"/>
    </row>
    <row r="2159" spans="1:9" x14ac:dyDescent="0.25">
      <c r="A2159" s="228">
        <v>41935</v>
      </c>
      <c r="B2159" s="161" t="s">
        <v>843</v>
      </c>
      <c r="C2159" t="s">
        <v>8</v>
      </c>
      <c r="D2159" t="s">
        <v>33</v>
      </c>
      <c r="E2159" s="162">
        <v>9</v>
      </c>
      <c r="F2159" s="162">
        <v>42.72</v>
      </c>
      <c r="G2159" s="165">
        <v>384.48</v>
      </c>
      <c r="H2159" s="20">
        <v>916</v>
      </c>
      <c r="I2159"/>
    </row>
    <row r="2160" spans="1:9" x14ac:dyDescent="0.25">
      <c r="A2160" s="228">
        <v>41936</v>
      </c>
      <c r="B2160" s="161" t="s">
        <v>843</v>
      </c>
      <c r="C2160" t="s">
        <v>8</v>
      </c>
      <c r="D2160" t="s">
        <v>33</v>
      </c>
      <c r="E2160" s="162">
        <v>6.5</v>
      </c>
      <c r="F2160" s="162">
        <v>42.72</v>
      </c>
      <c r="G2160" s="165">
        <v>277.68</v>
      </c>
      <c r="H2160" s="20">
        <v>916</v>
      </c>
      <c r="I2160"/>
    </row>
    <row r="2161" spans="1:9" x14ac:dyDescent="0.25">
      <c r="A2161" s="228">
        <v>41939</v>
      </c>
      <c r="B2161" s="161" t="s">
        <v>843</v>
      </c>
      <c r="C2161" t="s">
        <v>8</v>
      </c>
      <c r="D2161" t="s">
        <v>33</v>
      </c>
      <c r="E2161" s="162">
        <v>8</v>
      </c>
      <c r="F2161" s="162">
        <v>42.72</v>
      </c>
      <c r="G2161" s="165">
        <v>341.76</v>
      </c>
      <c r="H2161" s="20">
        <v>916</v>
      </c>
      <c r="I2161"/>
    </row>
    <row r="2162" spans="1:9" x14ac:dyDescent="0.25">
      <c r="A2162" s="228">
        <v>41940</v>
      </c>
      <c r="B2162" s="161" t="s">
        <v>843</v>
      </c>
      <c r="C2162" t="s">
        <v>8</v>
      </c>
      <c r="D2162" t="s">
        <v>33</v>
      </c>
      <c r="E2162" s="162">
        <v>8</v>
      </c>
      <c r="F2162" s="162">
        <v>42.72</v>
      </c>
      <c r="G2162" s="165">
        <v>341.76</v>
      </c>
      <c r="H2162" s="20">
        <v>916</v>
      </c>
      <c r="I2162"/>
    </row>
    <row r="2163" spans="1:9" x14ac:dyDescent="0.25">
      <c r="A2163" s="228">
        <v>41941</v>
      </c>
      <c r="B2163" s="161" t="s">
        <v>843</v>
      </c>
      <c r="C2163" t="s">
        <v>8</v>
      </c>
      <c r="D2163" t="s">
        <v>33</v>
      </c>
      <c r="E2163" s="162">
        <v>8</v>
      </c>
      <c r="F2163" s="162">
        <v>42.72</v>
      </c>
      <c r="G2163" s="165">
        <v>341.76</v>
      </c>
      <c r="H2163" s="20">
        <v>916</v>
      </c>
      <c r="I2163"/>
    </row>
    <row r="2164" spans="1:9" x14ac:dyDescent="0.25">
      <c r="A2164" s="228">
        <v>41942</v>
      </c>
      <c r="B2164" s="161" t="s">
        <v>843</v>
      </c>
      <c r="C2164" t="s">
        <v>8</v>
      </c>
      <c r="D2164" t="s">
        <v>33</v>
      </c>
      <c r="E2164" s="162">
        <v>8</v>
      </c>
      <c r="F2164" s="162">
        <v>42.72</v>
      </c>
      <c r="G2164" s="165">
        <v>341.76</v>
      </c>
      <c r="H2164" s="20">
        <v>916</v>
      </c>
      <c r="I2164"/>
    </row>
    <row r="2165" spans="1:9" x14ac:dyDescent="0.25">
      <c r="A2165" s="228">
        <v>41943</v>
      </c>
      <c r="B2165" s="161" t="s">
        <v>843</v>
      </c>
      <c r="C2165" t="s">
        <v>8</v>
      </c>
      <c r="D2165" t="s">
        <v>33</v>
      </c>
      <c r="E2165" s="162">
        <v>8.5</v>
      </c>
      <c r="F2165" s="162">
        <v>42.72</v>
      </c>
      <c r="G2165" s="165">
        <v>363.12</v>
      </c>
      <c r="H2165" s="20">
        <v>916</v>
      </c>
      <c r="I2165"/>
    </row>
    <row r="2166" spans="1:9" x14ac:dyDescent="0.25">
      <c r="A2166" s="228">
        <v>41946</v>
      </c>
      <c r="B2166" s="161" t="s">
        <v>843</v>
      </c>
      <c r="C2166" t="s">
        <v>8</v>
      </c>
      <c r="D2166" t="s">
        <v>33</v>
      </c>
      <c r="E2166" s="162">
        <v>9</v>
      </c>
      <c r="F2166" s="162">
        <v>42.72</v>
      </c>
      <c r="G2166" s="165">
        <v>384.48</v>
      </c>
      <c r="H2166" s="20">
        <v>916</v>
      </c>
      <c r="I2166"/>
    </row>
    <row r="2167" spans="1:9" x14ac:dyDescent="0.25">
      <c r="A2167" s="228">
        <v>41947</v>
      </c>
      <c r="B2167" s="161" t="s">
        <v>843</v>
      </c>
      <c r="C2167" t="s">
        <v>8</v>
      </c>
      <c r="D2167" t="s">
        <v>33</v>
      </c>
      <c r="E2167" s="162">
        <v>9.5</v>
      </c>
      <c r="F2167" s="162">
        <v>42.72</v>
      </c>
      <c r="G2167" s="165">
        <v>405.84</v>
      </c>
      <c r="H2167" s="20">
        <v>916</v>
      </c>
      <c r="I2167"/>
    </row>
    <row r="2168" spans="1:9" x14ac:dyDescent="0.25">
      <c r="A2168" s="228">
        <v>41948</v>
      </c>
      <c r="B2168" s="161" t="s">
        <v>843</v>
      </c>
      <c r="C2168" t="s">
        <v>8</v>
      </c>
      <c r="D2168" t="s">
        <v>33</v>
      </c>
      <c r="E2168" s="162">
        <v>8</v>
      </c>
      <c r="F2168" s="162">
        <v>42.72</v>
      </c>
      <c r="G2168" s="165">
        <v>341.76</v>
      </c>
      <c r="H2168" s="20">
        <v>916</v>
      </c>
      <c r="I2168"/>
    </row>
    <row r="2169" spans="1:9" x14ac:dyDescent="0.25">
      <c r="A2169" s="228">
        <v>41949</v>
      </c>
      <c r="B2169" s="161" t="s">
        <v>843</v>
      </c>
      <c r="C2169" t="s">
        <v>8</v>
      </c>
      <c r="D2169" t="s">
        <v>33</v>
      </c>
      <c r="E2169" s="162">
        <v>8</v>
      </c>
      <c r="F2169" s="162">
        <v>42.72</v>
      </c>
      <c r="G2169" s="165">
        <v>341.76</v>
      </c>
      <c r="H2169" s="20">
        <v>916</v>
      </c>
      <c r="I2169"/>
    </row>
    <row r="2170" spans="1:9" x14ac:dyDescent="0.25">
      <c r="A2170" s="228">
        <v>41950</v>
      </c>
      <c r="B2170" s="161" t="s">
        <v>843</v>
      </c>
      <c r="C2170" t="s">
        <v>8</v>
      </c>
      <c r="D2170" t="s">
        <v>33</v>
      </c>
      <c r="E2170" s="162">
        <v>6</v>
      </c>
      <c r="F2170" s="162">
        <v>42.72</v>
      </c>
      <c r="G2170" s="165">
        <v>256.32</v>
      </c>
      <c r="H2170" s="20">
        <v>916</v>
      </c>
      <c r="I2170"/>
    </row>
    <row r="2171" spans="1:9" x14ac:dyDescent="0.25">
      <c r="A2171" s="228">
        <v>41953</v>
      </c>
      <c r="B2171" s="161" t="s">
        <v>843</v>
      </c>
      <c r="C2171" t="s">
        <v>8</v>
      </c>
      <c r="D2171" t="s">
        <v>33</v>
      </c>
      <c r="E2171" s="162">
        <v>8</v>
      </c>
      <c r="F2171" s="162">
        <v>42.72</v>
      </c>
      <c r="G2171" s="165">
        <v>341.76</v>
      </c>
      <c r="H2171" s="20">
        <v>916</v>
      </c>
      <c r="I2171"/>
    </row>
    <row r="2172" spans="1:9" x14ac:dyDescent="0.25">
      <c r="A2172" s="228">
        <v>41954</v>
      </c>
      <c r="B2172" s="161" t="s">
        <v>843</v>
      </c>
      <c r="C2172" t="s">
        <v>8</v>
      </c>
      <c r="D2172" t="s">
        <v>33</v>
      </c>
      <c r="E2172" s="162">
        <v>7</v>
      </c>
      <c r="F2172" s="162">
        <v>42.72</v>
      </c>
      <c r="G2172" s="165">
        <v>299.04000000000002</v>
      </c>
      <c r="H2172" s="20">
        <v>916</v>
      </c>
      <c r="I2172"/>
    </row>
    <row r="2173" spans="1:9" x14ac:dyDescent="0.25">
      <c r="A2173" s="228">
        <v>41955</v>
      </c>
      <c r="B2173" s="161" t="s">
        <v>843</v>
      </c>
      <c r="C2173" t="s">
        <v>8</v>
      </c>
      <c r="D2173" t="s">
        <v>33</v>
      </c>
      <c r="E2173" s="162">
        <v>8</v>
      </c>
      <c r="F2173" s="162">
        <v>42.72</v>
      </c>
      <c r="G2173" s="165">
        <v>341.76</v>
      </c>
      <c r="H2173" s="20">
        <v>916</v>
      </c>
      <c r="I2173"/>
    </row>
    <row r="2174" spans="1:9" x14ac:dyDescent="0.25">
      <c r="A2174" s="228">
        <v>41956</v>
      </c>
      <c r="B2174" s="161" t="s">
        <v>843</v>
      </c>
      <c r="C2174" t="s">
        <v>8</v>
      </c>
      <c r="D2174" t="s">
        <v>33</v>
      </c>
      <c r="E2174" s="162">
        <v>8</v>
      </c>
      <c r="F2174" s="162">
        <v>42.72</v>
      </c>
      <c r="G2174" s="165">
        <v>341.76</v>
      </c>
      <c r="H2174" s="20">
        <v>916</v>
      </c>
      <c r="I2174"/>
    </row>
    <row r="2175" spans="1:9" x14ac:dyDescent="0.25">
      <c r="A2175" s="228">
        <v>41957</v>
      </c>
      <c r="B2175" s="161" t="s">
        <v>843</v>
      </c>
      <c r="C2175" t="s">
        <v>8</v>
      </c>
      <c r="D2175" t="s">
        <v>33</v>
      </c>
      <c r="E2175" s="162">
        <v>7.5</v>
      </c>
      <c r="F2175" s="162">
        <v>42.72</v>
      </c>
      <c r="G2175" s="165">
        <v>320.39999999999998</v>
      </c>
      <c r="H2175" s="20">
        <v>916</v>
      </c>
      <c r="I2175"/>
    </row>
    <row r="2176" spans="1:9" x14ac:dyDescent="0.25">
      <c r="A2176" s="228">
        <v>41960</v>
      </c>
      <c r="B2176" s="161" t="s">
        <v>843</v>
      </c>
      <c r="C2176" t="s">
        <v>8</v>
      </c>
      <c r="D2176" t="s">
        <v>33</v>
      </c>
      <c r="E2176" s="162">
        <v>8</v>
      </c>
      <c r="F2176" s="162">
        <v>42.72</v>
      </c>
      <c r="G2176" s="165">
        <v>341.76</v>
      </c>
      <c r="H2176" s="20">
        <v>916</v>
      </c>
      <c r="I2176"/>
    </row>
    <row r="2177" spans="1:9" x14ac:dyDescent="0.25">
      <c r="A2177" s="228">
        <v>41961</v>
      </c>
      <c r="B2177" s="161" t="s">
        <v>843</v>
      </c>
      <c r="C2177" t="s">
        <v>8</v>
      </c>
      <c r="D2177" t="s">
        <v>33</v>
      </c>
      <c r="E2177" s="162">
        <v>5</v>
      </c>
      <c r="F2177" s="162">
        <v>42.72</v>
      </c>
      <c r="G2177" s="165">
        <v>213.6</v>
      </c>
      <c r="H2177" s="20">
        <v>916</v>
      </c>
      <c r="I2177"/>
    </row>
    <row r="2178" spans="1:9" x14ac:dyDescent="0.25">
      <c r="A2178" s="228">
        <v>41962</v>
      </c>
      <c r="B2178" s="161" t="s">
        <v>843</v>
      </c>
      <c r="C2178" t="s">
        <v>8</v>
      </c>
      <c r="D2178" t="s">
        <v>33</v>
      </c>
      <c r="E2178" s="162">
        <v>4</v>
      </c>
      <c r="F2178" s="162">
        <v>42.72</v>
      </c>
      <c r="G2178" s="165">
        <v>170.88</v>
      </c>
      <c r="H2178" s="20">
        <v>916</v>
      </c>
      <c r="I2178"/>
    </row>
    <row r="2179" spans="1:9" x14ac:dyDescent="0.25">
      <c r="A2179" s="228">
        <v>41963</v>
      </c>
      <c r="B2179" s="161" t="s">
        <v>843</v>
      </c>
      <c r="C2179" t="s">
        <v>8</v>
      </c>
      <c r="D2179" t="s">
        <v>33</v>
      </c>
      <c r="E2179" s="162">
        <v>2.5</v>
      </c>
      <c r="F2179" s="162">
        <v>42.72</v>
      </c>
      <c r="G2179" s="165">
        <v>106.8</v>
      </c>
      <c r="H2179" s="20">
        <v>916</v>
      </c>
      <c r="I2179"/>
    </row>
    <row r="2180" spans="1:9" x14ac:dyDescent="0.25">
      <c r="A2180" s="228">
        <v>41964</v>
      </c>
      <c r="B2180" s="161" t="s">
        <v>843</v>
      </c>
      <c r="C2180" t="s">
        <v>8</v>
      </c>
      <c r="D2180" t="s">
        <v>33</v>
      </c>
      <c r="E2180" s="162">
        <v>2.5</v>
      </c>
      <c r="F2180" s="162">
        <v>42.72</v>
      </c>
      <c r="G2180" s="165">
        <v>106.8</v>
      </c>
      <c r="H2180" s="20">
        <v>916</v>
      </c>
      <c r="I2180"/>
    </row>
    <row r="2181" spans="1:9" x14ac:dyDescent="0.25">
      <c r="A2181" s="228">
        <v>41968</v>
      </c>
      <c r="B2181" s="161" t="s">
        <v>843</v>
      </c>
      <c r="C2181" t="s">
        <v>8</v>
      </c>
      <c r="D2181" t="s">
        <v>33</v>
      </c>
      <c r="E2181" s="162">
        <v>9</v>
      </c>
      <c r="F2181" s="162">
        <v>42.72</v>
      </c>
      <c r="G2181" s="165">
        <v>384.48</v>
      </c>
      <c r="H2181" s="20">
        <v>916</v>
      </c>
      <c r="I2181"/>
    </row>
    <row r="2182" spans="1:9" x14ac:dyDescent="0.25">
      <c r="A2182" s="228">
        <v>41969</v>
      </c>
      <c r="B2182" s="161" t="s">
        <v>843</v>
      </c>
      <c r="C2182" t="s">
        <v>8</v>
      </c>
      <c r="D2182" t="s">
        <v>33</v>
      </c>
      <c r="E2182" s="162">
        <v>8</v>
      </c>
      <c r="F2182" s="162">
        <v>42.72</v>
      </c>
      <c r="G2182" s="165">
        <v>341.76</v>
      </c>
      <c r="H2182" s="20">
        <v>916</v>
      </c>
      <c r="I2182"/>
    </row>
    <row r="2183" spans="1:9" x14ac:dyDescent="0.25">
      <c r="A2183" s="228">
        <v>41970</v>
      </c>
      <c r="B2183" s="161" t="s">
        <v>843</v>
      </c>
      <c r="C2183" t="s">
        <v>8</v>
      </c>
      <c r="D2183" t="s">
        <v>33</v>
      </c>
      <c r="E2183" s="162">
        <v>8</v>
      </c>
      <c r="F2183" s="162">
        <v>42.72</v>
      </c>
      <c r="G2183" s="165">
        <v>341.76</v>
      </c>
      <c r="H2183" s="20">
        <v>916</v>
      </c>
      <c r="I2183"/>
    </row>
    <row r="2184" spans="1:9" x14ac:dyDescent="0.25">
      <c r="A2184" s="228">
        <v>41971</v>
      </c>
      <c r="B2184" s="161" t="s">
        <v>843</v>
      </c>
      <c r="C2184" t="s">
        <v>8</v>
      </c>
      <c r="D2184" t="s">
        <v>33</v>
      </c>
      <c r="E2184" s="162">
        <v>6</v>
      </c>
      <c r="F2184" s="162">
        <v>42.72</v>
      </c>
      <c r="G2184" s="165">
        <v>256.32</v>
      </c>
      <c r="H2184" s="20">
        <v>916</v>
      </c>
      <c r="I2184"/>
    </row>
    <row r="2185" spans="1:9" x14ac:dyDescent="0.25">
      <c r="A2185" s="228">
        <v>41974</v>
      </c>
      <c r="B2185" s="161" t="s">
        <v>843</v>
      </c>
      <c r="C2185" t="s">
        <v>8</v>
      </c>
      <c r="D2185" t="s">
        <v>33</v>
      </c>
      <c r="E2185" s="162">
        <v>8</v>
      </c>
      <c r="F2185" s="162">
        <v>42.72</v>
      </c>
      <c r="G2185" s="165">
        <v>341.76</v>
      </c>
      <c r="H2185" s="20">
        <v>916</v>
      </c>
      <c r="I2185"/>
    </row>
    <row r="2186" spans="1:9" x14ac:dyDescent="0.25">
      <c r="A2186" s="228">
        <v>41975</v>
      </c>
      <c r="B2186" s="161" t="s">
        <v>843</v>
      </c>
      <c r="C2186" t="s">
        <v>8</v>
      </c>
      <c r="D2186" t="s">
        <v>33</v>
      </c>
      <c r="E2186" s="162">
        <v>4.5</v>
      </c>
      <c r="F2186" s="162">
        <v>42.72</v>
      </c>
      <c r="G2186" s="165">
        <v>192.24</v>
      </c>
      <c r="H2186" s="20">
        <v>916</v>
      </c>
      <c r="I2186"/>
    </row>
    <row r="2187" spans="1:9" x14ac:dyDescent="0.25">
      <c r="A2187" s="228">
        <v>41976</v>
      </c>
      <c r="B2187" s="161" t="s">
        <v>843</v>
      </c>
      <c r="C2187" t="s">
        <v>8</v>
      </c>
      <c r="D2187" t="s">
        <v>33</v>
      </c>
      <c r="E2187" s="162">
        <v>5</v>
      </c>
      <c r="F2187" s="162">
        <v>42.72</v>
      </c>
      <c r="G2187" s="165">
        <v>213.6</v>
      </c>
      <c r="H2187" s="20">
        <v>916</v>
      </c>
      <c r="I2187"/>
    </row>
    <row r="2188" spans="1:9" x14ac:dyDescent="0.25">
      <c r="A2188" s="228">
        <v>41977</v>
      </c>
      <c r="B2188" s="161" t="s">
        <v>843</v>
      </c>
      <c r="C2188" t="s">
        <v>8</v>
      </c>
      <c r="D2188" t="s">
        <v>33</v>
      </c>
      <c r="E2188" s="162">
        <v>9.5</v>
      </c>
      <c r="F2188" s="162">
        <v>42.72</v>
      </c>
      <c r="G2188" s="165">
        <v>405.84</v>
      </c>
      <c r="H2188" s="20">
        <v>916</v>
      </c>
      <c r="I2188"/>
    </row>
    <row r="2189" spans="1:9" x14ac:dyDescent="0.25">
      <c r="A2189" s="228">
        <v>41978</v>
      </c>
      <c r="B2189" s="161" t="s">
        <v>843</v>
      </c>
      <c r="C2189" t="s">
        <v>8</v>
      </c>
      <c r="D2189" t="s">
        <v>33</v>
      </c>
      <c r="E2189" s="162">
        <v>6.5</v>
      </c>
      <c r="F2189" s="162">
        <v>42.72</v>
      </c>
      <c r="G2189" s="165">
        <v>277.68</v>
      </c>
      <c r="H2189" s="20">
        <v>916</v>
      </c>
      <c r="I2189"/>
    </row>
    <row r="2190" spans="1:9" x14ac:dyDescent="0.25">
      <c r="A2190" s="228">
        <v>42009</v>
      </c>
      <c r="B2190" s="161" t="s">
        <v>843</v>
      </c>
      <c r="C2190" t="s">
        <v>8</v>
      </c>
      <c r="D2190" t="s">
        <v>33</v>
      </c>
      <c r="E2190" s="162">
        <v>8</v>
      </c>
      <c r="F2190" s="162">
        <v>42.72</v>
      </c>
      <c r="G2190" s="165">
        <v>341.76</v>
      </c>
      <c r="H2190" s="20">
        <v>916</v>
      </c>
      <c r="I2190"/>
    </row>
    <row r="2191" spans="1:9" x14ac:dyDescent="0.25">
      <c r="A2191" s="228">
        <v>42010</v>
      </c>
      <c r="B2191" s="161" t="s">
        <v>843</v>
      </c>
      <c r="C2191" t="s">
        <v>8</v>
      </c>
      <c r="D2191" t="s">
        <v>33</v>
      </c>
      <c r="E2191" s="162">
        <v>3.5</v>
      </c>
      <c r="F2191" s="162">
        <v>42.72</v>
      </c>
      <c r="G2191" s="165">
        <v>149.52000000000001</v>
      </c>
      <c r="H2191" s="20">
        <v>916</v>
      </c>
      <c r="I2191"/>
    </row>
    <row r="2192" spans="1:9" x14ac:dyDescent="0.25">
      <c r="A2192" s="228">
        <v>42011</v>
      </c>
      <c r="B2192" s="161" t="s">
        <v>843</v>
      </c>
      <c r="C2192" t="s">
        <v>8</v>
      </c>
      <c r="D2192" t="s">
        <v>33</v>
      </c>
      <c r="E2192" s="162">
        <v>4</v>
      </c>
      <c r="F2192" s="162">
        <v>42.72</v>
      </c>
      <c r="G2192" s="165">
        <v>170.88</v>
      </c>
      <c r="H2192" s="20">
        <v>916</v>
      </c>
      <c r="I2192"/>
    </row>
    <row r="2193" spans="1:9" x14ac:dyDescent="0.25">
      <c r="A2193" s="228">
        <v>42012</v>
      </c>
      <c r="B2193" s="161" t="s">
        <v>843</v>
      </c>
      <c r="C2193" t="s">
        <v>8</v>
      </c>
      <c r="D2193" t="s">
        <v>33</v>
      </c>
      <c r="E2193" s="162">
        <v>8</v>
      </c>
      <c r="F2193" s="162">
        <v>42.72</v>
      </c>
      <c r="G2193" s="165">
        <v>341.76</v>
      </c>
      <c r="H2193" s="20">
        <v>916</v>
      </c>
      <c r="I2193"/>
    </row>
    <row r="2194" spans="1:9" x14ac:dyDescent="0.25">
      <c r="A2194" s="228">
        <v>42013</v>
      </c>
      <c r="B2194" s="161" t="s">
        <v>843</v>
      </c>
      <c r="C2194" t="s">
        <v>8</v>
      </c>
      <c r="D2194" t="s">
        <v>33</v>
      </c>
      <c r="E2194" s="162">
        <v>6</v>
      </c>
      <c r="F2194" s="162">
        <v>42.72</v>
      </c>
      <c r="G2194" s="165">
        <v>256.32</v>
      </c>
      <c r="H2194" s="20">
        <v>916</v>
      </c>
      <c r="I2194"/>
    </row>
    <row r="2195" spans="1:9" x14ac:dyDescent="0.25">
      <c r="A2195" s="228">
        <v>42017</v>
      </c>
      <c r="B2195" s="161" t="s">
        <v>843</v>
      </c>
      <c r="C2195" t="s">
        <v>8</v>
      </c>
      <c r="D2195" t="s">
        <v>33</v>
      </c>
      <c r="E2195" s="162">
        <v>8</v>
      </c>
      <c r="F2195" s="162">
        <v>42.72</v>
      </c>
      <c r="G2195" s="165">
        <v>341.76</v>
      </c>
      <c r="H2195" s="20">
        <v>916</v>
      </c>
      <c r="I2195"/>
    </row>
    <row r="2196" spans="1:9" x14ac:dyDescent="0.25">
      <c r="A2196" s="228">
        <v>42018</v>
      </c>
      <c r="B2196" s="161" t="s">
        <v>843</v>
      </c>
      <c r="C2196" t="s">
        <v>8</v>
      </c>
      <c r="D2196" t="s">
        <v>33</v>
      </c>
      <c r="E2196" s="162">
        <v>8</v>
      </c>
      <c r="F2196" s="162">
        <v>42.72</v>
      </c>
      <c r="G2196" s="165">
        <v>341.76</v>
      </c>
      <c r="H2196" s="20">
        <v>916</v>
      </c>
      <c r="I2196"/>
    </row>
    <row r="2197" spans="1:9" x14ac:dyDescent="0.25">
      <c r="A2197" s="228">
        <v>42020</v>
      </c>
      <c r="B2197" s="161" t="s">
        <v>843</v>
      </c>
      <c r="C2197" t="s">
        <v>8</v>
      </c>
      <c r="D2197" t="s">
        <v>33</v>
      </c>
      <c r="E2197" s="162">
        <v>2</v>
      </c>
      <c r="F2197" s="162">
        <v>42.72</v>
      </c>
      <c r="G2197" s="165">
        <v>85.44</v>
      </c>
      <c r="H2197" s="20">
        <v>916</v>
      </c>
      <c r="I2197"/>
    </row>
    <row r="2198" spans="1:9" x14ac:dyDescent="0.25">
      <c r="A2198" s="228">
        <v>42020</v>
      </c>
      <c r="B2198" s="161" t="s">
        <v>843</v>
      </c>
      <c r="C2198" t="s">
        <v>8</v>
      </c>
      <c r="D2198" t="s">
        <v>33</v>
      </c>
      <c r="E2198" s="162">
        <v>6</v>
      </c>
      <c r="F2198" s="162">
        <v>42.72</v>
      </c>
      <c r="G2198" s="165">
        <v>256.32</v>
      </c>
      <c r="H2198" s="20">
        <v>916</v>
      </c>
      <c r="I2198"/>
    </row>
    <row r="2199" spans="1:9" x14ac:dyDescent="0.25">
      <c r="A2199" s="228">
        <v>42023</v>
      </c>
      <c r="B2199" s="161" t="s">
        <v>843</v>
      </c>
      <c r="C2199" t="s">
        <v>8</v>
      </c>
      <c r="D2199" t="s">
        <v>33</v>
      </c>
      <c r="E2199" s="162">
        <v>8</v>
      </c>
      <c r="F2199" s="162">
        <v>42.72</v>
      </c>
      <c r="G2199" s="165">
        <v>341.76</v>
      </c>
      <c r="H2199" s="20">
        <v>916</v>
      </c>
      <c r="I2199"/>
    </row>
    <row r="2200" spans="1:9" x14ac:dyDescent="0.25">
      <c r="A2200" s="228">
        <v>42024</v>
      </c>
      <c r="B2200" s="161" t="s">
        <v>843</v>
      </c>
      <c r="C2200" t="s">
        <v>8</v>
      </c>
      <c r="D2200" t="s">
        <v>33</v>
      </c>
      <c r="E2200" s="162">
        <v>8</v>
      </c>
      <c r="F2200" s="162">
        <v>42.72</v>
      </c>
      <c r="G2200" s="165">
        <v>341.76</v>
      </c>
      <c r="H2200" s="20">
        <v>916</v>
      </c>
      <c r="I2200"/>
    </row>
    <row r="2201" spans="1:9" x14ac:dyDescent="0.25">
      <c r="A2201" s="228">
        <v>42026</v>
      </c>
      <c r="B2201" s="161" t="s">
        <v>843</v>
      </c>
      <c r="C2201" t="s">
        <v>8</v>
      </c>
      <c r="D2201" t="s">
        <v>33</v>
      </c>
      <c r="E2201" s="162">
        <v>2</v>
      </c>
      <c r="F2201" s="162">
        <v>42.72</v>
      </c>
      <c r="G2201" s="165">
        <v>85.44</v>
      </c>
      <c r="H2201" s="20">
        <v>916</v>
      </c>
      <c r="I2201"/>
    </row>
    <row r="2202" spans="1:9" x14ac:dyDescent="0.25">
      <c r="A2202" s="228">
        <v>42027</v>
      </c>
      <c r="B2202" s="161" t="s">
        <v>843</v>
      </c>
      <c r="C2202" t="s">
        <v>8</v>
      </c>
      <c r="D2202" t="s">
        <v>33</v>
      </c>
      <c r="E2202" s="162">
        <v>2</v>
      </c>
      <c r="F2202" s="162">
        <v>42.72</v>
      </c>
      <c r="G2202" s="165">
        <v>85.44</v>
      </c>
      <c r="H2202" s="20">
        <v>916</v>
      </c>
      <c r="I2202"/>
    </row>
    <row r="2203" spans="1:9" x14ac:dyDescent="0.25">
      <c r="A2203" s="228">
        <v>42031</v>
      </c>
      <c r="B2203" s="161" t="s">
        <v>843</v>
      </c>
      <c r="C2203" t="s">
        <v>8</v>
      </c>
      <c r="D2203" t="s">
        <v>33</v>
      </c>
      <c r="E2203" s="162">
        <v>8</v>
      </c>
      <c r="F2203" s="162">
        <v>42.72</v>
      </c>
      <c r="G2203" s="165">
        <v>341.76</v>
      </c>
      <c r="H2203" s="20">
        <v>916</v>
      </c>
      <c r="I2203"/>
    </row>
    <row r="2204" spans="1:9" x14ac:dyDescent="0.25">
      <c r="A2204" s="228">
        <v>42032</v>
      </c>
      <c r="B2204" s="161" t="s">
        <v>843</v>
      </c>
      <c r="C2204" t="s">
        <v>8</v>
      </c>
      <c r="D2204" t="s">
        <v>33</v>
      </c>
      <c r="E2204" s="162">
        <v>2</v>
      </c>
      <c r="F2204" s="162">
        <v>42.72</v>
      </c>
      <c r="G2204" s="165">
        <v>85.44</v>
      </c>
      <c r="H2204" s="20">
        <v>916</v>
      </c>
      <c r="I2204"/>
    </row>
    <row r="2205" spans="1:9" x14ac:dyDescent="0.25">
      <c r="A2205" s="228">
        <v>42033</v>
      </c>
      <c r="B2205" s="161" t="s">
        <v>843</v>
      </c>
      <c r="C2205" t="s">
        <v>8</v>
      </c>
      <c r="D2205" t="s">
        <v>33</v>
      </c>
      <c r="E2205" s="162">
        <v>1</v>
      </c>
      <c r="F2205" s="162">
        <v>42.72</v>
      </c>
      <c r="G2205" s="165">
        <v>42.72</v>
      </c>
      <c r="H2205" s="20">
        <v>916</v>
      </c>
      <c r="I2205"/>
    </row>
    <row r="2206" spans="1:9" x14ac:dyDescent="0.25">
      <c r="A2206" s="228">
        <v>42034</v>
      </c>
      <c r="B2206" s="161" t="s">
        <v>843</v>
      </c>
      <c r="C2206" t="s">
        <v>8</v>
      </c>
      <c r="D2206" t="s">
        <v>33</v>
      </c>
      <c r="E2206" s="162">
        <v>6</v>
      </c>
      <c r="F2206" s="162">
        <v>42.72</v>
      </c>
      <c r="G2206" s="165">
        <v>256.32</v>
      </c>
      <c r="H2206" s="20">
        <v>916</v>
      </c>
      <c r="I2206"/>
    </row>
    <row r="2207" spans="1:9" x14ac:dyDescent="0.25">
      <c r="A2207" s="228">
        <v>42037</v>
      </c>
      <c r="B2207" s="161" t="s">
        <v>843</v>
      </c>
      <c r="C2207" t="s">
        <v>8</v>
      </c>
      <c r="D2207" t="s">
        <v>33</v>
      </c>
      <c r="E2207" s="162">
        <v>1</v>
      </c>
      <c r="F2207" s="162">
        <v>42.72</v>
      </c>
      <c r="G2207" s="165">
        <v>42.72</v>
      </c>
      <c r="H2207" s="20">
        <v>916</v>
      </c>
      <c r="I2207"/>
    </row>
    <row r="2208" spans="1:9" x14ac:dyDescent="0.25">
      <c r="A2208" s="228">
        <v>42048</v>
      </c>
      <c r="B2208" s="161" t="s">
        <v>843</v>
      </c>
      <c r="C2208" t="s">
        <v>8</v>
      </c>
      <c r="D2208" t="s">
        <v>33</v>
      </c>
      <c r="E2208" s="162">
        <v>6</v>
      </c>
      <c r="F2208" s="162">
        <v>42.72</v>
      </c>
      <c r="G2208" s="165">
        <v>256.32</v>
      </c>
      <c r="H2208" s="20">
        <v>916</v>
      </c>
      <c r="I2208"/>
    </row>
    <row r="2209" spans="1:9" x14ac:dyDescent="0.25">
      <c r="A2209" s="228">
        <v>42053</v>
      </c>
      <c r="B2209" s="161" t="s">
        <v>843</v>
      </c>
      <c r="C2209" t="s">
        <v>8</v>
      </c>
      <c r="D2209" t="s">
        <v>33</v>
      </c>
      <c r="E2209" s="162">
        <v>1.5</v>
      </c>
      <c r="F2209" s="162">
        <v>42.72</v>
      </c>
      <c r="G2209" s="165">
        <v>64.08</v>
      </c>
      <c r="H2209" s="20">
        <v>916</v>
      </c>
      <c r="I2209"/>
    </row>
    <row r="2210" spans="1:9" x14ac:dyDescent="0.25">
      <c r="A2210" s="230" t="s">
        <v>642</v>
      </c>
      <c r="B2210" s="231" t="s">
        <v>1273</v>
      </c>
      <c r="C2210" s="232" t="s">
        <v>642</v>
      </c>
      <c r="D2210" s="232" t="s">
        <v>642</v>
      </c>
      <c r="E2210" s="233"/>
      <c r="F2210" s="233"/>
      <c r="G2210" s="234">
        <v>40631.39</v>
      </c>
      <c r="H2210" s="235" t="s">
        <v>642</v>
      </c>
      <c r="I2210"/>
    </row>
    <row r="2211" spans="1:9" x14ac:dyDescent="0.25">
      <c r="A2211" s="228" t="s">
        <v>642</v>
      </c>
      <c r="B2211" s="161" t="s">
        <v>642</v>
      </c>
      <c r="C2211" t="s">
        <v>642</v>
      </c>
      <c r="D2211" t="s">
        <v>642</v>
      </c>
      <c r="E2211" s="162"/>
      <c r="F2211" s="162"/>
      <c r="G2211" s="165"/>
      <c r="H2211" s="20" t="s">
        <v>642</v>
      </c>
      <c r="I2211"/>
    </row>
    <row r="2212" spans="1:9" x14ac:dyDescent="0.25">
      <c r="A2212" s="226" t="s">
        <v>642</v>
      </c>
      <c r="B2212" s="159" t="s">
        <v>1274</v>
      </c>
      <c r="C2212" s="64" t="s">
        <v>642</v>
      </c>
      <c r="D2212" s="64" t="s">
        <v>642</v>
      </c>
      <c r="E2212" s="227"/>
      <c r="F2212" s="227"/>
      <c r="G2212" s="166"/>
      <c r="H2212" s="160" t="s">
        <v>642</v>
      </c>
      <c r="I2212"/>
    </row>
    <row r="2213" spans="1:9" x14ac:dyDescent="0.25">
      <c r="A2213" s="228">
        <v>41770</v>
      </c>
      <c r="B2213" s="161" t="s">
        <v>1275</v>
      </c>
      <c r="C2213" t="s">
        <v>1241</v>
      </c>
      <c r="D2213" t="s">
        <v>747</v>
      </c>
      <c r="E2213" s="162">
        <v>5.6</v>
      </c>
      <c r="F2213" s="162">
        <v>171</v>
      </c>
      <c r="G2213" s="165">
        <v>957.6</v>
      </c>
      <c r="H2213" s="20" t="s">
        <v>538</v>
      </c>
      <c r="I2213"/>
    </row>
    <row r="2214" spans="1:9" x14ac:dyDescent="0.25">
      <c r="A2214" s="228">
        <v>41770</v>
      </c>
      <c r="B2214" s="161" t="s">
        <v>1275</v>
      </c>
      <c r="C2214" t="s">
        <v>1241</v>
      </c>
      <c r="D2214" t="s">
        <v>747</v>
      </c>
      <c r="E2214" s="162">
        <v>1</v>
      </c>
      <c r="F2214" s="162">
        <v>2745.6</v>
      </c>
      <c r="G2214" s="165">
        <v>2745.6</v>
      </c>
      <c r="H2214" s="20" t="s">
        <v>538</v>
      </c>
      <c r="I2214"/>
    </row>
    <row r="2215" spans="1:9" x14ac:dyDescent="0.25">
      <c r="A2215" s="228">
        <v>41772</v>
      </c>
      <c r="B2215" s="161" t="s">
        <v>1275</v>
      </c>
      <c r="C2215" t="s">
        <v>1241</v>
      </c>
      <c r="D2215" t="s">
        <v>747</v>
      </c>
      <c r="E2215" s="162">
        <v>5</v>
      </c>
      <c r="F2215" s="162">
        <v>171</v>
      </c>
      <c r="G2215" s="165">
        <v>855</v>
      </c>
      <c r="H2215" s="20" t="s">
        <v>538</v>
      </c>
      <c r="I2215"/>
    </row>
    <row r="2216" spans="1:9" x14ac:dyDescent="0.25">
      <c r="A2216" s="228">
        <v>41774</v>
      </c>
      <c r="B2216" s="161" t="s">
        <v>1275</v>
      </c>
      <c r="C2216" t="s">
        <v>1241</v>
      </c>
      <c r="D2216" t="s">
        <v>747</v>
      </c>
      <c r="E2216" s="162">
        <v>5.6</v>
      </c>
      <c r="F2216" s="162">
        <v>171</v>
      </c>
      <c r="G2216" s="165">
        <v>957.6</v>
      </c>
      <c r="H2216" s="20" t="s">
        <v>538</v>
      </c>
      <c r="I2216"/>
    </row>
    <row r="2217" spans="1:9" x14ac:dyDescent="0.25">
      <c r="A2217" s="228">
        <v>41775</v>
      </c>
      <c r="B2217" s="161" t="s">
        <v>1275</v>
      </c>
      <c r="C2217" t="s">
        <v>1241</v>
      </c>
      <c r="D2217" t="s">
        <v>747</v>
      </c>
      <c r="E2217" s="162">
        <v>1</v>
      </c>
      <c r="F2217" s="162">
        <v>1451.2</v>
      </c>
      <c r="G2217" s="165">
        <v>1451.2</v>
      </c>
      <c r="H2217" s="20" t="s">
        <v>538</v>
      </c>
      <c r="I2217"/>
    </row>
    <row r="2218" spans="1:9" x14ac:dyDescent="0.25">
      <c r="A2218" s="228">
        <v>41775</v>
      </c>
      <c r="B2218" s="161" t="s">
        <v>1275</v>
      </c>
      <c r="C2218" t="s">
        <v>1241</v>
      </c>
      <c r="D2218" t="s">
        <v>747</v>
      </c>
      <c r="E2218" s="162">
        <v>5.4</v>
      </c>
      <c r="F2218" s="162">
        <v>171</v>
      </c>
      <c r="G2218" s="165">
        <v>923.4</v>
      </c>
      <c r="H2218" s="20" t="s">
        <v>538</v>
      </c>
      <c r="I2218"/>
    </row>
    <row r="2219" spans="1:9" x14ac:dyDescent="0.25">
      <c r="A2219" s="228">
        <v>41780</v>
      </c>
      <c r="B2219" s="161" t="s">
        <v>1275</v>
      </c>
      <c r="C2219" t="s">
        <v>1241</v>
      </c>
      <c r="D2219" t="s">
        <v>747</v>
      </c>
      <c r="E2219" s="162">
        <v>5</v>
      </c>
      <c r="F2219" s="162">
        <v>170</v>
      </c>
      <c r="G2219" s="165">
        <v>850</v>
      </c>
      <c r="H2219" s="20" t="s">
        <v>538</v>
      </c>
      <c r="I2219"/>
    </row>
    <row r="2220" spans="1:9" x14ac:dyDescent="0.25">
      <c r="A2220" s="228">
        <v>41780</v>
      </c>
      <c r="B2220" s="161" t="s">
        <v>1276</v>
      </c>
      <c r="C2220" t="s">
        <v>1277</v>
      </c>
      <c r="D2220" t="s">
        <v>747</v>
      </c>
      <c r="E2220" s="162">
        <v>1</v>
      </c>
      <c r="F2220" s="162">
        <v>905</v>
      </c>
      <c r="G2220" s="165">
        <v>905</v>
      </c>
      <c r="H2220" s="20" t="s">
        <v>538</v>
      </c>
      <c r="I2220"/>
    </row>
    <row r="2221" spans="1:9" x14ac:dyDescent="0.25">
      <c r="A2221" s="228">
        <v>41781</v>
      </c>
      <c r="B2221" s="161" t="s">
        <v>954</v>
      </c>
      <c r="C2221" t="s">
        <v>1241</v>
      </c>
      <c r="D2221" t="s">
        <v>747</v>
      </c>
      <c r="E2221" s="162">
        <v>1</v>
      </c>
      <c r="F2221" s="162">
        <v>1424</v>
      </c>
      <c r="G2221" s="165">
        <v>1424</v>
      </c>
      <c r="H2221" s="20" t="s">
        <v>538</v>
      </c>
      <c r="I2221"/>
    </row>
    <row r="2222" spans="1:9" x14ac:dyDescent="0.25">
      <c r="A2222" s="228">
        <v>41785</v>
      </c>
      <c r="B2222" s="161" t="s">
        <v>1278</v>
      </c>
      <c r="C2222" t="s">
        <v>1277</v>
      </c>
      <c r="D2222" t="s">
        <v>747</v>
      </c>
      <c r="E2222" s="162">
        <v>1</v>
      </c>
      <c r="F2222" s="162">
        <v>1267</v>
      </c>
      <c r="G2222" s="165">
        <v>1267</v>
      </c>
      <c r="H2222" s="20" t="s">
        <v>538</v>
      </c>
      <c r="I2222"/>
    </row>
    <row r="2223" spans="1:9" x14ac:dyDescent="0.25">
      <c r="A2223" s="228">
        <v>41786</v>
      </c>
      <c r="B2223" s="161" t="s">
        <v>1278</v>
      </c>
      <c r="C2223" t="s">
        <v>1277</v>
      </c>
      <c r="D2223" t="s">
        <v>747</v>
      </c>
      <c r="E2223" s="162">
        <v>1</v>
      </c>
      <c r="F2223" s="162">
        <v>1744.2</v>
      </c>
      <c r="G2223" s="165">
        <v>1744.2</v>
      </c>
      <c r="H2223" s="20" t="s">
        <v>538</v>
      </c>
      <c r="I2223"/>
    </row>
    <row r="2224" spans="1:9" x14ac:dyDescent="0.25">
      <c r="A2224" s="228">
        <v>41787</v>
      </c>
      <c r="B2224" s="161" t="s">
        <v>1278</v>
      </c>
      <c r="C2224" t="s">
        <v>1277</v>
      </c>
      <c r="D2224" t="s">
        <v>747</v>
      </c>
      <c r="E2224" s="162">
        <v>1</v>
      </c>
      <c r="F2224" s="162">
        <v>2112</v>
      </c>
      <c r="G2224" s="165">
        <v>2112</v>
      </c>
      <c r="H2224" s="20" t="s">
        <v>538</v>
      </c>
      <c r="I2224"/>
    </row>
    <row r="2225" spans="1:9" x14ac:dyDescent="0.25">
      <c r="A2225" s="228">
        <v>41790</v>
      </c>
      <c r="B2225" s="161" t="s">
        <v>1278</v>
      </c>
      <c r="C2225" t="s">
        <v>1277</v>
      </c>
      <c r="D2225" t="s">
        <v>747</v>
      </c>
      <c r="E2225" s="162">
        <v>1</v>
      </c>
      <c r="F2225" s="162">
        <v>578</v>
      </c>
      <c r="G2225" s="165">
        <v>578</v>
      </c>
      <c r="H2225" s="20" t="s">
        <v>538</v>
      </c>
      <c r="I2225"/>
    </row>
    <row r="2226" spans="1:9" x14ac:dyDescent="0.25">
      <c r="A2226" s="228">
        <v>41792</v>
      </c>
      <c r="B2226" s="161" t="s">
        <v>954</v>
      </c>
      <c r="C2226" t="s">
        <v>1241</v>
      </c>
      <c r="D2226" t="s">
        <v>747</v>
      </c>
      <c r="E2226" s="162">
        <v>1</v>
      </c>
      <c r="F2226" s="162">
        <v>602.4</v>
      </c>
      <c r="G2226" s="165">
        <v>602.4</v>
      </c>
      <c r="H2226" s="20" t="s">
        <v>538</v>
      </c>
      <c r="I2226"/>
    </row>
    <row r="2227" spans="1:9" x14ac:dyDescent="0.25">
      <c r="A2227" s="228">
        <v>41807</v>
      </c>
      <c r="B2227" s="161" t="s">
        <v>954</v>
      </c>
      <c r="C2227" t="s">
        <v>1241</v>
      </c>
      <c r="D2227" t="s">
        <v>747</v>
      </c>
      <c r="E2227" s="162">
        <v>10.8</v>
      </c>
      <c r="F2227" s="162">
        <v>171</v>
      </c>
      <c r="G2227" s="165">
        <v>1846.8</v>
      </c>
      <c r="H2227" s="20" t="s">
        <v>538</v>
      </c>
      <c r="I2227"/>
    </row>
    <row r="2228" spans="1:9" x14ac:dyDescent="0.25">
      <c r="A2228" s="228">
        <v>41823</v>
      </c>
      <c r="B2228" s="161" t="s">
        <v>1279</v>
      </c>
      <c r="C2228" t="s">
        <v>1277</v>
      </c>
      <c r="D2228" t="s">
        <v>747</v>
      </c>
      <c r="E2228" s="162">
        <v>1</v>
      </c>
      <c r="F2228" s="162">
        <v>2499.1999999999998</v>
      </c>
      <c r="G2228" s="165">
        <v>2499.1999999999998</v>
      </c>
      <c r="H2228" s="20" t="s">
        <v>538</v>
      </c>
      <c r="I2228"/>
    </row>
    <row r="2229" spans="1:9" x14ac:dyDescent="0.25">
      <c r="A2229" s="228">
        <v>41824</v>
      </c>
      <c r="B2229" s="161" t="s">
        <v>1280</v>
      </c>
      <c r="C2229" t="s">
        <v>1277</v>
      </c>
      <c r="D2229" t="s">
        <v>747</v>
      </c>
      <c r="E2229" s="162">
        <v>1</v>
      </c>
      <c r="F2229" s="162">
        <v>1457.4</v>
      </c>
      <c r="G2229" s="165">
        <v>1457.4</v>
      </c>
      <c r="H2229" s="20" t="s">
        <v>538</v>
      </c>
      <c r="I2229"/>
    </row>
    <row r="2230" spans="1:9" x14ac:dyDescent="0.25">
      <c r="A2230" s="228">
        <v>41835</v>
      </c>
      <c r="B2230" s="161" t="s">
        <v>1275</v>
      </c>
      <c r="C2230" t="s">
        <v>1241</v>
      </c>
      <c r="D2230" t="s">
        <v>747</v>
      </c>
      <c r="E2230" s="162">
        <v>5.2</v>
      </c>
      <c r="F2230" s="162">
        <v>171</v>
      </c>
      <c r="G2230" s="165">
        <v>889.2</v>
      </c>
      <c r="H2230" s="20" t="s">
        <v>538</v>
      </c>
      <c r="I2230"/>
    </row>
    <row r="2231" spans="1:9" x14ac:dyDescent="0.25">
      <c r="A2231" s="228">
        <v>41836</v>
      </c>
      <c r="B2231" s="161" t="s">
        <v>1275</v>
      </c>
      <c r="C2231" t="s">
        <v>1241</v>
      </c>
      <c r="D2231" t="s">
        <v>747</v>
      </c>
      <c r="E2231" s="162">
        <v>5.4</v>
      </c>
      <c r="F2231" s="162">
        <v>171</v>
      </c>
      <c r="G2231" s="165">
        <v>923.4</v>
      </c>
      <c r="H2231" s="20" t="s">
        <v>538</v>
      </c>
      <c r="I2231"/>
    </row>
    <row r="2232" spans="1:9" x14ac:dyDescent="0.25">
      <c r="A2232" s="228">
        <v>41837</v>
      </c>
      <c r="B2232" s="161" t="s">
        <v>1275</v>
      </c>
      <c r="C2232" t="s">
        <v>1241</v>
      </c>
      <c r="D2232" t="s">
        <v>747</v>
      </c>
      <c r="E2232" s="162">
        <v>10.199999999999999</v>
      </c>
      <c r="F2232" s="162">
        <v>171</v>
      </c>
      <c r="G2232" s="165">
        <v>1744.2</v>
      </c>
      <c r="H2232" s="20" t="s">
        <v>538</v>
      </c>
      <c r="I2232"/>
    </row>
    <row r="2233" spans="1:9" x14ac:dyDescent="0.25">
      <c r="A2233" s="228">
        <v>41844</v>
      </c>
      <c r="B2233" s="161" t="s">
        <v>1275</v>
      </c>
      <c r="C2233" t="s">
        <v>1241</v>
      </c>
      <c r="D2233" t="s">
        <v>747</v>
      </c>
      <c r="E2233" s="162">
        <v>1</v>
      </c>
      <c r="F2233" s="162">
        <v>1778.4</v>
      </c>
      <c r="G2233" s="165">
        <v>1778.4</v>
      </c>
      <c r="H2233" s="20" t="s">
        <v>538</v>
      </c>
      <c r="I2233"/>
    </row>
    <row r="2234" spans="1:9" x14ac:dyDescent="0.25">
      <c r="A2234" s="228">
        <v>41849</v>
      </c>
      <c r="B2234" s="161" t="s">
        <v>1281</v>
      </c>
      <c r="C2234" t="s">
        <v>1241</v>
      </c>
      <c r="D2234" t="s">
        <v>747</v>
      </c>
      <c r="E2234" s="162">
        <v>1</v>
      </c>
      <c r="F2234" s="162">
        <v>2188.8000000000002</v>
      </c>
      <c r="G2234" s="165">
        <v>2188.8000000000002</v>
      </c>
      <c r="H2234" s="20" t="s">
        <v>538</v>
      </c>
      <c r="I2234"/>
    </row>
    <row r="2235" spans="1:9" x14ac:dyDescent="0.25">
      <c r="A2235" s="228">
        <v>41849</v>
      </c>
      <c r="B2235" s="161" t="s">
        <v>1282</v>
      </c>
      <c r="C2235" t="s">
        <v>1241</v>
      </c>
      <c r="D2235" t="s">
        <v>747</v>
      </c>
      <c r="E2235" s="162">
        <v>1</v>
      </c>
      <c r="F2235" s="162">
        <v>786.6</v>
      </c>
      <c r="G2235" s="165">
        <v>786.6</v>
      </c>
      <c r="H2235" s="20" t="s">
        <v>538</v>
      </c>
      <c r="I2235"/>
    </row>
    <row r="2236" spans="1:9" x14ac:dyDescent="0.25">
      <c r="A2236" s="228">
        <v>41856</v>
      </c>
      <c r="B2236" s="161" t="s">
        <v>1283</v>
      </c>
      <c r="C2236" t="s">
        <v>1241</v>
      </c>
      <c r="D2236" t="s">
        <v>747</v>
      </c>
      <c r="E2236" s="162">
        <v>5</v>
      </c>
      <c r="F2236" s="162">
        <v>171</v>
      </c>
      <c r="G2236" s="165">
        <v>855</v>
      </c>
      <c r="H2236" s="20" t="s">
        <v>538</v>
      </c>
      <c r="I2236"/>
    </row>
    <row r="2237" spans="1:9" ht="30" x14ac:dyDescent="0.25">
      <c r="A2237" s="228">
        <v>41921</v>
      </c>
      <c r="B2237" s="161" t="s">
        <v>1284</v>
      </c>
      <c r="C2237" t="s">
        <v>1241</v>
      </c>
      <c r="D2237" t="s">
        <v>747</v>
      </c>
      <c r="E2237" s="162">
        <v>1</v>
      </c>
      <c r="F2237" s="162">
        <v>792</v>
      </c>
      <c r="G2237" s="165">
        <v>792</v>
      </c>
      <c r="H2237" s="20" t="s">
        <v>538</v>
      </c>
      <c r="I2237"/>
    </row>
    <row r="2238" spans="1:9" x14ac:dyDescent="0.25">
      <c r="A2238" s="230" t="s">
        <v>642</v>
      </c>
      <c r="B2238" s="231" t="s">
        <v>1285</v>
      </c>
      <c r="C2238" s="232" t="s">
        <v>642</v>
      </c>
      <c r="D2238" s="232" t="s">
        <v>642</v>
      </c>
      <c r="E2238" s="233"/>
      <c r="F2238" s="233"/>
      <c r="G2238" s="234">
        <v>33134</v>
      </c>
      <c r="H2238" s="235" t="s">
        <v>642</v>
      </c>
      <c r="I2238"/>
    </row>
    <row r="2239" spans="1:9" x14ac:dyDescent="0.25">
      <c r="A2239" s="228" t="s">
        <v>642</v>
      </c>
      <c r="B2239" s="161" t="s">
        <v>642</v>
      </c>
      <c r="C2239" t="s">
        <v>642</v>
      </c>
      <c r="D2239" t="s">
        <v>642</v>
      </c>
      <c r="E2239" s="162"/>
      <c r="F2239" s="162"/>
      <c r="G2239" s="165"/>
      <c r="H2239" s="20" t="s">
        <v>642</v>
      </c>
      <c r="I2239"/>
    </row>
    <row r="2240" spans="1:9" x14ac:dyDescent="0.25">
      <c r="A2240" s="226" t="s">
        <v>642</v>
      </c>
      <c r="B2240" s="159" t="s">
        <v>1286</v>
      </c>
      <c r="C2240" s="64" t="s">
        <v>642</v>
      </c>
      <c r="D2240" s="64" t="s">
        <v>642</v>
      </c>
      <c r="E2240" s="227"/>
      <c r="F2240" s="227"/>
      <c r="G2240" s="166"/>
      <c r="H2240" s="160" t="s">
        <v>642</v>
      </c>
      <c r="I2240"/>
    </row>
    <row r="2241" spans="1:9" x14ac:dyDescent="0.25">
      <c r="A2241" s="228">
        <v>41796</v>
      </c>
      <c r="B2241" s="161" t="s">
        <v>1275</v>
      </c>
      <c r="C2241" t="s">
        <v>1241</v>
      </c>
      <c r="D2241" t="s">
        <v>747</v>
      </c>
      <c r="E2241" s="162">
        <v>1</v>
      </c>
      <c r="F2241" s="162">
        <v>923.4</v>
      </c>
      <c r="G2241" s="165">
        <v>923.4</v>
      </c>
      <c r="H2241" s="20" t="s">
        <v>534</v>
      </c>
      <c r="I2241"/>
    </row>
    <row r="2242" spans="1:9" x14ac:dyDescent="0.25">
      <c r="A2242" s="228">
        <v>41798</v>
      </c>
      <c r="B2242" s="161" t="s">
        <v>954</v>
      </c>
      <c r="C2242" t="s">
        <v>1241</v>
      </c>
      <c r="D2242" t="s">
        <v>747</v>
      </c>
      <c r="E2242" s="162">
        <v>1</v>
      </c>
      <c r="F2242" s="162">
        <v>656.8</v>
      </c>
      <c r="G2242" s="165">
        <v>656.8</v>
      </c>
      <c r="H2242" s="20" t="s">
        <v>534</v>
      </c>
      <c r="I2242"/>
    </row>
    <row r="2243" spans="1:9" x14ac:dyDescent="0.25">
      <c r="A2243" s="228">
        <v>41808</v>
      </c>
      <c r="B2243" s="161" t="s">
        <v>954</v>
      </c>
      <c r="C2243" t="s">
        <v>1241</v>
      </c>
      <c r="D2243" t="s">
        <v>747</v>
      </c>
      <c r="E2243" s="162">
        <v>1</v>
      </c>
      <c r="F2243" s="162">
        <v>855</v>
      </c>
      <c r="G2243" s="165">
        <v>855</v>
      </c>
      <c r="H2243" s="20" t="s">
        <v>534</v>
      </c>
      <c r="I2243"/>
    </row>
    <row r="2244" spans="1:9" x14ac:dyDescent="0.25">
      <c r="A2244" s="228">
        <v>41809</v>
      </c>
      <c r="B2244" s="161" t="s">
        <v>954</v>
      </c>
      <c r="C2244" t="s">
        <v>1241</v>
      </c>
      <c r="D2244" t="s">
        <v>747</v>
      </c>
      <c r="E2244" s="162">
        <v>1</v>
      </c>
      <c r="F2244" s="162">
        <v>2492.4</v>
      </c>
      <c r="G2244" s="165">
        <v>2492.4</v>
      </c>
      <c r="H2244" s="20" t="s">
        <v>534</v>
      </c>
      <c r="I2244"/>
    </row>
    <row r="2245" spans="1:9" x14ac:dyDescent="0.25">
      <c r="A2245" s="228">
        <v>41813</v>
      </c>
      <c r="B2245" s="161" t="s">
        <v>954</v>
      </c>
      <c r="C2245" t="s">
        <v>1241</v>
      </c>
      <c r="D2245" t="s">
        <v>747</v>
      </c>
      <c r="E2245" s="162">
        <v>7</v>
      </c>
      <c r="F2245" s="162">
        <v>1267</v>
      </c>
      <c r="G2245" s="165">
        <v>8869</v>
      </c>
      <c r="H2245" s="20" t="s">
        <v>534</v>
      </c>
      <c r="I2245"/>
    </row>
    <row r="2246" spans="1:9" ht="45" x14ac:dyDescent="0.25">
      <c r="A2246" s="228">
        <v>41816</v>
      </c>
      <c r="B2246" s="161" t="s">
        <v>1287</v>
      </c>
      <c r="C2246" t="s">
        <v>1241</v>
      </c>
      <c r="D2246" t="s">
        <v>747</v>
      </c>
      <c r="E2246" s="162">
        <v>1</v>
      </c>
      <c r="F2246" s="162">
        <v>2918</v>
      </c>
      <c r="G2246" s="165">
        <v>2918</v>
      </c>
      <c r="H2246" s="20" t="s">
        <v>534</v>
      </c>
      <c r="I2246"/>
    </row>
    <row r="2247" spans="1:9" x14ac:dyDescent="0.25">
      <c r="A2247" s="228">
        <v>41816</v>
      </c>
      <c r="B2247" s="161" t="s">
        <v>954</v>
      </c>
      <c r="C2247" t="s">
        <v>1241</v>
      </c>
      <c r="D2247" t="s">
        <v>747</v>
      </c>
      <c r="E2247" s="162">
        <v>1</v>
      </c>
      <c r="F2247" s="162">
        <v>575.20000000000005</v>
      </c>
      <c r="G2247" s="165">
        <v>575.20000000000005</v>
      </c>
      <c r="H2247" s="20" t="s">
        <v>534</v>
      </c>
      <c r="I2247"/>
    </row>
    <row r="2248" spans="1:9" x14ac:dyDescent="0.25">
      <c r="A2248" s="228">
        <v>41820</v>
      </c>
      <c r="B2248" s="161" t="s">
        <v>954</v>
      </c>
      <c r="C2248" t="s">
        <v>1241</v>
      </c>
      <c r="D2248" t="s">
        <v>747</v>
      </c>
      <c r="E2248" s="162">
        <v>1</v>
      </c>
      <c r="F2248" s="162">
        <v>1778.4</v>
      </c>
      <c r="G2248" s="165">
        <v>1778.4</v>
      </c>
      <c r="H2248" s="20" t="s">
        <v>534</v>
      </c>
      <c r="I2248"/>
    </row>
    <row r="2249" spans="1:9" x14ac:dyDescent="0.25">
      <c r="A2249" s="228">
        <v>41829</v>
      </c>
      <c r="B2249" s="161" t="s">
        <v>1288</v>
      </c>
      <c r="C2249" t="s">
        <v>1277</v>
      </c>
      <c r="D2249" t="s">
        <v>747</v>
      </c>
      <c r="E2249" s="162">
        <v>1</v>
      </c>
      <c r="F2249" s="162">
        <v>1710</v>
      </c>
      <c r="G2249" s="165">
        <v>1710</v>
      </c>
      <c r="H2249" s="20" t="s">
        <v>534</v>
      </c>
      <c r="I2249"/>
    </row>
    <row r="2250" spans="1:9" x14ac:dyDescent="0.25">
      <c r="A2250" s="228">
        <v>41837</v>
      </c>
      <c r="B2250" s="161" t="s">
        <v>1289</v>
      </c>
      <c r="C2250" t="s">
        <v>1241</v>
      </c>
      <c r="D2250" t="s">
        <v>747</v>
      </c>
      <c r="E2250" s="162">
        <v>10.199999999999999</v>
      </c>
      <c r="F2250" s="162">
        <v>171</v>
      </c>
      <c r="G2250" s="165">
        <v>1744.2</v>
      </c>
      <c r="H2250" s="20" t="s">
        <v>534</v>
      </c>
      <c r="I2250"/>
    </row>
    <row r="2251" spans="1:9" x14ac:dyDescent="0.25">
      <c r="A2251" s="228">
        <v>41856</v>
      </c>
      <c r="B2251" s="161" t="s">
        <v>1282</v>
      </c>
      <c r="C2251" t="s">
        <v>1241</v>
      </c>
      <c r="D2251" t="s">
        <v>747</v>
      </c>
      <c r="E2251" s="162">
        <v>2.2000000000000002</v>
      </c>
      <c r="F2251" s="162">
        <v>171</v>
      </c>
      <c r="G2251" s="165">
        <v>376.2</v>
      </c>
      <c r="H2251" s="20" t="s">
        <v>534</v>
      </c>
      <c r="I2251"/>
    </row>
    <row r="2252" spans="1:9" x14ac:dyDescent="0.25">
      <c r="A2252" s="228">
        <v>41865</v>
      </c>
      <c r="B2252" s="161" t="s">
        <v>1290</v>
      </c>
      <c r="C2252" t="s">
        <v>1241</v>
      </c>
      <c r="D2252" t="s">
        <v>747</v>
      </c>
      <c r="E2252" s="162">
        <v>5.4</v>
      </c>
      <c r="F2252" s="162">
        <v>171</v>
      </c>
      <c r="G2252" s="165">
        <v>923.4</v>
      </c>
      <c r="H2252" s="20" t="s">
        <v>534</v>
      </c>
      <c r="I2252"/>
    </row>
    <row r="2253" spans="1:9" ht="30" x14ac:dyDescent="0.25">
      <c r="A2253" s="228">
        <v>41907</v>
      </c>
      <c r="B2253" s="161" t="s">
        <v>1291</v>
      </c>
      <c r="C2253" t="s">
        <v>1241</v>
      </c>
      <c r="D2253" t="s">
        <v>747</v>
      </c>
      <c r="E2253" s="162">
        <v>1</v>
      </c>
      <c r="F2253" s="162">
        <v>303.2</v>
      </c>
      <c r="G2253" s="165">
        <v>303.2</v>
      </c>
      <c r="H2253" s="20" t="s">
        <v>534</v>
      </c>
      <c r="I2253"/>
    </row>
    <row r="2254" spans="1:9" ht="30" x14ac:dyDescent="0.25">
      <c r="A2254" s="228">
        <v>41928</v>
      </c>
      <c r="B2254" s="161" t="s">
        <v>1292</v>
      </c>
      <c r="C2254" t="s">
        <v>1241</v>
      </c>
      <c r="D2254" t="s">
        <v>747</v>
      </c>
      <c r="E2254" s="162">
        <v>1</v>
      </c>
      <c r="F2254" s="162">
        <v>923.4</v>
      </c>
      <c r="G2254" s="165">
        <v>923.4</v>
      </c>
      <c r="H2254" s="20" t="s">
        <v>534</v>
      </c>
      <c r="I2254"/>
    </row>
    <row r="2255" spans="1:9" ht="30" x14ac:dyDescent="0.25">
      <c r="A2255" s="228">
        <v>41928</v>
      </c>
      <c r="B2255" s="161" t="s">
        <v>1293</v>
      </c>
      <c r="C2255" t="s">
        <v>1241</v>
      </c>
      <c r="D2255" t="s">
        <v>747</v>
      </c>
      <c r="E2255" s="162">
        <v>1</v>
      </c>
      <c r="F2255" s="162">
        <v>923.4</v>
      </c>
      <c r="G2255" s="165">
        <v>923.4</v>
      </c>
      <c r="H2255" s="20" t="s">
        <v>534</v>
      </c>
      <c r="I2255"/>
    </row>
    <row r="2256" spans="1:9" ht="30" x14ac:dyDescent="0.25">
      <c r="A2256" s="228">
        <v>41938</v>
      </c>
      <c r="B2256" s="161" t="s">
        <v>1294</v>
      </c>
      <c r="C2256" t="s">
        <v>1241</v>
      </c>
      <c r="D2256" t="s">
        <v>747</v>
      </c>
      <c r="E2256" s="162">
        <v>5.2</v>
      </c>
      <c r="F2256" s="162">
        <v>171</v>
      </c>
      <c r="G2256" s="165">
        <v>889.2</v>
      </c>
      <c r="H2256" s="20" t="s">
        <v>534</v>
      </c>
      <c r="I2256"/>
    </row>
    <row r="2257" spans="1:9" ht="30" x14ac:dyDescent="0.25">
      <c r="A2257" s="228">
        <v>41943</v>
      </c>
      <c r="B2257" s="161" t="s">
        <v>1295</v>
      </c>
      <c r="C2257" t="s">
        <v>1241</v>
      </c>
      <c r="D2257" t="s">
        <v>747</v>
      </c>
      <c r="E2257" s="162">
        <v>4</v>
      </c>
      <c r="F2257" s="162">
        <v>171</v>
      </c>
      <c r="G2257" s="165">
        <v>684</v>
      </c>
      <c r="H2257" s="20" t="s">
        <v>534</v>
      </c>
      <c r="I2257"/>
    </row>
    <row r="2258" spans="1:9" ht="30" x14ac:dyDescent="0.25">
      <c r="A2258" s="228">
        <v>41943</v>
      </c>
      <c r="B2258" s="161" t="s">
        <v>1294</v>
      </c>
      <c r="C2258" t="s">
        <v>1241</v>
      </c>
      <c r="D2258" t="s">
        <v>747</v>
      </c>
      <c r="E2258" s="162">
        <v>5.2</v>
      </c>
      <c r="F2258" s="162">
        <v>171</v>
      </c>
      <c r="G2258" s="165">
        <v>889.2</v>
      </c>
      <c r="H2258" s="20" t="s">
        <v>534</v>
      </c>
      <c r="I2258"/>
    </row>
    <row r="2259" spans="1:9" ht="30" x14ac:dyDescent="0.25">
      <c r="A2259" s="228">
        <v>41943</v>
      </c>
      <c r="B2259" s="161" t="s">
        <v>1296</v>
      </c>
      <c r="C2259" t="s">
        <v>1241</v>
      </c>
      <c r="D2259" t="s">
        <v>747</v>
      </c>
      <c r="E2259" s="162">
        <v>1</v>
      </c>
      <c r="F2259" s="162">
        <v>493.6</v>
      </c>
      <c r="G2259" s="165">
        <v>493.6</v>
      </c>
      <c r="H2259" s="20" t="s">
        <v>534</v>
      </c>
      <c r="I2259"/>
    </row>
    <row r="2260" spans="1:9" ht="30" x14ac:dyDescent="0.25">
      <c r="A2260" s="228">
        <v>41947</v>
      </c>
      <c r="B2260" s="161" t="s">
        <v>1294</v>
      </c>
      <c r="C2260" t="s">
        <v>1241</v>
      </c>
      <c r="D2260" t="s">
        <v>747</v>
      </c>
      <c r="E2260" s="162">
        <v>4</v>
      </c>
      <c r="F2260" s="162">
        <v>171</v>
      </c>
      <c r="G2260" s="165">
        <v>684</v>
      </c>
      <c r="H2260" s="20" t="s">
        <v>534</v>
      </c>
      <c r="I2260"/>
    </row>
    <row r="2261" spans="1:9" ht="30" x14ac:dyDescent="0.25">
      <c r="A2261" s="228">
        <v>41959</v>
      </c>
      <c r="B2261" s="161" t="s">
        <v>1297</v>
      </c>
      <c r="C2261" t="s">
        <v>1241</v>
      </c>
      <c r="D2261" t="s">
        <v>747</v>
      </c>
      <c r="E2261" s="162">
        <v>1</v>
      </c>
      <c r="F2261" s="162">
        <v>967</v>
      </c>
      <c r="G2261" s="165">
        <v>967</v>
      </c>
      <c r="H2261" s="20" t="s">
        <v>534</v>
      </c>
      <c r="I2261"/>
    </row>
    <row r="2262" spans="1:9" ht="30" x14ac:dyDescent="0.25">
      <c r="A2262" s="228">
        <v>41968</v>
      </c>
      <c r="B2262" s="161" t="s">
        <v>1298</v>
      </c>
      <c r="C2262" t="s">
        <v>1241</v>
      </c>
      <c r="D2262" t="s">
        <v>747</v>
      </c>
      <c r="E2262" s="162">
        <v>1</v>
      </c>
      <c r="F2262" s="162">
        <v>656.8</v>
      </c>
      <c r="G2262" s="165">
        <v>656.8</v>
      </c>
      <c r="H2262" s="20" t="s">
        <v>534</v>
      </c>
      <c r="I2262"/>
    </row>
    <row r="2263" spans="1:9" ht="30" x14ac:dyDescent="0.25">
      <c r="A2263" s="228">
        <v>41969</v>
      </c>
      <c r="B2263" s="161" t="s">
        <v>1299</v>
      </c>
      <c r="C2263" t="s">
        <v>1241</v>
      </c>
      <c r="D2263" t="s">
        <v>747</v>
      </c>
      <c r="E2263" s="162">
        <v>4.8</v>
      </c>
      <c r="F2263" s="162">
        <v>171</v>
      </c>
      <c r="G2263" s="165">
        <v>820.8</v>
      </c>
      <c r="H2263" s="20" t="s">
        <v>534</v>
      </c>
      <c r="I2263"/>
    </row>
    <row r="2264" spans="1:9" ht="30" x14ac:dyDescent="0.25">
      <c r="A2264" s="228">
        <v>41973</v>
      </c>
      <c r="B2264" s="161" t="s">
        <v>1300</v>
      </c>
      <c r="C2264" t="s">
        <v>1241</v>
      </c>
      <c r="D2264" t="s">
        <v>747</v>
      </c>
      <c r="E2264" s="162">
        <v>1</v>
      </c>
      <c r="F2264" s="162">
        <v>412.2</v>
      </c>
      <c r="G2264" s="165">
        <v>412.2</v>
      </c>
      <c r="H2264" s="20" t="s">
        <v>534</v>
      </c>
      <c r="I2264"/>
    </row>
    <row r="2265" spans="1:9" ht="30" x14ac:dyDescent="0.25">
      <c r="A2265" s="228">
        <v>41975</v>
      </c>
      <c r="B2265" s="161" t="s">
        <v>1300</v>
      </c>
      <c r="C2265" t="s">
        <v>1241</v>
      </c>
      <c r="D2265" t="s">
        <v>747</v>
      </c>
      <c r="E2265" s="162">
        <v>1</v>
      </c>
      <c r="F2265" s="162">
        <v>412</v>
      </c>
      <c r="G2265" s="165">
        <v>412</v>
      </c>
      <c r="H2265" s="20" t="s">
        <v>534</v>
      </c>
      <c r="I2265"/>
    </row>
    <row r="2266" spans="1:9" ht="30" x14ac:dyDescent="0.25">
      <c r="A2266" s="228">
        <v>41983</v>
      </c>
      <c r="B2266" s="161" t="s">
        <v>1301</v>
      </c>
      <c r="C2266" t="s">
        <v>1241</v>
      </c>
      <c r="D2266" t="s">
        <v>747</v>
      </c>
      <c r="E2266" s="162">
        <v>1</v>
      </c>
      <c r="F2266" s="162">
        <v>493.6</v>
      </c>
      <c r="G2266" s="165">
        <v>493.6</v>
      </c>
      <c r="H2266" s="20" t="s">
        <v>534</v>
      </c>
      <c r="I2266"/>
    </row>
    <row r="2267" spans="1:9" ht="30" x14ac:dyDescent="0.25">
      <c r="A2267" s="228">
        <v>41984</v>
      </c>
      <c r="B2267" s="161" t="s">
        <v>1302</v>
      </c>
      <c r="C2267" t="s">
        <v>1241</v>
      </c>
      <c r="D2267" t="s">
        <v>747</v>
      </c>
      <c r="E2267" s="162">
        <v>1</v>
      </c>
      <c r="F2267" s="162">
        <v>221.6</v>
      </c>
      <c r="G2267" s="165">
        <v>221.6</v>
      </c>
      <c r="H2267" s="20" t="s">
        <v>534</v>
      </c>
      <c r="I2267"/>
    </row>
    <row r="2268" spans="1:9" ht="30" x14ac:dyDescent="0.25">
      <c r="A2268" s="228">
        <v>41985</v>
      </c>
      <c r="B2268" s="161" t="s">
        <v>1301</v>
      </c>
      <c r="C2268" t="s">
        <v>1241</v>
      </c>
      <c r="D2268" t="s">
        <v>747</v>
      </c>
      <c r="E2268" s="162">
        <v>4</v>
      </c>
      <c r="F2268" s="162"/>
      <c r="G2268" s="165"/>
      <c r="H2268" s="20" t="s">
        <v>534</v>
      </c>
      <c r="I2268"/>
    </row>
    <row r="2269" spans="1:9" x14ac:dyDescent="0.25">
      <c r="A2269" s="230" t="s">
        <v>642</v>
      </c>
      <c r="B2269" s="231" t="s">
        <v>1303</v>
      </c>
      <c r="C2269" s="232" t="s">
        <v>642</v>
      </c>
      <c r="D2269" s="232" t="s">
        <v>642</v>
      </c>
      <c r="E2269" s="233"/>
      <c r="F2269" s="233"/>
      <c r="G2269" s="234">
        <v>33596</v>
      </c>
      <c r="H2269" s="235" t="s">
        <v>642</v>
      </c>
      <c r="I2269"/>
    </row>
    <row r="2270" spans="1:9" x14ac:dyDescent="0.25">
      <c r="A2270" s="228" t="s">
        <v>642</v>
      </c>
      <c r="B2270" s="161" t="s">
        <v>642</v>
      </c>
      <c r="C2270" t="s">
        <v>642</v>
      </c>
      <c r="D2270" t="s">
        <v>642</v>
      </c>
      <c r="E2270" s="162"/>
      <c r="F2270" s="162"/>
      <c r="G2270" s="165"/>
      <c r="H2270" s="20" t="s">
        <v>642</v>
      </c>
      <c r="I2270"/>
    </row>
    <row r="2271" spans="1:9" x14ac:dyDescent="0.25">
      <c r="A2271" s="226" t="s">
        <v>642</v>
      </c>
      <c r="B2271" s="159" t="s">
        <v>1304</v>
      </c>
      <c r="C2271" s="64" t="s">
        <v>642</v>
      </c>
      <c r="D2271" s="64" t="s">
        <v>642</v>
      </c>
      <c r="E2271" s="227"/>
      <c r="F2271" s="227"/>
      <c r="G2271" s="166"/>
      <c r="H2271" s="160" t="s">
        <v>642</v>
      </c>
      <c r="I2271"/>
    </row>
    <row r="2272" spans="1:9" x14ac:dyDescent="0.25">
      <c r="A2272" s="228">
        <v>41858</v>
      </c>
      <c r="B2272" s="161" t="s">
        <v>483</v>
      </c>
      <c r="C2272" t="s">
        <v>1305</v>
      </c>
      <c r="D2272" t="s">
        <v>747</v>
      </c>
      <c r="E2272" s="162">
        <v>1</v>
      </c>
      <c r="F2272" s="162">
        <v>351.4</v>
      </c>
      <c r="G2272" s="165">
        <v>351.4</v>
      </c>
      <c r="H2272" s="20" t="s">
        <v>545</v>
      </c>
      <c r="I2272"/>
    </row>
    <row r="2273" spans="1:9" x14ac:dyDescent="0.25">
      <c r="A2273" s="228">
        <v>41914</v>
      </c>
      <c r="B2273" s="161" t="s">
        <v>483</v>
      </c>
      <c r="C2273" t="s">
        <v>1305</v>
      </c>
      <c r="D2273" t="s">
        <v>747</v>
      </c>
      <c r="E2273" s="162">
        <v>1</v>
      </c>
      <c r="F2273" s="162">
        <v>368.8</v>
      </c>
      <c r="G2273" s="165">
        <v>368.8</v>
      </c>
      <c r="H2273" s="20" t="s">
        <v>545</v>
      </c>
      <c r="I2273"/>
    </row>
    <row r="2274" spans="1:9" x14ac:dyDescent="0.25">
      <c r="A2274" s="228">
        <v>41917</v>
      </c>
      <c r="B2274" s="161" t="s">
        <v>1306</v>
      </c>
      <c r="C2274" t="s">
        <v>1305</v>
      </c>
      <c r="D2274" t="s">
        <v>747</v>
      </c>
      <c r="E2274" s="162">
        <v>1</v>
      </c>
      <c r="F2274" s="162">
        <v>639</v>
      </c>
      <c r="G2274" s="165">
        <v>639</v>
      </c>
      <c r="H2274" s="20" t="s">
        <v>545</v>
      </c>
      <c r="I2274"/>
    </row>
    <row r="2275" spans="1:9" x14ac:dyDescent="0.25">
      <c r="A2275" s="230" t="s">
        <v>642</v>
      </c>
      <c r="B2275" s="231" t="s">
        <v>1307</v>
      </c>
      <c r="C2275" s="232" t="s">
        <v>642</v>
      </c>
      <c r="D2275" s="232" t="s">
        <v>642</v>
      </c>
      <c r="E2275" s="233"/>
      <c r="F2275" s="233"/>
      <c r="G2275" s="234">
        <v>1359.2</v>
      </c>
      <c r="H2275" s="235" t="s">
        <v>642</v>
      </c>
      <c r="I2275"/>
    </row>
    <row r="2276" spans="1:9" x14ac:dyDescent="0.25">
      <c r="A2276" s="228" t="s">
        <v>642</v>
      </c>
      <c r="B2276" s="161" t="s">
        <v>642</v>
      </c>
      <c r="C2276" t="s">
        <v>642</v>
      </c>
      <c r="D2276" t="s">
        <v>642</v>
      </c>
      <c r="E2276" s="162"/>
      <c r="F2276" s="162"/>
      <c r="G2276" s="165"/>
      <c r="H2276" s="20" t="s">
        <v>642</v>
      </c>
      <c r="I2276"/>
    </row>
    <row r="2277" spans="1:9" x14ac:dyDescent="0.25">
      <c r="A2277" s="226" t="s">
        <v>642</v>
      </c>
      <c r="B2277" s="159" t="s">
        <v>1308</v>
      </c>
      <c r="C2277" s="64" t="s">
        <v>642</v>
      </c>
      <c r="D2277" s="64" t="s">
        <v>642</v>
      </c>
      <c r="E2277" s="227"/>
      <c r="F2277" s="227"/>
      <c r="G2277" s="166"/>
      <c r="H2277" s="160" t="s">
        <v>642</v>
      </c>
      <c r="I2277"/>
    </row>
    <row r="2278" spans="1:9" x14ac:dyDescent="0.25">
      <c r="A2278" s="228">
        <v>41905</v>
      </c>
      <c r="B2278" s="161" t="s">
        <v>483</v>
      </c>
      <c r="C2278" t="s">
        <v>1305</v>
      </c>
      <c r="D2278" t="s">
        <v>747</v>
      </c>
      <c r="E2278" s="162">
        <v>1</v>
      </c>
      <c r="F2278" s="162">
        <v>5311</v>
      </c>
      <c r="G2278" s="165">
        <v>5311</v>
      </c>
      <c r="H2278" s="20" t="s">
        <v>532</v>
      </c>
      <c r="I2278"/>
    </row>
    <row r="2279" spans="1:9" x14ac:dyDescent="0.25">
      <c r="A2279" s="230" t="s">
        <v>642</v>
      </c>
      <c r="B2279" s="231" t="s">
        <v>1309</v>
      </c>
      <c r="C2279" s="232" t="s">
        <v>642</v>
      </c>
      <c r="D2279" s="232" t="s">
        <v>642</v>
      </c>
      <c r="E2279" s="233"/>
      <c r="F2279" s="233"/>
      <c r="G2279" s="234">
        <v>5311</v>
      </c>
      <c r="H2279" s="235" t="s">
        <v>642</v>
      </c>
      <c r="I2279"/>
    </row>
    <row r="2280" spans="1:9" x14ac:dyDescent="0.25">
      <c r="A2280" s="228" t="s">
        <v>642</v>
      </c>
      <c r="B2280" s="161" t="s">
        <v>642</v>
      </c>
      <c r="C2280" t="s">
        <v>642</v>
      </c>
      <c r="D2280" t="s">
        <v>642</v>
      </c>
      <c r="E2280" s="162"/>
      <c r="F2280" s="162"/>
      <c r="G2280" s="165"/>
      <c r="H2280" s="20" t="s">
        <v>642</v>
      </c>
      <c r="I2280"/>
    </row>
    <row r="2281" spans="1:9" x14ac:dyDescent="0.25">
      <c r="A2281" s="226" t="s">
        <v>642</v>
      </c>
      <c r="B2281" s="159" t="s">
        <v>1310</v>
      </c>
      <c r="C2281" s="64" t="s">
        <v>642</v>
      </c>
      <c r="D2281" s="64" t="s">
        <v>642</v>
      </c>
      <c r="E2281" s="227"/>
      <c r="F2281" s="227"/>
      <c r="G2281" s="166"/>
      <c r="H2281" s="160" t="s">
        <v>642</v>
      </c>
      <c r="I2281"/>
    </row>
    <row r="2282" spans="1:9" x14ac:dyDescent="0.25">
      <c r="A2282" s="228">
        <v>41949</v>
      </c>
      <c r="B2282" s="161" t="s">
        <v>1311</v>
      </c>
      <c r="C2282" t="s">
        <v>1312</v>
      </c>
      <c r="D2282" t="s">
        <v>747</v>
      </c>
      <c r="E2282" s="162">
        <v>1</v>
      </c>
      <c r="F2282" s="162">
        <v>854</v>
      </c>
      <c r="G2282" s="165">
        <v>854</v>
      </c>
      <c r="H2282" s="20" t="s">
        <v>536</v>
      </c>
      <c r="I2282"/>
    </row>
    <row r="2283" spans="1:9" x14ac:dyDescent="0.25">
      <c r="A2283" s="228">
        <v>41949</v>
      </c>
      <c r="B2283" s="161" t="s">
        <v>1311</v>
      </c>
      <c r="C2283" t="s">
        <v>1312</v>
      </c>
      <c r="D2283" t="s">
        <v>747</v>
      </c>
      <c r="E2283" s="162">
        <v>1</v>
      </c>
      <c r="F2283" s="162">
        <v>854</v>
      </c>
      <c r="G2283" s="165">
        <v>854</v>
      </c>
      <c r="H2283" s="20" t="s">
        <v>536</v>
      </c>
      <c r="I2283"/>
    </row>
    <row r="2284" spans="1:9" x14ac:dyDescent="0.25">
      <c r="A2284" s="228">
        <v>41950</v>
      </c>
      <c r="B2284" s="161" t="s">
        <v>1311</v>
      </c>
      <c r="C2284" t="s">
        <v>1312</v>
      </c>
      <c r="D2284" t="s">
        <v>747</v>
      </c>
      <c r="E2284" s="162">
        <v>1</v>
      </c>
      <c r="F2284" s="162">
        <v>812</v>
      </c>
      <c r="G2284" s="165">
        <v>812</v>
      </c>
      <c r="H2284" s="20" t="s">
        <v>536</v>
      </c>
      <c r="I2284"/>
    </row>
    <row r="2285" spans="1:9" x14ac:dyDescent="0.25">
      <c r="A2285" s="228">
        <v>41954</v>
      </c>
      <c r="B2285" s="161" t="s">
        <v>1313</v>
      </c>
      <c r="C2285" t="s">
        <v>1312</v>
      </c>
      <c r="D2285" t="s">
        <v>747</v>
      </c>
      <c r="E2285" s="162">
        <v>1</v>
      </c>
      <c r="F2285" s="162">
        <v>914</v>
      </c>
      <c r="G2285" s="165">
        <v>914</v>
      </c>
      <c r="H2285" s="20" t="s">
        <v>536</v>
      </c>
      <c r="I2285"/>
    </row>
    <row r="2286" spans="1:9" x14ac:dyDescent="0.25">
      <c r="A2286" s="228">
        <v>41954</v>
      </c>
      <c r="B2286" s="161" t="s">
        <v>1311</v>
      </c>
      <c r="C2286" t="s">
        <v>1312</v>
      </c>
      <c r="D2286" t="s">
        <v>747</v>
      </c>
      <c r="E2286" s="162">
        <v>1</v>
      </c>
      <c r="F2286" s="162">
        <v>1540</v>
      </c>
      <c r="G2286" s="165">
        <v>1540</v>
      </c>
      <c r="H2286" s="20" t="s">
        <v>536</v>
      </c>
      <c r="I2286"/>
    </row>
    <row r="2287" spans="1:9" x14ac:dyDescent="0.25">
      <c r="A2287" s="228">
        <v>41955</v>
      </c>
      <c r="B2287" s="161" t="s">
        <v>1311</v>
      </c>
      <c r="C2287" t="s">
        <v>1312</v>
      </c>
      <c r="D2287" t="s">
        <v>747</v>
      </c>
      <c r="E2287" s="162">
        <v>1</v>
      </c>
      <c r="F2287" s="162">
        <v>1020</v>
      </c>
      <c r="G2287" s="165">
        <v>1020</v>
      </c>
      <c r="H2287" s="20" t="s">
        <v>536</v>
      </c>
      <c r="I2287"/>
    </row>
    <row r="2288" spans="1:9" x14ac:dyDescent="0.25">
      <c r="A2288" s="228">
        <v>41955</v>
      </c>
      <c r="B2288" s="161" t="s">
        <v>1311</v>
      </c>
      <c r="C2288" t="s">
        <v>1312</v>
      </c>
      <c r="D2288" t="s">
        <v>747</v>
      </c>
      <c r="E2288" s="162">
        <v>1</v>
      </c>
      <c r="F2288" s="162">
        <v>686</v>
      </c>
      <c r="G2288" s="165">
        <v>686</v>
      </c>
      <c r="H2288" s="20" t="s">
        <v>536</v>
      </c>
      <c r="I2288"/>
    </row>
    <row r="2289" spans="1:9" x14ac:dyDescent="0.25">
      <c r="A2289" s="228">
        <v>41956</v>
      </c>
      <c r="B2289" s="161" t="s">
        <v>1313</v>
      </c>
      <c r="C2289" t="s">
        <v>1312</v>
      </c>
      <c r="D2289" t="s">
        <v>747</v>
      </c>
      <c r="E2289" s="162">
        <v>4</v>
      </c>
      <c r="F2289" s="162">
        <v>250</v>
      </c>
      <c r="G2289" s="165">
        <v>1000</v>
      </c>
      <c r="H2289" s="20" t="s">
        <v>536</v>
      </c>
      <c r="I2289"/>
    </row>
    <row r="2290" spans="1:9" x14ac:dyDescent="0.25">
      <c r="A2290" s="228">
        <v>41968</v>
      </c>
      <c r="B2290" s="161" t="s">
        <v>1314</v>
      </c>
      <c r="C2290" t="s">
        <v>1312</v>
      </c>
      <c r="D2290" t="s">
        <v>747</v>
      </c>
      <c r="E2290" s="162">
        <v>1</v>
      </c>
      <c r="F2290" s="162">
        <v>957</v>
      </c>
      <c r="G2290" s="165">
        <v>957</v>
      </c>
      <c r="H2290" s="20" t="s">
        <v>536</v>
      </c>
      <c r="I2290"/>
    </row>
    <row r="2291" spans="1:9" x14ac:dyDescent="0.25">
      <c r="A2291" s="228">
        <v>41973</v>
      </c>
      <c r="B2291" s="161" t="s">
        <v>1315</v>
      </c>
      <c r="C2291" t="s">
        <v>1312</v>
      </c>
      <c r="D2291" t="s">
        <v>747</v>
      </c>
      <c r="E2291" s="162">
        <v>1</v>
      </c>
      <c r="F2291" s="162">
        <v>686</v>
      </c>
      <c r="G2291" s="165">
        <v>686</v>
      </c>
      <c r="H2291" s="20" t="s">
        <v>536</v>
      </c>
      <c r="I2291"/>
    </row>
    <row r="2292" spans="1:9" x14ac:dyDescent="0.25">
      <c r="A2292" s="228">
        <v>41978</v>
      </c>
      <c r="B2292" s="161" t="s">
        <v>1316</v>
      </c>
      <c r="C2292" t="s">
        <v>1312</v>
      </c>
      <c r="D2292" t="s">
        <v>747</v>
      </c>
      <c r="E2292" s="162">
        <v>4</v>
      </c>
      <c r="F2292" s="162">
        <v>245</v>
      </c>
      <c r="G2292" s="165">
        <v>980</v>
      </c>
      <c r="H2292" s="20" t="s">
        <v>536</v>
      </c>
      <c r="I2292"/>
    </row>
    <row r="2293" spans="1:9" ht="30" x14ac:dyDescent="0.25">
      <c r="A2293" s="228">
        <v>41982</v>
      </c>
      <c r="B2293" s="161" t="s">
        <v>1317</v>
      </c>
      <c r="C2293" t="s">
        <v>1312</v>
      </c>
      <c r="D2293" t="s">
        <v>747</v>
      </c>
      <c r="E2293" s="162">
        <v>5</v>
      </c>
      <c r="F2293" s="162">
        <v>213</v>
      </c>
      <c r="G2293" s="165">
        <v>1065</v>
      </c>
      <c r="H2293" s="20" t="s">
        <v>536</v>
      </c>
      <c r="I2293"/>
    </row>
    <row r="2294" spans="1:9" ht="30" x14ac:dyDescent="0.25">
      <c r="A2294" s="228">
        <v>41982</v>
      </c>
      <c r="B2294" s="161" t="s">
        <v>1318</v>
      </c>
      <c r="C2294" t="s">
        <v>1312</v>
      </c>
      <c r="D2294" t="s">
        <v>747</v>
      </c>
      <c r="E2294" s="162">
        <v>1</v>
      </c>
      <c r="F2294" s="162">
        <v>2571</v>
      </c>
      <c r="G2294" s="165">
        <v>2571</v>
      </c>
      <c r="H2294" s="20" t="s">
        <v>536</v>
      </c>
      <c r="I2294"/>
    </row>
    <row r="2295" spans="1:9" x14ac:dyDescent="0.25">
      <c r="A2295" s="230" t="s">
        <v>642</v>
      </c>
      <c r="B2295" s="231" t="s">
        <v>1319</v>
      </c>
      <c r="C2295" s="232" t="s">
        <v>642</v>
      </c>
      <c r="D2295" s="232" t="s">
        <v>642</v>
      </c>
      <c r="E2295" s="233"/>
      <c r="F2295" s="233"/>
      <c r="G2295" s="234">
        <v>13939</v>
      </c>
      <c r="H2295" s="235" t="s">
        <v>642</v>
      </c>
      <c r="I2295"/>
    </row>
    <row r="2296" spans="1:9" x14ac:dyDescent="0.25">
      <c r="A2296" s="228" t="s">
        <v>642</v>
      </c>
      <c r="B2296" s="161" t="s">
        <v>642</v>
      </c>
      <c r="C2296" t="s">
        <v>642</v>
      </c>
      <c r="D2296" t="s">
        <v>642</v>
      </c>
      <c r="E2296" s="162"/>
      <c r="F2296" s="162"/>
      <c r="G2296" s="165"/>
      <c r="H2296" s="20" t="s">
        <v>642</v>
      </c>
      <c r="I2296"/>
    </row>
    <row r="2297" spans="1:9" x14ac:dyDescent="0.25">
      <c r="A2297" s="226" t="s">
        <v>642</v>
      </c>
      <c r="B2297" s="159" t="s">
        <v>1320</v>
      </c>
      <c r="C2297" s="64" t="s">
        <v>642</v>
      </c>
      <c r="D2297" s="64" t="s">
        <v>642</v>
      </c>
      <c r="E2297" s="227"/>
      <c r="F2297" s="227"/>
      <c r="G2297" s="166"/>
      <c r="H2297" s="160" t="s">
        <v>642</v>
      </c>
      <c r="I2297"/>
    </row>
    <row r="2298" spans="1:9" x14ac:dyDescent="0.25">
      <c r="A2298" s="228">
        <v>41786</v>
      </c>
      <c r="B2298" s="161" t="s">
        <v>1321</v>
      </c>
      <c r="C2298" t="s">
        <v>1322</v>
      </c>
      <c r="D2298" t="s">
        <v>747</v>
      </c>
      <c r="E2298" s="162">
        <v>1</v>
      </c>
      <c r="F2298" s="162">
        <v>6187.74</v>
      </c>
      <c r="G2298" s="165">
        <v>6187.74</v>
      </c>
      <c r="H2298" s="20" t="s">
        <v>540</v>
      </c>
      <c r="I2298"/>
    </row>
    <row r="2299" spans="1:9" x14ac:dyDescent="0.25">
      <c r="A2299" s="228">
        <v>41906</v>
      </c>
      <c r="B2299" s="161" t="s">
        <v>1321</v>
      </c>
      <c r="C2299" t="s">
        <v>1322</v>
      </c>
      <c r="D2299" t="s">
        <v>747</v>
      </c>
      <c r="E2299" s="162">
        <v>1</v>
      </c>
      <c r="F2299" s="162">
        <v>14.24</v>
      </c>
      <c r="G2299" s="165">
        <v>14.24</v>
      </c>
      <c r="H2299" s="20" t="s">
        <v>540</v>
      </c>
      <c r="I2299"/>
    </row>
    <row r="2300" spans="1:9" x14ac:dyDescent="0.25">
      <c r="A2300" s="228">
        <v>41906</v>
      </c>
      <c r="B2300" s="161" t="s">
        <v>1323</v>
      </c>
      <c r="C2300" t="s">
        <v>1008</v>
      </c>
      <c r="D2300" t="s">
        <v>747</v>
      </c>
      <c r="E2300" s="162">
        <v>1</v>
      </c>
      <c r="F2300" s="162">
        <v>336.74</v>
      </c>
      <c r="G2300" s="165">
        <v>336.74</v>
      </c>
      <c r="H2300" s="20" t="s">
        <v>540</v>
      </c>
      <c r="I2300"/>
    </row>
    <row r="2301" spans="1:9" x14ac:dyDescent="0.25">
      <c r="A2301" s="228">
        <v>41906</v>
      </c>
      <c r="B2301" s="161" t="s">
        <v>1324</v>
      </c>
      <c r="C2301" t="s">
        <v>1008</v>
      </c>
      <c r="D2301" t="s">
        <v>747</v>
      </c>
      <c r="E2301" s="162">
        <v>1</v>
      </c>
      <c r="F2301" s="162">
        <v>205.87</v>
      </c>
      <c r="G2301" s="165">
        <v>205.87</v>
      </c>
      <c r="H2301" s="20" t="s">
        <v>540</v>
      </c>
      <c r="I2301"/>
    </row>
    <row r="2302" spans="1:9" x14ac:dyDescent="0.25">
      <c r="A2302" s="228">
        <v>41906</v>
      </c>
      <c r="B2302" s="161" t="s">
        <v>1325</v>
      </c>
      <c r="C2302" t="s">
        <v>1008</v>
      </c>
      <c r="D2302" t="s">
        <v>747</v>
      </c>
      <c r="E2302" s="162">
        <v>1</v>
      </c>
      <c r="F2302" s="162">
        <v>-130.56</v>
      </c>
      <c r="G2302" s="165">
        <v>-130.56</v>
      </c>
      <c r="H2302" s="20" t="s">
        <v>540</v>
      </c>
      <c r="I2302"/>
    </row>
    <row r="2303" spans="1:9" x14ac:dyDescent="0.25">
      <c r="A2303" s="228">
        <v>41908</v>
      </c>
      <c r="B2303" s="161" t="s">
        <v>1326</v>
      </c>
      <c r="C2303" t="s">
        <v>1008</v>
      </c>
      <c r="D2303" t="s">
        <v>747</v>
      </c>
      <c r="E2303" s="162">
        <v>1</v>
      </c>
      <c r="F2303" s="162">
        <v>-14.52</v>
      </c>
      <c r="G2303" s="165">
        <v>-14.52</v>
      </c>
      <c r="H2303" s="20" t="s">
        <v>540</v>
      </c>
      <c r="I2303"/>
    </row>
    <row r="2304" spans="1:9" x14ac:dyDescent="0.25">
      <c r="A2304" s="228">
        <v>41908</v>
      </c>
      <c r="B2304" s="161" t="s">
        <v>1327</v>
      </c>
      <c r="C2304" t="s">
        <v>1008</v>
      </c>
      <c r="D2304" t="s">
        <v>747</v>
      </c>
      <c r="E2304" s="162">
        <v>1</v>
      </c>
      <c r="F2304" s="162">
        <v>21.7</v>
      </c>
      <c r="G2304" s="165">
        <v>21.7</v>
      </c>
      <c r="H2304" s="20" t="s">
        <v>540</v>
      </c>
      <c r="I2304"/>
    </row>
    <row r="2305" spans="1:9" ht="30" x14ac:dyDescent="0.25">
      <c r="A2305" s="228">
        <v>41911</v>
      </c>
      <c r="B2305" s="161" t="s">
        <v>1328</v>
      </c>
      <c r="C2305" t="s">
        <v>1008</v>
      </c>
      <c r="D2305" t="s">
        <v>747</v>
      </c>
      <c r="E2305" s="162">
        <v>1</v>
      </c>
      <c r="F2305" s="162">
        <v>184.19</v>
      </c>
      <c r="G2305" s="165">
        <v>184.19</v>
      </c>
      <c r="H2305" s="20" t="s">
        <v>540</v>
      </c>
      <c r="I2305"/>
    </row>
    <row r="2306" spans="1:9" x14ac:dyDescent="0.25">
      <c r="A2306" s="228">
        <v>41912</v>
      </c>
      <c r="B2306" s="161" t="s">
        <v>1329</v>
      </c>
      <c r="C2306" t="s">
        <v>1008</v>
      </c>
      <c r="D2306" t="s">
        <v>747</v>
      </c>
      <c r="E2306" s="162">
        <v>1</v>
      </c>
      <c r="F2306" s="162">
        <v>184.19</v>
      </c>
      <c r="G2306" s="165">
        <v>184.19</v>
      </c>
      <c r="H2306" s="20" t="s">
        <v>540</v>
      </c>
      <c r="I2306"/>
    </row>
    <row r="2307" spans="1:9" x14ac:dyDescent="0.25">
      <c r="A2307" s="228">
        <v>41913</v>
      </c>
      <c r="B2307" s="161" t="s">
        <v>1330</v>
      </c>
      <c r="C2307" t="s">
        <v>925</v>
      </c>
      <c r="D2307" t="s">
        <v>747</v>
      </c>
      <c r="E2307" s="162">
        <v>5</v>
      </c>
      <c r="F2307" s="162">
        <v>3.5</v>
      </c>
      <c r="G2307" s="165">
        <v>17.5</v>
      </c>
      <c r="H2307" s="20" t="s">
        <v>540</v>
      </c>
      <c r="I2307"/>
    </row>
    <row r="2308" spans="1:9" ht="30" x14ac:dyDescent="0.25">
      <c r="A2308" s="228">
        <v>41940</v>
      </c>
      <c r="B2308" s="161" t="s">
        <v>1331</v>
      </c>
      <c r="C2308" t="s">
        <v>821</v>
      </c>
      <c r="D2308" t="s">
        <v>747</v>
      </c>
      <c r="E2308" s="162">
        <v>1</v>
      </c>
      <c r="F2308" s="162">
        <v>1500</v>
      </c>
      <c r="G2308" s="165">
        <v>1500</v>
      </c>
      <c r="H2308" s="20" t="s">
        <v>540</v>
      </c>
      <c r="I2308"/>
    </row>
    <row r="2309" spans="1:9" x14ac:dyDescent="0.25">
      <c r="A2309" s="228">
        <v>41976</v>
      </c>
      <c r="B2309" s="161" t="s">
        <v>1332</v>
      </c>
      <c r="C2309" t="s">
        <v>967</v>
      </c>
      <c r="D2309" t="s">
        <v>747</v>
      </c>
      <c r="E2309" s="162">
        <v>5</v>
      </c>
      <c r="F2309" s="162">
        <v>6.2640000000000002</v>
      </c>
      <c r="G2309" s="165">
        <v>31.32</v>
      </c>
      <c r="H2309" s="20" t="s">
        <v>540</v>
      </c>
      <c r="I2309"/>
    </row>
    <row r="2310" spans="1:9" x14ac:dyDescent="0.25">
      <c r="A2310" s="228">
        <v>41982</v>
      </c>
      <c r="B2310" s="161" t="s">
        <v>1259</v>
      </c>
      <c r="C2310" t="s">
        <v>967</v>
      </c>
      <c r="D2310" t="s">
        <v>747</v>
      </c>
      <c r="E2310" s="162">
        <v>2</v>
      </c>
      <c r="F2310" s="162">
        <v>6.8920000000000003</v>
      </c>
      <c r="G2310" s="165">
        <v>13.784000000000001</v>
      </c>
      <c r="H2310" s="20" t="s">
        <v>540</v>
      </c>
      <c r="I2310"/>
    </row>
    <row r="2311" spans="1:9" x14ac:dyDescent="0.25">
      <c r="A2311" s="228">
        <v>42095</v>
      </c>
      <c r="B2311" s="161" t="s">
        <v>1333</v>
      </c>
      <c r="C2311" t="s">
        <v>1334</v>
      </c>
      <c r="D2311" t="s">
        <v>747</v>
      </c>
      <c r="E2311" s="162">
        <v>2</v>
      </c>
      <c r="F2311" s="162">
        <v>22.25</v>
      </c>
      <c r="G2311" s="165">
        <v>44.5</v>
      </c>
      <c r="H2311" s="20" t="s">
        <v>540</v>
      </c>
      <c r="I2311"/>
    </row>
    <row r="2312" spans="1:9" x14ac:dyDescent="0.25">
      <c r="A2312" s="230" t="s">
        <v>642</v>
      </c>
      <c r="B2312" s="231" t="s">
        <v>1335</v>
      </c>
      <c r="C2312" s="232" t="s">
        <v>642</v>
      </c>
      <c r="D2312" s="232" t="s">
        <v>642</v>
      </c>
      <c r="E2312" s="233"/>
      <c r="F2312" s="233"/>
      <c r="G2312" s="234">
        <v>8596.6939999999995</v>
      </c>
      <c r="H2312" s="235" t="s">
        <v>642</v>
      </c>
      <c r="I2312"/>
    </row>
    <row r="2313" spans="1:9" x14ac:dyDescent="0.25">
      <c r="A2313" s="228" t="s">
        <v>642</v>
      </c>
      <c r="B2313" s="161" t="s">
        <v>642</v>
      </c>
      <c r="C2313" t="s">
        <v>642</v>
      </c>
      <c r="D2313" t="s">
        <v>642</v>
      </c>
      <c r="E2313" s="162"/>
      <c r="F2313" s="162"/>
      <c r="G2313" s="165"/>
      <c r="H2313" s="20" t="s">
        <v>642</v>
      </c>
      <c r="I2313"/>
    </row>
    <row r="2314" spans="1:9" x14ac:dyDescent="0.25">
      <c r="A2314" s="226" t="s">
        <v>642</v>
      </c>
      <c r="B2314" s="159" t="s">
        <v>1336</v>
      </c>
      <c r="C2314" s="64" t="s">
        <v>642</v>
      </c>
      <c r="D2314" s="64" t="s">
        <v>642</v>
      </c>
      <c r="E2314" s="227"/>
      <c r="F2314" s="227"/>
      <c r="G2314" s="166"/>
      <c r="H2314" s="160" t="s">
        <v>642</v>
      </c>
      <c r="I2314"/>
    </row>
    <row r="2315" spans="1:9" x14ac:dyDescent="0.25">
      <c r="A2315" s="228">
        <v>41767</v>
      </c>
      <c r="B2315" s="161" t="s">
        <v>1337</v>
      </c>
      <c r="C2315" t="s">
        <v>925</v>
      </c>
      <c r="D2315" t="s">
        <v>747</v>
      </c>
      <c r="E2315" s="162">
        <v>1</v>
      </c>
      <c r="F2315" s="162">
        <v>46.32</v>
      </c>
      <c r="G2315" s="165">
        <v>46.32</v>
      </c>
      <c r="H2315" s="20" t="s">
        <v>543</v>
      </c>
      <c r="I2315"/>
    </row>
    <row r="2316" spans="1:9" x14ac:dyDescent="0.25">
      <c r="A2316" s="228">
        <v>41769</v>
      </c>
      <c r="B2316" s="161" t="s">
        <v>1338</v>
      </c>
      <c r="C2316" t="s">
        <v>925</v>
      </c>
      <c r="D2316" t="s">
        <v>747</v>
      </c>
      <c r="E2316" s="162">
        <v>1</v>
      </c>
      <c r="F2316" s="162">
        <v>76.89</v>
      </c>
      <c r="G2316" s="165">
        <v>76.89</v>
      </c>
      <c r="H2316" s="20" t="s">
        <v>543</v>
      </c>
      <c r="I2316"/>
    </row>
    <row r="2317" spans="1:9" x14ac:dyDescent="0.25">
      <c r="A2317" s="228">
        <v>41773</v>
      </c>
      <c r="B2317" s="161" t="s">
        <v>1339</v>
      </c>
      <c r="C2317" t="s">
        <v>925</v>
      </c>
      <c r="D2317" t="s">
        <v>747</v>
      </c>
      <c r="E2317" s="162">
        <v>1</v>
      </c>
      <c r="F2317" s="162">
        <v>51.47</v>
      </c>
      <c r="G2317" s="165">
        <v>51.47</v>
      </c>
      <c r="H2317" s="20" t="s">
        <v>543</v>
      </c>
      <c r="I2317"/>
    </row>
    <row r="2318" spans="1:9" ht="60" x14ac:dyDescent="0.25">
      <c r="A2318" s="228">
        <v>41807</v>
      </c>
      <c r="B2318" s="161" t="s">
        <v>1340</v>
      </c>
      <c r="C2318" t="s">
        <v>1341</v>
      </c>
      <c r="D2318" t="s">
        <v>747</v>
      </c>
      <c r="E2318" s="162">
        <v>1</v>
      </c>
      <c r="F2318" s="162">
        <v>7306</v>
      </c>
      <c r="G2318" s="165">
        <v>7306</v>
      </c>
      <c r="H2318" s="20" t="s">
        <v>543</v>
      </c>
      <c r="I2318"/>
    </row>
    <row r="2319" spans="1:9" x14ac:dyDescent="0.25">
      <c r="A2319" s="228">
        <v>41898</v>
      </c>
      <c r="B2319" s="161" t="s">
        <v>1342</v>
      </c>
      <c r="C2319" t="s">
        <v>925</v>
      </c>
      <c r="D2319" t="s">
        <v>747</v>
      </c>
      <c r="E2319" s="162">
        <v>1</v>
      </c>
      <c r="F2319" s="162">
        <v>32.770000000000003</v>
      </c>
      <c r="G2319" s="165">
        <v>32.770000000000003</v>
      </c>
      <c r="H2319" s="20" t="s">
        <v>543</v>
      </c>
      <c r="I2319"/>
    </row>
    <row r="2320" spans="1:9" x14ac:dyDescent="0.25">
      <c r="A2320" s="228">
        <v>41901</v>
      </c>
      <c r="B2320" s="161" t="s">
        <v>1343</v>
      </c>
      <c r="C2320" t="s">
        <v>925</v>
      </c>
      <c r="D2320" t="s">
        <v>747</v>
      </c>
      <c r="E2320" s="162">
        <v>1</v>
      </c>
      <c r="F2320" s="162">
        <v>56.55</v>
      </c>
      <c r="G2320" s="165">
        <v>56.55</v>
      </c>
      <c r="H2320" s="20" t="s">
        <v>543</v>
      </c>
      <c r="I2320"/>
    </row>
    <row r="2321" spans="1:9" ht="30" x14ac:dyDescent="0.25">
      <c r="A2321" s="228">
        <v>41925</v>
      </c>
      <c r="B2321" s="161" t="s">
        <v>1344</v>
      </c>
      <c r="C2321" t="s">
        <v>1341</v>
      </c>
      <c r="D2321" t="s">
        <v>747</v>
      </c>
      <c r="E2321" s="162">
        <v>1</v>
      </c>
      <c r="F2321" s="162">
        <v>5200</v>
      </c>
      <c r="G2321" s="165">
        <v>5200</v>
      </c>
      <c r="H2321" s="20" t="s">
        <v>543</v>
      </c>
      <c r="I2321"/>
    </row>
    <row r="2322" spans="1:9" x14ac:dyDescent="0.25">
      <c r="A2322" s="228">
        <v>41932</v>
      </c>
      <c r="B2322" s="161" t="s">
        <v>1345</v>
      </c>
      <c r="C2322" t="s">
        <v>925</v>
      </c>
      <c r="D2322" t="s">
        <v>747</v>
      </c>
      <c r="E2322" s="162">
        <v>1</v>
      </c>
      <c r="F2322" s="162">
        <v>28.36</v>
      </c>
      <c r="G2322" s="165">
        <v>28.36</v>
      </c>
      <c r="H2322" s="20" t="s">
        <v>543</v>
      </c>
      <c r="I2322"/>
    </row>
    <row r="2323" spans="1:9" x14ac:dyDescent="0.25">
      <c r="A2323" s="228">
        <v>41948</v>
      </c>
      <c r="B2323" s="161" t="s">
        <v>1101</v>
      </c>
      <c r="C2323" t="s">
        <v>925</v>
      </c>
      <c r="D2323" t="s">
        <v>747</v>
      </c>
      <c r="E2323" s="162">
        <v>1</v>
      </c>
      <c r="F2323" s="162">
        <v>153.94999999999999</v>
      </c>
      <c r="G2323" s="165">
        <v>153.94999999999999</v>
      </c>
      <c r="H2323" s="20" t="s">
        <v>543</v>
      </c>
      <c r="I2323"/>
    </row>
    <row r="2324" spans="1:9" x14ac:dyDescent="0.25">
      <c r="A2324" s="230" t="s">
        <v>642</v>
      </c>
      <c r="B2324" s="231" t="s">
        <v>1346</v>
      </c>
      <c r="C2324" s="232" t="s">
        <v>642</v>
      </c>
      <c r="D2324" s="232" t="s">
        <v>642</v>
      </c>
      <c r="E2324" s="233"/>
      <c r="F2324" s="233"/>
      <c r="G2324" s="234">
        <v>12952.31</v>
      </c>
      <c r="H2324" s="235" t="s">
        <v>642</v>
      </c>
      <c r="I2324"/>
    </row>
    <row r="2325" spans="1:9" x14ac:dyDescent="0.25">
      <c r="A2325" s="228" t="s">
        <v>642</v>
      </c>
      <c r="B2325" s="161" t="s">
        <v>642</v>
      </c>
      <c r="C2325" t="s">
        <v>642</v>
      </c>
      <c r="D2325" t="s">
        <v>642</v>
      </c>
      <c r="E2325" s="162"/>
      <c r="F2325" s="162"/>
      <c r="G2325" s="165"/>
      <c r="H2325" s="20" t="s">
        <v>642</v>
      </c>
      <c r="I2325"/>
    </row>
    <row r="2326" spans="1:9" x14ac:dyDescent="0.25">
      <c r="A2326" s="226" t="s">
        <v>642</v>
      </c>
      <c r="B2326" s="159" t="s">
        <v>1347</v>
      </c>
      <c r="C2326" s="64" t="s">
        <v>642</v>
      </c>
      <c r="D2326" s="64" t="s">
        <v>642</v>
      </c>
      <c r="E2326" s="227"/>
      <c r="F2326" s="227"/>
      <c r="G2326" s="166"/>
      <c r="H2326" s="160" t="s">
        <v>642</v>
      </c>
      <c r="I2326"/>
    </row>
    <row r="2327" spans="1:9" x14ac:dyDescent="0.25">
      <c r="A2327" s="228">
        <v>41787</v>
      </c>
      <c r="B2327" s="161" t="s">
        <v>1348</v>
      </c>
      <c r="C2327" t="s">
        <v>1029</v>
      </c>
      <c r="D2327" t="s">
        <v>747</v>
      </c>
      <c r="E2327" s="162">
        <v>1</v>
      </c>
      <c r="F2327" s="162">
        <v>1580</v>
      </c>
      <c r="G2327" s="165">
        <v>1580</v>
      </c>
      <c r="H2327" s="20" t="s">
        <v>544</v>
      </c>
      <c r="I2327"/>
    </row>
    <row r="2328" spans="1:9" x14ac:dyDescent="0.25">
      <c r="A2328" s="230" t="s">
        <v>642</v>
      </c>
      <c r="B2328" s="231" t="s">
        <v>1349</v>
      </c>
      <c r="C2328" s="232" t="s">
        <v>642</v>
      </c>
      <c r="D2328" s="232" t="s">
        <v>642</v>
      </c>
      <c r="E2328" s="233"/>
      <c r="F2328" s="233"/>
      <c r="G2328" s="234">
        <v>1580</v>
      </c>
      <c r="H2328" s="235" t="s">
        <v>642</v>
      </c>
      <c r="I2328"/>
    </row>
    <row r="2329" spans="1:9" x14ac:dyDescent="0.25">
      <c r="A2329" s="228" t="s">
        <v>642</v>
      </c>
      <c r="B2329" s="161" t="s">
        <v>642</v>
      </c>
      <c r="C2329" t="s">
        <v>642</v>
      </c>
      <c r="D2329" t="s">
        <v>642</v>
      </c>
      <c r="E2329" s="162"/>
      <c r="F2329" s="162"/>
      <c r="G2329" s="165"/>
      <c r="H2329" s="20" t="s">
        <v>642</v>
      </c>
      <c r="I2329"/>
    </row>
    <row r="2330" spans="1:9" x14ac:dyDescent="0.25">
      <c r="A2330" s="226" t="s">
        <v>642</v>
      </c>
      <c r="B2330" s="159" t="s">
        <v>1350</v>
      </c>
      <c r="C2330" s="64" t="s">
        <v>642</v>
      </c>
      <c r="D2330" s="64" t="s">
        <v>642</v>
      </c>
      <c r="E2330" s="227"/>
      <c r="F2330" s="227"/>
      <c r="G2330" s="166"/>
      <c r="H2330" s="160" t="s">
        <v>642</v>
      </c>
      <c r="I2330"/>
    </row>
    <row r="2331" spans="1:9" x14ac:dyDescent="0.25">
      <c r="A2331" s="228">
        <v>41907</v>
      </c>
      <c r="B2331" s="161" t="s">
        <v>1351</v>
      </c>
      <c r="C2331" t="s">
        <v>1352</v>
      </c>
      <c r="D2331" t="s">
        <v>747</v>
      </c>
      <c r="E2331" s="162">
        <v>335.82</v>
      </c>
      <c r="F2331" s="162">
        <v>29.7</v>
      </c>
      <c r="G2331" s="165">
        <v>9973.8539999999994</v>
      </c>
      <c r="H2331" s="20" t="s">
        <v>541</v>
      </c>
      <c r="I2331"/>
    </row>
    <row r="2332" spans="1:9" x14ac:dyDescent="0.25">
      <c r="A2332" s="228">
        <v>41911</v>
      </c>
      <c r="B2332" s="161" t="s">
        <v>1351</v>
      </c>
      <c r="C2332" t="s">
        <v>1352</v>
      </c>
      <c r="D2332" t="s">
        <v>747</v>
      </c>
      <c r="E2332" s="162">
        <v>12.52</v>
      </c>
      <c r="F2332" s="162">
        <v>29.7</v>
      </c>
      <c r="G2332" s="165">
        <v>371.84399999999999</v>
      </c>
      <c r="H2332" s="20" t="s">
        <v>541</v>
      </c>
      <c r="I2332"/>
    </row>
    <row r="2333" spans="1:9" x14ac:dyDescent="0.25">
      <c r="A2333" s="230" t="s">
        <v>642</v>
      </c>
      <c r="B2333" s="231" t="s">
        <v>1353</v>
      </c>
      <c r="C2333" s="232" t="s">
        <v>642</v>
      </c>
      <c r="D2333" s="232" t="s">
        <v>642</v>
      </c>
      <c r="E2333" s="233"/>
      <c r="F2333" s="233"/>
      <c r="G2333" s="234">
        <v>10345.698</v>
      </c>
      <c r="H2333" s="235" t="s">
        <v>642</v>
      </c>
      <c r="I2333"/>
    </row>
    <row r="2334" spans="1:9" x14ac:dyDescent="0.25">
      <c r="A2334" s="228" t="s">
        <v>642</v>
      </c>
      <c r="B2334" s="161" t="s">
        <v>642</v>
      </c>
      <c r="C2334" t="s">
        <v>642</v>
      </c>
      <c r="D2334" t="s">
        <v>642</v>
      </c>
      <c r="E2334" s="162"/>
      <c r="F2334" s="162"/>
      <c r="G2334" s="165"/>
      <c r="H2334" s="20" t="s">
        <v>642</v>
      </c>
      <c r="I2334"/>
    </row>
    <row r="2335" spans="1:9" x14ac:dyDescent="0.25">
      <c r="A2335" s="226" t="s">
        <v>642</v>
      </c>
      <c r="B2335" s="159" t="s">
        <v>1354</v>
      </c>
      <c r="C2335" s="64" t="s">
        <v>642</v>
      </c>
      <c r="D2335" s="64" t="s">
        <v>642</v>
      </c>
      <c r="E2335" s="227"/>
      <c r="F2335" s="227"/>
      <c r="G2335" s="166"/>
      <c r="H2335" s="160" t="s">
        <v>642</v>
      </c>
      <c r="I2335"/>
    </row>
    <row r="2336" spans="1:9" x14ac:dyDescent="0.25">
      <c r="A2336" s="228">
        <v>41898</v>
      </c>
      <c r="B2336" s="161" t="s">
        <v>1355</v>
      </c>
      <c r="C2336" t="s">
        <v>1356</v>
      </c>
      <c r="D2336" t="s">
        <v>747</v>
      </c>
      <c r="E2336" s="162">
        <v>490.98</v>
      </c>
      <c r="F2336" s="162">
        <v>28.7</v>
      </c>
      <c r="G2336" s="165">
        <v>14091.136</v>
      </c>
      <c r="H2336" s="20" t="s">
        <v>542</v>
      </c>
      <c r="I2336"/>
    </row>
    <row r="2337" spans="1:9" x14ac:dyDescent="0.25">
      <c r="A2337" s="228">
        <v>41899</v>
      </c>
      <c r="B2337" s="161" t="s">
        <v>1355</v>
      </c>
      <c r="C2337" t="s">
        <v>1356</v>
      </c>
      <c r="D2337" t="s">
        <v>747</v>
      </c>
      <c r="E2337" s="162">
        <v>54.96</v>
      </c>
      <c r="F2337" s="162">
        <v>28.7</v>
      </c>
      <c r="G2337" s="165">
        <v>1577.3520000000001</v>
      </c>
      <c r="H2337" s="20" t="s">
        <v>542</v>
      </c>
      <c r="I2337"/>
    </row>
    <row r="2338" spans="1:9" x14ac:dyDescent="0.25">
      <c r="A2338" s="230" t="s">
        <v>642</v>
      </c>
      <c r="B2338" s="231" t="s">
        <v>1357</v>
      </c>
      <c r="C2338" s="232" t="s">
        <v>642</v>
      </c>
      <c r="D2338" s="232" t="s">
        <v>642</v>
      </c>
      <c r="E2338" s="233"/>
      <c r="F2338" s="233"/>
      <c r="G2338" s="234">
        <v>15668.487999999999</v>
      </c>
      <c r="H2338" s="235" t="s">
        <v>642</v>
      </c>
      <c r="I2338"/>
    </row>
    <row r="2339" spans="1:9" x14ac:dyDescent="0.25">
      <c r="A2339" s="228" t="s">
        <v>642</v>
      </c>
      <c r="B2339" s="161" t="s">
        <v>642</v>
      </c>
      <c r="C2339" t="s">
        <v>642</v>
      </c>
      <c r="D2339" t="s">
        <v>642</v>
      </c>
      <c r="E2339" s="162"/>
      <c r="F2339" s="162"/>
      <c r="G2339" s="165"/>
      <c r="H2339" s="20" t="s">
        <v>642</v>
      </c>
      <c r="I2339"/>
    </row>
    <row r="2340" spans="1:9" x14ac:dyDescent="0.25">
      <c r="A2340" s="226" t="s">
        <v>642</v>
      </c>
      <c r="B2340" s="159" t="s">
        <v>1358</v>
      </c>
      <c r="C2340" s="64" t="s">
        <v>642</v>
      </c>
      <c r="D2340" s="64" t="s">
        <v>642</v>
      </c>
      <c r="E2340" s="227"/>
      <c r="F2340" s="227"/>
      <c r="G2340" s="166"/>
      <c r="H2340" s="160" t="s">
        <v>642</v>
      </c>
      <c r="I2340"/>
    </row>
    <row r="2341" spans="1:9" x14ac:dyDescent="0.25">
      <c r="A2341" s="228">
        <v>41885</v>
      </c>
      <c r="B2341" s="161" t="s">
        <v>1359</v>
      </c>
      <c r="C2341" t="s">
        <v>1360</v>
      </c>
      <c r="D2341" t="s">
        <v>30</v>
      </c>
      <c r="E2341" s="162">
        <v>517.55999999999995</v>
      </c>
      <c r="F2341" s="162">
        <v>16</v>
      </c>
      <c r="G2341" s="165">
        <v>8280.9599999999991</v>
      </c>
      <c r="H2341" s="20" t="s">
        <v>526</v>
      </c>
      <c r="I2341"/>
    </row>
    <row r="2342" spans="1:9" x14ac:dyDescent="0.25">
      <c r="A2342" s="228">
        <v>41886</v>
      </c>
      <c r="B2342" s="161" t="s">
        <v>1359</v>
      </c>
      <c r="C2342" t="s">
        <v>1360</v>
      </c>
      <c r="D2342" t="s">
        <v>30</v>
      </c>
      <c r="E2342" s="162">
        <v>393.74</v>
      </c>
      <c r="F2342" s="162">
        <v>16</v>
      </c>
      <c r="G2342" s="165">
        <v>6299.84</v>
      </c>
      <c r="H2342" s="20" t="s">
        <v>526</v>
      </c>
      <c r="I2342"/>
    </row>
    <row r="2343" spans="1:9" x14ac:dyDescent="0.25">
      <c r="A2343" s="230" t="s">
        <v>642</v>
      </c>
      <c r="B2343" s="231" t="s">
        <v>1361</v>
      </c>
      <c r="C2343" s="232" t="s">
        <v>642</v>
      </c>
      <c r="D2343" s="232" t="s">
        <v>642</v>
      </c>
      <c r="E2343" s="233"/>
      <c r="F2343" s="233"/>
      <c r="G2343" s="234">
        <v>14580.8</v>
      </c>
      <c r="H2343" s="235" t="s">
        <v>642</v>
      </c>
      <c r="I2343"/>
    </row>
    <row r="2344" spans="1:9" x14ac:dyDescent="0.25">
      <c r="A2344" s="228" t="s">
        <v>642</v>
      </c>
      <c r="B2344" s="161" t="s">
        <v>642</v>
      </c>
      <c r="C2344" t="s">
        <v>642</v>
      </c>
      <c r="D2344" t="s">
        <v>642</v>
      </c>
      <c r="E2344" s="162"/>
      <c r="F2344" s="162"/>
      <c r="G2344" s="165"/>
      <c r="H2344" s="20" t="s">
        <v>642</v>
      </c>
      <c r="I2344"/>
    </row>
    <row r="2345" spans="1:9" x14ac:dyDescent="0.25">
      <c r="A2345" s="226" t="s">
        <v>642</v>
      </c>
      <c r="B2345" s="159" t="s">
        <v>1362</v>
      </c>
      <c r="C2345" s="64" t="s">
        <v>642</v>
      </c>
      <c r="D2345" s="64" t="s">
        <v>642</v>
      </c>
      <c r="E2345" s="227"/>
      <c r="F2345" s="227"/>
      <c r="G2345" s="166"/>
      <c r="H2345" s="160" t="s">
        <v>642</v>
      </c>
      <c r="I2345"/>
    </row>
    <row r="2346" spans="1:9" x14ac:dyDescent="0.25">
      <c r="A2346" s="228">
        <v>41790</v>
      </c>
      <c r="B2346" s="161" t="s">
        <v>1363</v>
      </c>
      <c r="C2346" t="s">
        <v>1364</v>
      </c>
      <c r="D2346" t="s">
        <v>747</v>
      </c>
      <c r="E2346" s="162">
        <v>1</v>
      </c>
      <c r="F2346" s="162">
        <v>2131.1799999999998</v>
      </c>
      <c r="G2346" s="165">
        <v>2131.1799999999998</v>
      </c>
      <c r="H2346" s="20" t="s">
        <v>539</v>
      </c>
      <c r="I2346"/>
    </row>
    <row r="2347" spans="1:9" x14ac:dyDescent="0.25">
      <c r="A2347" s="228">
        <v>41794</v>
      </c>
      <c r="B2347" s="161" t="s">
        <v>950</v>
      </c>
      <c r="C2347" t="s">
        <v>951</v>
      </c>
      <c r="D2347" t="s">
        <v>30</v>
      </c>
      <c r="E2347" s="162">
        <v>56.14</v>
      </c>
      <c r="F2347" s="162">
        <v>33.5</v>
      </c>
      <c r="G2347" s="165">
        <v>1880.69</v>
      </c>
      <c r="H2347" s="20" t="s">
        <v>539</v>
      </c>
      <c r="I2347"/>
    </row>
    <row r="2348" spans="1:9" x14ac:dyDescent="0.25">
      <c r="A2348" s="228">
        <v>41795</v>
      </c>
      <c r="B2348" s="161" t="s">
        <v>1365</v>
      </c>
      <c r="C2348" t="s">
        <v>1245</v>
      </c>
      <c r="D2348" t="s">
        <v>747</v>
      </c>
      <c r="E2348" s="162">
        <v>1</v>
      </c>
      <c r="F2348" s="162">
        <v>4692.03</v>
      </c>
      <c r="G2348" s="165">
        <v>4692.03</v>
      </c>
      <c r="H2348" s="20" t="s">
        <v>539</v>
      </c>
      <c r="I2348"/>
    </row>
    <row r="2349" spans="1:9" x14ac:dyDescent="0.25">
      <c r="A2349" s="228">
        <v>41806</v>
      </c>
      <c r="B2349" s="161" t="s">
        <v>1365</v>
      </c>
      <c r="C2349" t="s">
        <v>1245</v>
      </c>
      <c r="D2349" t="s">
        <v>747</v>
      </c>
      <c r="E2349" s="162">
        <v>1</v>
      </c>
      <c r="F2349" s="162">
        <v>5480.74</v>
      </c>
      <c r="G2349" s="165">
        <v>5480.74</v>
      </c>
      <c r="H2349" s="20" t="s">
        <v>539</v>
      </c>
      <c r="I2349"/>
    </row>
    <row r="2350" spans="1:9" x14ac:dyDescent="0.25">
      <c r="A2350" s="228">
        <v>41809</v>
      </c>
      <c r="B2350" s="161" t="s">
        <v>1366</v>
      </c>
      <c r="C2350" t="s">
        <v>1364</v>
      </c>
      <c r="D2350" t="s">
        <v>747</v>
      </c>
      <c r="E2350" s="162">
        <v>1</v>
      </c>
      <c r="F2350" s="162">
        <v>520.63</v>
      </c>
      <c r="G2350" s="165">
        <v>520.63</v>
      </c>
      <c r="H2350" s="20" t="s">
        <v>539</v>
      </c>
      <c r="I2350"/>
    </row>
    <row r="2351" spans="1:9" x14ac:dyDescent="0.25">
      <c r="A2351" s="228">
        <v>41813</v>
      </c>
      <c r="B2351" s="161" t="s">
        <v>1365</v>
      </c>
      <c r="C2351" t="s">
        <v>1245</v>
      </c>
      <c r="D2351" t="s">
        <v>747</v>
      </c>
      <c r="E2351" s="162">
        <v>11</v>
      </c>
      <c r="F2351" s="162">
        <v>1395.34</v>
      </c>
      <c r="G2351" s="165">
        <v>15348.74</v>
      </c>
      <c r="H2351" s="20" t="s">
        <v>539</v>
      </c>
      <c r="I2351"/>
    </row>
    <row r="2352" spans="1:9" x14ac:dyDescent="0.25">
      <c r="A2352" s="228">
        <v>41814</v>
      </c>
      <c r="B2352" s="161" t="s">
        <v>1366</v>
      </c>
      <c r="C2352" t="s">
        <v>1364</v>
      </c>
      <c r="D2352" t="s">
        <v>747</v>
      </c>
      <c r="E2352" s="162">
        <v>1</v>
      </c>
      <c r="F2352" s="162">
        <v>453.61</v>
      </c>
      <c r="G2352" s="165">
        <v>453.61</v>
      </c>
      <c r="H2352" s="20" t="s">
        <v>539</v>
      </c>
      <c r="I2352"/>
    </row>
    <row r="2353" spans="1:9" x14ac:dyDescent="0.25">
      <c r="A2353" s="228">
        <v>41822</v>
      </c>
      <c r="B2353" s="161" t="s">
        <v>1367</v>
      </c>
      <c r="C2353" t="s">
        <v>1245</v>
      </c>
      <c r="D2353" t="s">
        <v>747</v>
      </c>
      <c r="E2353" s="162">
        <v>1</v>
      </c>
      <c r="F2353" s="162">
        <v>5091.63</v>
      </c>
      <c r="G2353" s="165">
        <v>5091.63</v>
      </c>
      <c r="H2353" s="20" t="s">
        <v>539</v>
      </c>
      <c r="I2353"/>
    </row>
    <row r="2354" spans="1:9" x14ac:dyDescent="0.25">
      <c r="A2354" s="228">
        <v>41822</v>
      </c>
      <c r="B2354" s="161" t="s">
        <v>1366</v>
      </c>
      <c r="C2354" t="s">
        <v>1364</v>
      </c>
      <c r="D2354" t="s">
        <v>747</v>
      </c>
      <c r="E2354" s="162">
        <v>14.5212</v>
      </c>
      <c r="F2354" s="162">
        <v>35.270000000000003</v>
      </c>
      <c r="G2354" s="165">
        <v>512.16272400000003</v>
      </c>
      <c r="H2354" s="20" t="s">
        <v>539</v>
      </c>
      <c r="I2354"/>
    </row>
    <row r="2355" spans="1:9" x14ac:dyDescent="0.25">
      <c r="A2355" s="228">
        <v>41823</v>
      </c>
      <c r="B2355" s="161" t="s">
        <v>950</v>
      </c>
      <c r="C2355" t="s">
        <v>951</v>
      </c>
      <c r="D2355" t="s">
        <v>30</v>
      </c>
      <c r="E2355" s="162">
        <v>12.48</v>
      </c>
      <c r="F2355" s="162">
        <v>35.5</v>
      </c>
      <c r="G2355" s="165">
        <v>443.04</v>
      </c>
      <c r="H2355" s="20" t="s">
        <v>539</v>
      </c>
      <c r="I2355"/>
    </row>
    <row r="2356" spans="1:9" x14ac:dyDescent="0.25">
      <c r="A2356" s="228">
        <v>41828</v>
      </c>
      <c r="B2356" s="161" t="s">
        <v>950</v>
      </c>
      <c r="C2356" t="s">
        <v>951</v>
      </c>
      <c r="D2356" t="s">
        <v>30</v>
      </c>
      <c r="E2356" s="162">
        <v>27.38</v>
      </c>
      <c r="F2356" s="162">
        <v>33.5</v>
      </c>
      <c r="G2356" s="165">
        <v>917.23</v>
      </c>
      <c r="H2356" s="20" t="s">
        <v>539</v>
      </c>
      <c r="I2356"/>
    </row>
    <row r="2357" spans="1:9" x14ac:dyDescent="0.25">
      <c r="A2357" s="228">
        <v>41829</v>
      </c>
      <c r="B2357" s="161" t="s">
        <v>1366</v>
      </c>
      <c r="C2357" t="s">
        <v>1364</v>
      </c>
      <c r="D2357" t="s">
        <v>747</v>
      </c>
      <c r="E2357" s="162">
        <v>15.2012</v>
      </c>
      <c r="F2357" s="162">
        <v>35.270000000000003</v>
      </c>
      <c r="G2357" s="165">
        <v>536.14632400000005</v>
      </c>
      <c r="H2357" s="20" t="s">
        <v>539</v>
      </c>
      <c r="I2357"/>
    </row>
    <row r="2358" spans="1:9" x14ac:dyDescent="0.25">
      <c r="A2358" s="228">
        <v>41834</v>
      </c>
      <c r="B2358" s="161" t="s">
        <v>1366</v>
      </c>
      <c r="C2358" t="s">
        <v>1364</v>
      </c>
      <c r="D2358" t="s">
        <v>747</v>
      </c>
      <c r="E2358" s="162">
        <v>13.96</v>
      </c>
      <c r="F2358" s="162">
        <v>35.273000000000003</v>
      </c>
      <c r="G2358" s="165">
        <v>492.41108000000003</v>
      </c>
      <c r="H2358" s="20" t="s">
        <v>539</v>
      </c>
      <c r="I2358"/>
    </row>
    <row r="2359" spans="1:9" x14ac:dyDescent="0.25">
      <c r="A2359" s="228">
        <v>41834</v>
      </c>
      <c r="B2359" s="161" t="s">
        <v>1366</v>
      </c>
      <c r="C2359" t="s">
        <v>1364</v>
      </c>
      <c r="D2359" t="s">
        <v>747</v>
      </c>
      <c r="E2359" s="162">
        <v>15.02</v>
      </c>
      <c r="F2359" s="162">
        <v>35.273000000000003</v>
      </c>
      <c r="G2359" s="165">
        <v>529.80046000000004</v>
      </c>
      <c r="H2359" s="20" t="s">
        <v>539</v>
      </c>
      <c r="I2359"/>
    </row>
    <row r="2360" spans="1:9" x14ac:dyDescent="0.25">
      <c r="A2360" s="228">
        <v>41835</v>
      </c>
      <c r="B2360" s="161" t="s">
        <v>950</v>
      </c>
      <c r="C2360" t="s">
        <v>951</v>
      </c>
      <c r="D2360" t="s">
        <v>30</v>
      </c>
      <c r="E2360" s="162">
        <v>81.38</v>
      </c>
      <c r="F2360" s="162">
        <v>33.5</v>
      </c>
      <c r="G2360" s="165">
        <v>2726.23</v>
      </c>
      <c r="H2360" s="20" t="s">
        <v>539</v>
      </c>
      <c r="I2360"/>
    </row>
    <row r="2361" spans="1:9" x14ac:dyDescent="0.25">
      <c r="A2361" s="228">
        <v>41836</v>
      </c>
      <c r="B2361" s="161" t="s">
        <v>1366</v>
      </c>
      <c r="C2361" t="s">
        <v>1364</v>
      </c>
      <c r="D2361" t="s">
        <v>747</v>
      </c>
      <c r="E2361" s="162">
        <v>12.48</v>
      </c>
      <c r="F2361" s="162">
        <v>23.454000000000001</v>
      </c>
      <c r="G2361" s="165">
        <v>292.70591999999999</v>
      </c>
      <c r="H2361" s="20" t="s">
        <v>539</v>
      </c>
      <c r="I2361"/>
    </row>
    <row r="2362" spans="1:9" x14ac:dyDescent="0.25">
      <c r="A2362" s="228">
        <v>41842</v>
      </c>
      <c r="B2362" s="161" t="s">
        <v>1366</v>
      </c>
      <c r="C2362" t="s">
        <v>1364</v>
      </c>
      <c r="D2362" t="s">
        <v>747</v>
      </c>
      <c r="E2362" s="162">
        <v>14.34</v>
      </c>
      <c r="F2362" s="162">
        <v>35.273000000000003</v>
      </c>
      <c r="G2362" s="165">
        <v>505.81482</v>
      </c>
      <c r="H2362" s="20" t="s">
        <v>539</v>
      </c>
      <c r="I2362"/>
    </row>
    <row r="2363" spans="1:9" x14ac:dyDescent="0.25">
      <c r="A2363" s="228">
        <v>41842</v>
      </c>
      <c r="B2363" s="161" t="s">
        <v>1366</v>
      </c>
      <c r="C2363" t="s">
        <v>1364</v>
      </c>
      <c r="D2363" t="s">
        <v>747</v>
      </c>
      <c r="E2363" s="162">
        <v>13.7</v>
      </c>
      <c r="F2363" s="162">
        <v>35.273000000000003</v>
      </c>
      <c r="G2363" s="165">
        <v>483.24009999999998</v>
      </c>
      <c r="H2363" s="20" t="s">
        <v>539</v>
      </c>
      <c r="I2363"/>
    </row>
    <row r="2364" spans="1:9" x14ac:dyDescent="0.25">
      <c r="A2364" s="228">
        <v>41851</v>
      </c>
      <c r="B2364" s="161" t="s">
        <v>1366</v>
      </c>
      <c r="C2364" t="s">
        <v>1364</v>
      </c>
      <c r="D2364" t="s">
        <v>747</v>
      </c>
      <c r="E2364" s="162">
        <v>15.58</v>
      </c>
      <c r="F2364" s="162">
        <v>35.273000000000003</v>
      </c>
      <c r="G2364" s="165">
        <v>549.55334000000005</v>
      </c>
      <c r="H2364" s="20" t="s">
        <v>539</v>
      </c>
      <c r="I2364"/>
    </row>
    <row r="2365" spans="1:9" x14ac:dyDescent="0.25">
      <c r="A2365" s="228">
        <v>41858</v>
      </c>
      <c r="B2365" s="161" t="s">
        <v>1365</v>
      </c>
      <c r="C2365" t="s">
        <v>1245</v>
      </c>
      <c r="D2365" t="s">
        <v>747</v>
      </c>
      <c r="E2365" s="162">
        <v>1</v>
      </c>
      <c r="F2365" s="162">
        <v>596.42999999999995</v>
      </c>
      <c r="G2365" s="165">
        <v>596.42999999999995</v>
      </c>
      <c r="H2365" s="20" t="s">
        <v>539</v>
      </c>
      <c r="I2365"/>
    </row>
    <row r="2366" spans="1:9" x14ac:dyDescent="0.25">
      <c r="A2366" s="228">
        <v>41878</v>
      </c>
      <c r="B2366" s="161" t="s">
        <v>1365</v>
      </c>
      <c r="C2366" t="s">
        <v>1245</v>
      </c>
      <c r="D2366" t="s">
        <v>747</v>
      </c>
      <c r="E2366" s="162">
        <v>1</v>
      </c>
      <c r="F2366" s="162">
        <v>84.48</v>
      </c>
      <c r="G2366" s="165">
        <v>84.48</v>
      </c>
      <c r="H2366" s="20" t="s">
        <v>539</v>
      </c>
      <c r="I2366"/>
    </row>
    <row r="2367" spans="1:9" x14ac:dyDescent="0.25">
      <c r="A2367" s="228">
        <v>41967</v>
      </c>
      <c r="B2367" s="161" t="s">
        <v>1365</v>
      </c>
      <c r="C2367" t="s">
        <v>1245</v>
      </c>
      <c r="D2367" t="s">
        <v>747</v>
      </c>
      <c r="E2367" s="162">
        <v>1</v>
      </c>
      <c r="F2367" s="162">
        <v>1885.69</v>
      </c>
      <c r="G2367" s="165">
        <v>1885.69</v>
      </c>
      <c r="H2367" s="20" t="s">
        <v>539</v>
      </c>
      <c r="I2367"/>
    </row>
    <row r="2368" spans="1:9" x14ac:dyDescent="0.25">
      <c r="A2368" s="228">
        <v>41970</v>
      </c>
      <c r="B2368" s="161" t="s">
        <v>1368</v>
      </c>
      <c r="C2368" t="s">
        <v>1082</v>
      </c>
      <c r="D2368" t="s">
        <v>747</v>
      </c>
      <c r="E2368" s="162">
        <v>1</v>
      </c>
      <c r="F2368" s="162">
        <v>35</v>
      </c>
      <c r="G2368" s="165">
        <v>35</v>
      </c>
      <c r="H2368" s="20" t="s">
        <v>539</v>
      </c>
      <c r="I2368"/>
    </row>
    <row r="2369" spans="1:9" ht="30" x14ac:dyDescent="0.25">
      <c r="A2369" s="228">
        <v>41981</v>
      </c>
      <c r="B2369" s="161" t="s">
        <v>1369</v>
      </c>
      <c r="C2369" t="s">
        <v>1245</v>
      </c>
      <c r="D2369" t="s">
        <v>747</v>
      </c>
      <c r="E2369" s="162">
        <v>23.895</v>
      </c>
      <c r="F2369" s="162">
        <v>-1.72</v>
      </c>
      <c r="G2369" s="165">
        <v>-41.099400000000003</v>
      </c>
      <c r="H2369" s="20" t="s">
        <v>539</v>
      </c>
      <c r="I2369"/>
    </row>
    <row r="2370" spans="1:9" x14ac:dyDescent="0.25">
      <c r="A2370" s="230" t="s">
        <v>642</v>
      </c>
      <c r="B2370" s="231" t="s">
        <v>1370</v>
      </c>
      <c r="C2370" s="232" t="s">
        <v>642</v>
      </c>
      <c r="D2370" s="232" t="s">
        <v>642</v>
      </c>
      <c r="E2370" s="233"/>
      <c r="F2370" s="233"/>
      <c r="G2370" s="234">
        <v>46148.085368</v>
      </c>
      <c r="H2370" s="235" t="s">
        <v>642</v>
      </c>
      <c r="I2370"/>
    </row>
    <row r="2371" spans="1:9" x14ac:dyDescent="0.25">
      <c r="A2371" s="228" t="s">
        <v>642</v>
      </c>
      <c r="B2371" s="161" t="s">
        <v>642</v>
      </c>
      <c r="C2371" t="s">
        <v>642</v>
      </c>
      <c r="D2371" t="s">
        <v>642</v>
      </c>
      <c r="E2371" s="162"/>
      <c r="F2371" s="162"/>
      <c r="G2371" s="165"/>
      <c r="H2371" s="20" t="s">
        <v>642</v>
      </c>
      <c r="I2371"/>
    </row>
    <row r="2372" spans="1:9" x14ac:dyDescent="0.25">
      <c r="A2372" s="226" t="s">
        <v>642</v>
      </c>
      <c r="B2372" s="159" t="s">
        <v>1371</v>
      </c>
      <c r="C2372" s="64" t="s">
        <v>642</v>
      </c>
      <c r="D2372" s="64" t="s">
        <v>642</v>
      </c>
      <c r="E2372" s="227"/>
      <c r="F2372" s="227"/>
      <c r="G2372" s="166"/>
      <c r="H2372" s="160" t="s">
        <v>642</v>
      </c>
      <c r="I2372"/>
    </row>
    <row r="2373" spans="1:9" x14ac:dyDescent="0.25">
      <c r="A2373" s="228">
        <v>41790</v>
      </c>
      <c r="B2373" s="161" t="s">
        <v>1372</v>
      </c>
      <c r="C2373" t="s">
        <v>1373</v>
      </c>
      <c r="D2373" t="s">
        <v>747</v>
      </c>
      <c r="E2373" s="162">
        <v>1</v>
      </c>
      <c r="F2373" s="162">
        <v>4314.1400000000003</v>
      </c>
      <c r="G2373" s="165">
        <v>4314.1400000000003</v>
      </c>
      <c r="H2373" s="20" t="s">
        <v>530</v>
      </c>
      <c r="I2373"/>
    </row>
    <row r="2374" spans="1:9" x14ac:dyDescent="0.25">
      <c r="A2374" s="228">
        <v>41807</v>
      </c>
      <c r="B2374" s="161" t="s">
        <v>1374</v>
      </c>
      <c r="C2374" t="s">
        <v>1364</v>
      </c>
      <c r="D2374" t="s">
        <v>747</v>
      </c>
      <c r="E2374" s="162">
        <v>1</v>
      </c>
      <c r="F2374" s="162">
        <v>538.26</v>
      </c>
      <c r="G2374" s="165">
        <v>538.26</v>
      </c>
      <c r="H2374" s="20" t="s">
        <v>530</v>
      </c>
      <c r="I2374"/>
    </row>
    <row r="2375" spans="1:9" x14ac:dyDescent="0.25">
      <c r="A2375" s="228">
        <v>41816</v>
      </c>
      <c r="B2375" s="161" t="s">
        <v>1372</v>
      </c>
      <c r="C2375" t="s">
        <v>1375</v>
      </c>
      <c r="D2375" t="s">
        <v>747</v>
      </c>
      <c r="E2375" s="162">
        <v>1</v>
      </c>
      <c r="F2375" s="162">
        <v>287.08</v>
      </c>
      <c r="G2375" s="165">
        <v>287.08</v>
      </c>
      <c r="H2375" s="20" t="s">
        <v>530</v>
      </c>
      <c r="I2375"/>
    </row>
    <row r="2376" spans="1:9" x14ac:dyDescent="0.25">
      <c r="A2376" s="228">
        <v>41816</v>
      </c>
      <c r="B2376" s="161" t="s">
        <v>1372</v>
      </c>
      <c r="C2376" t="s">
        <v>1375</v>
      </c>
      <c r="D2376" t="s">
        <v>747</v>
      </c>
      <c r="E2376" s="162">
        <v>1</v>
      </c>
      <c r="F2376" s="162">
        <v>289.89999999999998</v>
      </c>
      <c r="G2376" s="165">
        <v>289.89999999999998</v>
      </c>
      <c r="H2376" s="20" t="s">
        <v>530</v>
      </c>
      <c r="I2376"/>
    </row>
    <row r="2377" spans="1:9" x14ac:dyDescent="0.25">
      <c r="A2377" s="228">
        <v>41820</v>
      </c>
      <c r="B2377" s="161" t="s">
        <v>1372</v>
      </c>
      <c r="C2377" t="s">
        <v>1375</v>
      </c>
      <c r="D2377" t="s">
        <v>747</v>
      </c>
      <c r="E2377" s="162">
        <v>1</v>
      </c>
      <c r="F2377" s="162">
        <v>521.33000000000004</v>
      </c>
      <c r="G2377" s="165">
        <v>521.33000000000004</v>
      </c>
      <c r="H2377" s="20" t="s">
        <v>530</v>
      </c>
      <c r="I2377"/>
    </row>
    <row r="2378" spans="1:9" x14ac:dyDescent="0.25">
      <c r="A2378" s="228">
        <v>41820</v>
      </c>
      <c r="B2378" s="161" t="s">
        <v>1372</v>
      </c>
      <c r="C2378" t="s">
        <v>1375</v>
      </c>
      <c r="D2378" t="s">
        <v>747</v>
      </c>
      <c r="E2378" s="162">
        <v>1</v>
      </c>
      <c r="F2378" s="162">
        <v>312.88</v>
      </c>
      <c r="G2378" s="165">
        <v>312.88</v>
      </c>
      <c r="H2378" s="20" t="s">
        <v>530</v>
      </c>
      <c r="I2378"/>
    </row>
    <row r="2379" spans="1:9" x14ac:dyDescent="0.25">
      <c r="A2379" s="228">
        <v>41829</v>
      </c>
      <c r="B2379" s="161" t="s">
        <v>950</v>
      </c>
      <c r="C2379" t="s">
        <v>951</v>
      </c>
      <c r="D2379" t="s">
        <v>30</v>
      </c>
      <c r="E2379" s="162">
        <v>24.36</v>
      </c>
      <c r="F2379" s="162">
        <v>33.5</v>
      </c>
      <c r="G2379" s="165">
        <v>816.06</v>
      </c>
      <c r="H2379" s="20" t="s">
        <v>530</v>
      </c>
      <c r="I2379"/>
    </row>
    <row r="2380" spans="1:9" x14ac:dyDescent="0.25">
      <c r="A2380" s="228">
        <v>41884</v>
      </c>
      <c r="B2380" s="161" t="s">
        <v>1372</v>
      </c>
      <c r="C2380" t="s">
        <v>1375</v>
      </c>
      <c r="D2380" t="s">
        <v>747</v>
      </c>
      <c r="E2380" s="162">
        <v>33.100499999999997</v>
      </c>
      <c r="F2380" s="162">
        <v>23.454000000000001</v>
      </c>
      <c r="G2380" s="165">
        <v>776.33912699999996</v>
      </c>
      <c r="H2380" s="20" t="s">
        <v>530</v>
      </c>
      <c r="I2380"/>
    </row>
    <row r="2381" spans="1:9" x14ac:dyDescent="0.25">
      <c r="A2381" s="228">
        <v>41891</v>
      </c>
      <c r="B2381" s="161" t="s">
        <v>1372</v>
      </c>
      <c r="C2381" t="s">
        <v>1375</v>
      </c>
      <c r="D2381" t="s">
        <v>747</v>
      </c>
      <c r="E2381" s="162">
        <v>28.640699999999999</v>
      </c>
      <c r="F2381" s="162">
        <v>23.454000000000001</v>
      </c>
      <c r="G2381" s="165">
        <v>671.73897799999997</v>
      </c>
      <c r="H2381" s="20" t="s">
        <v>530</v>
      </c>
      <c r="I2381"/>
    </row>
    <row r="2382" spans="1:9" x14ac:dyDescent="0.25">
      <c r="A2382" s="228">
        <v>41891</v>
      </c>
      <c r="B2382" s="161" t="s">
        <v>1372</v>
      </c>
      <c r="C2382" t="s">
        <v>1375</v>
      </c>
      <c r="D2382" t="s">
        <v>747</v>
      </c>
      <c r="E2382" s="162">
        <v>27.680499999999999</v>
      </c>
      <c r="F2382" s="162">
        <v>23.454000000000001</v>
      </c>
      <c r="G2382" s="165">
        <v>649.21844699999997</v>
      </c>
      <c r="H2382" s="20" t="s">
        <v>530</v>
      </c>
      <c r="I2382"/>
    </row>
    <row r="2383" spans="1:9" x14ac:dyDescent="0.25">
      <c r="A2383" s="228">
        <v>41892</v>
      </c>
      <c r="B2383" s="161" t="s">
        <v>1372</v>
      </c>
      <c r="C2383" t="s">
        <v>1375</v>
      </c>
      <c r="D2383" t="s">
        <v>747</v>
      </c>
      <c r="E2383" s="162">
        <v>28.640699999999999</v>
      </c>
      <c r="F2383" s="162">
        <v>23.454000000000001</v>
      </c>
      <c r="G2383" s="165">
        <v>671.73897799999997</v>
      </c>
      <c r="H2383" s="20" t="s">
        <v>530</v>
      </c>
      <c r="I2383"/>
    </row>
    <row r="2384" spans="1:9" x14ac:dyDescent="0.25">
      <c r="A2384" s="228">
        <v>41893</v>
      </c>
      <c r="B2384" s="161" t="s">
        <v>1376</v>
      </c>
      <c r="C2384" t="s">
        <v>955</v>
      </c>
      <c r="D2384" t="s">
        <v>747</v>
      </c>
      <c r="E2384" s="162">
        <v>1</v>
      </c>
      <c r="F2384" s="162">
        <v>1300</v>
      </c>
      <c r="G2384" s="165">
        <v>1300</v>
      </c>
      <c r="H2384" s="20" t="s">
        <v>530</v>
      </c>
      <c r="I2384"/>
    </row>
    <row r="2385" spans="1:9" x14ac:dyDescent="0.25">
      <c r="A2385" s="228">
        <v>41894</v>
      </c>
      <c r="B2385" s="161" t="s">
        <v>1372</v>
      </c>
      <c r="C2385" t="s">
        <v>1375</v>
      </c>
      <c r="D2385" t="s">
        <v>747</v>
      </c>
      <c r="E2385" s="162">
        <v>30.640699999999999</v>
      </c>
      <c r="F2385" s="162">
        <v>23.454000000000001</v>
      </c>
      <c r="G2385" s="165">
        <v>718.64697799999999</v>
      </c>
      <c r="H2385" s="20" t="s">
        <v>530</v>
      </c>
      <c r="I2385"/>
    </row>
    <row r="2386" spans="1:9" x14ac:dyDescent="0.25">
      <c r="A2386" s="228">
        <v>41894</v>
      </c>
      <c r="B2386" s="161" t="s">
        <v>1372</v>
      </c>
      <c r="C2386" t="s">
        <v>1375</v>
      </c>
      <c r="D2386" t="s">
        <v>747</v>
      </c>
      <c r="E2386" s="162">
        <v>28.200600000000001</v>
      </c>
      <c r="F2386" s="162">
        <v>23.454000000000001</v>
      </c>
      <c r="G2386" s="165">
        <v>661.41687200000001</v>
      </c>
      <c r="H2386" s="20" t="s">
        <v>530</v>
      </c>
      <c r="I2386"/>
    </row>
    <row r="2387" spans="1:9" x14ac:dyDescent="0.25">
      <c r="A2387" s="228">
        <v>41894</v>
      </c>
      <c r="B2387" s="161" t="s">
        <v>1372</v>
      </c>
      <c r="C2387" t="s">
        <v>1375</v>
      </c>
      <c r="D2387" t="s">
        <v>747</v>
      </c>
      <c r="E2387" s="162">
        <v>28.2407</v>
      </c>
      <c r="F2387" s="162">
        <v>23.454000000000001</v>
      </c>
      <c r="G2387" s="165">
        <v>662.35737800000004</v>
      </c>
      <c r="H2387" s="20" t="s">
        <v>530</v>
      </c>
      <c r="I2387"/>
    </row>
    <row r="2388" spans="1:9" x14ac:dyDescent="0.25">
      <c r="A2388" s="228">
        <v>41899</v>
      </c>
      <c r="B2388" s="161" t="s">
        <v>1372</v>
      </c>
      <c r="C2388" t="s">
        <v>1375</v>
      </c>
      <c r="D2388" t="s">
        <v>747</v>
      </c>
      <c r="E2388" s="162">
        <v>28.2806</v>
      </c>
      <c r="F2388" s="162">
        <v>23.454000000000001</v>
      </c>
      <c r="G2388" s="165">
        <v>663.29319199999998</v>
      </c>
      <c r="H2388" s="20" t="s">
        <v>530</v>
      </c>
      <c r="I2388"/>
    </row>
    <row r="2389" spans="1:9" x14ac:dyDescent="0.25">
      <c r="A2389" s="228">
        <v>41899</v>
      </c>
      <c r="B2389" s="161" t="s">
        <v>1372</v>
      </c>
      <c r="C2389" t="s">
        <v>1375</v>
      </c>
      <c r="D2389" t="s">
        <v>747</v>
      </c>
      <c r="E2389" s="162">
        <v>28.8005</v>
      </c>
      <c r="F2389" s="162">
        <v>23.454000000000001</v>
      </c>
      <c r="G2389" s="165">
        <v>675.48692700000004</v>
      </c>
      <c r="H2389" s="20" t="s">
        <v>530</v>
      </c>
      <c r="I2389"/>
    </row>
    <row r="2390" spans="1:9" x14ac:dyDescent="0.25">
      <c r="A2390" s="228">
        <v>41899</v>
      </c>
      <c r="B2390" s="161" t="s">
        <v>1377</v>
      </c>
      <c r="C2390" t="s">
        <v>1364</v>
      </c>
      <c r="D2390" t="s">
        <v>747</v>
      </c>
      <c r="E2390" s="162">
        <v>12.601000000000001</v>
      </c>
      <c r="F2390" s="162">
        <v>35.270000000000003</v>
      </c>
      <c r="G2390" s="165">
        <v>444.43727000000001</v>
      </c>
      <c r="H2390" s="20" t="s">
        <v>530</v>
      </c>
      <c r="I2390"/>
    </row>
    <row r="2391" spans="1:9" x14ac:dyDescent="0.25">
      <c r="A2391" s="228">
        <v>41899</v>
      </c>
      <c r="B2391" s="161" t="s">
        <v>1372</v>
      </c>
      <c r="C2391" t="s">
        <v>1375</v>
      </c>
      <c r="D2391" t="s">
        <v>747</v>
      </c>
      <c r="E2391" s="162">
        <v>28.2805</v>
      </c>
      <c r="F2391" s="162">
        <v>23.454000000000001</v>
      </c>
      <c r="G2391" s="165">
        <v>663.29084699999999</v>
      </c>
      <c r="H2391" s="20" t="s">
        <v>530</v>
      </c>
      <c r="I2391"/>
    </row>
    <row r="2392" spans="1:9" x14ac:dyDescent="0.25">
      <c r="A2392" s="228">
        <v>41899</v>
      </c>
      <c r="B2392" s="161" t="s">
        <v>1372</v>
      </c>
      <c r="C2392" t="s">
        <v>1375</v>
      </c>
      <c r="D2392" t="s">
        <v>747</v>
      </c>
      <c r="E2392" s="162">
        <v>28.9405</v>
      </c>
      <c r="F2392" s="162">
        <v>23.454000000000001</v>
      </c>
      <c r="G2392" s="165">
        <v>678.770487</v>
      </c>
      <c r="H2392" s="20" t="s">
        <v>530</v>
      </c>
      <c r="I2392"/>
    </row>
    <row r="2393" spans="1:9" x14ac:dyDescent="0.25">
      <c r="A2393" s="228">
        <v>41899</v>
      </c>
      <c r="B2393" s="161" t="s">
        <v>1372</v>
      </c>
      <c r="C2393" t="s">
        <v>1375</v>
      </c>
      <c r="D2393" t="s">
        <v>747</v>
      </c>
      <c r="E2393" s="162">
        <v>27.4407</v>
      </c>
      <c r="F2393" s="162">
        <v>23.454000000000001</v>
      </c>
      <c r="G2393" s="165">
        <v>643.59417800000006</v>
      </c>
      <c r="H2393" s="20" t="s">
        <v>530</v>
      </c>
      <c r="I2393"/>
    </row>
    <row r="2394" spans="1:9" x14ac:dyDescent="0.25">
      <c r="A2394" s="228">
        <v>41899</v>
      </c>
      <c r="B2394" s="161" t="s">
        <v>1372</v>
      </c>
      <c r="C2394" t="s">
        <v>1375</v>
      </c>
      <c r="D2394" t="s">
        <v>747</v>
      </c>
      <c r="E2394" s="162">
        <v>28.2407</v>
      </c>
      <c r="F2394" s="162">
        <v>23.454000000000001</v>
      </c>
      <c r="G2394" s="165">
        <v>662.35737800000004</v>
      </c>
      <c r="H2394" s="20" t="s">
        <v>530</v>
      </c>
      <c r="I2394"/>
    </row>
    <row r="2395" spans="1:9" x14ac:dyDescent="0.25">
      <c r="A2395" s="228">
        <v>41899</v>
      </c>
      <c r="B2395" s="161" t="s">
        <v>1372</v>
      </c>
      <c r="C2395" t="s">
        <v>1375</v>
      </c>
      <c r="D2395" t="s">
        <v>747</v>
      </c>
      <c r="E2395" s="162">
        <v>28.460699999999999</v>
      </c>
      <c r="F2395" s="162">
        <v>23.454000000000001</v>
      </c>
      <c r="G2395" s="165">
        <v>667.51725799999997</v>
      </c>
      <c r="H2395" s="20" t="s">
        <v>530</v>
      </c>
      <c r="I2395"/>
    </row>
    <row r="2396" spans="1:9" x14ac:dyDescent="0.25">
      <c r="A2396" s="228">
        <v>41899</v>
      </c>
      <c r="B2396" s="161" t="s">
        <v>1372</v>
      </c>
      <c r="C2396" t="s">
        <v>1375</v>
      </c>
      <c r="D2396" t="s">
        <v>747</v>
      </c>
      <c r="E2396" s="162">
        <v>28.400700000000001</v>
      </c>
      <c r="F2396" s="162">
        <v>23.454000000000001</v>
      </c>
      <c r="G2396" s="165">
        <v>666.11001799999997</v>
      </c>
      <c r="H2396" s="20" t="s">
        <v>530</v>
      </c>
      <c r="I2396"/>
    </row>
    <row r="2397" spans="1:9" x14ac:dyDescent="0.25">
      <c r="A2397" s="228">
        <v>41906</v>
      </c>
      <c r="B2397" s="161" t="s">
        <v>1372</v>
      </c>
      <c r="C2397" t="s">
        <v>1375</v>
      </c>
      <c r="D2397" t="s">
        <v>747</v>
      </c>
      <c r="E2397" s="162">
        <v>27.160499999999999</v>
      </c>
      <c r="F2397" s="162">
        <v>23.454000000000001</v>
      </c>
      <c r="G2397" s="165">
        <v>637.02236700000003</v>
      </c>
      <c r="H2397" s="20" t="s">
        <v>530</v>
      </c>
      <c r="I2397"/>
    </row>
    <row r="2398" spans="1:9" x14ac:dyDescent="0.25">
      <c r="A2398" s="228">
        <v>41927</v>
      </c>
      <c r="B2398" s="161" t="s">
        <v>1372</v>
      </c>
      <c r="C2398" t="s">
        <v>1375</v>
      </c>
      <c r="D2398" t="s">
        <v>30</v>
      </c>
      <c r="E2398" s="162">
        <v>12.7006</v>
      </c>
      <c r="F2398" s="162">
        <v>23.452999999999999</v>
      </c>
      <c r="G2398" s="165">
        <v>297.86717199999998</v>
      </c>
      <c r="H2398" s="20" t="s">
        <v>530</v>
      </c>
      <c r="I2398"/>
    </row>
    <row r="2399" spans="1:9" x14ac:dyDescent="0.25">
      <c r="A2399" s="228">
        <v>41932</v>
      </c>
      <c r="B2399" s="161" t="s">
        <v>1372</v>
      </c>
      <c r="C2399" t="s">
        <v>1375</v>
      </c>
      <c r="D2399" t="s">
        <v>30</v>
      </c>
      <c r="E2399" s="162">
        <v>13.061</v>
      </c>
      <c r="F2399" s="162">
        <v>23.452999999999999</v>
      </c>
      <c r="G2399" s="165">
        <v>306.31963300000001</v>
      </c>
      <c r="H2399" s="20" t="s">
        <v>530</v>
      </c>
      <c r="I2399"/>
    </row>
    <row r="2400" spans="1:9" x14ac:dyDescent="0.25">
      <c r="A2400" s="228">
        <v>41936</v>
      </c>
      <c r="B2400" s="161" t="s">
        <v>1372</v>
      </c>
      <c r="C2400" t="s">
        <v>1375</v>
      </c>
      <c r="D2400" t="s">
        <v>30</v>
      </c>
      <c r="E2400" s="162">
        <v>11.860799999999999</v>
      </c>
      <c r="F2400" s="162">
        <v>23.452999999999999</v>
      </c>
      <c r="G2400" s="165">
        <v>278.17134199999998</v>
      </c>
      <c r="H2400" s="20" t="s">
        <v>530</v>
      </c>
      <c r="I2400"/>
    </row>
    <row r="2401" spans="1:9" x14ac:dyDescent="0.25">
      <c r="A2401" s="228">
        <v>41960</v>
      </c>
      <c r="B2401" s="161" t="s">
        <v>1366</v>
      </c>
      <c r="C2401" t="s">
        <v>1364</v>
      </c>
      <c r="D2401" t="s">
        <v>30</v>
      </c>
      <c r="E2401" s="162">
        <v>13.02</v>
      </c>
      <c r="F2401" s="162">
        <v>35.270000000000003</v>
      </c>
      <c r="G2401" s="165">
        <v>459.21539999999999</v>
      </c>
      <c r="H2401" s="20" t="s">
        <v>530</v>
      </c>
      <c r="I2401"/>
    </row>
    <row r="2402" spans="1:9" x14ac:dyDescent="0.25">
      <c r="A2402" s="228">
        <v>41969</v>
      </c>
      <c r="B2402" s="161" t="s">
        <v>1366</v>
      </c>
      <c r="C2402" t="s">
        <v>1364</v>
      </c>
      <c r="D2402" t="s">
        <v>30</v>
      </c>
      <c r="E2402" s="162">
        <v>13.16</v>
      </c>
      <c r="F2402" s="162">
        <v>35.270000000000003</v>
      </c>
      <c r="G2402" s="165">
        <v>464.15320000000003</v>
      </c>
      <c r="H2402" s="20" t="s">
        <v>530</v>
      </c>
      <c r="I2402"/>
    </row>
    <row r="2403" spans="1:9" x14ac:dyDescent="0.25">
      <c r="A2403" s="228">
        <v>42051</v>
      </c>
      <c r="B2403" s="161" t="s">
        <v>1366</v>
      </c>
      <c r="C2403" t="s">
        <v>1364</v>
      </c>
      <c r="D2403" t="s">
        <v>30</v>
      </c>
      <c r="E2403" s="162">
        <v>16.78</v>
      </c>
      <c r="F2403" s="162">
        <v>35.273000000000003</v>
      </c>
      <c r="G2403" s="165">
        <v>591.88094000000001</v>
      </c>
      <c r="H2403" s="20" t="s">
        <v>530</v>
      </c>
      <c r="I2403"/>
    </row>
    <row r="2404" spans="1:9" x14ac:dyDescent="0.25">
      <c r="A2404" s="228">
        <v>42072</v>
      </c>
      <c r="B2404" s="161" t="s">
        <v>1366</v>
      </c>
      <c r="C2404" t="s">
        <v>1364</v>
      </c>
      <c r="D2404" t="s">
        <v>30</v>
      </c>
      <c r="E2404" s="162">
        <v>6.62</v>
      </c>
      <c r="F2404" s="162">
        <v>44.197000000000003</v>
      </c>
      <c r="G2404" s="165">
        <v>292.58413999999999</v>
      </c>
      <c r="H2404" s="20" t="s">
        <v>530</v>
      </c>
      <c r="I2404"/>
    </row>
    <row r="2405" spans="1:9" x14ac:dyDescent="0.25">
      <c r="A2405" s="228">
        <v>42131</v>
      </c>
      <c r="B2405" s="161" t="s">
        <v>1372</v>
      </c>
      <c r="C2405" t="s">
        <v>1375</v>
      </c>
      <c r="D2405" t="s">
        <v>747</v>
      </c>
      <c r="E2405" s="162">
        <v>1.1399999999999999</v>
      </c>
      <c r="F2405" s="162"/>
      <c r="G2405" s="165"/>
      <c r="H2405" s="20" t="s">
        <v>530</v>
      </c>
      <c r="I2405"/>
    </row>
    <row r="2406" spans="1:9" x14ac:dyDescent="0.25">
      <c r="A2406" s="230" t="s">
        <v>642</v>
      </c>
      <c r="B2406" s="231" t="s">
        <v>1378</v>
      </c>
      <c r="C2406" s="232" t="s">
        <v>642</v>
      </c>
      <c r="D2406" s="232" t="s">
        <v>642</v>
      </c>
      <c r="E2406" s="233"/>
      <c r="F2406" s="233"/>
      <c r="G2406" s="234">
        <v>22283.178506</v>
      </c>
      <c r="H2406" s="235" t="s">
        <v>642</v>
      </c>
      <c r="I2406"/>
    </row>
    <row r="2407" spans="1:9" x14ac:dyDescent="0.25">
      <c r="A2407" s="228" t="s">
        <v>642</v>
      </c>
      <c r="B2407" s="161" t="s">
        <v>642</v>
      </c>
      <c r="C2407" t="s">
        <v>642</v>
      </c>
      <c r="D2407" t="s">
        <v>642</v>
      </c>
      <c r="E2407" s="162"/>
      <c r="F2407" s="162"/>
      <c r="G2407" s="165"/>
      <c r="H2407" s="20" t="s">
        <v>642</v>
      </c>
      <c r="I2407"/>
    </row>
    <row r="2408" spans="1:9" x14ac:dyDescent="0.25">
      <c r="A2408" s="226" t="s">
        <v>642</v>
      </c>
      <c r="B2408" s="159" t="s">
        <v>1379</v>
      </c>
      <c r="C2408" s="64" t="s">
        <v>642</v>
      </c>
      <c r="D2408" s="64" t="s">
        <v>642</v>
      </c>
      <c r="E2408" s="227"/>
      <c r="F2408" s="227"/>
      <c r="G2408" s="166"/>
      <c r="H2408" s="160" t="s">
        <v>642</v>
      </c>
      <c r="I2408"/>
    </row>
    <row r="2409" spans="1:9" ht="30" x14ac:dyDescent="0.25">
      <c r="A2409" s="228">
        <v>41740</v>
      </c>
      <c r="B2409" s="161" t="s">
        <v>1380</v>
      </c>
      <c r="C2409" t="s">
        <v>1381</v>
      </c>
      <c r="D2409" t="s">
        <v>747</v>
      </c>
      <c r="E2409" s="162">
        <v>1</v>
      </c>
      <c r="F2409" s="162">
        <v>5787.79</v>
      </c>
      <c r="G2409" s="165">
        <v>5787.79</v>
      </c>
      <c r="H2409" s="20" t="s">
        <v>537</v>
      </c>
      <c r="I2409"/>
    </row>
    <row r="2410" spans="1:9" x14ac:dyDescent="0.25">
      <c r="A2410" s="228">
        <v>41923</v>
      </c>
      <c r="B2410" s="161" t="s">
        <v>1382</v>
      </c>
      <c r="C2410" t="s">
        <v>1383</v>
      </c>
      <c r="D2410" t="s">
        <v>747</v>
      </c>
      <c r="E2410" s="162">
        <v>1</v>
      </c>
      <c r="F2410" s="162">
        <v>313.58999999999997</v>
      </c>
      <c r="G2410" s="165">
        <v>313.58999999999997</v>
      </c>
      <c r="H2410" s="20" t="s">
        <v>537</v>
      </c>
      <c r="I2410"/>
    </row>
    <row r="2411" spans="1:9" ht="30" x14ac:dyDescent="0.25">
      <c r="A2411" s="228">
        <v>41925</v>
      </c>
      <c r="B2411" s="161" t="s">
        <v>1384</v>
      </c>
      <c r="C2411" t="s">
        <v>1383</v>
      </c>
      <c r="D2411" t="s">
        <v>747</v>
      </c>
      <c r="E2411" s="162">
        <v>1</v>
      </c>
      <c r="F2411" s="162">
        <v>562.64</v>
      </c>
      <c r="G2411" s="165">
        <v>562.64</v>
      </c>
      <c r="H2411" s="20" t="s">
        <v>537</v>
      </c>
      <c r="I2411"/>
    </row>
    <row r="2412" spans="1:9" ht="30" x14ac:dyDescent="0.25">
      <c r="A2412" s="228">
        <v>41947</v>
      </c>
      <c r="B2412" s="161" t="s">
        <v>1385</v>
      </c>
      <c r="C2412" t="s">
        <v>1386</v>
      </c>
      <c r="D2412" t="s">
        <v>747</v>
      </c>
      <c r="E2412" s="162">
        <v>1</v>
      </c>
      <c r="F2412" s="162">
        <v>384.91</v>
      </c>
      <c r="G2412" s="165">
        <v>384.91</v>
      </c>
      <c r="H2412" s="20" t="s">
        <v>537</v>
      </c>
      <c r="I2412"/>
    </row>
    <row r="2413" spans="1:9" x14ac:dyDescent="0.25">
      <c r="A2413" s="228">
        <v>41969</v>
      </c>
      <c r="B2413" s="161" t="s">
        <v>1387</v>
      </c>
      <c r="C2413" t="s">
        <v>1383</v>
      </c>
      <c r="D2413" t="s">
        <v>747</v>
      </c>
      <c r="E2413" s="162">
        <v>1</v>
      </c>
      <c r="F2413" s="162">
        <v>58.45</v>
      </c>
      <c r="G2413" s="165">
        <v>58.45</v>
      </c>
      <c r="H2413" s="20" t="s">
        <v>537</v>
      </c>
      <c r="I2413"/>
    </row>
    <row r="2414" spans="1:9" x14ac:dyDescent="0.25">
      <c r="A2414" s="228">
        <v>41981</v>
      </c>
      <c r="B2414" s="161" t="s">
        <v>1387</v>
      </c>
      <c r="C2414" t="s">
        <v>1383</v>
      </c>
      <c r="D2414" t="s">
        <v>747</v>
      </c>
      <c r="E2414" s="162">
        <v>1</v>
      </c>
      <c r="F2414" s="162">
        <v>117.18</v>
      </c>
      <c r="G2414" s="165">
        <v>117.18</v>
      </c>
      <c r="H2414" s="20" t="s">
        <v>537</v>
      </c>
      <c r="I2414"/>
    </row>
    <row r="2415" spans="1:9" x14ac:dyDescent="0.25">
      <c r="A2415" s="230" t="s">
        <v>642</v>
      </c>
      <c r="B2415" s="231" t="s">
        <v>1388</v>
      </c>
      <c r="C2415" s="232" t="s">
        <v>642</v>
      </c>
      <c r="D2415" s="232" t="s">
        <v>642</v>
      </c>
      <c r="E2415" s="233"/>
      <c r="F2415" s="233"/>
      <c r="G2415" s="234">
        <v>7224.56</v>
      </c>
      <c r="H2415" s="235" t="s">
        <v>642</v>
      </c>
      <c r="I2415"/>
    </row>
    <row r="2416" spans="1:9" x14ac:dyDescent="0.25">
      <c r="A2416" s="228" t="s">
        <v>642</v>
      </c>
      <c r="B2416" s="161" t="s">
        <v>642</v>
      </c>
      <c r="C2416" t="s">
        <v>642</v>
      </c>
      <c r="D2416" t="s">
        <v>642</v>
      </c>
      <c r="E2416" s="162"/>
      <c r="F2416" s="162"/>
      <c r="G2416" s="165"/>
      <c r="H2416" s="20" t="s">
        <v>642</v>
      </c>
      <c r="I2416"/>
    </row>
    <row r="2417" spans="1:9" x14ac:dyDescent="0.25">
      <c r="A2417" s="226" t="s">
        <v>642</v>
      </c>
      <c r="B2417" s="159" t="s">
        <v>1389</v>
      </c>
      <c r="C2417" s="64" t="s">
        <v>642</v>
      </c>
      <c r="D2417" s="64" t="s">
        <v>642</v>
      </c>
      <c r="E2417" s="227"/>
      <c r="F2417" s="227"/>
      <c r="G2417" s="166"/>
      <c r="H2417" s="160" t="s">
        <v>642</v>
      </c>
      <c r="I2417"/>
    </row>
    <row r="2418" spans="1:9" x14ac:dyDescent="0.25">
      <c r="A2418" s="228">
        <v>41782</v>
      </c>
      <c r="B2418" s="161" t="s">
        <v>1390</v>
      </c>
      <c r="C2418" t="s">
        <v>1391</v>
      </c>
      <c r="D2418" t="s">
        <v>747</v>
      </c>
      <c r="E2418" s="162">
        <v>1</v>
      </c>
      <c r="F2418" s="162">
        <v>5034</v>
      </c>
      <c r="G2418" s="165">
        <v>5034</v>
      </c>
      <c r="H2418" s="20" t="s">
        <v>531</v>
      </c>
      <c r="I2418"/>
    </row>
    <row r="2419" spans="1:9" x14ac:dyDescent="0.25">
      <c r="A2419" s="230" t="s">
        <v>642</v>
      </c>
      <c r="B2419" s="231" t="s">
        <v>1392</v>
      </c>
      <c r="C2419" s="232" t="s">
        <v>642</v>
      </c>
      <c r="D2419" s="232" t="s">
        <v>642</v>
      </c>
      <c r="E2419" s="233"/>
      <c r="F2419" s="233"/>
      <c r="G2419" s="234">
        <v>5034</v>
      </c>
      <c r="H2419" s="235" t="s">
        <v>642</v>
      </c>
      <c r="I2419"/>
    </row>
    <row r="2420" spans="1:9" x14ac:dyDescent="0.25">
      <c r="A2420" s="228" t="s">
        <v>642</v>
      </c>
      <c r="B2420" s="161" t="s">
        <v>642</v>
      </c>
      <c r="C2420" t="s">
        <v>642</v>
      </c>
      <c r="D2420" t="s">
        <v>642</v>
      </c>
      <c r="E2420" s="162"/>
      <c r="F2420" s="162"/>
      <c r="G2420" s="165"/>
      <c r="H2420" s="20" t="s">
        <v>642</v>
      </c>
      <c r="I2420"/>
    </row>
    <row r="2421" spans="1:9" x14ac:dyDescent="0.25">
      <c r="A2421" s="226" t="s">
        <v>642</v>
      </c>
      <c r="B2421" s="159" t="s">
        <v>1393</v>
      </c>
      <c r="C2421" s="64" t="s">
        <v>642</v>
      </c>
      <c r="D2421" s="64" t="s">
        <v>642</v>
      </c>
      <c r="E2421" s="227"/>
      <c r="F2421" s="227"/>
      <c r="G2421" s="166"/>
      <c r="H2421" s="160" t="s">
        <v>642</v>
      </c>
      <c r="I2421"/>
    </row>
    <row r="2422" spans="1:9" x14ac:dyDescent="0.25">
      <c r="A2422" s="228">
        <v>41789</v>
      </c>
      <c r="B2422" s="161" t="s">
        <v>1394</v>
      </c>
      <c r="C2422" t="s">
        <v>1395</v>
      </c>
      <c r="D2422" t="s">
        <v>747</v>
      </c>
      <c r="E2422" s="162">
        <v>1</v>
      </c>
      <c r="F2422" s="162">
        <v>8953.67</v>
      </c>
      <c r="G2422" s="165">
        <v>8953.67</v>
      </c>
      <c r="H2422" s="20" t="s">
        <v>529</v>
      </c>
      <c r="I2422"/>
    </row>
    <row r="2423" spans="1:9" x14ac:dyDescent="0.25">
      <c r="A2423" s="228">
        <v>41923</v>
      </c>
      <c r="B2423" s="161" t="s">
        <v>1396</v>
      </c>
      <c r="C2423" t="s">
        <v>1008</v>
      </c>
      <c r="D2423" t="s">
        <v>747</v>
      </c>
      <c r="E2423" s="162">
        <v>1</v>
      </c>
      <c r="F2423" s="162">
        <v>2459.52</v>
      </c>
      <c r="G2423" s="165">
        <v>2459.52</v>
      </c>
      <c r="H2423" s="20" t="s">
        <v>529</v>
      </c>
      <c r="I2423"/>
    </row>
    <row r="2424" spans="1:9" x14ac:dyDescent="0.25">
      <c r="A2424" s="228">
        <v>41923</v>
      </c>
      <c r="B2424" s="161" t="s">
        <v>1397</v>
      </c>
      <c r="C2424" t="s">
        <v>1398</v>
      </c>
      <c r="D2424" t="s">
        <v>747</v>
      </c>
      <c r="E2424" s="162">
        <v>1</v>
      </c>
      <c r="F2424" s="162">
        <v>105.09</v>
      </c>
      <c r="G2424" s="165">
        <v>105.09</v>
      </c>
      <c r="H2424" s="20" t="s">
        <v>529</v>
      </c>
      <c r="I2424"/>
    </row>
    <row r="2425" spans="1:9" ht="30" x14ac:dyDescent="0.25">
      <c r="A2425" s="228">
        <v>41926</v>
      </c>
      <c r="B2425" s="161" t="s">
        <v>1399</v>
      </c>
      <c r="C2425" t="s">
        <v>1008</v>
      </c>
      <c r="D2425" t="s">
        <v>747</v>
      </c>
      <c r="E2425" s="162">
        <v>1</v>
      </c>
      <c r="F2425" s="162">
        <v>66.08</v>
      </c>
      <c r="G2425" s="165">
        <v>66.08</v>
      </c>
      <c r="H2425" s="20" t="s">
        <v>529</v>
      </c>
      <c r="I2425"/>
    </row>
    <row r="2426" spans="1:9" x14ac:dyDescent="0.25">
      <c r="A2426" s="228">
        <v>41926</v>
      </c>
      <c r="B2426" s="161" t="s">
        <v>1400</v>
      </c>
      <c r="C2426" t="s">
        <v>1398</v>
      </c>
      <c r="D2426" t="s">
        <v>747</v>
      </c>
      <c r="E2426" s="162">
        <v>1</v>
      </c>
      <c r="F2426" s="162">
        <v>-134.18</v>
      </c>
      <c r="G2426" s="165">
        <v>-134.18</v>
      </c>
      <c r="H2426" s="20" t="s">
        <v>529</v>
      </c>
      <c r="I2426"/>
    </row>
    <row r="2427" spans="1:9" x14ac:dyDescent="0.25">
      <c r="A2427" s="230" t="s">
        <v>642</v>
      </c>
      <c r="B2427" s="231" t="s">
        <v>1401</v>
      </c>
      <c r="C2427" s="232" t="s">
        <v>642</v>
      </c>
      <c r="D2427" s="232" t="s">
        <v>642</v>
      </c>
      <c r="E2427" s="233"/>
      <c r="F2427" s="233"/>
      <c r="G2427" s="234">
        <v>11450.18</v>
      </c>
      <c r="H2427" s="235" t="s">
        <v>642</v>
      </c>
      <c r="I2427"/>
    </row>
    <row r="2428" spans="1:9" x14ac:dyDescent="0.25">
      <c r="A2428" s="228" t="s">
        <v>642</v>
      </c>
      <c r="B2428" s="161" t="s">
        <v>642</v>
      </c>
      <c r="C2428" t="s">
        <v>642</v>
      </c>
      <c r="D2428" t="s">
        <v>642</v>
      </c>
      <c r="E2428" s="162"/>
      <c r="F2428" s="162"/>
      <c r="G2428" s="165"/>
      <c r="H2428" s="20" t="s">
        <v>642</v>
      </c>
      <c r="I2428"/>
    </row>
    <row r="2429" spans="1:9" x14ac:dyDescent="0.25">
      <c r="A2429" s="226" t="s">
        <v>642</v>
      </c>
      <c r="B2429" s="159" t="s">
        <v>1402</v>
      </c>
      <c r="C2429" s="64" t="s">
        <v>642</v>
      </c>
      <c r="D2429" s="64" t="s">
        <v>642</v>
      </c>
      <c r="E2429" s="227"/>
      <c r="F2429" s="227"/>
      <c r="G2429" s="166"/>
      <c r="H2429" s="160" t="s">
        <v>642</v>
      </c>
      <c r="I2429"/>
    </row>
    <row r="2430" spans="1:9" ht="30" x14ac:dyDescent="0.25">
      <c r="A2430" s="228">
        <v>41759</v>
      </c>
      <c r="B2430" s="161" t="s">
        <v>1403</v>
      </c>
      <c r="C2430" t="s">
        <v>1404</v>
      </c>
      <c r="D2430" t="s">
        <v>747</v>
      </c>
      <c r="E2430" s="162">
        <v>1</v>
      </c>
      <c r="F2430" s="162">
        <v>7975</v>
      </c>
      <c r="G2430" s="165">
        <v>7975</v>
      </c>
      <c r="H2430" s="20" t="s">
        <v>533</v>
      </c>
      <c r="I2430"/>
    </row>
    <row r="2431" spans="1:9" ht="30" x14ac:dyDescent="0.25">
      <c r="A2431" s="228">
        <v>41789</v>
      </c>
      <c r="B2431" s="161" t="s">
        <v>1405</v>
      </c>
      <c r="C2431" t="s">
        <v>821</v>
      </c>
      <c r="D2431" t="s">
        <v>747</v>
      </c>
      <c r="E2431" s="162">
        <v>1</v>
      </c>
      <c r="F2431" s="162">
        <v>22970</v>
      </c>
      <c r="G2431" s="165">
        <v>22970</v>
      </c>
      <c r="H2431" s="20" t="s">
        <v>533</v>
      </c>
      <c r="I2431"/>
    </row>
    <row r="2432" spans="1:9" x14ac:dyDescent="0.25">
      <c r="A2432" s="228">
        <v>41794</v>
      </c>
      <c r="B2432" s="161" t="s">
        <v>1406</v>
      </c>
      <c r="C2432" t="s">
        <v>1404</v>
      </c>
      <c r="D2432" t="s">
        <v>747</v>
      </c>
      <c r="E2432" s="162">
        <v>1</v>
      </c>
      <c r="F2432" s="162">
        <v>-1500</v>
      </c>
      <c r="G2432" s="165">
        <v>-1500</v>
      </c>
      <c r="H2432" s="20" t="s">
        <v>533</v>
      </c>
      <c r="I2432"/>
    </row>
    <row r="2433" spans="1:9" x14ac:dyDescent="0.25">
      <c r="A2433" s="230" t="s">
        <v>642</v>
      </c>
      <c r="B2433" s="231" t="s">
        <v>1407</v>
      </c>
      <c r="C2433" s="232" t="s">
        <v>642</v>
      </c>
      <c r="D2433" s="232" t="s">
        <v>642</v>
      </c>
      <c r="E2433" s="233"/>
      <c r="F2433" s="233"/>
      <c r="G2433" s="234">
        <v>29445</v>
      </c>
      <c r="H2433" s="235" t="s">
        <v>642</v>
      </c>
      <c r="I2433"/>
    </row>
    <row r="2434" spans="1:9" x14ac:dyDescent="0.25">
      <c r="A2434" s="228" t="s">
        <v>642</v>
      </c>
      <c r="B2434" s="161" t="s">
        <v>642</v>
      </c>
      <c r="C2434" t="s">
        <v>642</v>
      </c>
      <c r="D2434" t="s">
        <v>642</v>
      </c>
      <c r="E2434" s="162"/>
      <c r="F2434" s="162"/>
      <c r="G2434" s="165"/>
      <c r="H2434" s="20" t="s">
        <v>642</v>
      </c>
      <c r="I2434"/>
    </row>
    <row r="2435" spans="1:9" x14ac:dyDescent="0.25">
      <c r="A2435" s="236" t="s">
        <v>642</v>
      </c>
      <c r="B2435" s="169" t="s">
        <v>1408</v>
      </c>
      <c r="C2435" s="168" t="s">
        <v>642</v>
      </c>
      <c r="D2435" s="168" t="s">
        <v>642</v>
      </c>
      <c r="E2435" s="170"/>
      <c r="F2435" s="170"/>
      <c r="G2435" s="171">
        <v>2045983.9807239999</v>
      </c>
      <c r="H2435" s="173" t="s">
        <v>642</v>
      </c>
      <c r="I243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Estimate</vt:lpstr>
      <vt:lpstr>Resources</vt:lpstr>
      <vt:lpstr>Model Inputs</vt:lpstr>
      <vt:lpstr>Non-Work Calendar</vt:lpstr>
      <vt:lpstr>Program Links</vt:lpstr>
      <vt:lpstr>Budget &amp; Revenue</vt:lpstr>
      <vt:lpstr>Portfolio WBS</vt:lpstr>
      <vt:lpstr>Actual Costs</vt:lpstr>
      <vt:lpstr>Workhrs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Thiele</dc:creator>
  <cp:lastModifiedBy>Abdulhaseeb Mohammed</cp:lastModifiedBy>
  <dcterms:created xsi:type="dcterms:W3CDTF">2019-06-07T22:24:35Z</dcterms:created>
  <dcterms:modified xsi:type="dcterms:W3CDTF">2024-06-28T23:49:40Z</dcterms:modified>
</cp:coreProperties>
</file>