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abdul\Downloads\"/>
    </mc:Choice>
  </mc:AlternateContent>
  <xr:revisionPtr revIDLastSave="0" documentId="13_ncr:1_{3C4C930E-F055-4728-A079-B57E65DAFB73}" xr6:coauthVersionLast="47" xr6:coauthVersionMax="47" xr10:uidLastSave="{00000000-0000-0000-0000-000000000000}"/>
  <bookViews>
    <workbookView xWindow="-120" yWindow="-120" windowWidth="19440" windowHeight="11520" firstSheet="4" activeTab="7" xr2:uid="{00000000-000D-0000-FFFF-FFFF00000000}"/>
  </bookViews>
  <sheets>
    <sheet name="Estimate" sheetId="1" r:id="rId1"/>
    <sheet name="Resources" sheetId="4" r:id="rId2"/>
    <sheet name="Model Inputs" sheetId="2" r:id="rId3"/>
    <sheet name="Non-Work Days" sheetId="11" r:id="rId4"/>
    <sheet name="Program Links" sheetId="7" r:id="rId5"/>
    <sheet name="Budget &amp; Revenue" sheetId="8" r:id="rId6"/>
    <sheet name="Portfolio WBS" sheetId="9" r:id="rId7"/>
    <sheet name="Actual Costs" sheetId="10" r:id="rId8"/>
  </sheets>
  <externalReferences>
    <externalReference r:id="rId9"/>
  </externalReferences>
  <definedNames>
    <definedName name="NWDays">'[1]Non-Work Calender'!$B$4:$K$68</definedName>
    <definedName name="Work">'Non-Work Days'!$B$71</definedName>
    <definedName name="Workhrs">#REF!</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33" i="10" l="1"/>
  <c r="B3" i="11" l="1"/>
  <c r="C4" i="11"/>
  <c r="G4" i="11"/>
  <c r="I4" i="11"/>
  <c r="K4" i="11"/>
  <c r="B5" i="11"/>
  <c r="C5" i="11"/>
  <c r="C3" i="11" s="1"/>
  <c r="D5" i="11"/>
  <c r="D6" i="11" s="1"/>
  <c r="E5" i="11"/>
  <c r="F5" i="11"/>
  <c r="G5" i="11"/>
  <c r="H5" i="11"/>
  <c r="H6" i="11" s="1"/>
  <c r="I6" i="11" s="1"/>
  <c r="I3" i="11" s="1"/>
  <c r="I5" i="11"/>
  <c r="J5" i="11"/>
  <c r="K5" i="11"/>
  <c r="B6" i="11"/>
  <c r="B7" i="11" s="1"/>
  <c r="B8" i="11" s="1"/>
  <c r="C6" i="11"/>
  <c r="E6" i="11"/>
  <c r="E3" i="11" s="1"/>
  <c r="F6" i="11"/>
  <c r="F3" i="11" s="1"/>
  <c r="G6" i="11"/>
  <c r="G3" i="11" s="1"/>
  <c r="J6" i="11"/>
  <c r="J3" i="11" s="1"/>
  <c r="K6" i="11"/>
  <c r="K3" i="11" s="1"/>
  <c r="C7" i="11"/>
  <c r="C8" i="11" l="1"/>
  <c r="B9" i="11"/>
  <c r="H7" i="11"/>
  <c r="H3" i="11"/>
  <c r="D7" i="11"/>
  <c r="D3" i="11"/>
  <c r="J7" i="11"/>
  <c r="F7" i="11"/>
  <c r="F8" i="11" l="1"/>
  <c r="G7" i="11"/>
  <c r="J8" i="11"/>
  <c r="K7" i="11"/>
  <c r="I7" i="11"/>
  <c r="H8" i="11"/>
  <c r="B10" i="11"/>
  <c r="C9" i="11"/>
  <c r="E7" i="11"/>
  <c r="D8" i="11"/>
  <c r="C10" i="11" l="1"/>
  <c r="B11" i="11"/>
  <c r="K8" i="11"/>
  <c r="J9" i="11"/>
  <c r="D9" i="11"/>
  <c r="E8" i="11"/>
  <c r="H9" i="11"/>
  <c r="I8" i="11"/>
  <c r="G8" i="11"/>
  <c r="F9" i="11"/>
  <c r="F3" i="7"/>
  <c r="G3" i="7"/>
  <c r="H3" i="7"/>
  <c r="I3" i="7"/>
  <c r="J3" i="7"/>
  <c r="K3" i="7"/>
  <c r="L3" i="7"/>
  <c r="M3" i="7"/>
  <c r="F4" i="7"/>
  <c r="G4" i="7"/>
  <c r="H4" i="7"/>
  <c r="I4" i="7"/>
  <c r="J4" i="7"/>
  <c r="K4" i="7"/>
  <c r="L4" i="7"/>
  <c r="M4" i="7"/>
  <c r="F5" i="7"/>
  <c r="G5" i="7"/>
  <c r="H5" i="7"/>
  <c r="I5" i="7"/>
  <c r="J5" i="7"/>
  <c r="K5" i="7"/>
  <c r="L5" i="7"/>
  <c r="M5" i="7"/>
  <c r="F6" i="7"/>
  <c r="G6" i="7"/>
  <c r="H6" i="7"/>
  <c r="I6" i="7"/>
  <c r="J6" i="7"/>
  <c r="K6" i="7"/>
  <c r="L6" i="7"/>
  <c r="M6" i="7"/>
  <c r="F7" i="7"/>
  <c r="G7" i="7"/>
  <c r="H7" i="7"/>
  <c r="I7" i="7"/>
  <c r="J7" i="7"/>
  <c r="K7" i="7"/>
  <c r="L7" i="7"/>
  <c r="M7" i="7"/>
  <c r="F8" i="7"/>
  <c r="G8" i="7"/>
  <c r="H8" i="7"/>
  <c r="I8" i="7"/>
  <c r="J8" i="7"/>
  <c r="K8" i="7"/>
  <c r="L8" i="7"/>
  <c r="M8" i="7"/>
  <c r="F9" i="7"/>
  <c r="G9" i="7"/>
  <c r="H9" i="7"/>
  <c r="I9" i="7"/>
  <c r="J9" i="7"/>
  <c r="K9" i="7"/>
  <c r="L9" i="7"/>
  <c r="M9" i="7"/>
  <c r="F10" i="7"/>
  <c r="G10" i="7"/>
  <c r="H10" i="7"/>
  <c r="I10" i="7"/>
  <c r="J10" i="7"/>
  <c r="K10" i="7"/>
  <c r="L10" i="7"/>
  <c r="M10" i="7"/>
  <c r="F11" i="7"/>
  <c r="G11" i="7"/>
  <c r="H11" i="7"/>
  <c r="I11" i="7"/>
  <c r="J11" i="7"/>
  <c r="K11" i="7"/>
  <c r="L11" i="7"/>
  <c r="M11" i="7"/>
  <c r="F12" i="7"/>
  <c r="G12" i="7"/>
  <c r="H12" i="7"/>
  <c r="I12" i="7"/>
  <c r="J12" i="7"/>
  <c r="K12" i="7"/>
  <c r="L12" i="7"/>
  <c r="M12" i="7"/>
  <c r="F13" i="7"/>
  <c r="G13" i="7"/>
  <c r="H13" i="7"/>
  <c r="I13" i="7"/>
  <c r="J13" i="7"/>
  <c r="K13" i="7"/>
  <c r="L13" i="7"/>
  <c r="M13" i="7"/>
  <c r="F14" i="7"/>
  <c r="G14" i="7"/>
  <c r="H14" i="7"/>
  <c r="I14" i="7"/>
  <c r="J14" i="7"/>
  <c r="K14" i="7"/>
  <c r="L14" i="7"/>
  <c r="M14" i="7"/>
  <c r="F15" i="7"/>
  <c r="G15" i="7"/>
  <c r="H15" i="7"/>
  <c r="I15" i="7"/>
  <c r="J15" i="7"/>
  <c r="K15" i="7"/>
  <c r="L15" i="7"/>
  <c r="M15" i="7"/>
  <c r="F16" i="7"/>
  <c r="G16" i="7"/>
  <c r="H16" i="7"/>
  <c r="I16" i="7"/>
  <c r="J16" i="7"/>
  <c r="K16" i="7"/>
  <c r="L16" i="7"/>
  <c r="M16" i="7"/>
  <c r="F17" i="7"/>
  <c r="G17" i="7"/>
  <c r="H17" i="7"/>
  <c r="I17" i="7"/>
  <c r="J17" i="7"/>
  <c r="K17" i="7"/>
  <c r="L17" i="7"/>
  <c r="M17" i="7"/>
  <c r="F18" i="7"/>
  <c r="G18" i="7"/>
  <c r="H18" i="7"/>
  <c r="I18" i="7"/>
  <c r="J18" i="7"/>
  <c r="K18" i="7"/>
  <c r="L18" i="7"/>
  <c r="M18" i="7"/>
  <c r="F19" i="7"/>
  <c r="G19" i="7"/>
  <c r="H19" i="7"/>
  <c r="I19" i="7"/>
  <c r="J19" i="7"/>
  <c r="K19" i="7"/>
  <c r="L19" i="7"/>
  <c r="M19" i="7"/>
  <c r="F20" i="7"/>
  <c r="G20" i="7"/>
  <c r="H20" i="7"/>
  <c r="I20" i="7"/>
  <c r="J20" i="7"/>
  <c r="K20" i="7"/>
  <c r="L20" i="7"/>
  <c r="M20" i="7"/>
  <c r="F21" i="7"/>
  <c r="G21" i="7"/>
  <c r="H21" i="7"/>
  <c r="I21" i="7"/>
  <c r="J21" i="7"/>
  <c r="K21" i="7"/>
  <c r="L21" i="7"/>
  <c r="M21" i="7"/>
  <c r="F22" i="7"/>
  <c r="G22" i="7"/>
  <c r="H22" i="7"/>
  <c r="I22" i="7"/>
  <c r="J22" i="7"/>
  <c r="K22" i="7"/>
  <c r="L22" i="7"/>
  <c r="M22" i="7"/>
  <c r="F23" i="7"/>
  <c r="G23" i="7"/>
  <c r="H23" i="7"/>
  <c r="I23" i="7"/>
  <c r="J23" i="7"/>
  <c r="K23" i="7"/>
  <c r="L23" i="7"/>
  <c r="M23" i="7"/>
  <c r="F24" i="7"/>
  <c r="G24" i="7"/>
  <c r="H24" i="7"/>
  <c r="I24" i="7"/>
  <c r="J24" i="7"/>
  <c r="K24" i="7"/>
  <c r="L24" i="7"/>
  <c r="M24" i="7"/>
  <c r="F25" i="7"/>
  <c r="G25" i="7"/>
  <c r="H25" i="7"/>
  <c r="I25" i="7"/>
  <c r="J25" i="7"/>
  <c r="K25" i="7"/>
  <c r="L25" i="7"/>
  <c r="M25" i="7"/>
  <c r="F26" i="7"/>
  <c r="G26" i="7"/>
  <c r="H26" i="7"/>
  <c r="I26" i="7"/>
  <c r="J26" i="7"/>
  <c r="K26" i="7"/>
  <c r="L26" i="7"/>
  <c r="M26" i="7"/>
  <c r="F27" i="7"/>
  <c r="G27" i="7"/>
  <c r="H27" i="7"/>
  <c r="I27" i="7"/>
  <c r="J27" i="7"/>
  <c r="K27" i="7"/>
  <c r="L27" i="7"/>
  <c r="M27" i="7"/>
  <c r="F28" i="7"/>
  <c r="G28" i="7"/>
  <c r="H28" i="7"/>
  <c r="I28" i="7"/>
  <c r="J28" i="7"/>
  <c r="K28" i="7"/>
  <c r="L28" i="7"/>
  <c r="M28" i="7"/>
  <c r="F29" i="7"/>
  <c r="G29" i="7"/>
  <c r="H29" i="7"/>
  <c r="I29" i="7"/>
  <c r="J29" i="7"/>
  <c r="K29" i="7"/>
  <c r="L29" i="7"/>
  <c r="M29" i="7"/>
  <c r="F30" i="7"/>
  <c r="G30" i="7"/>
  <c r="H30" i="7"/>
  <c r="I30" i="7"/>
  <c r="J30" i="7"/>
  <c r="K30" i="7"/>
  <c r="L30" i="7"/>
  <c r="M30" i="7"/>
  <c r="F31" i="7"/>
  <c r="G31" i="7"/>
  <c r="H31" i="7"/>
  <c r="I31" i="7"/>
  <c r="J31" i="7"/>
  <c r="K31" i="7"/>
  <c r="L31" i="7"/>
  <c r="M31" i="7"/>
  <c r="F32" i="7"/>
  <c r="G32" i="7"/>
  <c r="H32" i="7"/>
  <c r="I32" i="7"/>
  <c r="J32" i="7"/>
  <c r="K32" i="7"/>
  <c r="L32" i="7"/>
  <c r="M32" i="7"/>
  <c r="F33" i="7"/>
  <c r="G33" i="7"/>
  <c r="H33" i="7"/>
  <c r="I33" i="7"/>
  <c r="J33" i="7"/>
  <c r="K33" i="7"/>
  <c r="L33" i="7"/>
  <c r="M33" i="7"/>
  <c r="F34" i="7"/>
  <c r="G34" i="7"/>
  <c r="H34" i="7"/>
  <c r="I34" i="7"/>
  <c r="J34" i="7"/>
  <c r="K34" i="7"/>
  <c r="L34" i="7"/>
  <c r="M34" i="7"/>
  <c r="F35" i="7"/>
  <c r="G35" i="7"/>
  <c r="H35" i="7"/>
  <c r="I35" i="7"/>
  <c r="J35" i="7"/>
  <c r="K35" i="7"/>
  <c r="L35" i="7"/>
  <c r="M35" i="7"/>
  <c r="F36" i="7"/>
  <c r="G36" i="7"/>
  <c r="H36" i="7"/>
  <c r="I36" i="7"/>
  <c r="J36" i="7"/>
  <c r="K36" i="7"/>
  <c r="L36" i="7"/>
  <c r="M36" i="7"/>
  <c r="F37" i="7"/>
  <c r="G37" i="7"/>
  <c r="H37" i="7"/>
  <c r="I37" i="7"/>
  <c r="J37" i="7"/>
  <c r="K37" i="7"/>
  <c r="L37" i="7"/>
  <c r="M37" i="7"/>
  <c r="F38" i="7"/>
  <c r="G38" i="7"/>
  <c r="H38" i="7"/>
  <c r="I38" i="7"/>
  <c r="J38" i="7"/>
  <c r="K38" i="7"/>
  <c r="L38" i="7"/>
  <c r="M38" i="7"/>
  <c r="F39" i="7"/>
  <c r="G39" i="7"/>
  <c r="H39" i="7"/>
  <c r="I39" i="7"/>
  <c r="J39" i="7"/>
  <c r="K39" i="7"/>
  <c r="L39" i="7"/>
  <c r="M39" i="7"/>
  <c r="F40" i="7"/>
  <c r="G40" i="7"/>
  <c r="H40" i="7"/>
  <c r="I40" i="7"/>
  <c r="J40" i="7"/>
  <c r="K40" i="7"/>
  <c r="L40" i="7"/>
  <c r="M40" i="7"/>
  <c r="F41" i="7"/>
  <c r="G41" i="7"/>
  <c r="H41" i="7"/>
  <c r="I41" i="7"/>
  <c r="J41" i="7"/>
  <c r="K41" i="7"/>
  <c r="L41" i="7"/>
  <c r="M41" i="7"/>
  <c r="F42" i="7"/>
  <c r="G42" i="7"/>
  <c r="H42" i="7"/>
  <c r="I42" i="7"/>
  <c r="J42" i="7"/>
  <c r="K42" i="7"/>
  <c r="L42" i="7"/>
  <c r="M42" i="7"/>
  <c r="F43" i="7"/>
  <c r="G43" i="7"/>
  <c r="H43" i="7"/>
  <c r="I43" i="7"/>
  <c r="J43" i="7"/>
  <c r="K43" i="7"/>
  <c r="L43" i="7"/>
  <c r="M43" i="7"/>
  <c r="F44" i="7"/>
  <c r="G44" i="7"/>
  <c r="H44" i="7"/>
  <c r="I44" i="7"/>
  <c r="J44" i="7"/>
  <c r="K44" i="7"/>
  <c r="L44" i="7"/>
  <c r="M44" i="7"/>
  <c r="F45" i="7"/>
  <c r="G45" i="7"/>
  <c r="H45" i="7"/>
  <c r="I45" i="7"/>
  <c r="J45" i="7"/>
  <c r="K45" i="7"/>
  <c r="L45" i="7"/>
  <c r="M45" i="7"/>
  <c r="F46" i="7"/>
  <c r="G46" i="7"/>
  <c r="H46" i="7"/>
  <c r="I46" i="7"/>
  <c r="J46" i="7"/>
  <c r="K46" i="7"/>
  <c r="L46" i="7"/>
  <c r="M46" i="7"/>
  <c r="F47" i="7"/>
  <c r="G47" i="7"/>
  <c r="H47" i="7"/>
  <c r="I47" i="7"/>
  <c r="J47" i="7"/>
  <c r="K47" i="7"/>
  <c r="L47" i="7"/>
  <c r="M47" i="7"/>
  <c r="F48" i="7"/>
  <c r="G48" i="7"/>
  <c r="H48" i="7"/>
  <c r="I48" i="7"/>
  <c r="J48" i="7"/>
  <c r="K48" i="7"/>
  <c r="L48" i="7"/>
  <c r="M48" i="7"/>
  <c r="F49" i="7"/>
  <c r="G49" i="7"/>
  <c r="H49" i="7"/>
  <c r="I49" i="7"/>
  <c r="J49" i="7"/>
  <c r="K49" i="7"/>
  <c r="L49" i="7"/>
  <c r="M49" i="7"/>
  <c r="F50" i="7"/>
  <c r="G50" i="7"/>
  <c r="H50" i="7"/>
  <c r="I50" i="7"/>
  <c r="J50" i="7"/>
  <c r="K50" i="7"/>
  <c r="L50" i="7"/>
  <c r="M50" i="7"/>
  <c r="F51" i="7"/>
  <c r="G51" i="7"/>
  <c r="H51" i="7"/>
  <c r="I51" i="7"/>
  <c r="J51" i="7"/>
  <c r="K51" i="7"/>
  <c r="L51" i="7"/>
  <c r="M51" i="7"/>
  <c r="F52" i="7"/>
  <c r="G52" i="7"/>
  <c r="H52" i="7"/>
  <c r="I52" i="7"/>
  <c r="J52" i="7"/>
  <c r="K52" i="7"/>
  <c r="L52" i="7"/>
  <c r="M52" i="7"/>
  <c r="F53" i="7"/>
  <c r="G53" i="7"/>
  <c r="H53" i="7"/>
  <c r="I53" i="7"/>
  <c r="J53" i="7"/>
  <c r="K53" i="7"/>
  <c r="L53" i="7"/>
  <c r="M53" i="7"/>
  <c r="F54" i="7"/>
  <c r="G54" i="7"/>
  <c r="H54" i="7"/>
  <c r="I54" i="7"/>
  <c r="J54" i="7"/>
  <c r="K54" i="7"/>
  <c r="L54" i="7"/>
  <c r="M54" i="7"/>
  <c r="F55" i="7"/>
  <c r="G55" i="7"/>
  <c r="H55" i="7"/>
  <c r="I55" i="7"/>
  <c r="J55" i="7"/>
  <c r="K55" i="7"/>
  <c r="L55" i="7"/>
  <c r="M55" i="7"/>
  <c r="F56" i="7"/>
  <c r="G56" i="7"/>
  <c r="H56" i="7"/>
  <c r="I56" i="7"/>
  <c r="J56" i="7"/>
  <c r="K56" i="7"/>
  <c r="L56" i="7"/>
  <c r="M56" i="7"/>
  <c r="F57" i="7"/>
  <c r="G57" i="7"/>
  <c r="H57" i="7"/>
  <c r="I57" i="7"/>
  <c r="J57" i="7"/>
  <c r="K57" i="7"/>
  <c r="L57" i="7"/>
  <c r="M57" i="7"/>
  <c r="F58" i="7"/>
  <c r="G58" i="7"/>
  <c r="H58" i="7"/>
  <c r="I58" i="7"/>
  <c r="J58" i="7"/>
  <c r="K58" i="7"/>
  <c r="L58" i="7"/>
  <c r="M58" i="7"/>
  <c r="F59" i="7"/>
  <c r="G59" i="7"/>
  <c r="H59" i="7"/>
  <c r="I59" i="7"/>
  <c r="J59" i="7"/>
  <c r="K59" i="7"/>
  <c r="L59" i="7"/>
  <c r="M59" i="7"/>
  <c r="F60" i="7"/>
  <c r="G60" i="7"/>
  <c r="H60" i="7"/>
  <c r="I60" i="7"/>
  <c r="J60" i="7"/>
  <c r="K60" i="7"/>
  <c r="L60" i="7"/>
  <c r="M60" i="7"/>
  <c r="F61" i="7"/>
  <c r="G61" i="7"/>
  <c r="H61" i="7"/>
  <c r="I61" i="7"/>
  <c r="J61" i="7"/>
  <c r="K61" i="7"/>
  <c r="L61" i="7"/>
  <c r="M61" i="7"/>
  <c r="F62" i="7"/>
  <c r="G62" i="7"/>
  <c r="H62" i="7"/>
  <c r="I62" i="7"/>
  <c r="J62" i="7"/>
  <c r="K62" i="7"/>
  <c r="L62" i="7"/>
  <c r="M62" i="7"/>
  <c r="F63" i="7"/>
  <c r="G63" i="7"/>
  <c r="H63" i="7"/>
  <c r="I63" i="7"/>
  <c r="J63" i="7"/>
  <c r="K63" i="7"/>
  <c r="L63" i="7"/>
  <c r="M63" i="7"/>
  <c r="F64" i="7"/>
  <c r="G64" i="7"/>
  <c r="H64" i="7"/>
  <c r="I64" i="7"/>
  <c r="J64" i="7"/>
  <c r="K64" i="7"/>
  <c r="L64" i="7"/>
  <c r="M64" i="7"/>
  <c r="F65" i="7"/>
  <c r="G65" i="7"/>
  <c r="H65" i="7"/>
  <c r="I65" i="7"/>
  <c r="J65" i="7"/>
  <c r="K65" i="7"/>
  <c r="L65" i="7"/>
  <c r="M65" i="7"/>
  <c r="F66" i="7"/>
  <c r="G66" i="7"/>
  <c r="H66" i="7"/>
  <c r="I66" i="7"/>
  <c r="J66" i="7"/>
  <c r="K66" i="7"/>
  <c r="L66" i="7"/>
  <c r="M66" i="7"/>
  <c r="F67" i="7"/>
  <c r="G67" i="7"/>
  <c r="H67" i="7"/>
  <c r="I67" i="7"/>
  <c r="J67" i="7"/>
  <c r="K67" i="7"/>
  <c r="L67" i="7"/>
  <c r="M67" i="7"/>
  <c r="F68" i="7"/>
  <c r="G68" i="7"/>
  <c r="H68" i="7"/>
  <c r="I68" i="7"/>
  <c r="J68" i="7"/>
  <c r="K68" i="7"/>
  <c r="L68" i="7"/>
  <c r="M68" i="7"/>
  <c r="F69" i="7"/>
  <c r="G69" i="7"/>
  <c r="H69" i="7"/>
  <c r="I69" i="7"/>
  <c r="J69" i="7"/>
  <c r="K69" i="7"/>
  <c r="L69" i="7"/>
  <c r="M69" i="7"/>
  <c r="F70" i="7"/>
  <c r="G70" i="7"/>
  <c r="H70" i="7"/>
  <c r="I70" i="7"/>
  <c r="J70" i="7"/>
  <c r="K70" i="7"/>
  <c r="L70" i="7"/>
  <c r="M70" i="7"/>
  <c r="F71" i="7"/>
  <c r="G71" i="7"/>
  <c r="H71" i="7"/>
  <c r="I71" i="7"/>
  <c r="J71" i="7"/>
  <c r="K71" i="7"/>
  <c r="L71" i="7"/>
  <c r="M71" i="7"/>
  <c r="F72" i="7"/>
  <c r="G72" i="7"/>
  <c r="H72" i="7"/>
  <c r="I72" i="7"/>
  <c r="J72" i="7"/>
  <c r="K72" i="7"/>
  <c r="L72" i="7"/>
  <c r="M72" i="7"/>
  <c r="F73" i="7"/>
  <c r="G73" i="7"/>
  <c r="H73" i="7"/>
  <c r="I73" i="7"/>
  <c r="J73" i="7"/>
  <c r="K73" i="7"/>
  <c r="L73" i="7"/>
  <c r="M73" i="7"/>
  <c r="F74" i="7"/>
  <c r="G74" i="7"/>
  <c r="H74" i="7"/>
  <c r="I74" i="7"/>
  <c r="J74" i="7"/>
  <c r="K74" i="7"/>
  <c r="L74" i="7"/>
  <c r="M74" i="7"/>
  <c r="F75" i="7"/>
  <c r="G75" i="7"/>
  <c r="H75" i="7"/>
  <c r="I75" i="7"/>
  <c r="J75" i="7"/>
  <c r="K75" i="7"/>
  <c r="L75" i="7"/>
  <c r="M75" i="7"/>
  <c r="F76" i="7"/>
  <c r="G76" i="7"/>
  <c r="H76" i="7"/>
  <c r="I76" i="7"/>
  <c r="J76" i="7"/>
  <c r="K76" i="7"/>
  <c r="L76" i="7"/>
  <c r="M76" i="7"/>
  <c r="F77" i="7"/>
  <c r="G77" i="7"/>
  <c r="H77" i="7"/>
  <c r="I77" i="7"/>
  <c r="J77" i="7"/>
  <c r="K77" i="7"/>
  <c r="L77" i="7"/>
  <c r="M77" i="7"/>
  <c r="F78" i="7"/>
  <c r="G78" i="7"/>
  <c r="H78" i="7"/>
  <c r="I78" i="7"/>
  <c r="J78" i="7"/>
  <c r="K78" i="7"/>
  <c r="L78" i="7"/>
  <c r="M78" i="7"/>
  <c r="F79" i="7"/>
  <c r="G79" i="7"/>
  <c r="H79" i="7"/>
  <c r="I79" i="7"/>
  <c r="J79" i="7"/>
  <c r="K79" i="7"/>
  <c r="L79" i="7"/>
  <c r="M79" i="7"/>
  <c r="F80" i="7"/>
  <c r="G80" i="7"/>
  <c r="H80" i="7"/>
  <c r="I80" i="7"/>
  <c r="J80" i="7"/>
  <c r="K80" i="7"/>
  <c r="L80" i="7"/>
  <c r="M80" i="7"/>
  <c r="F81" i="7"/>
  <c r="G81" i="7"/>
  <c r="H81" i="7"/>
  <c r="I81" i="7"/>
  <c r="J81" i="7"/>
  <c r="K81" i="7"/>
  <c r="L81" i="7"/>
  <c r="M81" i="7"/>
  <c r="F82" i="7"/>
  <c r="G82" i="7"/>
  <c r="H82" i="7"/>
  <c r="I82" i="7"/>
  <c r="J82" i="7"/>
  <c r="K82" i="7"/>
  <c r="L82" i="7"/>
  <c r="M82" i="7"/>
  <c r="F83" i="7"/>
  <c r="G83" i="7"/>
  <c r="H83" i="7"/>
  <c r="I83" i="7"/>
  <c r="J83" i="7"/>
  <c r="K83" i="7"/>
  <c r="L83" i="7"/>
  <c r="M83" i="7"/>
  <c r="F84" i="7"/>
  <c r="G84" i="7"/>
  <c r="H84" i="7"/>
  <c r="I84" i="7"/>
  <c r="J84" i="7"/>
  <c r="K84" i="7"/>
  <c r="L84" i="7"/>
  <c r="M84" i="7"/>
  <c r="F85" i="7"/>
  <c r="G85" i="7"/>
  <c r="H85" i="7"/>
  <c r="I85" i="7"/>
  <c r="J85" i="7"/>
  <c r="K85" i="7"/>
  <c r="L85" i="7"/>
  <c r="M85" i="7"/>
  <c r="F86" i="7"/>
  <c r="G86" i="7"/>
  <c r="H86" i="7"/>
  <c r="I86" i="7"/>
  <c r="J86" i="7"/>
  <c r="K86" i="7"/>
  <c r="L86" i="7"/>
  <c r="M86" i="7"/>
  <c r="F87" i="7"/>
  <c r="G87" i="7"/>
  <c r="H87" i="7"/>
  <c r="I87" i="7"/>
  <c r="J87" i="7"/>
  <c r="K87" i="7"/>
  <c r="L87" i="7"/>
  <c r="M87" i="7"/>
  <c r="F88" i="7"/>
  <c r="G88" i="7"/>
  <c r="H88" i="7"/>
  <c r="I88" i="7"/>
  <c r="J88" i="7"/>
  <c r="K88" i="7"/>
  <c r="L88" i="7"/>
  <c r="M88" i="7"/>
  <c r="F89" i="7"/>
  <c r="G89" i="7"/>
  <c r="H89" i="7"/>
  <c r="I89" i="7"/>
  <c r="J89" i="7"/>
  <c r="K89" i="7"/>
  <c r="L89" i="7"/>
  <c r="M89" i="7"/>
  <c r="F90" i="7"/>
  <c r="G90" i="7"/>
  <c r="H90" i="7"/>
  <c r="I90" i="7"/>
  <c r="J90" i="7"/>
  <c r="K90" i="7"/>
  <c r="L90" i="7"/>
  <c r="M90" i="7"/>
  <c r="F91" i="7"/>
  <c r="G91" i="7"/>
  <c r="H91" i="7"/>
  <c r="I91" i="7"/>
  <c r="J91" i="7"/>
  <c r="K91" i="7"/>
  <c r="L91" i="7"/>
  <c r="M91" i="7"/>
  <c r="F92" i="7"/>
  <c r="G92" i="7"/>
  <c r="H92" i="7"/>
  <c r="I92" i="7"/>
  <c r="J92" i="7"/>
  <c r="K92" i="7"/>
  <c r="L92" i="7"/>
  <c r="M92" i="7"/>
  <c r="F93" i="7"/>
  <c r="G93" i="7"/>
  <c r="H93" i="7"/>
  <c r="I93" i="7"/>
  <c r="J93" i="7"/>
  <c r="K93" i="7"/>
  <c r="L93" i="7"/>
  <c r="M93" i="7"/>
  <c r="F94" i="7"/>
  <c r="G94" i="7"/>
  <c r="H94" i="7"/>
  <c r="I94" i="7"/>
  <c r="J94" i="7"/>
  <c r="K94" i="7"/>
  <c r="L94" i="7"/>
  <c r="M94" i="7"/>
  <c r="F95" i="7"/>
  <c r="G95" i="7"/>
  <c r="H95" i="7"/>
  <c r="I95" i="7"/>
  <c r="J95" i="7"/>
  <c r="K95" i="7"/>
  <c r="L95" i="7"/>
  <c r="M95" i="7"/>
  <c r="F96" i="7"/>
  <c r="G96" i="7"/>
  <c r="H96" i="7"/>
  <c r="I96" i="7"/>
  <c r="J96" i="7"/>
  <c r="K96" i="7"/>
  <c r="L96" i="7"/>
  <c r="M96" i="7"/>
  <c r="F97" i="7"/>
  <c r="G97" i="7"/>
  <c r="H97" i="7"/>
  <c r="I97" i="7"/>
  <c r="J97" i="7"/>
  <c r="K97" i="7"/>
  <c r="L97" i="7"/>
  <c r="M97" i="7"/>
  <c r="F98" i="7"/>
  <c r="G98" i="7"/>
  <c r="H98" i="7"/>
  <c r="I98" i="7"/>
  <c r="J98" i="7"/>
  <c r="K98" i="7"/>
  <c r="L98" i="7"/>
  <c r="M98" i="7"/>
  <c r="F99" i="7"/>
  <c r="G99" i="7"/>
  <c r="H99" i="7"/>
  <c r="I99" i="7"/>
  <c r="J99" i="7"/>
  <c r="K99" i="7"/>
  <c r="L99" i="7"/>
  <c r="M99" i="7"/>
  <c r="F100" i="7"/>
  <c r="G100" i="7"/>
  <c r="H100" i="7"/>
  <c r="I100" i="7"/>
  <c r="J100" i="7"/>
  <c r="K100" i="7"/>
  <c r="L100" i="7"/>
  <c r="M100" i="7"/>
  <c r="F101" i="7"/>
  <c r="G101" i="7"/>
  <c r="H101" i="7"/>
  <c r="I101" i="7"/>
  <c r="J101" i="7"/>
  <c r="K101" i="7"/>
  <c r="L101" i="7"/>
  <c r="M101" i="7"/>
  <c r="F102" i="7"/>
  <c r="G102" i="7"/>
  <c r="H102" i="7"/>
  <c r="I102" i="7"/>
  <c r="J102" i="7"/>
  <c r="K102" i="7"/>
  <c r="L102" i="7"/>
  <c r="M102" i="7"/>
  <c r="F103" i="7"/>
  <c r="G103" i="7"/>
  <c r="H103" i="7"/>
  <c r="I103" i="7"/>
  <c r="J103" i="7"/>
  <c r="K103" i="7"/>
  <c r="L103" i="7"/>
  <c r="M103" i="7"/>
  <c r="F104" i="7"/>
  <c r="G104" i="7"/>
  <c r="H104" i="7"/>
  <c r="I104" i="7"/>
  <c r="J104" i="7"/>
  <c r="K104" i="7"/>
  <c r="L104" i="7"/>
  <c r="M104" i="7"/>
  <c r="F105" i="7"/>
  <c r="G105" i="7"/>
  <c r="H105" i="7"/>
  <c r="I105" i="7"/>
  <c r="J105" i="7"/>
  <c r="K105" i="7"/>
  <c r="L105" i="7"/>
  <c r="M105" i="7"/>
  <c r="F106" i="7"/>
  <c r="G106" i="7"/>
  <c r="H106" i="7"/>
  <c r="I106" i="7"/>
  <c r="J106" i="7"/>
  <c r="K106" i="7"/>
  <c r="L106" i="7"/>
  <c r="M106" i="7"/>
  <c r="F107" i="7"/>
  <c r="G107" i="7"/>
  <c r="H107" i="7"/>
  <c r="I107" i="7"/>
  <c r="J107" i="7"/>
  <c r="K107" i="7"/>
  <c r="L107" i="7"/>
  <c r="M107" i="7"/>
  <c r="F108" i="7"/>
  <c r="G108" i="7"/>
  <c r="H108" i="7"/>
  <c r="I108" i="7"/>
  <c r="J108" i="7"/>
  <c r="K108" i="7"/>
  <c r="L108" i="7"/>
  <c r="M108" i="7"/>
  <c r="F109" i="7"/>
  <c r="G109" i="7"/>
  <c r="H109" i="7"/>
  <c r="I109" i="7"/>
  <c r="J109" i="7"/>
  <c r="K109" i="7"/>
  <c r="L109" i="7"/>
  <c r="M109" i="7"/>
  <c r="F110" i="7"/>
  <c r="G110" i="7"/>
  <c r="H110" i="7"/>
  <c r="I110" i="7"/>
  <c r="J110" i="7"/>
  <c r="K110" i="7"/>
  <c r="L110" i="7"/>
  <c r="M110" i="7"/>
  <c r="F111" i="7"/>
  <c r="G111" i="7"/>
  <c r="H111" i="7"/>
  <c r="I111" i="7"/>
  <c r="J111" i="7"/>
  <c r="K111" i="7"/>
  <c r="L111" i="7"/>
  <c r="M111" i="7"/>
  <c r="F112" i="7"/>
  <c r="G112" i="7"/>
  <c r="H112" i="7"/>
  <c r="I112" i="7"/>
  <c r="J112" i="7"/>
  <c r="K112" i="7"/>
  <c r="L112" i="7"/>
  <c r="M112" i="7"/>
  <c r="F113" i="7"/>
  <c r="G113" i="7"/>
  <c r="H113" i="7"/>
  <c r="I113" i="7"/>
  <c r="J113" i="7"/>
  <c r="K113" i="7"/>
  <c r="L113" i="7"/>
  <c r="M113" i="7"/>
  <c r="F114" i="7"/>
  <c r="G114" i="7"/>
  <c r="H114" i="7"/>
  <c r="I114" i="7"/>
  <c r="J114" i="7"/>
  <c r="K114" i="7"/>
  <c r="L114" i="7"/>
  <c r="M114" i="7"/>
  <c r="F115" i="7"/>
  <c r="G115" i="7"/>
  <c r="H115" i="7"/>
  <c r="I115" i="7"/>
  <c r="J115" i="7"/>
  <c r="K115" i="7"/>
  <c r="L115" i="7"/>
  <c r="M115" i="7"/>
  <c r="F116" i="7"/>
  <c r="G116" i="7"/>
  <c r="H116" i="7"/>
  <c r="I116" i="7"/>
  <c r="J116" i="7"/>
  <c r="K116" i="7"/>
  <c r="L116" i="7"/>
  <c r="M116" i="7"/>
  <c r="F117" i="7"/>
  <c r="G117" i="7"/>
  <c r="H117" i="7"/>
  <c r="I117" i="7"/>
  <c r="J117" i="7"/>
  <c r="K117" i="7"/>
  <c r="L117" i="7"/>
  <c r="M117" i="7"/>
  <c r="F118" i="7"/>
  <c r="G118" i="7"/>
  <c r="H118" i="7"/>
  <c r="I118" i="7"/>
  <c r="J118" i="7"/>
  <c r="K118" i="7"/>
  <c r="L118" i="7"/>
  <c r="M118" i="7"/>
  <c r="F119" i="7"/>
  <c r="G119" i="7"/>
  <c r="H119" i="7"/>
  <c r="I119" i="7"/>
  <c r="J119" i="7"/>
  <c r="K119" i="7"/>
  <c r="L119" i="7"/>
  <c r="M119" i="7"/>
  <c r="F120" i="7"/>
  <c r="G120" i="7"/>
  <c r="H120" i="7"/>
  <c r="I120" i="7"/>
  <c r="J120" i="7"/>
  <c r="K120" i="7"/>
  <c r="L120" i="7"/>
  <c r="M120" i="7"/>
  <c r="F121" i="7"/>
  <c r="G121" i="7"/>
  <c r="H121" i="7"/>
  <c r="I121" i="7"/>
  <c r="J121" i="7"/>
  <c r="K121" i="7"/>
  <c r="L121" i="7"/>
  <c r="M121" i="7"/>
  <c r="F122" i="7"/>
  <c r="G122" i="7"/>
  <c r="H122" i="7"/>
  <c r="I122" i="7"/>
  <c r="J122" i="7"/>
  <c r="K122" i="7"/>
  <c r="L122" i="7"/>
  <c r="M122" i="7"/>
  <c r="F123" i="7"/>
  <c r="G123" i="7"/>
  <c r="H123" i="7"/>
  <c r="I123" i="7"/>
  <c r="J123" i="7"/>
  <c r="K123" i="7"/>
  <c r="L123" i="7"/>
  <c r="M123" i="7"/>
  <c r="F124" i="7"/>
  <c r="G124" i="7"/>
  <c r="H124" i="7"/>
  <c r="I124" i="7"/>
  <c r="J124" i="7"/>
  <c r="K124" i="7"/>
  <c r="L124" i="7"/>
  <c r="M124" i="7"/>
  <c r="F125" i="7"/>
  <c r="G125" i="7"/>
  <c r="H125" i="7"/>
  <c r="I125" i="7"/>
  <c r="J125" i="7"/>
  <c r="K125" i="7"/>
  <c r="L125" i="7"/>
  <c r="M125" i="7"/>
  <c r="F126" i="7"/>
  <c r="G126" i="7"/>
  <c r="H126" i="7"/>
  <c r="I126" i="7"/>
  <c r="J126" i="7"/>
  <c r="K126" i="7"/>
  <c r="L126" i="7"/>
  <c r="M126" i="7"/>
  <c r="F127" i="7"/>
  <c r="G127" i="7"/>
  <c r="H127" i="7"/>
  <c r="I127" i="7"/>
  <c r="J127" i="7"/>
  <c r="K127" i="7"/>
  <c r="L127" i="7"/>
  <c r="M127" i="7"/>
  <c r="F128" i="7"/>
  <c r="G128" i="7"/>
  <c r="H128" i="7"/>
  <c r="I128" i="7"/>
  <c r="J128" i="7"/>
  <c r="K128" i="7"/>
  <c r="L128" i="7"/>
  <c r="M128" i="7"/>
  <c r="F129" i="7"/>
  <c r="G129" i="7"/>
  <c r="H129" i="7"/>
  <c r="I129" i="7"/>
  <c r="J129" i="7"/>
  <c r="K129" i="7"/>
  <c r="L129" i="7"/>
  <c r="M129" i="7"/>
  <c r="F130" i="7"/>
  <c r="G130" i="7"/>
  <c r="H130" i="7"/>
  <c r="I130" i="7"/>
  <c r="J130" i="7"/>
  <c r="K130" i="7"/>
  <c r="L130" i="7"/>
  <c r="M130" i="7"/>
  <c r="F131" i="7"/>
  <c r="G131" i="7"/>
  <c r="H131" i="7"/>
  <c r="I131" i="7"/>
  <c r="J131" i="7"/>
  <c r="K131" i="7"/>
  <c r="L131" i="7"/>
  <c r="M131" i="7"/>
  <c r="F132" i="7"/>
  <c r="G132" i="7"/>
  <c r="H132" i="7"/>
  <c r="I132" i="7"/>
  <c r="J132" i="7"/>
  <c r="K132" i="7"/>
  <c r="L132" i="7"/>
  <c r="M132" i="7"/>
  <c r="F133" i="7"/>
  <c r="G133" i="7"/>
  <c r="H133" i="7"/>
  <c r="I133" i="7"/>
  <c r="J133" i="7"/>
  <c r="K133" i="7"/>
  <c r="L133" i="7"/>
  <c r="M133" i="7"/>
  <c r="F134" i="7"/>
  <c r="G134" i="7"/>
  <c r="H134" i="7"/>
  <c r="I134" i="7"/>
  <c r="J134" i="7"/>
  <c r="K134" i="7"/>
  <c r="L134" i="7"/>
  <c r="M134" i="7"/>
  <c r="F135" i="7"/>
  <c r="G135" i="7"/>
  <c r="H135" i="7"/>
  <c r="I135" i="7"/>
  <c r="J135" i="7"/>
  <c r="K135" i="7"/>
  <c r="L135" i="7"/>
  <c r="M135" i="7"/>
  <c r="F136" i="7"/>
  <c r="G136" i="7"/>
  <c r="H136" i="7"/>
  <c r="I136" i="7"/>
  <c r="J136" i="7"/>
  <c r="K136" i="7"/>
  <c r="L136" i="7"/>
  <c r="M136" i="7"/>
  <c r="F137" i="7"/>
  <c r="G137" i="7"/>
  <c r="H137" i="7"/>
  <c r="I137" i="7"/>
  <c r="J137" i="7"/>
  <c r="K137" i="7"/>
  <c r="L137" i="7"/>
  <c r="M137" i="7"/>
  <c r="F138" i="7"/>
  <c r="G138" i="7"/>
  <c r="H138" i="7"/>
  <c r="I138" i="7"/>
  <c r="J138" i="7"/>
  <c r="K138" i="7"/>
  <c r="L138" i="7"/>
  <c r="M138" i="7"/>
  <c r="F139" i="7"/>
  <c r="G139" i="7"/>
  <c r="H139" i="7"/>
  <c r="I139" i="7"/>
  <c r="J139" i="7"/>
  <c r="K139" i="7"/>
  <c r="L139" i="7"/>
  <c r="M139" i="7"/>
  <c r="F140" i="7"/>
  <c r="G140" i="7"/>
  <c r="H140" i="7"/>
  <c r="I140" i="7"/>
  <c r="J140" i="7"/>
  <c r="K140" i="7"/>
  <c r="L140" i="7"/>
  <c r="M140" i="7"/>
  <c r="F141" i="7"/>
  <c r="G141" i="7"/>
  <c r="H141" i="7"/>
  <c r="I141" i="7"/>
  <c r="J141" i="7"/>
  <c r="K141" i="7"/>
  <c r="L141" i="7"/>
  <c r="M141" i="7"/>
  <c r="F142" i="7"/>
  <c r="G142" i="7"/>
  <c r="H142" i="7"/>
  <c r="I142" i="7"/>
  <c r="J142" i="7"/>
  <c r="K142" i="7"/>
  <c r="L142" i="7"/>
  <c r="M142" i="7"/>
  <c r="F143" i="7"/>
  <c r="G143" i="7"/>
  <c r="H143" i="7"/>
  <c r="I143" i="7"/>
  <c r="J143" i="7"/>
  <c r="K143" i="7"/>
  <c r="L143" i="7"/>
  <c r="M143" i="7"/>
  <c r="F144" i="7"/>
  <c r="G144" i="7"/>
  <c r="H144" i="7"/>
  <c r="I144" i="7"/>
  <c r="J144" i="7"/>
  <c r="K144" i="7"/>
  <c r="L144" i="7"/>
  <c r="M144" i="7"/>
  <c r="F145" i="7"/>
  <c r="G145" i="7"/>
  <c r="H145" i="7"/>
  <c r="I145" i="7"/>
  <c r="J145" i="7"/>
  <c r="K145" i="7"/>
  <c r="L145" i="7"/>
  <c r="M145" i="7"/>
  <c r="F146" i="7"/>
  <c r="G146" i="7"/>
  <c r="H146" i="7"/>
  <c r="I146" i="7"/>
  <c r="J146" i="7"/>
  <c r="K146" i="7"/>
  <c r="L146" i="7"/>
  <c r="M146" i="7"/>
  <c r="F147" i="7"/>
  <c r="G147" i="7"/>
  <c r="H147" i="7"/>
  <c r="I147" i="7"/>
  <c r="J147" i="7"/>
  <c r="K147" i="7"/>
  <c r="L147" i="7"/>
  <c r="M147" i="7"/>
  <c r="F148" i="7"/>
  <c r="G148" i="7"/>
  <c r="H148" i="7"/>
  <c r="I148" i="7"/>
  <c r="J148" i="7"/>
  <c r="K148" i="7"/>
  <c r="L148" i="7"/>
  <c r="M148" i="7"/>
  <c r="F149" i="7"/>
  <c r="G149" i="7"/>
  <c r="H149" i="7"/>
  <c r="I149" i="7"/>
  <c r="J149" i="7"/>
  <c r="K149" i="7"/>
  <c r="L149" i="7"/>
  <c r="M149" i="7"/>
  <c r="F150" i="7"/>
  <c r="G150" i="7"/>
  <c r="H150" i="7"/>
  <c r="I150" i="7"/>
  <c r="J150" i="7"/>
  <c r="K150" i="7"/>
  <c r="L150" i="7"/>
  <c r="M150" i="7"/>
  <c r="F151" i="7"/>
  <c r="G151" i="7"/>
  <c r="H151" i="7"/>
  <c r="I151" i="7"/>
  <c r="J151" i="7"/>
  <c r="K151" i="7"/>
  <c r="L151" i="7"/>
  <c r="M151" i="7"/>
  <c r="F152" i="7"/>
  <c r="G152" i="7"/>
  <c r="H152" i="7"/>
  <c r="I152" i="7"/>
  <c r="J152" i="7"/>
  <c r="K152" i="7"/>
  <c r="L152" i="7"/>
  <c r="M152" i="7"/>
  <c r="F153" i="7"/>
  <c r="G153" i="7"/>
  <c r="H153" i="7"/>
  <c r="I153" i="7"/>
  <c r="J153" i="7"/>
  <c r="K153" i="7"/>
  <c r="L153" i="7"/>
  <c r="M153" i="7"/>
  <c r="F154" i="7"/>
  <c r="G154" i="7"/>
  <c r="H154" i="7"/>
  <c r="I154" i="7"/>
  <c r="J154" i="7"/>
  <c r="K154" i="7"/>
  <c r="L154" i="7"/>
  <c r="M154" i="7"/>
  <c r="F155" i="7"/>
  <c r="G155" i="7"/>
  <c r="H155" i="7"/>
  <c r="I155" i="7"/>
  <c r="J155" i="7"/>
  <c r="K155" i="7"/>
  <c r="L155" i="7"/>
  <c r="M155" i="7"/>
  <c r="F156" i="7"/>
  <c r="G156" i="7"/>
  <c r="H156" i="7"/>
  <c r="I156" i="7"/>
  <c r="J156" i="7"/>
  <c r="K156" i="7"/>
  <c r="L156" i="7"/>
  <c r="M156" i="7"/>
  <c r="F157" i="7"/>
  <c r="G157" i="7"/>
  <c r="H157" i="7"/>
  <c r="I157" i="7"/>
  <c r="J157" i="7"/>
  <c r="K157" i="7"/>
  <c r="L157" i="7"/>
  <c r="M157" i="7"/>
  <c r="F158" i="7"/>
  <c r="G158" i="7"/>
  <c r="H158" i="7"/>
  <c r="I158" i="7"/>
  <c r="J158" i="7"/>
  <c r="K158" i="7"/>
  <c r="L158" i="7"/>
  <c r="M158" i="7"/>
  <c r="F159" i="7"/>
  <c r="G159" i="7"/>
  <c r="H159" i="7"/>
  <c r="I159" i="7"/>
  <c r="J159" i="7"/>
  <c r="K159" i="7"/>
  <c r="L159" i="7"/>
  <c r="M159" i="7"/>
  <c r="F160" i="7"/>
  <c r="G160" i="7"/>
  <c r="H160" i="7"/>
  <c r="I160" i="7"/>
  <c r="J160" i="7"/>
  <c r="K160" i="7"/>
  <c r="L160" i="7"/>
  <c r="M160" i="7"/>
  <c r="F161" i="7"/>
  <c r="G161" i="7"/>
  <c r="H161" i="7"/>
  <c r="I161" i="7"/>
  <c r="J161" i="7"/>
  <c r="K161" i="7"/>
  <c r="L161" i="7"/>
  <c r="M161" i="7"/>
  <c r="F162" i="7"/>
  <c r="G162" i="7"/>
  <c r="H162" i="7"/>
  <c r="I162" i="7"/>
  <c r="J162" i="7"/>
  <c r="K162" i="7"/>
  <c r="L162" i="7"/>
  <c r="M162" i="7"/>
  <c r="F163" i="7"/>
  <c r="G163" i="7"/>
  <c r="H163" i="7"/>
  <c r="I163" i="7"/>
  <c r="J163" i="7"/>
  <c r="K163" i="7"/>
  <c r="L163" i="7"/>
  <c r="M163" i="7"/>
  <c r="F164" i="7"/>
  <c r="G164" i="7"/>
  <c r="H164" i="7"/>
  <c r="I164" i="7"/>
  <c r="J164" i="7"/>
  <c r="K164" i="7"/>
  <c r="L164" i="7"/>
  <c r="M164" i="7"/>
  <c r="F165" i="7"/>
  <c r="G165" i="7"/>
  <c r="H165" i="7"/>
  <c r="I165" i="7"/>
  <c r="J165" i="7"/>
  <c r="K165" i="7"/>
  <c r="L165" i="7"/>
  <c r="M165" i="7"/>
  <c r="F166" i="7"/>
  <c r="G166" i="7"/>
  <c r="H166" i="7"/>
  <c r="I166" i="7"/>
  <c r="J166" i="7"/>
  <c r="K166" i="7"/>
  <c r="L166" i="7"/>
  <c r="M166" i="7"/>
  <c r="F167" i="7"/>
  <c r="G167" i="7"/>
  <c r="H167" i="7"/>
  <c r="I167" i="7"/>
  <c r="J167" i="7"/>
  <c r="K167" i="7"/>
  <c r="L167" i="7"/>
  <c r="M167" i="7"/>
  <c r="F168" i="7"/>
  <c r="G168" i="7"/>
  <c r="H168" i="7"/>
  <c r="I168" i="7"/>
  <c r="J168" i="7"/>
  <c r="K168" i="7"/>
  <c r="L168" i="7"/>
  <c r="M168" i="7"/>
  <c r="F169" i="7"/>
  <c r="G169" i="7"/>
  <c r="H169" i="7"/>
  <c r="I169" i="7"/>
  <c r="J169" i="7"/>
  <c r="K169" i="7"/>
  <c r="L169" i="7"/>
  <c r="M169" i="7"/>
  <c r="F170" i="7"/>
  <c r="G170" i="7"/>
  <c r="H170" i="7"/>
  <c r="I170" i="7"/>
  <c r="J170" i="7"/>
  <c r="K170" i="7"/>
  <c r="L170" i="7"/>
  <c r="M170" i="7"/>
  <c r="F171" i="7"/>
  <c r="G171" i="7"/>
  <c r="H171" i="7"/>
  <c r="I171" i="7"/>
  <c r="J171" i="7"/>
  <c r="K171" i="7"/>
  <c r="L171" i="7"/>
  <c r="M171" i="7"/>
  <c r="F172" i="7"/>
  <c r="G172" i="7"/>
  <c r="H172" i="7"/>
  <c r="I172" i="7"/>
  <c r="J172" i="7"/>
  <c r="K172" i="7"/>
  <c r="L172" i="7"/>
  <c r="M172" i="7"/>
  <c r="F173" i="7"/>
  <c r="G173" i="7"/>
  <c r="H173" i="7"/>
  <c r="I173" i="7"/>
  <c r="J173" i="7"/>
  <c r="K173" i="7"/>
  <c r="L173" i="7"/>
  <c r="M173" i="7"/>
  <c r="F174" i="7"/>
  <c r="G174" i="7"/>
  <c r="H174" i="7"/>
  <c r="I174" i="7"/>
  <c r="J174" i="7"/>
  <c r="K174" i="7"/>
  <c r="L174" i="7"/>
  <c r="M174" i="7"/>
  <c r="F175" i="7"/>
  <c r="G175" i="7"/>
  <c r="H175" i="7"/>
  <c r="I175" i="7"/>
  <c r="J175" i="7"/>
  <c r="K175" i="7"/>
  <c r="L175" i="7"/>
  <c r="M175" i="7"/>
  <c r="F176" i="7"/>
  <c r="G176" i="7"/>
  <c r="H176" i="7"/>
  <c r="I176" i="7"/>
  <c r="J176" i="7"/>
  <c r="K176" i="7"/>
  <c r="L176" i="7"/>
  <c r="M176" i="7"/>
  <c r="F177" i="7"/>
  <c r="G177" i="7"/>
  <c r="H177" i="7"/>
  <c r="I177" i="7"/>
  <c r="J177" i="7"/>
  <c r="K177" i="7"/>
  <c r="L177" i="7"/>
  <c r="M177" i="7"/>
  <c r="F178" i="7"/>
  <c r="G178" i="7"/>
  <c r="H178" i="7"/>
  <c r="I178" i="7"/>
  <c r="J178" i="7"/>
  <c r="K178" i="7"/>
  <c r="L178" i="7"/>
  <c r="M178" i="7"/>
  <c r="F179" i="7"/>
  <c r="G179" i="7"/>
  <c r="H179" i="7"/>
  <c r="I179" i="7"/>
  <c r="J179" i="7"/>
  <c r="K179" i="7"/>
  <c r="L179" i="7"/>
  <c r="M179" i="7"/>
  <c r="F180" i="7"/>
  <c r="G180" i="7"/>
  <c r="H180" i="7"/>
  <c r="I180" i="7"/>
  <c r="J180" i="7"/>
  <c r="K180" i="7"/>
  <c r="L180" i="7"/>
  <c r="M180" i="7"/>
  <c r="F181" i="7"/>
  <c r="G181" i="7"/>
  <c r="H181" i="7"/>
  <c r="I181" i="7"/>
  <c r="J181" i="7"/>
  <c r="K181" i="7"/>
  <c r="L181" i="7"/>
  <c r="M181" i="7"/>
  <c r="F182" i="7"/>
  <c r="G182" i="7"/>
  <c r="H182" i="7"/>
  <c r="I182" i="7"/>
  <c r="J182" i="7"/>
  <c r="K182" i="7"/>
  <c r="L182" i="7"/>
  <c r="M182" i="7"/>
  <c r="F183" i="7"/>
  <c r="G183" i="7"/>
  <c r="H183" i="7"/>
  <c r="I183" i="7"/>
  <c r="J183" i="7"/>
  <c r="K183" i="7"/>
  <c r="L183" i="7"/>
  <c r="M183" i="7"/>
  <c r="F184" i="7"/>
  <c r="G184" i="7"/>
  <c r="H184" i="7"/>
  <c r="I184" i="7"/>
  <c r="J184" i="7"/>
  <c r="K184" i="7"/>
  <c r="L184" i="7"/>
  <c r="M184" i="7"/>
  <c r="F185" i="7"/>
  <c r="G185" i="7"/>
  <c r="H185" i="7"/>
  <c r="I185" i="7"/>
  <c r="J185" i="7"/>
  <c r="K185" i="7"/>
  <c r="L185" i="7"/>
  <c r="M185" i="7"/>
  <c r="F186" i="7"/>
  <c r="G186" i="7"/>
  <c r="H186" i="7"/>
  <c r="I186" i="7"/>
  <c r="J186" i="7"/>
  <c r="K186" i="7"/>
  <c r="L186" i="7"/>
  <c r="M186" i="7"/>
  <c r="F187" i="7"/>
  <c r="G187" i="7"/>
  <c r="H187" i="7"/>
  <c r="I187" i="7"/>
  <c r="J187" i="7"/>
  <c r="K187" i="7"/>
  <c r="L187" i="7"/>
  <c r="M187" i="7"/>
  <c r="F188" i="7"/>
  <c r="G188" i="7"/>
  <c r="H188" i="7"/>
  <c r="I188" i="7"/>
  <c r="J188" i="7"/>
  <c r="K188" i="7"/>
  <c r="L188" i="7"/>
  <c r="M188" i="7"/>
  <c r="F189" i="7"/>
  <c r="G189" i="7"/>
  <c r="H189" i="7"/>
  <c r="I189" i="7"/>
  <c r="J189" i="7"/>
  <c r="K189" i="7"/>
  <c r="L189" i="7"/>
  <c r="M189" i="7"/>
  <c r="F190" i="7"/>
  <c r="G190" i="7"/>
  <c r="H190" i="7"/>
  <c r="I190" i="7"/>
  <c r="J190" i="7"/>
  <c r="K190" i="7"/>
  <c r="L190" i="7"/>
  <c r="M190" i="7"/>
  <c r="F191" i="7"/>
  <c r="G191" i="7"/>
  <c r="H191" i="7"/>
  <c r="I191" i="7"/>
  <c r="J191" i="7"/>
  <c r="K191" i="7"/>
  <c r="L191" i="7"/>
  <c r="M191" i="7"/>
  <c r="F192" i="7"/>
  <c r="G192" i="7"/>
  <c r="H192" i="7"/>
  <c r="I192" i="7"/>
  <c r="J192" i="7"/>
  <c r="K192" i="7"/>
  <c r="L192" i="7"/>
  <c r="M192" i="7"/>
  <c r="F193" i="7"/>
  <c r="G193" i="7"/>
  <c r="H193" i="7"/>
  <c r="I193" i="7"/>
  <c r="J193" i="7"/>
  <c r="K193" i="7"/>
  <c r="L193" i="7"/>
  <c r="M193" i="7"/>
  <c r="F194" i="7"/>
  <c r="G194" i="7"/>
  <c r="H194" i="7"/>
  <c r="I194" i="7"/>
  <c r="J194" i="7"/>
  <c r="K194" i="7"/>
  <c r="L194" i="7"/>
  <c r="M194" i="7"/>
  <c r="F195" i="7"/>
  <c r="G195" i="7"/>
  <c r="H195" i="7"/>
  <c r="I195" i="7"/>
  <c r="J195" i="7"/>
  <c r="K195" i="7"/>
  <c r="L195" i="7"/>
  <c r="M195" i="7"/>
  <c r="F196" i="7"/>
  <c r="G196" i="7"/>
  <c r="H196" i="7"/>
  <c r="I196" i="7"/>
  <c r="J196" i="7"/>
  <c r="K196" i="7"/>
  <c r="L196" i="7"/>
  <c r="M196" i="7"/>
  <c r="F197" i="7"/>
  <c r="G197" i="7"/>
  <c r="H197" i="7"/>
  <c r="I197" i="7"/>
  <c r="J197" i="7"/>
  <c r="K197" i="7"/>
  <c r="L197" i="7"/>
  <c r="M197" i="7"/>
  <c r="F198" i="7"/>
  <c r="G198" i="7"/>
  <c r="H198" i="7"/>
  <c r="I198" i="7"/>
  <c r="J198" i="7"/>
  <c r="K198" i="7"/>
  <c r="L198" i="7"/>
  <c r="M198" i="7"/>
  <c r="F199" i="7"/>
  <c r="G199" i="7"/>
  <c r="H199" i="7"/>
  <c r="I199" i="7"/>
  <c r="J199" i="7"/>
  <c r="K199" i="7"/>
  <c r="L199" i="7"/>
  <c r="M199" i="7"/>
  <c r="F200" i="7"/>
  <c r="G200" i="7"/>
  <c r="H200" i="7"/>
  <c r="I200" i="7"/>
  <c r="J200" i="7"/>
  <c r="K200" i="7"/>
  <c r="L200" i="7"/>
  <c r="M200" i="7"/>
  <c r="F201" i="7"/>
  <c r="G201" i="7"/>
  <c r="H201" i="7"/>
  <c r="I201" i="7"/>
  <c r="J201" i="7"/>
  <c r="K201" i="7"/>
  <c r="L201" i="7"/>
  <c r="M201" i="7"/>
  <c r="F202" i="7"/>
  <c r="G202" i="7"/>
  <c r="H202" i="7"/>
  <c r="I202" i="7"/>
  <c r="J202" i="7"/>
  <c r="K202" i="7"/>
  <c r="L202" i="7"/>
  <c r="M202" i="7"/>
  <c r="F203" i="7"/>
  <c r="G203" i="7"/>
  <c r="H203" i="7"/>
  <c r="I203" i="7"/>
  <c r="J203" i="7"/>
  <c r="K203" i="7"/>
  <c r="L203" i="7"/>
  <c r="M203" i="7"/>
  <c r="F204" i="7"/>
  <c r="G204" i="7"/>
  <c r="H204" i="7"/>
  <c r="I204" i="7"/>
  <c r="J204" i="7"/>
  <c r="K204" i="7"/>
  <c r="L204" i="7"/>
  <c r="M204" i="7"/>
  <c r="F205" i="7"/>
  <c r="G205" i="7"/>
  <c r="H205" i="7"/>
  <c r="I205" i="7"/>
  <c r="J205" i="7"/>
  <c r="K205" i="7"/>
  <c r="L205" i="7"/>
  <c r="M205" i="7"/>
  <c r="F206" i="7"/>
  <c r="G206" i="7"/>
  <c r="H206" i="7"/>
  <c r="I206" i="7"/>
  <c r="J206" i="7"/>
  <c r="K206" i="7"/>
  <c r="L206" i="7"/>
  <c r="M206" i="7"/>
  <c r="F207" i="7"/>
  <c r="G207" i="7"/>
  <c r="H207" i="7"/>
  <c r="I207" i="7"/>
  <c r="J207" i="7"/>
  <c r="K207" i="7"/>
  <c r="L207" i="7"/>
  <c r="M207" i="7"/>
  <c r="M2" i="7"/>
  <c r="L2" i="7"/>
  <c r="K2" i="7"/>
  <c r="J2" i="7"/>
  <c r="I2" i="7"/>
  <c r="H2" i="7"/>
  <c r="G2" i="7"/>
  <c r="F2" i="7"/>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7" i="8"/>
  <c r="F98" i="8"/>
  <c r="F99" i="8"/>
  <c r="F100" i="8"/>
  <c r="F101" i="8"/>
  <c r="F102" i="8"/>
  <c r="F103" i="8"/>
  <c r="F104" i="8"/>
  <c r="F105" i="8"/>
  <c r="F106" i="8"/>
  <c r="F107" i="8"/>
  <c r="F108" i="8"/>
  <c r="F109" i="8"/>
  <c r="F110" i="8"/>
  <c r="F111" i="8"/>
  <c r="F112" i="8"/>
  <c r="F8" i="8"/>
  <c r="J114" i="8"/>
  <c r="AG112" i="8"/>
  <c r="AF112" i="8"/>
  <c r="AE112" i="8"/>
  <c r="AD112" i="8"/>
  <c r="AC112" i="8"/>
  <c r="AB112" i="8"/>
  <c r="AA112" i="8"/>
  <c r="Y112" i="8"/>
  <c r="W112" i="8"/>
  <c r="U112" i="8"/>
  <c r="S112" i="8"/>
  <c r="Q112" i="8"/>
  <c r="O112" i="8"/>
  <c r="M112" i="8"/>
  <c r="AG111" i="8"/>
  <c r="AF111" i="8"/>
  <c r="AE111" i="8"/>
  <c r="AD111" i="8"/>
  <c r="AC111" i="8"/>
  <c r="AB111" i="8"/>
  <c r="AA111" i="8"/>
  <c r="Y111" i="8"/>
  <c r="W111" i="8"/>
  <c r="U111" i="8"/>
  <c r="S111" i="8"/>
  <c r="Q111" i="8"/>
  <c r="O111" i="8"/>
  <c r="M111" i="8"/>
  <c r="AG110" i="8"/>
  <c r="AF110" i="8"/>
  <c r="AE110" i="8"/>
  <c r="AD110" i="8"/>
  <c r="AC110" i="8"/>
  <c r="AB110" i="8"/>
  <c r="AA110" i="8"/>
  <c r="Y110" i="8"/>
  <c r="W110" i="8"/>
  <c r="U110" i="8"/>
  <c r="S110" i="8"/>
  <c r="Q110" i="8"/>
  <c r="O110" i="8"/>
  <c r="M110" i="8"/>
  <c r="AG109" i="8"/>
  <c r="AF109" i="8"/>
  <c r="AE109" i="8"/>
  <c r="AD109" i="8"/>
  <c r="AC109" i="8"/>
  <c r="AB109" i="8"/>
  <c r="AA109" i="8"/>
  <c r="Y109" i="8"/>
  <c r="W109" i="8"/>
  <c r="U109" i="8"/>
  <c r="S109" i="8"/>
  <c r="Q109" i="8"/>
  <c r="O109" i="8"/>
  <c r="M109" i="8"/>
  <c r="AG108" i="8"/>
  <c r="AF108" i="8"/>
  <c r="AE108" i="8"/>
  <c r="AD108" i="8"/>
  <c r="AC108" i="8"/>
  <c r="AB108" i="8"/>
  <c r="AA108" i="8"/>
  <c r="Y108" i="8"/>
  <c r="W108" i="8"/>
  <c r="U108" i="8"/>
  <c r="S108" i="8"/>
  <c r="Q108" i="8"/>
  <c r="O108" i="8"/>
  <c r="M108" i="8"/>
  <c r="AG107" i="8"/>
  <c r="AF107" i="8"/>
  <c r="AE107" i="8"/>
  <c r="AD107" i="8"/>
  <c r="AC107" i="8"/>
  <c r="AB107" i="8"/>
  <c r="AA107" i="8"/>
  <c r="Y107" i="8"/>
  <c r="W107" i="8"/>
  <c r="U107" i="8"/>
  <c r="S107" i="8"/>
  <c r="Q107" i="8"/>
  <c r="O107" i="8"/>
  <c r="M107" i="8"/>
  <c r="AG106" i="8"/>
  <c r="AF106" i="8"/>
  <c r="AE106" i="8"/>
  <c r="AD106" i="8"/>
  <c r="AC106" i="8"/>
  <c r="AB106" i="8"/>
  <c r="AA106" i="8"/>
  <c r="Y106" i="8"/>
  <c r="W106" i="8"/>
  <c r="U106" i="8"/>
  <c r="S106" i="8"/>
  <c r="Q106" i="8"/>
  <c r="O106" i="8"/>
  <c r="M106" i="8"/>
  <c r="AG105" i="8"/>
  <c r="AF105" i="8"/>
  <c r="AE105" i="8"/>
  <c r="AD105" i="8"/>
  <c r="AC105" i="8"/>
  <c r="AB105" i="8"/>
  <c r="AA105" i="8"/>
  <c r="Y105" i="8"/>
  <c r="W105" i="8"/>
  <c r="U105" i="8"/>
  <c r="S105" i="8"/>
  <c r="Q105" i="8"/>
  <c r="O105" i="8"/>
  <c r="M105" i="8"/>
  <c r="AG104" i="8"/>
  <c r="AF104" i="8"/>
  <c r="AE104" i="8"/>
  <c r="AD104" i="8"/>
  <c r="AC104" i="8"/>
  <c r="AB104" i="8"/>
  <c r="AA104" i="8"/>
  <c r="Y104" i="8"/>
  <c r="W104" i="8"/>
  <c r="U104" i="8"/>
  <c r="S104" i="8"/>
  <c r="Q104" i="8"/>
  <c r="O104" i="8"/>
  <c r="M104" i="8"/>
  <c r="AG103" i="8"/>
  <c r="AF103" i="8"/>
  <c r="AE103" i="8"/>
  <c r="AD103" i="8"/>
  <c r="AC103" i="8"/>
  <c r="AB103" i="8"/>
  <c r="AA103" i="8"/>
  <c r="Y103" i="8"/>
  <c r="W103" i="8"/>
  <c r="U103" i="8"/>
  <c r="S103" i="8"/>
  <c r="Q103" i="8"/>
  <c r="O103" i="8"/>
  <c r="M103" i="8"/>
  <c r="AG102" i="8"/>
  <c r="AF102" i="8"/>
  <c r="AE102" i="8"/>
  <c r="AD102" i="8"/>
  <c r="AC102" i="8"/>
  <c r="AB102" i="8"/>
  <c r="AA102" i="8"/>
  <c r="Y102" i="8"/>
  <c r="W102" i="8"/>
  <c r="U102" i="8"/>
  <c r="S102" i="8"/>
  <c r="Q102" i="8"/>
  <c r="O102" i="8"/>
  <c r="M102" i="8"/>
  <c r="AG101" i="8"/>
  <c r="AF101" i="8"/>
  <c r="AE101" i="8"/>
  <c r="AD101" i="8"/>
  <c r="AC101" i="8"/>
  <c r="AB101" i="8"/>
  <c r="AA101" i="8"/>
  <c r="Y101" i="8"/>
  <c r="W101" i="8"/>
  <c r="U101" i="8"/>
  <c r="S101" i="8"/>
  <c r="Q101" i="8"/>
  <c r="O101" i="8"/>
  <c r="M101" i="8"/>
  <c r="AG100" i="8"/>
  <c r="AF100" i="8"/>
  <c r="AE100" i="8"/>
  <c r="AD100" i="8"/>
  <c r="AC100" i="8"/>
  <c r="AB100" i="8"/>
  <c r="AA100" i="8"/>
  <c r="Y100" i="8"/>
  <c r="W100" i="8"/>
  <c r="U100" i="8"/>
  <c r="S100" i="8"/>
  <c r="Q100" i="8"/>
  <c r="O100" i="8"/>
  <c r="M100" i="8"/>
  <c r="AG99" i="8"/>
  <c r="AF99" i="8"/>
  <c r="AE99" i="8"/>
  <c r="AD99" i="8"/>
  <c r="AC99" i="8"/>
  <c r="AB99" i="8"/>
  <c r="AA99" i="8"/>
  <c r="Y99" i="8"/>
  <c r="W99" i="8"/>
  <c r="U99" i="8"/>
  <c r="S99" i="8"/>
  <c r="Q99" i="8"/>
  <c r="O99" i="8"/>
  <c r="M99" i="8"/>
  <c r="AG98" i="8"/>
  <c r="AF98" i="8"/>
  <c r="AE98" i="8"/>
  <c r="AD98" i="8"/>
  <c r="AC98" i="8"/>
  <c r="AB98" i="8"/>
  <c r="AA98" i="8"/>
  <c r="Y98" i="8"/>
  <c r="W98" i="8"/>
  <c r="U98" i="8"/>
  <c r="S98" i="8"/>
  <c r="Q98" i="8"/>
  <c r="O98" i="8"/>
  <c r="M98" i="8"/>
  <c r="AG97" i="8"/>
  <c r="AF97" i="8"/>
  <c r="AE97" i="8"/>
  <c r="AD97" i="8"/>
  <c r="AC97" i="8"/>
  <c r="AB97" i="8"/>
  <c r="AA97" i="8"/>
  <c r="Y97" i="8"/>
  <c r="W97" i="8"/>
  <c r="U97" i="8"/>
  <c r="S97" i="8"/>
  <c r="Q97" i="8"/>
  <c r="O97" i="8"/>
  <c r="M97" i="8"/>
  <c r="AG95" i="8"/>
  <c r="AF95" i="8"/>
  <c r="AE95" i="8"/>
  <c r="AD95" i="8"/>
  <c r="AC95" i="8"/>
  <c r="AB95" i="8"/>
  <c r="AA95" i="8"/>
  <c r="Y95" i="8"/>
  <c r="W95" i="8"/>
  <c r="U95" i="8"/>
  <c r="S95" i="8"/>
  <c r="Q95" i="8"/>
  <c r="O95" i="8"/>
  <c r="M95" i="8"/>
  <c r="AG94" i="8"/>
  <c r="AF94" i="8"/>
  <c r="AE94" i="8"/>
  <c r="AD94" i="8"/>
  <c r="AC94" i="8"/>
  <c r="AB94" i="8"/>
  <c r="AA94" i="8"/>
  <c r="Y94" i="8"/>
  <c r="W94" i="8"/>
  <c r="U94" i="8"/>
  <c r="S94" i="8"/>
  <c r="Q94" i="8"/>
  <c r="O94" i="8"/>
  <c r="M94" i="8"/>
  <c r="AG93" i="8"/>
  <c r="AF93" i="8"/>
  <c r="AE93" i="8"/>
  <c r="AD93" i="8"/>
  <c r="AC93" i="8"/>
  <c r="AB93" i="8"/>
  <c r="AA93" i="8"/>
  <c r="Y93" i="8"/>
  <c r="W93" i="8"/>
  <c r="U93" i="8"/>
  <c r="S93" i="8"/>
  <c r="Q93" i="8"/>
  <c r="O93" i="8"/>
  <c r="M93" i="8"/>
  <c r="AG92" i="8"/>
  <c r="AF92" i="8"/>
  <c r="AE92" i="8"/>
  <c r="AD92" i="8"/>
  <c r="AC92" i="8"/>
  <c r="AB92" i="8"/>
  <c r="AA92" i="8"/>
  <c r="Y92" i="8"/>
  <c r="W92" i="8"/>
  <c r="U92" i="8"/>
  <c r="S92" i="8"/>
  <c r="Q92" i="8"/>
  <c r="O92" i="8"/>
  <c r="M92" i="8"/>
  <c r="AG91" i="8"/>
  <c r="AF91" i="8"/>
  <c r="AE91" i="8"/>
  <c r="AD91" i="8"/>
  <c r="AC91" i="8"/>
  <c r="AB91" i="8"/>
  <c r="AA91" i="8"/>
  <c r="Y91" i="8"/>
  <c r="W91" i="8"/>
  <c r="U91" i="8"/>
  <c r="S91" i="8"/>
  <c r="Q91" i="8"/>
  <c r="O91" i="8"/>
  <c r="M91" i="8"/>
  <c r="AG90" i="8"/>
  <c r="AF90" i="8"/>
  <c r="AE90" i="8"/>
  <c r="AD90" i="8"/>
  <c r="AC90" i="8"/>
  <c r="AB90" i="8"/>
  <c r="AA90" i="8"/>
  <c r="Y90" i="8"/>
  <c r="W90" i="8"/>
  <c r="U90" i="8"/>
  <c r="S90" i="8"/>
  <c r="Q90" i="8"/>
  <c r="O90" i="8"/>
  <c r="M90" i="8"/>
  <c r="AG89" i="8"/>
  <c r="AF89" i="8"/>
  <c r="AE89" i="8"/>
  <c r="AD89" i="8"/>
  <c r="AC89" i="8"/>
  <c r="AB89" i="8"/>
  <c r="AA89" i="8"/>
  <c r="Y89" i="8"/>
  <c r="W89" i="8"/>
  <c r="U89" i="8"/>
  <c r="S89" i="8"/>
  <c r="Q89" i="8"/>
  <c r="O89" i="8"/>
  <c r="M89" i="8"/>
  <c r="AG88" i="8"/>
  <c r="AF88" i="8"/>
  <c r="AE88" i="8"/>
  <c r="AD88" i="8"/>
  <c r="AC88" i="8"/>
  <c r="AB88" i="8"/>
  <c r="AA88" i="8"/>
  <c r="Y88" i="8"/>
  <c r="W88" i="8"/>
  <c r="U88" i="8"/>
  <c r="S88" i="8"/>
  <c r="Q88" i="8"/>
  <c r="O88" i="8"/>
  <c r="M88" i="8"/>
  <c r="AG87" i="8"/>
  <c r="AF87" i="8"/>
  <c r="AE87" i="8"/>
  <c r="AD87" i="8"/>
  <c r="AC87" i="8"/>
  <c r="AB87" i="8"/>
  <c r="AA87" i="8"/>
  <c r="Y87" i="8"/>
  <c r="W87" i="8"/>
  <c r="U87" i="8"/>
  <c r="S87" i="8"/>
  <c r="Q87" i="8"/>
  <c r="O87" i="8"/>
  <c r="M87" i="8"/>
  <c r="AG86" i="8"/>
  <c r="AF86" i="8"/>
  <c r="AE86" i="8"/>
  <c r="AD86" i="8"/>
  <c r="AC86" i="8"/>
  <c r="AB86" i="8"/>
  <c r="AA86" i="8"/>
  <c r="Y86" i="8"/>
  <c r="W86" i="8"/>
  <c r="U86" i="8"/>
  <c r="S86" i="8"/>
  <c r="Q86" i="8"/>
  <c r="O86" i="8"/>
  <c r="M86" i="8"/>
  <c r="AG85" i="8"/>
  <c r="AF85" i="8"/>
  <c r="AE85" i="8"/>
  <c r="AD85" i="8"/>
  <c r="AC85" i="8"/>
  <c r="AB85" i="8"/>
  <c r="AA85" i="8"/>
  <c r="Y85" i="8"/>
  <c r="W85" i="8"/>
  <c r="U85" i="8"/>
  <c r="S85" i="8"/>
  <c r="Q85" i="8"/>
  <c r="O85" i="8"/>
  <c r="M85" i="8"/>
  <c r="AG84" i="8"/>
  <c r="AF84" i="8"/>
  <c r="AE84" i="8"/>
  <c r="AD84" i="8"/>
  <c r="AC84" i="8"/>
  <c r="AB84" i="8"/>
  <c r="AA84" i="8"/>
  <c r="Y84" i="8"/>
  <c r="W84" i="8"/>
  <c r="U84" i="8"/>
  <c r="S84" i="8"/>
  <c r="Q84" i="8"/>
  <c r="O84" i="8"/>
  <c r="M84" i="8"/>
  <c r="AG83" i="8"/>
  <c r="AF83" i="8"/>
  <c r="AE83" i="8"/>
  <c r="AD83" i="8"/>
  <c r="AC83" i="8"/>
  <c r="AB83" i="8"/>
  <c r="AA83" i="8"/>
  <c r="Y83" i="8"/>
  <c r="W83" i="8"/>
  <c r="U83" i="8"/>
  <c r="S83" i="8"/>
  <c r="Q83" i="8"/>
  <c r="O83" i="8"/>
  <c r="M83" i="8"/>
  <c r="AG82" i="8"/>
  <c r="AF82" i="8"/>
  <c r="AE82" i="8"/>
  <c r="AD82" i="8"/>
  <c r="AC82" i="8"/>
  <c r="AB82" i="8"/>
  <c r="AA82" i="8"/>
  <c r="Y82" i="8"/>
  <c r="W82" i="8"/>
  <c r="U82" i="8"/>
  <c r="S82" i="8"/>
  <c r="Q82" i="8"/>
  <c r="O82" i="8"/>
  <c r="M82" i="8"/>
  <c r="AG81" i="8"/>
  <c r="AF81" i="8"/>
  <c r="AE81" i="8"/>
  <c r="AD81" i="8"/>
  <c r="AC81" i="8"/>
  <c r="AB81" i="8"/>
  <c r="AA81" i="8"/>
  <c r="Y81" i="8"/>
  <c r="W81" i="8"/>
  <c r="U81" i="8"/>
  <c r="S81" i="8"/>
  <c r="Q81" i="8"/>
  <c r="O81" i="8"/>
  <c r="M81" i="8"/>
  <c r="AG80" i="8"/>
  <c r="AF80" i="8"/>
  <c r="AE80" i="8"/>
  <c r="AD80" i="8"/>
  <c r="AC80" i="8"/>
  <c r="AB80" i="8"/>
  <c r="AA80" i="8"/>
  <c r="Y80" i="8"/>
  <c r="W80" i="8"/>
  <c r="U80" i="8"/>
  <c r="S80" i="8"/>
  <c r="Q80" i="8"/>
  <c r="O80" i="8"/>
  <c r="M80" i="8"/>
  <c r="AG79" i="8"/>
  <c r="AF79" i="8"/>
  <c r="AE79" i="8"/>
  <c r="AD79" i="8"/>
  <c r="AC79" i="8"/>
  <c r="AB79" i="8"/>
  <c r="AA79" i="8"/>
  <c r="Y79" i="8"/>
  <c r="W79" i="8"/>
  <c r="U79" i="8"/>
  <c r="S79" i="8"/>
  <c r="Q79" i="8"/>
  <c r="O79" i="8"/>
  <c r="M79" i="8"/>
  <c r="AG78" i="8"/>
  <c r="AF78" i="8"/>
  <c r="AE78" i="8"/>
  <c r="AD78" i="8"/>
  <c r="AC78" i="8"/>
  <c r="AB78" i="8"/>
  <c r="AA78" i="8"/>
  <c r="Y78" i="8"/>
  <c r="W78" i="8"/>
  <c r="U78" i="8"/>
  <c r="S78" i="8"/>
  <c r="Q78" i="8"/>
  <c r="O78" i="8"/>
  <c r="M78" i="8"/>
  <c r="AG77" i="8"/>
  <c r="AF77" i="8"/>
  <c r="AE77" i="8"/>
  <c r="AD77" i="8"/>
  <c r="AC77" i="8"/>
  <c r="AB77" i="8"/>
  <c r="AA77" i="8"/>
  <c r="Y77" i="8"/>
  <c r="W77" i="8"/>
  <c r="U77" i="8"/>
  <c r="S77" i="8"/>
  <c r="Q77" i="8"/>
  <c r="O77" i="8"/>
  <c r="M77" i="8"/>
  <c r="AG76" i="8"/>
  <c r="AF76" i="8"/>
  <c r="AE76" i="8"/>
  <c r="AD76" i="8"/>
  <c r="AC76" i="8"/>
  <c r="AB76" i="8"/>
  <c r="AA76" i="8"/>
  <c r="Y76" i="8"/>
  <c r="W76" i="8"/>
  <c r="U76" i="8"/>
  <c r="S76" i="8"/>
  <c r="Q76" i="8"/>
  <c r="O76" i="8"/>
  <c r="M76" i="8"/>
  <c r="AG75" i="8"/>
  <c r="AF75" i="8"/>
  <c r="AE75" i="8"/>
  <c r="AD75" i="8"/>
  <c r="AC75" i="8"/>
  <c r="AB75" i="8"/>
  <c r="AA75" i="8"/>
  <c r="Y75" i="8"/>
  <c r="W75" i="8"/>
  <c r="U75" i="8"/>
  <c r="S75" i="8"/>
  <c r="Q75" i="8"/>
  <c r="O75" i="8"/>
  <c r="M75" i="8"/>
  <c r="AG74" i="8"/>
  <c r="AF74" i="8"/>
  <c r="AE74" i="8"/>
  <c r="AD74" i="8"/>
  <c r="AC74" i="8"/>
  <c r="AB74" i="8"/>
  <c r="AA74" i="8"/>
  <c r="Y74" i="8"/>
  <c r="W74" i="8"/>
  <c r="U74" i="8"/>
  <c r="S74" i="8"/>
  <c r="Q74" i="8"/>
  <c r="O74" i="8"/>
  <c r="M74" i="8"/>
  <c r="AG73" i="8"/>
  <c r="AF73" i="8"/>
  <c r="AE73" i="8"/>
  <c r="AD73" i="8"/>
  <c r="AC73" i="8"/>
  <c r="AB73" i="8"/>
  <c r="AA73" i="8"/>
  <c r="Y73" i="8"/>
  <c r="W73" i="8"/>
  <c r="U73" i="8"/>
  <c r="S73" i="8"/>
  <c r="Q73" i="8"/>
  <c r="O73" i="8"/>
  <c r="M73" i="8"/>
  <c r="AG72" i="8"/>
  <c r="AF72" i="8"/>
  <c r="AE72" i="8"/>
  <c r="AD72" i="8"/>
  <c r="AC72" i="8"/>
  <c r="AB72" i="8"/>
  <c r="AA72" i="8"/>
  <c r="Y72" i="8"/>
  <c r="W72" i="8"/>
  <c r="U72" i="8"/>
  <c r="S72" i="8"/>
  <c r="Q72" i="8"/>
  <c r="O72" i="8"/>
  <c r="M72" i="8"/>
  <c r="AG71" i="8"/>
  <c r="AF71" i="8"/>
  <c r="AE71" i="8"/>
  <c r="AD71" i="8"/>
  <c r="AC71" i="8"/>
  <c r="AB71" i="8"/>
  <c r="AA71" i="8"/>
  <c r="Y71" i="8"/>
  <c r="W71" i="8"/>
  <c r="U71" i="8"/>
  <c r="S71" i="8"/>
  <c r="Q71" i="8"/>
  <c r="O71" i="8"/>
  <c r="M71" i="8"/>
  <c r="AG70" i="8"/>
  <c r="AF70" i="8"/>
  <c r="AE70" i="8"/>
  <c r="AD70" i="8"/>
  <c r="AC70" i="8"/>
  <c r="AB70" i="8"/>
  <c r="AA70" i="8"/>
  <c r="Y70" i="8"/>
  <c r="W70" i="8"/>
  <c r="U70" i="8"/>
  <c r="S70" i="8"/>
  <c r="Q70" i="8"/>
  <c r="O70" i="8"/>
  <c r="M70" i="8"/>
  <c r="AG69" i="8"/>
  <c r="AF69" i="8"/>
  <c r="AE69" i="8"/>
  <c r="AD69" i="8"/>
  <c r="AC69" i="8"/>
  <c r="AB69" i="8"/>
  <c r="AA69" i="8"/>
  <c r="Y69" i="8"/>
  <c r="W69" i="8"/>
  <c r="U69" i="8"/>
  <c r="S69" i="8"/>
  <c r="Q69" i="8"/>
  <c r="O69" i="8"/>
  <c r="M69" i="8"/>
  <c r="AG68" i="8"/>
  <c r="AF68" i="8"/>
  <c r="AE68" i="8"/>
  <c r="AD68" i="8"/>
  <c r="AC68" i="8"/>
  <c r="AB68" i="8"/>
  <c r="AA68" i="8"/>
  <c r="Y68" i="8"/>
  <c r="W68" i="8"/>
  <c r="U68" i="8"/>
  <c r="S68" i="8"/>
  <c r="Q68" i="8"/>
  <c r="O68" i="8"/>
  <c r="M68" i="8"/>
  <c r="AG67" i="8"/>
  <c r="AF67" i="8"/>
  <c r="AE67" i="8"/>
  <c r="AD67" i="8"/>
  <c r="AC67" i="8"/>
  <c r="AB67" i="8"/>
  <c r="AA67" i="8"/>
  <c r="Y67" i="8"/>
  <c r="W67" i="8"/>
  <c r="U67" i="8"/>
  <c r="S67" i="8"/>
  <c r="Q67" i="8"/>
  <c r="O67" i="8"/>
  <c r="M67" i="8"/>
  <c r="AG66" i="8"/>
  <c r="AF66" i="8"/>
  <c r="AE66" i="8"/>
  <c r="AD66" i="8"/>
  <c r="AC66" i="8"/>
  <c r="AB66" i="8"/>
  <c r="AA66" i="8"/>
  <c r="Y66" i="8"/>
  <c r="W66" i="8"/>
  <c r="U66" i="8"/>
  <c r="S66" i="8"/>
  <c r="Q66" i="8"/>
  <c r="O66" i="8"/>
  <c r="M66" i="8"/>
  <c r="AG65" i="8"/>
  <c r="AF65" i="8"/>
  <c r="AE65" i="8"/>
  <c r="AD65" i="8"/>
  <c r="AC65" i="8"/>
  <c r="AB65" i="8"/>
  <c r="AA65" i="8"/>
  <c r="Y65" i="8"/>
  <c r="W65" i="8"/>
  <c r="U65" i="8"/>
  <c r="S65" i="8"/>
  <c r="Q65" i="8"/>
  <c r="O65" i="8"/>
  <c r="M65" i="8"/>
  <c r="AG64" i="8"/>
  <c r="AF64" i="8"/>
  <c r="AE64" i="8"/>
  <c r="AD64" i="8"/>
  <c r="AC64" i="8"/>
  <c r="AB64" i="8"/>
  <c r="AA64" i="8"/>
  <c r="Y64" i="8"/>
  <c r="W64" i="8"/>
  <c r="U64" i="8"/>
  <c r="S64" i="8"/>
  <c r="Q64" i="8"/>
  <c r="O64" i="8"/>
  <c r="M64" i="8"/>
  <c r="AG63" i="8"/>
  <c r="AF63" i="8"/>
  <c r="AE63" i="8"/>
  <c r="AD63" i="8"/>
  <c r="AC63" i="8"/>
  <c r="AB63" i="8"/>
  <c r="AA63" i="8"/>
  <c r="Y63" i="8"/>
  <c r="W63" i="8"/>
  <c r="U63" i="8"/>
  <c r="S63" i="8"/>
  <c r="Q63" i="8"/>
  <c r="O63" i="8"/>
  <c r="M63" i="8"/>
  <c r="AG62" i="8"/>
  <c r="AF62" i="8"/>
  <c r="AE62" i="8"/>
  <c r="AD62" i="8"/>
  <c r="AC62" i="8"/>
  <c r="AB62" i="8"/>
  <c r="AA62" i="8"/>
  <c r="Y62" i="8"/>
  <c r="W62" i="8"/>
  <c r="U62" i="8"/>
  <c r="S62" i="8"/>
  <c r="Q62" i="8"/>
  <c r="O62" i="8"/>
  <c r="M62" i="8"/>
  <c r="AG61" i="8"/>
  <c r="AF61" i="8"/>
  <c r="AE61" i="8"/>
  <c r="AD61" i="8"/>
  <c r="AC61" i="8"/>
  <c r="AB61" i="8"/>
  <c r="AA61" i="8"/>
  <c r="Y61" i="8"/>
  <c r="W61" i="8"/>
  <c r="U61" i="8"/>
  <c r="S61" i="8"/>
  <c r="Q61" i="8"/>
  <c r="O61" i="8"/>
  <c r="M61" i="8"/>
  <c r="AG60" i="8"/>
  <c r="AF60" i="8"/>
  <c r="AE60" i="8"/>
  <c r="AD60" i="8"/>
  <c r="AC60" i="8"/>
  <c r="AB60" i="8"/>
  <c r="AA60" i="8"/>
  <c r="Y60" i="8"/>
  <c r="W60" i="8"/>
  <c r="U60" i="8"/>
  <c r="S60" i="8"/>
  <c r="Q60" i="8"/>
  <c r="O60" i="8"/>
  <c r="M60" i="8"/>
  <c r="AG59" i="8"/>
  <c r="AF59" i="8"/>
  <c r="AE59" i="8"/>
  <c r="AD59" i="8"/>
  <c r="AC59" i="8"/>
  <c r="AB59" i="8"/>
  <c r="AA59" i="8"/>
  <c r="Y59" i="8"/>
  <c r="W59" i="8"/>
  <c r="U59" i="8"/>
  <c r="S59" i="8"/>
  <c r="Q59" i="8"/>
  <c r="O59" i="8"/>
  <c r="M59" i="8"/>
  <c r="AG58" i="8"/>
  <c r="AF58" i="8"/>
  <c r="AE58" i="8"/>
  <c r="AD58" i="8"/>
  <c r="AC58" i="8"/>
  <c r="AB58" i="8"/>
  <c r="AA58" i="8"/>
  <c r="Y58" i="8"/>
  <c r="W58" i="8"/>
  <c r="U58" i="8"/>
  <c r="S58" i="8"/>
  <c r="Q58" i="8"/>
  <c r="O58" i="8"/>
  <c r="M58" i="8"/>
  <c r="AG57" i="8"/>
  <c r="AF57" i="8"/>
  <c r="AE57" i="8"/>
  <c r="AD57" i="8"/>
  <c r="AC57" i="8"/>
  <c r="AB57" i="8"/>
  <c r="AA57" i="8"/>
  <c r="Y57" i="8"/>
  <c r="W57" i="8"/>
  <c r="U57" i="8"/>
  <c r="S57" i="8"/>
  <c r="Q57" i="8"/>
  <c r="O57" i="8"/>
  <c r="M57" i="8"/>
  <c r="AG56" i="8"/>
  <c r="AF56" i="8"/>
  <c r="AE56" i="8"/>
  <c r="AD56" i="8"/>
  <c r="AC56" i="8"/>
  <c r="AB56" i="8"/>
  <c r="AA56" i="8"/>
  <c r="Y56" i="8"/>
  <c r="W56" i="8"/>
  <c r="U56" i="8"/>
  <c r="S56" i="8"/>
  <c r="Q56" i="8"/>
  <c r="O56" i="8"/>
  <c r="M56" i="8"/>
  <c r="AG55" i="8"/>
  <c r="AF55" i="8"/>
  <c r="AE55" i="8"/>
  <c r="AD55" i="8"/>
  <c r="AC55" i="8"/>
  <c r="AB55" i="8"/>
  <c r="AA55" i="8"/>
  <c r="Y55" i="8"/>
  <c r="W55" i="8"/>
  <c r="U55" i="8"/>
  <c r="S55" i="8"/>
  <c r="Q55" i="8"/>
  <c r="O55" i="8"/>
  <c r="M55" i="8"/>
  <c r="AG54" i="8"/>
  <c r="AF54" i="8"/>
  <c r="AE54" i="8"/>
  <c r="AD54" i="8"/>
  <c r="AC54" i="8"/>
  <c r="AB54" i="8"/>
  <c r="AA54" i="8"/>
  <c r="Y54" i="8"/>
  <c r="W54" i="8"/>
  <c r="U54" i="8"/>
  <c r="S54" i="8"/>
  <c r="Q54" i="8"/>
  <c r="O54" i="8"/>
  <c r="M54" i="8"/>
  <c r="AG53" i="8"/>
  <c r="AF53" i="8"/>
  <c r="AE53" i="8"/>
  <c r="AD53" i="8"/>
  <c r="AC53" i="8"/>
  <c r="AB53" i="8"/>
  <c r="AA53" i="8"/>
  <c r="Y53" i="8"/>
  <c r="W53" i="8"/>
  <c r="U53" i="8"/>
  <c r="S53" i="8"/>
  <c r="Q53" i="8"/>
  <c r="O53" i="8"/>
  <c r="M53" i="8"/>
  <c r="AG52" i="8"/>
  <c r="AF52" i="8"/>
  <c r="AE52" i="8"/>
  <c r="AD52" i="8"/>
  <c r="AC52" i="8"/>
  <c r="AB52" i="8"/>
  <c r="AA52" i="8"/>
  <c r="Y52" i="8"/>
  <c r="W52" i="8"/>
  <c r="U52" i="8"/>
  <c r="S52" i="8"/>
  <c r="Q52" i="8"/>
  <c r="O52" i="8"/>
  <c r="M52" i="8"/>
  <c r="AG51" i="8"/>
  <c r="AF51" i="8"/>
  <c r="AE51" i="8"/>
  <c r="AD51" i="8"/>
  <c r="AC51" i="8"/>
  <c r="AB51" i="8"/>
  <c r="AA51" i="8"/>
  <c r="Y51" i="8"/>
  <c r="W51" i="8"/>
  <c r="U51" i="8"/>
  <c r="S51" i="8"/>
  <c r="Q51" i="8"/>
  <c r="O51" i="8"/>
  <c r="M51" i="8"/>
  <c r="AG50" i="8"/>
  <c r="AF50" i="8"/>
  <c r="AE50" i="8"/>
  <c r="AD50" i="8"/>
  <c r="AC50" i="8"/>
  <c r="AB50" i="8"/>
  <c r="AA50" i="8"/>
  <c r="Y50" i="8"/>
  <c r="W50" i="8"/>
  <c r="U50" i="8"/>
  <c r="S50" i="8"/>
  <c r="Q50" i="8"/>
  <c r="O50" i="8"/>
  <c r="M50" i="8"/>
  <c r="AG49" i="8"/>
  <c r="AF49" i="8"/>
  <c r="AE49" i="8"/>
  <c r="AD49" i="8"/>
  <c r="AC49" i="8"/>
  <c r="AB49" i="8"/>
  <c r="AA49" i="8"/>
  <c r="Y49" i="8"/>
  <c r="W49" i="8"/>
  <c r="U49" i="8"/>
  <c r="S49" i="8"/>
  <c r="Q49" i="8"/>
  <c r="O49" i="8"/>
  <c r="M49" i="8"/>
  <c r="AG48" i="8"/>
  <c r="AF48" i="8"/>
  <c r="AE48" i="8"/>
  <c r="AD48" i="8"/>
  <c r="AC48" i="8"/>
  <c r="AB48" i="8"/>
  <c r="AA48" i="8"/>
  <c r="Y48" i="8"/>
  <c r="W48" i="8"/>
  <c r="U48" i="8"/>
  <c r="S48" i="8"/>
  <c r="Q48" i="8"/>
  <c r="O48" i="8"/>
  <c r="M48" i="8"/>
  <c r="AG47" i="8"/>
  <c r="AF47" i="8"/>
  <c r="AE47" i="8"/>
  <c r="AD47" i="8"/>
  <c r="AC47" i="8"/>
  <c r="AB47" i="8"/>
  <c r="AA47" i="8"/>
  <c r="Y47" i="8"/>
  <c r="W47" i="8"/>
  <c r="U47" i="8"/>
  <c r="S47" i="8"/>
  <c r="Q47" i="8"/>
  <c r="O47" i="8"/>
  <c r="M47" i="8"/>
  <c r="AG46" i="8"/>
  <c r="AF46" i="8"/>
  <c r="AE46" i="8"/>
  <c r="AD46" i="8"/>
  <c r="AC46" i="8"/>
  <c r="AB46" i="8"/>
  <c r="AA46" i="8"/>
  <c r="Y46" i="8"/>
  <c r="W46" i="8"/>
  <c r="U46" i="8"/>
  <c r="S46" i="8"/>
  <c r="Q46" i="8"/>
  <c r="O46" i="8"/>
  <c r="M46" i="8"/>
  <c r="AG45" i="8"/>
  <c r="AF45" i="8"/>
  <c r="AE45" i="8"/>
  <c r="AD45" i="8"/>
  <c r="AC45" i="8"/>
  <c r="AB45" i="8"/>
  <c r="AA45" i="8"/>
  <c r="Y45" i="8"/>
  <c r="W45" i="8"/>
  <c r="U45" i="8"/>
  <c r="S45" i="8"/>
  <c r="Q45" i="8"/>
  <c r="O45" i="8"/>
  <c r="M45" i="8"/>
  <c r="AG44" i="8"/>
  <c r="AF44" i="8"/>
  <c r="AE44" i="8"/>
  <c r="AD44" i="8"/>
  <c r="AC44" i="8"/>
  <c r="AB44" i="8"/>
  <c r="AA44" i="8"/>
  <c r="Y44" i="8"/>
  <c r="W44" i="8"/>
  <c r="U44" i="8"/>
  <c r="S44" i="8"/>
  <c r="Q44" i="8"/>
  <c r="O44" i="8"/>
  <c r="M44" i="8"/>
  <c r="AG43" i="8"/>
  <c r="AF43" i="8"/>
  <c r="AE43" i="8"/>
  <c r="AD43" i="8"/>
  <c r="AC43" i="8"/>
  <c r="AB43" i="8"/>
  <c r="AA43" i="8"/>
  <c r="Y43" i="8"/>
  <c r="W43" i="8"/>
  <c r="U43" i="8"/>
  <c r="S43" i="8"/>
  <c r="Q43" i="8"/>
  <c r="O43" i="8"/>
  <c r="M43" i="8"/>
  <c r="AG42" i="8"/>
  <c r="AF42" i="8"/>
  <c r="AE42" i="8"/>
  <c r="AD42" i="8"/>
  <c r="AC42" i="8"/>
  <c r="AB42" i="8"/>
  <c r="AA42" i="8"/>
  <c r="Y42" i="8"/>
  <c r="W42" i="8"/>
  <c r="U42" i="8"/>
  <c r="S42" i="8"/>
  <c r="Q42" i="8"/>
  <c r="O42" i="8"/>
  <c r="M42" i="8"/>
  <c r="AG41" i="8"/>
  <c r="AF41" i="8"/>
  <c r="AE41" i="8"/>
  <c r="AD41" i="8"/>
  <c r="AC41" i="8"/>
  <c r="AB41" i="8"/>
  <c r="AA41" i="8"/>
  <c r="Y41" i="8"/>
  <c r="W41" i="8"/>
  <c r="U41" i="8"/>
  <c r="S41" i="8"/>
  <c r="Q41" i="8"/>
  <c r="O41" i="8"/>
  <c r="M41" i="8"/>
  <c r="AG40" i="8"/>
  <c r="AF40" i="8"/>
  <c r="AE40" i="8"/>
  <c r="AD40" i="8"/>
  <c r="AC40" i="8"/>
  <c r="AB40" i="8"/>
  <c r="AA40" i="8"/>
  <c r="Y40" i="8"/>
  <c r="W40" i="8"/>
  <c r="U40" i="8"/>
  <c r="S40" i="8"/>
  <c r="Q40" i="8"/>
  <c r="O40" i="8"/>
  <c r="M40" i="8"/>
  <c r="AG39" i="8"/>
  <c r="AF39" i="8"/>
  <c r="AE39" i="8"/>
  <c r="AD39" i="8"/>
  <c r="AC39" i="8"/>
  <c r="AB39" i="8"/>
  <c r="AA39" i="8"/>
  <c r="Y39" i="8"/>
  <c r="W39" i="8"/>
  <c r="U39" i="8"/>
  <c r="S39" i="8"/>
  <c r="Q39" i="8"/>
  <c r="O39" i="8"/>
  <c r="M39" i="8"/>
  <c r="AG38" i="8"/>
  <c r="AF38" i="8"/>
  <c r="AE38" i="8"/>
  <c r="AD38" i="8"/>
  <c r="AC38" i="8"/>
  <c r="AB38" i="8"/>
  <c r="AA38" i="8"/>
  <c r="Y38" i="8"/>
  <c r="W38" i="8"/>
  <c r="U38" i="8"/>
  <c r="S38" i="8"/>
  <c r="Q38" i="8"/>
  <c r="O38" i="8"/>
  <c r="M38" i="8"/>
  <c r="AG37" i="8"/>
  <c r="AF37" i="8"/>
  <c r="AE37" i="8"/>
  <c r="AD37" i="8"/>
  <c r="AC37" i="8"/>
  <c r="AB37" i="8"/>
  <c r="AA37" i="8"/>
  <c r="Y37" i="8"/>
  <c r="W37" i="8"/>
  <c r="U37" i="8"/>
  <c r="S37" i="8"/>
  <c r="Q37" i="8"/>
  <c r="O37" i="8"/>
  <c r="M37" i="8"/>
  <c r="AG36" i="8"/>
  <c r="AF36" i="8"/>
  <c r="AE36" i="8"/>
  <c r="AD36" i="8"/>
  <c r="AC36" i="8"/>
  <c r="AB36" i="8"/>
  <c r="AA36" i="8"/>
  <c r="Y36" i="8"/>
  <c r="W36" i="8"/>
  <c r="U36" i="8"/>
  <c r="S36" i="8"/>
  <c r="Q36" i="8"/>
  <c r="O36" i="8"/>
  <c r="M36" i="8"/>
  <c r="AG35" i="8"/>
  <c r="AF35" i="8"/>
  <c r="AE35" i="8"/>
  <c r="AD35" i="8"/>
  <c r="AC35" i="8"/>
  <c r="AB35" i="8"/>
  <c r="AA35" i="8"/>
  <c r="Y35" i="8"/>
  <c r="W35" i="8"/>
  <c r="U35" i="8"/>
  <c r="S35" i="8"/>
  <c r="Q35" i="8"/>
  <c r="O35" i="8"/>
  <c r="M35" i="8"/>
  <c r="AG34" i="8"/>
  <c r="AF34" i="8"/>
  <c r="AE34" i="8"/>
  <c r="AD34" i="8"/>
  <c r="AC34" i="8"/>
  <c r="AB34" i="8"/>
  <c r="AA34" i="8"/>
  <c r="Y34" i="8"/>
  <c r="W34" i="8"/>
  <c r="U34" i="8"/>
  <c r="S34" i="8"/>
  <c r="Q34" i="8"/>
  <c r="O34" i="8"/>
  <c r="M34" i="8"/>
  <c r="AG33" i="8"/>
  <c r="AF33" i="8"/>
  <c r="AE33" i="8"/>
  <c r="AD33" i="8"/>
  <c r="AC33" i="8"/>
  <c r="AB33" i="8"/>
  <c r="AA33" i="8"/>
  <c r="Y33" i="8"/>
  <c r="W33" i="8"/>
  <c r="U33" i="8"/>
  <c r="S33" i="8"/>
  <c r="Q33" i="8"/>
  <c r="O33" i="8"/>
  <c r="M33" i="8"/>
  <c r="AG32" i="8"/>
  <c r="AF32" i="8"/>
  <c r="AE32" i="8"/>
  <c r="AD32" i="8"/>
  <c r="AC32" i="8"/>
  <c r="AB32" i="8"/>
  <c r="AA32" i="8"/>
  <c r="Y32" i="8"/>
  <c r="W32" i="8"/>
  <c r="U32" i="8"/>
  <c r="S32" i="8"/>
  <c r="Q32" i="8"/>
  <c r="O32" i="8"/>
  <c r="M32" i="8"/>
  <c r="AG31" i="8"/>
  <c r="AF31" i="8"/>
  <c r="AE31" i="8"/>
  <c r="AD31" i="8"/>
  <c r="AC31" i="8"/>
  <c r="AB31" i="8"/>
  <c r="AA31" i="8"/>
  <c r="Y31" i="8"/>
  <c r="W31" i="8"/>
  <c r="U31" i="8"/>
  <c r="S31" i="8"/>
  <c r="Q31" i="8"/>
  <c r="O31" i="8"/>
  <c r="M31" i="8"/>
  <c r="AG30" i="8"/>
  <c r="AF30" i="8"/>
  <c r="AE30" i="8"/>
  <c r="AD30" i="8"/>
  <c r="AC30" i="8"/>
  <c r="AB30" i="8"/>
  <c r="AA30" i="8"/>
  <c r="Y30" i="8"/>
  <c r="W30" i="8"/>
  <c r="U30" i="8"/>
  <c r="S30" i="8"/>
  <c r="Q30" i="8"/>
  <c r="O30" i="8"/>
  <c r="M30" i="8"/>
  <c r="AG29" i="8"/>
  <c r="AF29" i="8"/>
  <c r="AE29" i="8"/>
  <c r="AD29" i="8"/>
  <c r="AC29" i="8"/>
  <c r="AB29" i="8"/>
  <c r="AA29" i="8"/>
  <c r="Y29" i="8"/>
  <c r="W29" i="8"/>
  <c r="U29" i="8"/>
  <c r="S29" i="8"/>
  <c r="Q29" i="8"/>
  <c r="O29" i="8"/>
  <c r="M29" i="8"/>
  <c r="AG28" i="8"/>
  <c r="AF28" i="8"/>
  <c r="AE28" i="8"/>
  <c r="AD28" i="8"/>
  <c r="AC28" i="8"/>
  <c r="AB28" i="8"/>
  <c r="AA28" i="8"/>
  <c r="Y28" i="8"/>
  <c r="W28" i="8"/>
  <c r="U28" i="8"/>
  <c r="S28" i="8"/>
  <c r="Q28" i="8"/>
  <c r="O28" i="8"/>
  <c r="M28" i="8"/>
  <c r="AG27" i="8"/>
  <c r="AF27" i="8"/>
  <c r="AE27" i="8"/>
  <c r="AD27" i="8"/>
  <c r="AC27" i="8"/>
  <c r="AB27" i="8"/>
  <c r="AA27" i="8"/>
  <c r="Y27" i="8"/>
  <c r="W27" i="8"/>
  <c r="U27" i="8"/>
  <c r="S27" i="8"/>
  <c r="Q27" i="8"/>
  <c r="O27" i="8"/>
  <c r="M27" i="8"/>
  <c r="AG26" i="8"/>
  <c r="AF26" i="8"/>
  <c r="AE26" i="8"/>
  <c r="AD26" i="8"/>
  <c r="AC26" i="8"/>
  <c r="AB26" i="8"/>
  <c r="AA26" i="8"/>
  <c r="Y26" i="8"/>
  <c r="W26" i="8"/>
  <c r="U26" i="8"/>
  <c r="S26" i="8"/>
  <c r="Q26" i="8"/>
  <c r="O26" i="8"/>
  <c r="M26" i="8"/>
  <c r="AG25" i="8"/>
  <c r="AF25" i="8"/>
  <c r="AE25" i="8"/>
  <c r="AD25" i="8"/>
  <c r="AC25" i="8"/>
  <c r="AB25" i="8"/>
  <c r="AA25" i="8"/>
  <c r="Y25" i="8"/>
  <c r="W25" i="8"/>
  <c r="U25" i="8"/>
  <c r="S25" i="8"/>
  <c r="Q25" i="8"/>
  <c r="O25" i="8"/>
  <c r="M25" i="8"/>
  <c r="AG24" i="8"/>
  <c r="AF24" i="8"/>
  <c r="AE24" i="8"/>
  <c r="AD24" i="8"/>
  <c r="AC24" i="8"/>
  <c r="AB24" i="8"/>
  <c r="AA24" i="8"/>
  <c r="Y24" i="8"/>
  <c r="W24" i="8"/>
  <c r="U24" i="8"/>
  <c r="S24" i="8"/>
  <c r="Q24" i="8"/>
  <c r="O24" i="8"/>
  <c r="M24" i="8"/>
  <c r="AG23" i="8"/>
  <c r="AF23" i="8"/>
  <c r="AE23" i="8"/>
  <c r="AD23" i="8"/>
  <c r="AC23" i="8"/>
  <c r="AB23" i="8"/>
  <c r="AA23" i="8"/>
  <c r="Y23" i="8"/>
  <c r="W23" i="8"/>
  <c r="U23" i="8"/>
  <c r="S23" i="8"/>
  <c r="Q23" i="8"/>
  <c r="O23" i="8"/>
  <c r="M23" i="8"/>
  <c r="AG22" i="8"/>
  <c r="AF22" i="8"/>
  <c r="AE22" i="8"/>
  <c r="AD22" i="8"/>
  <c r="AC22" i="8"/>
  <c r="AB22" i="8"/>
  <c r="AA22" i="8"/>
  <c r="Y22" i="8"/>
  <c r="W22" i="8"/>
  <c r="U22" i="8"/>
  <c r="S22" i="8"/>
  <c r="Q22" i="8"/>
  <c r="O22" i="8"/>
  <c r="M22" i="8"/>
  <c r="AG21" i="8"/>
  <c r="AF21" i="8"/>
  <c r="AE21" i="8"/>
  <c r="AD21" i="8"/>
  <c r="AC21" i="8"/>
  <c r="AB21" i="8"/>
  <c r="AA21" i="8"/>
  <c r="Y21" i="8"/>
  <c r="W21" i="8"/>
  <c r="U21" i="8"/>
  <c r="S21" i="8"/>
  <c r="Q21" i="8"/>
  <c r="O21" i="8"/>
  <c r="M21" i="8"/>
  <c r="AG20" i="8"/>
  <c r="AF20" i="8"/>
  <c r="AE20" i="8"/>
  <c r="AD20" i="8"/>
  <c r="AC20" i="8"/>
  <c r="AB20" i="8"/>
  <c r="AA20" i="8"/>
  <c r="Y20" i="8"/>
  <c r="W20" i="8"/>
  <c r="U20" i="8"/>
  <c r="S20" i="8"/>
  <c r="Q20" i="8"/>
  <c r="O20" i="8"/>
  <c r="M20" i="8"/>
  <c r="AG19" i="8"/>
  <c r="AF19" i="8"/>
  <c r="AE19" i="8"/>
  <c r="AD19" i="8"/>
  <c r="AC19" i="8"/>
  <c r="AB19" i="8"/>
  <c r="AA19" i="8"/>
  <c r="Y19" i="8"/>
  <c r="W19" i="8"/>
  <c r="U19" i="8"/>
  <c r="S19" i="8"/>
  <c r="Q19" i="8"/>
  <c r="O19" i="8"/>
  <c r="M19" i="8"/>
  <c r="AG18" i="8"/>
  <c r="AF18" i="8"/>
  <c r="AE18" i="8"/>
  <c r="AD18" i="8"/>
  <c r="AC18" i="8"/>
  <c r="AB18" i="8"/>
  <c r="AA18" i="8"/>
  <c r="Y18" i="8"/>
  <c r="W18" i="8"/>
  <c r="U18" i="8"/>
  <c r="S18" i="8"/>
  <c r="Q18" i="8"/>
  <c r="O18" i="8"/>
  <c r="M18" i="8"/>
  <c r="AG17" i="8"/>
  <c r="AF17" i="8"/>
  <c r="AE17" i="8"/>
  <c r="AD17" i="8"/>
  <c r="AC17" i="8"/>
  <c r="AB17" i="8"/>
  <c r="AA17" i="8"/>
  <c r="Y17" i="8"/>
  <c r="W17" i="8"/>
  <c r="U17" i="8"/>
  <c r="S17" i="8"/>
  <c r="Q17" i="8"/>
  <c r="O17" i="8"/>
  <c r="M17" i="8"/>
  <c r="AG16" i="8"/>
  <c r="AF16" i="8"/>
  <c r="AE16" i="8"/>
  <c r="AD16" i="8"/>
  <c r="AC16" i="8"/>
  <c r="AB16" i="8"/>
  <c r="AA16" i="8"/>
  <c r="Y16" i="8"/>
  <c r="W16" i="8"/>
  <c r="U16" i="8"/>
  <c r="S16" i="8"/>
  <c r="Q16" i="8"/>
  <c r="O16" i="8"/>
  <c r="M16" i="8"/>
  <c r="AG15" i="8"/>
  <c r="AF15" i="8"/>
  <c r="AE15" i="8"/>
  <c r="AD15" i="8"/>
  <c r="AC15" i="8"/>
  <c r="AB15" i="8"/>
  <c r="AA15" i="8"/>
  <c r="Y15" i="8"/>
  <c r="W15" i="8"/>
  <c r="U15" i="8"/>
  <c r="S15" i="8"/>
  <c r="Q15" i="8"/>
  <c r="O15" i="8"/>
  <c r="M15" i="8"/>
  <c r="AG14" i="8"/>
  <c r="AF14" i="8"/>
  <c r="AE14" i="8"/>
  <c r="AD14" i="8"/>
  <c r="AC14" i="8"/>
  <c r="AB14" i="8"/>
  <c r="AA14" i="8"/>
  <c r="Y14" i="8"/>
  <c r="W14" i="8"/>
  <c r="U14" i="8"/>
  <c r="S14" i="8"/>
  <c r="Q14" i="8"/>
  <c r="O14" i="8"/>
  <c r="M14" i="8"/>
  <c r="AG13" i="8"/>
  <c r="AF13" i="8"/>
  <c r="AE13" i="8"/>
  <c r="AD13" i="8"/>
  <c r="AC13" i="8"/>
  <c r="AB13" i="8"/>
  <c r="AA13" i="8"/>
  <c r="Y13" i="8"/>
  <c r="W13" i="8"/>
  <c r="U13" i="8"/>
  <c r="S13" i="8"/>
  <c r="Q13" i="8"/>
  <c r="O13" i="8"/>
  <c r="M13" i="8"/>
  <c r="AG12" i="8"/>
  <c r="AF12" i="8"/>
  <c r="AE12" i="8"/>
  <c r="AD12" i="8"/>
  <c r="AC12" i="8"/>
  <c r="AB12" i="8"/>
  <c r="AA12" i="8"/>
  <c r="Y12" i="8"/>
  <c r="W12" i="8"/>
  <c r="U12" i="8"/>
  <c r="S12" i="8"/>
  <c r="Q12" i="8"/>
  <c r="O12" i="8"/>
  <c r="M12" i="8"/>
  <c r="AG11" i="8"/>
  <c r="AF11" i="8"/>
  <c r="AE11" i="8"/>
  <c r="AD11" i="8"/>
  <c r="AC11" i="8"/>
  <c r="AB11" i="8"/>
  <c r="AA11" i="8"/>
  <c r="Y11" i="8"/>
  <c r="W11" i="8"/>
  <c r="U11" i="8"/>
  <c r="S11" i="8"/>
  <c r="Q11" i="8"/>
  <c r="O11" i="8"/>
  <c r="M11" i="8"/>
  <c r="AG10" i="8"/>
  <c r="AF10" i="8"/>
  <c r="AE10" i="8"/>
  <c r="AD10" i="8"/>
  <c r="AC10" i="8"/>
  <c r="AB10" i="8"/>
  <c r="AA10" i="8"/>
  <c r="Y10" i="8"/>
  <c r="W10" i="8"/>
  <c r="U10" i="8"/>
  <c r="S10" i="8"/>
  <c r="Q10" i="8"/>
  <c r="O10" i="8"/>
  <c r="M10" i="8"/>
  <c r="AG9" i="8"/>
  <c r="AF9" i="8"/>
  <c r="AE9" i="8"/>
  <c r="AD9" i="8"/>
  <c r="AC9" i="8"/>
  <c r="AB9" i="8"/>
  <c r="AA9" i="8"/>
  <c r="Y9" i="8"/>
  <c r="W9" i="8"/>
  <c r="U9" i="8"/>
  <c r="S9" i="8"/>
  <c r="Q9" i="8"/>
  <c r="O9" i="8"/>
  <c r="M9" i="8"/>
  <c r="AG8" i="8"/>
  <c r="AF8" i="8"/>
  <c r="AE8" i="8"/>
  <c r="AD8" i="8"/>
  <c r="AC8" i="8"/>
  <c r="AB8" i="8"/>
  <c r="AA8" i="8"/>
  <c r="Y8" i="8"/>
  <c r="W8" i="8"/>
  <c r="U8" i="8"/>
  <c r="S8" i="8"/>
  <c r="Q8" i="8"/>
  <c r="O8" i="8"/>
  <c r="M8" i="8"/>
  <c r="J10" i="11" l="1"/>
  <c r="K9" i="11"/>
  <c r="I9" i="11"/>
  <c r="H10" i="11"/>
  <c r="F10" i="11"/>
  <c r="G9" i="11"/>
  <c r="B12" i="11"/>
  <c r="C11" i="11"/>
  <c r="E9" i="11"/>
  <c r="D10" i="11"/>
  <c r="AG114" i="8"/>
  <c r="H11" i="11" l="1"/>
  <c r="I10" i="11"/>
  <c r="C12" i="11"/>
  <c r="B13" i="11"/>
  <c r="D11" i="11"/>
  <c r="E10" i="11"/>
  <c r="G10" i="11"/>
  <c r="F11" i="11"/>
  <c r="K10" i="11"/>
  <c r="J11" i="1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2" i="2"/>
  <c r="F12" i="11" l="1"/>
  <c r="G11" i="11"/>
  <c r="B14" i="11"/>
  <c r="C13" i="11"/>
  <c r="J12" i="11"/>
  <c r="K11" i="11"/>
  <c r="E11" i="11"/>
  <c r="D12" i="11"/>
  <c r="I11" i="11"/>
  <c r="H12" i="11"/>
  <c r="C13" i="7"/>
  <c r="C15" i="7"/>
  <c r="C35" i="7"/>
  <c r="C49" i="7"/>
  <c r="C52" i="7"/>
  <c r="C56" i="7"/>
  <c r="C58" i="7"/>
  <c r="C76" i="7"/>
  <c r="C85" i="7"/>
  <c r="C88" i="7"/>
  <c r="C90" i="7"/>
  <c r="C91" i="7"/>
  <c r="C93" i="7"/>
  <c r="C107" i="7"/>
  <c r="C109" i="7"/>
  <c r="C123" i="7"/>
  <c r="C125" i="7"/>
  <c r="C140" i="7"/>
  <c r="C141" i="7"/>
  <c r="C146" i="7"/>
  <c r="C160" i="7"/>
  <c r="C174" i="7"/>
  <c r="C188" i="7"/>
  <c r="C204" i="7"/>
  <c r="C3" i="7"/>
  <c r="C4" i="7"/>
  <c r="C2" i="7"/>
  <c r="D13" i="11" l="1"/>
  <c r="E12" i="11"/>
  <c r="C14" i="11"/>
  <c r="B15" i="11"/>
  <c r="H13" i="11"/>
  <c r="I12" i="11"/>
  <c r="K12" i="11"/>
  <c r="J13" i="11"/>
  <c r="G12" i="11"/>
  <c r="F13" i="11"/>
  <c r="P757" i="1"/>
  <c r="P756" i="1" s="1"/>
  <c r="O757" i="1"/>
  <c r="O756" i="1" s="1"/>
  <c r="M757" i="1"/>
  <c r="M756" i="1" s="1"/>
  <c r="O754" i="1"/>
  <c r="N754" i="1"/>
  <c r="M754" i="1"/>
  <c r="P753" i="1"/>
  <c r="O753" i="1"/>
  <c r="N753" i="1"/>
  <c r="P750" i="1"/>
  <c r="P749" i="1" s="1"/>
  <c r="N750" i="1"/>
  <c r="N749" i="1" s="1"/>
  <c r="M750" i="1"/>
  <c r="P747" i="1"/>
  <c r="P746" i="1" s="1"/>
  <c r="N747" i="1"/>
  <c r="N746" i="1" s="1"/>
  <c r="M747" i="1"/>
  <c r="M746" i="1" s="1"/>
  <c r="P744" i="1"/>
  <c r="P743" i="1" s="1"/>
  <c r="N744" i="1"/>
  <c r="N743" i="1" s="1"/>
  <c r="M744" i="1"/>
  <c r="M743" i="1" s="1"/>
  <c r="P741" i="1"/>
  <c r="P740" i="1" s="1"/>
  <c r="O741" i="1"/>
  <c r="O740" i="1" s="1"/>
  <c r="N741" i="1"/>
  <c r="N740" i="1" s="1"/>
  <c r="P738" i="1"/>
  <c r="P737" i="1" s="1"/>
  <c r="O738" i="1"/>
  <c r="O737" i="1" s="1"/>
  <c r="N738" i="1"/>
  <c r="N737" i="1" s="1"/>
  <c r="J757" i="1"/>
  <c r="J754" i="1"/>
  <c r="P754" i="1" s="1"/>
  <c r="J753" i="1"/>
  <c r="J750" i="1"/>
  <c r="J749" i="1" s="1"/>
  <c r="J747" i="1"/>
  <c r="J746" i="1" s="1"/>
  <c r="J744" i="1"/>
  <c r="J743" i="1" s="1"/>
  <c r="J741" i="1"/>
  <c r="J740" i="1" s="1"/>
  <c r="J738" i="1"/>
  <c r="J737" i="1" s="1"/>
  <c r="J735" i="1"/>
  <c r="J734" i="1" s="1"/>
  <c r="P735" i="1"/>
  <c r="P734" i="1" s="1"/>
  <c r="O735" i="1"/>
  <c r="O734" i="1" s="1"/>
  <c r="N735" i="1"/>
  <c r="N734" i="1" s="1"/>
  <c r="M735" i="1"/>
  <c r="M734" i="1" s="1"/>
  <c r="M749" i="1"/>
  <c r="H726" i="1"/>
  <c r="H730" i="1" s="1"/>
  <c r="G721" i="1"/>
  <c r="G722" i="1" s="1"/>
  <c r="G719" i="1"/>
  <c r="H717" i="1"/>
  <c r="H719" i="1" s="1"/>
  <c r="H721" i="1" s="1"/>
  <c r="H709" i="1"/>
  <c r="H710" i="1" s="1"/>
  <c r="G704" i="1"/>
  <c r="G707" i="1" s="1"/>
  <c r="H703" i="1"/>
  <c r="H707" i="1" s="1"/>
  <c r="G693" i="1"/>
  <c r="G694" i="1" s="1"/>
  <c r="H692" i="1"/>
  <c r="H693" i="1" s="1"/>
  <c r="H699" i="1" s="1"/>
  <c r="H701" i="1" s="1"/>
  <c r="G686" i="1"/>
  <c r="G687" i="1" s="1"/>
  <c r="H685" i="1"/>
  <c r="G680" i="1"/>
  <c r="G684" i="1" s="1"/>
  <c r="H679" i="1"/>
  <c r="H680" i="1" s="1"/>
  <c r="H684" i="1" s="1"/>
  <c r="H674" i="1"/>
  <c r="G669" i="1"/>
  <c r="G672" i="1" s="1"/>
  <c r="H668" i="1"/>
  <c r="G663" i="1"/>
  <c r="G667" i="1" s="1"/>
  <c r="H662" i="1"/>
  <c r="H663" i="1" s="1"/>
  <c r="H667" i="1" s="1"/>
  <c r="H657" i="1"/>
  <c r="H658" i="1" s="1"/>
  <c r="H660" i="1" s="1"/>
  <c r="H652" i="1"/>
  <c r="H653" i="1" s="1"/>
  <c r="H655" i="1" s="1"/>
  <c r="H647" i="1"/>
  <c r="H649" i="1" s="1"/>
  <c r="G641" i="1"/>
  <c r="G645" i="1" s="1"/>
  <c r="H640" i="1"/>
  <c r="H645" i="1" s="1"/>
  <c r="G634" i="1"/>
  <c r="G638" i="1" s="1"/>
  <c r="H633" i="1"/>
  <c r="H637" i="1" s="1"/>
  <c r="H627" i="1"/>
  <c r="H630" i="1" s="1"/>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H727" i="1"/>
  <c r="I730" i="1"/>
  <c r="E730" i="1"/>
  <c r="M730" i="1" s="1"/>
  <c r="I729" i="1"/>
  <c r="E729" i="1"/>
  <c r="M729" i="1" s="1"/>
  <c r="I728" i="1"/>
  <c r="E728" i="1"/>
  <c r="O728" i="1" s="1"/>
  <c r="I727" i="1"/>
  <c r="E727" i="1"/>
  <c r="N727" i="1" s="1"/>
  <c r="G724" i="1"/>
  <c r="G723" i="1"/>
  <c r="I721" i="1"/>
  <c r="E721" i="1"/>
  <c r="M721" i="1" s="1"/>
  <c r="I724" i="1"/>
  <c r="E724" i="1"/>
  <c r="P724" i="1" s="1"/>
  <c r="I723" i="1"/>
  <c r="E723" i="1"/>
  <c r="P723" i="1" s="1"/>
  <c r="I722" i="1"/>
  <c r="E722" i="1"/>
  <c r="P722" i="1" s="1"/>
  <c r="I719" i="1"/>
  <c r="E719" i="1"/>
  <c r="P719" i="1" s="1"/>
  <c r="I715" i="1"/>
  <c r="J715" i="1" s="1"/>
  <c r="E715" i="1"/>
  <c r="M715" i="1" s="1"/>
  <c r="M714" i="1" s="1"/>
  <c r="H711" i="1"/>
  <c r="H712" i="1" s="1"/>
  <c r="I712" i="1"/>
  <c r="E712" i="1"/>
  <c r="M712" i="1" s="1"/>
  <c r="I711" i="1"/>
  <c r="E711" i="1"/>
  <c r="M711" i="1" s="1"/>
  <c r="I710" i="1"/>
  <c r="E710" i="1"/>
  <c r="M710" i="1" s="1"/>
  <c r="I707" i="1"/>
  <c r="E707" i="1"/>
  <c r="M707" i="1" s="1"/>
  <c r="I706" i="1"/>
  <c r="E706" i="1"/>
  <c r="P706" i="1" s="1"/>
  <c r="I705" i="1"/>
  <c r="E705" i="1"/>
  <c r="M705" i="1" s="1"/>
  <c r="I704" i="1"/>
  <c r="E704" i="1"/>
  <c r="P704" i="1" s="1"/>
  <c r="I701" i="1"/>
  <c r="E701" i="1"/>
  <c r="M701" i="1" s="1"/>
  <c r="I700" i="1"/>
  <c r="E700" i="1"/>
  <c r="M700" i="1" s="1"/>
  <c r="I699" i="1"/>
  <c r="E699" i="1"/>
  <c r="M699" i="1" s="1"/>
  <c r="I698" i="1"/>
  <c r="E698" i="1"/>
  <c r="M698" i="1" s="1"/>
  <c r="I697" i="1"/>
  <c r="E697" i="1"/>
  <c r="M697" i="1" s="1"/>
  <c r="I696" i="1"/>
  <c r="E696" i="1"/>
  <c r="O696" i="1" s="1"/>
  <c r="I695" i="1"/>
  <c r="E695" i="1"/>
  <c r="M695" i="1" s="1"/>
  <c r="I694" i="1"/>
  <c r="E694" i="1"/>
  <c r="M694" i="1" s="1"/>
  <c r="I693" i="1"/>
  <c r="E693" i="1"/>
  <c r="M693" i="1" s="1"/>
  <c r="I689" i="1"/>
  <c r="E689" i="1"/>
  <c r="P689" i="1" s="1"/>
  <c r="I688" i="1"/>
  <c r="E688" i="1"/>
  <c r="M688" i="1" s="1"/>
  <c r="I687" i="1"/>
  <c r="E687" i="1"/>
  <c r="M687" i="1" s="1"/>
  <c r="I686" i="1"/>
  <c r="E686" i="1"/>
  <c r="P686" i="1" s="1"/>
  <c r="I684" i="1"/>
  <c r="E684" i="1"/>
  <c r="I683" i="1"/>
  <c r="E683" i="1"/>
  <c r="M683" i="1" s="1"/>
  <c r="I682" i="1"/>
  <c r="E682" i="1"/>
  <c r="M682" i="1" s="1"/>
  <c r="I681" i="1"/>
  <c r="E681" i="1"/>
  <c r="M681" i="1" s="1"/>
  <c r="I680" i="1"/>
  <c r="E680" i="1"/>
  <c r="M680" i="1" s="1"/>
  <c r="I677" i="1"/>
  <c r="F677" i="1"/>
  <c r="E677" i="1"/>
  <c r="M677" i="1" s="1"/>
  <c r="M674" i="1" s="1"/>
  <c r="H675" i="1"/>
  <c r="H677" i="1" s="1"/>
  <c r="I672" i="1"/>
  <c r="E672" i="1"/>
  <c r="I671" i="1"/>
  <c r="E671" i="1"/>
  <c r="M671" i="1" s="1"/>
  <c r="I670" i="1"/>
  <c r="E670" i="1"/>
  <c r="M670" i="1" s="1"/>
  <c r="I669" i="1"/>
  <c r="E669" i="1"/>
  <c r="M669" i="1" s="1"/>
  <c r="I667" i="1"/>
  <c r="E667" i="1"/>
  <c r="N667" i="1" s="1"/>
  <c r="I666" i="1"/>
  <c r="E666" i="1"/>
  <c r="N666" i="1" s="1"/>
  <c r="I665" i="1"/>
  <c r="E665" i="1"/>
  <c r="N665" i="1" s="1"/>
  <c r="I664" i="1"/>
  <c r="E664" i="1"/>
  <c r="N664" i="1" s="1"/>
  <c r="I663" i="1"/>
  <c r="E663" i="1"/>
  <c r="N663" i="1" s="1"/>
  <c r="I660" i="1"/>
  <c r="F660" i="1"/>
  <c r="E660" i="1"/>
  <c r="M660" i="1" s="1"/>
  <c r="M657" i="1" s="1"/>
  <c r="F630" i="1"/>
  <c r="H631" i="1"/>
  <c r="I630" i="1"/>
  <c r="E630" i="1"/>
  <c r="M630" i="1" s="1"/>
  <c r="F655" i="1"/>
  <c r="L655" i="1"/>
  <c r="I655" i="1"/>
  <c r="E655" i="1"/>
  <c r="H650" i="1"/>
  <c r="G650" i="1"/>
  <c r="G649" i="1"/>
  <c r="H648" i="1"/>
  <c r="I650" i="1"/>
  <c r="E650" i="1"/>
  <c r="I649" i="1"/>
  <c r="E649" i="1"/>
  <c r="M649" i="1" s="1"/>
  <c r="I648" i="1"/>
  <c r="E648" i="1"/>
  <c r="M648" i="1" s="1"/>
  <c r="I645" i="1"/>
  <c r="E645" i="1"/>
  <c r="M645" i="1" s="1"/>
  <c r="I644" i="1"/>
  <c r="E644" i="1"/>
  <c r="M644" i="1" s="1"/>
  <c r="I643" i="1"/>
  <c r="E643" i="1"/>
  <c r="I642" i="1"/>
  <c r="E642" i="1"/>
  <c r="M642" i="1" s="1"/>
  <c r="I641" i="1"/>
  <c r="E641" i="1"/>
  <c r="P641" i="1" s="1"/>
  <c r="I638" i="1"/>
  <c r="E638" i="1"/>
  <c r="M638" i="1" s="1"/>
  <c r="I637" i="1"/>
  <c r="E637" i="1"/>
  <c r="M637" i="1" s="1"/>
  <c r="I636" i="1"/>
  <c r="H636" i="1"/>
  <c r="E636" i="1"/>
  <c r="P636" i="1" s="1"/>
  <c r="I635" i="1"/>
  <c r="E635" i="1"/>
  <c r="M635" i="1" s="1"/>
  <c r="I634" i="1"/>
  <c r="E634" i="1"/>
  <c r="M634" i="1" s="1"/>
  <c r="E631" i="1"/>
  <c r="M631" i="1" s="1"/>
  <c r="F631" i="1"/>
  <c r="I631" i="1"/>
  <c r="N752" i="1" l="1"/>
  <c r="G689" i="1"/>
  <c r="G705" i="1"/>
  <c r="G706" i="1"/>
  <c r="G688" i="1"/>
  <c r="H704" i="1"/>
  <c r="H705" i="1"/>
  <c r="L705" i="1" s="1"/>
  <c r="K705" i="1" s="1"/>
  <c r="H706" i="1"/>
  <c r="L706" i="1" s="1"/>
  <c r="K706" i="1" s="1"/>
  <c r="H728" i="1"/>
  <c r="H729" i="1" s="1"/>
  <c r="J729" i="1" s="1"/>
  <c r="P729" i="1" s="1"/>
  <c r="H634" i="1"/>
  <c r="H638" i="1"/>
  <c r="L638" i="1" s="1"/>
  <c r="K638" i="1" s="1"/>
  <c r="H635" i="1"/>
  <c r="J14" i="11"/>
  <c r="K13" i="11"/>
  <c r="B16" i="11"/>
  <c r="C15" i="11"/>
  <c r="F14" i="11"/>
  <c r="G13" i="11"/>
  <c r="I13" i="11"/>
  <c r="H14" i="11"/>
  <c r="E13" i="11"/>
  <c r="D14" i="11"/>
  <c r="J752" i="1"/>
  <c r="O744" i="1"/>
  <c r="O743" i="1" s="1"/>
  <c r="O747" i="1"/>
  <c r="O746" i="1" s="1"/>
  <c r="O750" i="1"/>
  <c r="O749" i="1" s="1"/>
  <c r="N757" i="1"/>
  <c r="N756" i="1" s="1"/>
  <c r="J756" i="1"/>
  <c r="P752" i="1"/>
  <c r="M738" i="1"/>
  <c r="M741" i="1"/>
  <c r="Q744" i="1"/>
  <c r="Q743" i="1" s="1"/>
  <c r="Q747" i="1"/>
  <c r="M753" i="1"/>
  <c r="Q754" i="1"/>
  <c r="O752" i="1"/>
  <c r="Q735" i="1"/>
  <c r="Q734" i="1" s="1"/>
  <c r="G696" i="1"/>
  <c r="J710" i="1"/>
  <c r="L710" i="1" s="1"/>
  <c r="G695" i="1"/>
  <c r="J730" i="1"/>
  <c r="H669" i="1"/>
  <c r="H672" i="1" s="1"/>
  <c r="J672" i="1" s="1"/>
  <c r="M672" i="1" s="1"/>
  <c r="H686" i="1"/>
  <c r="H688" i="1" s="1"/>
  <c r="G642" i="1"/>
  <c r="G643" i="1"/>
  <c r="G644" i="1"/>
  <c r="H628" i="1"/>
  <c r="H641" i="1"/>
  <c r="J641" i="1" s="1"/>
  <c r="O641" i="1" s="1"/>
  <c r="H642" i="1"/>
  <c r="H643" i="1"/>
  <c r="H644" i="1"/>
  <c r="J719" i="1"/>
  <c r="N719" i="1" s="1"/>
  <c r="H724" i="1"/>
  <c r="J724" i="1" s="1"/>
  <c r="O724" i="1" s="1"/>
  <c r="H722" i="1"/>
  <c r="J722" i="1" s="1"/>
  <c r="O722" i="1" s="1"/>
  <c r="H723" i="1"/>
  <c r="L723" i="1" s="1"/>
  <c r="K723" i="1" s="1"/>
  <c r="J727" i="1"/>
  <c r="P727" i="1" s="1"/>
  <c r="N730" i="1"/>
  <c r="O730" i="1"/>
  <c r="K730" i="1"/>
  <c r="P730" i="1"/>
  <c r="M727" i="1"/>
  <c r="N728" i="1"/>
  <c r="L721" i="1"/>
  <c r="O727" i="1"/>
  <c r="N729" i="1"/>
  <c r="M728" i="1"/>
  <c r="O729" i="1"/>
  <c r="K729" i="1"/>
  <c r="P721" i="1"/>
  <c r="P717" i="1" s="1"/>
  <c r="J721" i="1"/>
  <c r="O721" i="1" s="1"/>
  <c r="N721" i="1"/>
  <c r="M719" i="1"/>
  <c r="M722" i="1"/>
  <c r="M724" i="1"/>
  <c r="N722" i="1"/>
  <c r="N723" i="1"/>
  <c r="N724" i="1"/>
  <c r="O719" i="1"/>
  <c r="O723" i="1"/>
  <c r="L719" i="1"/>
  <c r="K719" i="1" s="1"/>
  <c r="L715" i="1"/>
  <c r="K715" i="1" s="1"/>
  <c r="J714" i="1"/>
  <c r="N715" i="1"/>
  <c r="O715" i="1"/>
  <c r="O714" i="1" s="1"/>
  <c r="P715" i="1"/>
  <c r="P714" i="1" s="1"/>
  <c r="M709" i="1"/>
  <c r="J712" i="1"/>
  <c r="N712" i="1"/>
  <c r="O712" i="1"/>
  <c r="K712" i="1"/>
  <c r="P712" i="1"/>
  <c r="J711" i="1"/>
  <c r="N711" i="1"/>
  <c r="O711" i="1"/>
  <c r="M704" i="1"/>
  <c r="N710" i="1"/>
  <c r="O710" i="1"/>
  <c r="P705" i="1"/>
  <c r="L707" i="1"/>
  <c r="K707" i="1" s="1"/>
  <c r="J630" i="1"/>
  <c r="P630" i="1" s="1"/>
  <c r="J680" i="1"/>
  <c r="O680" i="1" s="1"/>
  <c r="M686" i="1"/>
  <c r="H697" i="1"/>
  <c r="J697" i="1" s="1"/>
  <c r="P707" i="1"/>
  <c r="N704" i="1"/>
  <c r="L704" i="1"/>
  <c r="J704" i="1"/>
  <c r="O704" i="1" s="1"/>
  <c r="N705" i="1"/>
  <c r="N706" i="1"/>
  <c r="J707" i="1"/>
  <c r="N707" i="1"/>
  <c r="O706" i="1"/>
  <c r="H698" i="1"/>
  <c r="N701" i="1"/>
  <c r="O701" i="1"/>
  <c r="K701" i="1"/>
  <c r="N700" i="1"/>
  <c r="O700" i="1"/>
  <c r="K700" i="1"/>
  <c r="N699" i="1"/>
  <c r="O699" i="1"/>
  <c r="N698" i="1"/>
  <c r="O698" i="1"/>
  <c r="N697" i="1"/>
  <c r="O697" i="1"/>
  <c r="N686" i="1"/>
  <c r="H696" i="1"/>
  <c r="H695" i="1"/>
  <c r="H694" i="1"/>
  <c r="J694" i="1" s="1"/>
  <c r="O694" i="1" s="1"/>
  <c r="J693" i="1"/>
  <c r="N693" i="1"/>
  <c r="N694" i="1"/>
  <c r="N695" i="1"/>
  <c r="N696" i="1"/>
  <c r="P687" i="1"/>
  <c r="P688" i="1"/>
  <c r="L693" i="1"/>
  <c r="P693" i="1"/>
  <c r="P694" i="1"/>
  <c r="P695" i="1"/>
  <c r="P696" i="1"/>
  <c r="O693" i="1"/>
  <c r="J684" i="1"/>
  <c r="M684" i="1" s="1"/>
  <c r="N680" i="1"/>
  <c r="N681" i="1"/>
  <c r="N682" i="1"/>
  <c r="N683" i="1"/>
  <c r="N684" i="1"/>
  <c r="N687" i="1"/>
  <c r="N688" i="1"/>
  <c r="N689" i="1"/>
  <c r="G681" i="1"/>
  <c r="G682" i="1"/>
  <c r="G683" i="1"/>
  <c r="O684" i="1"/>
  <c r="O689" i="1"/>
  <c r="O677" i="1"/>
  <c r="O674" i="1" s="1"/>
  <c r="L680" i="1"/>
  <c r="P680" i="1"/>
  <c r="H681" i="1"/>
  <c r="J681" i="1" s="1"/>
  <c r="O681" i="1" s="1"/>
  <c r="P681" i="1"/>
  <c r="H682" i="1"/>
  <c r="P682" i="1"/>
  <c r="H683" i="1"/>
  <c r="P683" i="1"/>
  <c r="L684" i="1"/>
  <c r="K684" i="1" s="1"/>
  <c r="P684" i="1"/>
  <c r="J677" i="1"/>
  <c r="J674" i="1" s="1"/>
  <c r="N677" i="1"/>
  <c r="J648" i="1"/>
  <c r="O648" i="1" s="1"/>
  <c r="J667" i="1"/>
  <c r="M667" i="1" s="1"/>
  <c r="J663" i="1"/>
  <c r="M627" i="1"/>
  <c r="G664" i="1"/>
  <c r="G665" i="1"/>
  <c r="G666" i="1"/>
  <c r="O667" i="1"/>
  <c r="N669" i="1"/>
  <c r="N670" i="1"/>
  <c r="N671" i="1"/>
  <c r="N672" i="1"/>
  <c r="L663" i="1"/>
  <c r="P663" i="1"/>
  <c r="H664" i="1"/>
  <c r="P664" i="1"/>
  <c r="H665" i="1"/>
  <c r="P665" i="1"/>
  <c r="H666" i="1"/>
  <c r="J666" i="1" s="1"/>
  <c r="O666" i="1" s="1"/>
  <c r="P666" i="1"/>
  <c r="L667" i="1"/>
  <c r="P667" i="1"/>
  <c r="G670" i="1"/>
  <c r="G671" i="1"/>
  <c r="O672" i="1"/>
  <c r="M663" i="1"/>
  <c r="M664" i="1"/>
  <c r="M665" i="1"/>
  <c r="M666" i="1"/>
  <c r="P669" i="1"/>
  <c r="P670" i="1"/>
  <c r="P671" i="1"/>
  <c r="P672" i="1"/>
  <c r="J660" i="1"/>
  <c r="N660" i="1"/>
  <c r="N657" i="1" s="1"/>
  <c r="O660" i="1"/>
  <c r="O657" i="1" s="1"/>
  <c r="N630" i="1"/>
  <c r="O630" i="1"/>
  <c r="M655" i="1"/>
  <c r="M652" i="1" s="1"/>
  <c r="J655" i="1"/>
  <c r="J652" i="1" s="1"/>
  <c r="J649" i="1"/>
  <c r="O649" i="1" s="1"/>
  <c r="N655" i="1"/>
  <c r="K655" i="1"/>
  <c r="O655" i="1"/>
  <c r="O652" i="1" s="1"/>
  <c r="J650" i="1"/>
  <c r="N648" i="1"/>
  <c r="N649" i="1"/>
  <c r="N650" i="1"/>
  <c r="O650" i="1"/>
  <c r="M641" i="1"/>
  <c r="L648" i="1"/>
  <c r="P648" i="1"/>
  <c r="L649" i="1"/>
  <c r="K649" i="1" s="1"/>
  <c r="P649" i="1"/>
  <c r="L650" i="1"/>
  <c r="K650" i="1" s="1"/>
  <c r="P650" i="1"/>
  <c r="N641" i="1"/>
  <c r="J645" i="1"/>
  <c r="O645" i="1" s="1"/>
  <c r="N642" i="1"/>
  <c r="N643" i="1"/>
  <c r="N644" i="1"/>
  <c r="N645" i="1"/>
  <c r="O643" i="1"/>
  <c r="P642" i="1"/>
  <c r="P643" i="1"/>
  <c r="P644" i="1"/>
  <c r="L645" i="1"/>
  <c r="K645" i="1" s="1"/>
  <c r="P645" i="1"/>
  <c r="P638" i="1"/>
  <c r="P635" i="1"/>
  <c r="P637" i="1"/>
  <c r="J634" i="1"/>
  <c r="P634" i="1"/>
  <c r="J638" i="1"/>
  <c r="O638" i="1" s="1"/>
  <c r="N635" i="1"/>
  <c r="N636" i="1"/>
  <c r="N637" i="1"/>
  <c r="N638" i="1"/>
  <c r="L634" i="1"/>
  <c r="N634" i="1"/>
  <c r="G635" i="1"/>
  <c r="G636" i="1"/>
  <c r="L636" i="1" s="1"/>
  <c r="K636" i="1" s="1"/>
  <c r="O636" i="1"/>
  <c r="G637" i="1"/>
  <c r="L637" i="1" s="1"/>
  <c r="K637" i="1" s="1"/>
  <c r="J631" i="1"/>
  <c r="P631" i="1" s="1"/>
  <c r="O631" i="1"/>
  <c r="N631" i="1"/>
  <c r="B73" i="2"/>
  <c r="B88" i="2"/>
  <c r="H442" i="1"/>
  <c r="H456" i="1" s="1"/>
  <c r="H460" i="1" s="1"/>
  <c r="H437" i="1"/>
  <c r="H438" i="1" s="1"/>
  <c r="H440" i="1" s="1"/>
  <c r="H432" i="1"/>
  <c r="H433" i="1" s="1"/>
  <c r="G428" i="1"/>
  <c r="G429" i="1" s="1"/>
  <c r="H427" i="1"/>
  <c r="H429" i="1" s="1"/>
  <c r="H422" i="1"/>
  <c r="G419" i="1"/>
  <c r="H418" i="1"/>
  <c r="H419" i="1" s="1"/>
  <c r="G414" i="1"/>
  <c r="G416" i="1" s="1"/>
  <c r="H409" i="1"/>
  <c r="H412" i="1" s="1"/>
  <c r="G405" i="1"/>
  <c r="G407" i="1" s="1"/>
  <c r="H400" i="1"/>
  <c r="H403" i="1" s="1"/>
  <c r="G396" i="1"/>
  <c r="G397" i="1" s="1"/>
  <c r="H391" i="1"/>
  <c r="H396" i="1" s="1"/>
  <c r="G387" i="1"/>
  <c r="G389" i="1" s="1"/>
  <c r="H382" i="1"/>
  <c r="H387" i="1" s="1"/>
  <c r="G378" i="1"/>
  <c r="G380" i="1" s="1"/>
  <c r="G373" i="1"/>
  <c r="G375" i="1" s="1"/>
  <c r="G368" i="1"/>
  <c r="G369" i="1" s="1"/>
  <c r="H367" i="1"/>
  <c r="H369" i="1" s="1"/>
  <c r="G363" i="1"/>
  <c r="G365" i="1" s="1"/>
  <c r="H362" i="1"/>
  <c r="H358" i="1"/>
  <c r="H359" i="1" s="1"/>
  <c r="H355" i="1"/>
  <c r="H356" i="1" s="1"/>
  <c r="H352" i="1"/>
  <c r="H353" i="1" s="1"/>
  <c r="H349" i="1"/>
  <c r="G342" i="1"/>
  <c r="G346" i="1" s="1"/>
  <c r="H328" i="1"/>
  <c r="H329" i="1" s="1"/>
  <c r="H323" i="1"/>
  <c r="H324" i="1" s="1"/>
  <c r="H326" i="1" s="1"/>
  <c r="G317" i="1"/>
  <c r="G318" i="1" s="1"/>
  <c r="H316" i="1"/>
  <c r="H317" i="1" s="1"/>
  <c r="H312" i="1"/>
  <c r="H314" i="1" s="1"/>
  <c r="H305" i="1"/>
  <c r="H306" i="1" s="1"/>
  <c r="H308" i="1" s="1"/>
  <c r="G297" i="1"/>
  <c r="G302" i="1" s="1"/>
  <c r="H296" i="1"/>
  <c r="H297" i="1" s="1"/>
  <c r="H302" i="1" s="1"/>
  <c r="H291" i="1"/>
  <c r="H292" i="1" s="1"/>
  <c r="B4" i="2"/>
  <c r="B7" i="2"/>
  <c r="H623" i="1"/>
  <c r="H624" i="1" s="1"/>
  <c r="H620" i="1"/>
  <c r="H621" i="1" s="1"/>
  <c r="L621" i="1" s="1"/>
  <c r="L620" i="1" s="1"/>
  <c r="H617" i="1"/>
  <c r="H613" i="1"/>
  <c r="H610" i="1"/>
  <c r="H594" i="1"/>
  <c r="H608" i="1" s="1"/>
  <c r="H578" i="1"/>
  <c r="H562" i="1"/>
  <c r="H546" i="1"/>
  <c r="H543" i="1"/>
  <c r="H544" i="1" s="1"/>
  <c r="H540" i="1"/>
  <c r="H537" i="1"/>
  <c r="H534" i="1"/>
  <c r="H529" i="1"/>
  <c r="H530" i="1" s="1"/>
  <c r="G524" i="1"/>
  <c r="G525" i="1" s="1"/>
  <c r="H523" i="1"/>
  <c r="G518" i="1"/>
  <c r="G521" i="1" s="1"/>
  <c r="H504" i="1"/>
  <c r="H518" i="1" s="1"/>
  <c r="H522" i="1" s="1"/>
  <c r="H499" i="1"/>
  <c r="H500" i="1" s="1"/>
  <c r="H502" i="1" s="1"/>
  <c r="G493" i="1"/>
  <c r="G496" i="1" s="1"/>
  <c r="H492" i="1"/>
  <c r="G487" i="1"/>
  <c r="G489" i="1" s="1"/>
  <c r="H473" i="1"/>
  <c r="H474" i="1" s="1"/>
  <c r="H468" i="1"/>
  <c r="H469" i="1" s="1"/>
  <c r="H471" i="1" s="1"/>
  <c r="G462" i="1"/>
  <c r="G464" i="1" s="1"/>
  <c r="H461" i="1"/>
  <c r="G456" i="1"/>
  <c r="G460" i="1" s="1"/>
  <c r="G284" i="1"/>
  <c r="G287" i="1" s="1"/>
  <c r="H282" i="1"/>
  <c r="H284" i="1" s="1"/>
  <c r="G277" i="1"/>
  <c r="G278" i="1" s="1"/>
  <c r="H275" i="1"/>
  <c r="H280" i="1" s="1"/>
  <c r="G270" i="1"/>
  <c r="G274" i="1" s="1"/>
  <c r="H268" i="1"/>
  <c r="H271" i="1" s="1"/>
  <c r="G263" i="1"/>
  <c r="G267" i="1" s="1"/>
  <c r="H261" i="1"/>
  <c r="H264" i="1" s="1"/>
  <c r="G256" i="1"/>
  <c r="G259" i="1" s="1"/>
  <c r="H254" i="1"/>
  <c r="H259" i="1" s="1"/>
  <c r="G249" i="1"/>
  <c r="G253" i="1" s="1"/>
  <c r="H247" i="1"/>
  <c r="H250" i="1" s="1"/>
  <c r="G242" i="1"/>
  <c r="G246" i="1" s="1"/>
  <c r="H240" i="1"/>
  <c r="H243" i="1" s="1"/>
  <c r="G235" i="1"/>
  <c r="G238" i="1" s="1"/>
  <c r="H233" i="1"/>
  <c r="H238" i="1" s="1"/>
  <c r="G228" i="1"/>
  <c r="G231" i="1" s="1"/>
  <c r="H226" i="1"/>
  <c r="H231" i="1" s="1"/>
  <c r="G221" i="1"/>
  <c r="G224" i="1" s="1"/>
  <c r="H219" i="1"/>
  <c r="H224" i="1" s="1"/>
  <c r="G214" i="1"/>
  <c r="G217" i="1" s="1"/>
  <c r="H212" i="1"/>
  <c r="H216" i="1" s="1"/>
  <c r="G207" i="1"/>
  <c r="G208" i="1" s="1"/>
  <c r="H205" i="1"/>
  <c r="H210" i="1" s="1"/>
  <c r="G200" i="1"/>
  <c r="G202" i="1" s="1"/>
  <c r="H198" i="1"/>
  <c r="H204" i="1" s="1"/>
  <c r="G189" i="1"/>
  <c r="G193" i="1" s="1"/>
  <c r="H188" i="1"/>
  <c r="H191" i="1" s="1"/>
  <c r="H184" i="1"/>
  <c r="H186" i="1" s="1"/>
  <c r="H177" i="1"/>
  <c r="H178" i="1" s="1"/>
  <c r="H171" i="1"/>
  <c r="H172" i="1" s="1"/>
  <c r="H165" i="1"/>
  <c r="H167" i="1" s="1"/>
  <c r="H159" i="1"/>
  <c r="H161" i="1" s="1"/>
  <c r="G151" i="1"/>
  <c r="G153" i="1" s="1"/>
  <c r="H149" i="1"/>
  <c r="G144" i="1"/>
  <c r="G148" i="1" s="1"/>
  <c r="H142" i="1"/>
  <c r="H148" i="1" s="1"/>
  <c r="G137" i="1"/>
  <c r="G141" i="1" s="1"/>
  <c r="H135" i="1"/>
  <c r="H138" i="1" s="1"/>
  <c r="G130" i="1"/>
  <c r="G133" i="1" s="1"/>
  <c r="G134" i="1" s="1"/>
  <c r="H128" i="1"/>
  <c r="G123" i="1"/>
  <c r="G127" i="1" s="1"/>
  <c r="H121" i="1"/>
  <c r="H127" i="1" s="1"/>
  <c r="G116" i="1"/>
  <c r="G119" i="1" s="1"/>
  <c r="G120" i="1" s="1"/>
  <c r="H114" i="1"/>
  <c r="H116" i="1" s="1"/>
  <c r="H118" i="1" s="1"/>
  <c r="G109" i="1"/>
  <c r="G113" i="1" s="1"/>
  <c r="H107" i="1"/>
  <c r="H112" i="1" s="1"/>
  <c r="G102" i="1"/>
  <c r="G106" i="1" s="1"/>
  <c r="H100" i="1"/>
  <c r="H104" i="1" s="1"/>
  <c r="G95" i="1"/>
  <c r="G99" i="1" s="1"/>
  <c r="H93" i="1"/>
  <c r="H99" i="1" s="1"/>
  <c r="G88" i="1"/>
  <c r="G92" i="1" s="1"/>
  <c r="H86" i="1"/>
  <c r="H92" i="1" s="1"/>
  <c r="G81" i="1"/>
  <c r="G85" i="1" s="1"/>
  <c r="H79" i="1"/>
  <c r="H82" i="1" s="1"/>
  <c r="G74" i="1"/>
  <c r="G78" i="1" s="1"/>
  <c r="H72" i="1"/>
  <c r="H76" i="1" s="1"/>
  <c r="G67" i="1"/>
  <c r="G68" i="1" s="1"/>
  <c r="G69" i="1" s="1"/>
  <c r="H65" i="1"/>
  <c r="H68" i="1" s="1"/>
  <c r="G60" i="1"/>
  <c r="H58" i="1"/>
  <c r="H56" i="1"/>
  <c r="H52" i="1"/>
  <c r="H53" i="1" s="1"/>
  <c r="H42" i="1"/>
  <c r="H43" i="1" s="1"/>
  <c r="L43" i="1" s="1"/>
  <c r="H27" i="1"/>
  <c r="H28" i="1" s="1"/>
  <c r="H5" i="1"/>
  <c r="H15" i="1" s="1"/>
  <c r="K15" i="1" s="1"/>
  <c r="B2" i="2"/>
  <c r="B3" i="2"/>
  <c r="B5" i="2"/>
  <c r="B6"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4" i="2"/>
  <c r="B75" i="2"/>
  <c r="B76" i="2"/>
  <c r="B77" i="2"/>
  <c r="B78" i="2"/>
  <c r="B79" i="2"/>
  <c r="B80" i="2"/>
  <c r="B81" i="2"/>
  <c r="B82" i="2"/>
  <c r="B83" i="2"/>
  <c r="B84" i="2"/>
  <c r="B85" i="2"/>
  <c r="B86" i="2"/>
  <c r="B87" i="2"/>
  <c r="B89" i="2"/>
  <c r="B90" i="2"/>
  <c r="B91" i="2"/>
  <c r="B92" i="2"/>
  <c r="B93" i="2"/>
  <c r="B94" i="2"/>
  <c r="B95" i="2"/>
  <c r="B96" i="2"/>
  <c r="B97" i="2"/>
  <c r="B98" i="2"/>
  <c r="B99" i="2"/>
  <c r="B100" i="2"/>
  <c r="B101" i="2"/>
  <c r="B102" i="2"/>
  <c r="B103" i="2"/>
  <c r="B104" i="2"/>
  <c r="B105" i="2"/>
  <c r="B106" i="2"/>
  <c r="B108" i="2"/>
  <c r="B109" i="2"/>
  <c r="B110" i="2"/>
  <c r="B111" i="2"/>
  <c r="B113" i="2"/>
  <c r="B114" i="2"/>
  <c r="B115" i="2"/>
  <c r="B116" i="2"/>
  <c r="B118" i="2"/>
  <c r="B119" i="2"/>
  <c r="B120" i="2"/>
  <c r="B121" i="2"/>
  <c r="B122" i="2"/>
  <c r="B123" i="2"/>
  <c r="B124" i="2"/>
  <c r="B125" i="2"/>
  <c r="B126" i="2"/>
  <c r="B127" i="2"/>
  <c r="B128" i="2"/>
  <c r="B129" i="2"/>
  <c r="B130" i="2"/>
  <c r="B131" i="2"/>
  <c r="B132" i="2"/>
  <c r="H19" i="1"/>
  <c r="H21" i="1" s="1"/>
  <c r="G406" i="1"/>
  <c r="H388" i="1"/>
  <c r="H380" i="1"/>
  <c r="H379" i="1"/>
  <c r="H378" i="1"/>
  <c r="H375" i="1"/>
  <c r="H374" i="1"/>
  <c r="H373" i="1"/>
  <c r="I624" i="1"/>
  <c r="I621" i="1"/>
  <c r="I618" i="1"/>
  <c r="I614" i="1"/>
  <c r="I611" i="1"/>
  <c r="I608" i="1"/>
  <c r="I592" i="1"/>
  <c r="I576" i="1"/>
  <c r="I560" i="1"/>
  <c r="I544" i="1"/>
  <c r="I541" i="1"/>
  <c r="I538" i="1"/>
  <c r="I535" i="1"/>
  <c r="I530" i="1"/>
  <c r="I527" i="1"/>
  <c r="I526" i="1"/>
  <c r="I525" i="1"/>
  <c r="I524" i="1"/>
  <c r="I522" i="1"/>
  <c r="I521" i="1"/>
  <c r="I520" i="1"/>
  <c r="I519" i="1"/>
  <c r="I518" i="1"/>
  <c r="I502" i="1"/>
  <c r="I496" i="1"/>
  <c r="I495" i="1"/>
  <c r="I494" i="1"/>
  <c r="I493" i="1"/>
  <c r="I491" i="1"/>
  <c r="I490" i="1"/>
  <c r="I489" i="1"/>
  <c r="I488" i="1"/>
  <c r="I487" i="1"/>
  <c r="I471" i="1"/>
  <c r="I465" i="1"/>
  <c r="I464" i="1"/>
  <c r="I463" i="1"/>
  <c r="I462" i="1"/>
  <c r="I460" i="1"/>
  <c r="I459" i="1"/>
  <c r="I458" i="1"/>
  <c r="I457" i="1"/>
  <c r="I456" i="1"/>
  <c r="I440" i="1"/>
  <c r="I433" i="1"/>
  <c r="I429" i="1"/>
  <c r="I428" i="1"/>
  <c r="I425" i="1"/>
  <c r="I419" i="1"/>
  <c r="I416" i="1"/>
  <c r="I415" i="1"/>
  <c r="I414" i="1"/>
  <c r="I412" i="1"/>
  <c r="I411" i="1"/>
  <c r="I407" i="1"/>
  <c r="I406" i="1"/>
  <c r="I405" i="1"/>
  <c r="I403" i="1"/>
  <c r="I402" i="1"/>
  <c r="I398" i="1"/>
  <c r="I397" i="1"/>
  <c r="I396" i="1"/>
  <c r="I394" i="1"/>
  <c r="I393" i="1"/>
  <c r="I389" i="1"/>
  <c r="I388" i="1"/>
  <c r="I387" i="1"/>
  <c r="I385" i="1"/>
  <c r="I384" i="1"/>
  <c r="I380" i="1"/>
  <c r="I379" i="1"/>
  <c r="I378" i="1"/>
  <c r="I375" i="1"/>
  <c r="I374" i="1"/>
  <c r="I373" i="1"/>
  <c r="I370" i="1"/>
  <c r="I369" i="1"/>
  <c r="I368" i="1"/>
  <c r="I365" i="1"/>
  <c r="I364" i="1"/>
  <c r="I363" i="1"/>
  <c r="I359" i="1"/>
  <c r="I356" i="1"/>
  <c r="I353" i="1"/>
  <c r="I350" i="1"/>
  <c r="I347" i="1"/>
  <c r="I346" i="1"/>
  <c r="I345" i="1"/>
  <c r="I344" i="1"/>
  <c r="I343" i="1"/>
  <c r="I342" i="1"/>
  <c r="I326" i="1"/>
  <c r="I320" i="1"/>
  <c r="I319" i="1"/>
  <c r="I318" i="1"/>
  <c r="I317" i="1"/>
  <c r="I314" i="1"/>
  <c r="I313" i="1"/>
  <c r="I312" i="1"/>
  <c r="I308" i="1"/>
  <c r="I302" i="1"/>
  <c r="I301" i="1"/>
  <c r="I300" i="1"/>
  <c r="I299" i="1"/>
  <c r="I298" i="1"/>
  <c r="I297" i="1"/>
  <c r="I294" i="1"/>
  <c r="I288" i="1"/>
  <c r="I287" i="1"/>
  <c r="I286" i="1"/>
  <c r="I285" i="1"/>
  <c r="I284" i="1"/>
  <c r="I281" i="1"/>
  <c r="I280" i="1"/>
  <c r="I279" i="1"/>
  <c r="I278" i="1"/>
  <c r="I277" i="1"/>
  <c r="I274" i="1"/>
  <c r="I273" i="1"/>
  <c r="I272" i="1"/>
  <c r="I271" i="1"/>
  <c r="I270" i="1"/>
  <c r="I267" i="1"/>
  <c r="I266" i="1"/>
  <c r="I265" i="1"/>
  <c r="I264" i="1"/>
  <c r="I263" i="1"/>
  <c r="I260" i="1"/>
  <c r="I259" i="1"/>
  <c r="I258" i="1"/>
  <c r="I257" i="1"/>
  <c r="I256" i="1"/>
  <c r="I253" i="1"/>
  <c r="I252" i="1"/>
  <c r="I251" i="1"/>
  <c r="I250" i="1"/>
  <c r="I249" i="1"/>
  <c r="I246" i="1"/>
  <c r="I245" i="1"/>
  <c r="I244" i="1"/>
  <c r="I243" i="1"/>
  <c r="I242" i="1"/>
  <c r="I239" i="1"/>
  <c r="I238" i="1"/>
  <c r="I237" i="1"/>
  <c r="I236" i="1"/>
  <c r="I235" i="1"/>
  <c r="I232" i="1"/>
  <c r="I231" i="1"/>
  <c r="I230" i="1"/>
  <c r="I229" i="1"/>
  <c r="I228" i="1"/>
  <c r="I225" i="1"/>
  <c r="I224" i="1"/>
  <c r="I223" i="1"/>
  <c r="I222" i="1"/>
  <c r="I221" i="1"/>
  <c r="I218" i="1"/>
  <c r="I217" i="1"/>
  <c r="I216" i="1"/>
  <c r="I215" i="1"/>
  <c r="I214" i="1"/>
  <c r="I211" i="1"/>
  <c r="I210" i="1"/>
  <c r="I209" i="1"/>
  <c r="I208" i="1"/>
  <c r="I207" i="1"/>
  <c r="I204" i="1"/>
  <c r="I203" i="1"/>
  <c r="I202" i="1"/>
  <c r="I201" i="1"/>
  <c r="I200" i="1"/>
  <c r="I193" i="1"/>
  <c r="I192" i="1"/>
  <c r="I191" i="1"/>
  <c r="I190" i="1"/>
  <c r="I189" i="1"/>
  <c r="I186" i="1"/>
  <c r="I185" i="1"/>
  <c r="I184" i="1"/>
  <c r="I180" i="1"/>
  <c r="I179" i="1"/>
  <c r="I178" i="1"/>
  <c r="I177" i="1"/>
  <c r="I173" i="1"/>
  <c r="I172" i="1"/>
  <c r="I171" i="1"/>
  <c r="I167" i="1"/>
  <c r="I166" i="1"/>
  <c r="I165" i="1"/>
  <c r="I161" i="1"/>
  <c r="I160" i="1"/>
  <c r="I159" i="1"/>
  <c r="I155" i="1"/>
  <c r="I154" i="1"/>
  <c r="I153" i="1"/>
  <c r="I152" i="1"/>
  <c r="I151" i="1"/>
  <c r="I148" i="1"/>
  <c r="I147" i="1"/>
  <c r="I146" i="1"/>
  <c r="I145" i="1"/>
  <c r="I144" i="1"/>
  <c r="I141" i="1"/>
  <c r="I140" i="1"/>
  <c r="I139" i="1"/>
  <c r="I138" i="1"/>
  <c r="I137" i="1"/>
  <c r="I134" i="1"/>
  <c r="I133" i="1"/>
  <c r="I132" i="1"/>
  <c r="I131" i="1"/>
  <c r="I130" i="1"/>
  <c r="I127" i="1"/>
  <c r="I126" i="1"/>
  <c r="I125" i="1"/>
  <c r="I124" i="1"/>
  <c r="I123" i="1"/>
  <c r="I120" i="1"/>
  <c r="I119" i="1"/>
  <c r="I118" i="1"/>
  <c r="I117" i="1"/>
  <c r="I116" i="1"/>
  <c r="I113" i="1"/>
  <c r="I112" i="1"/>
  <c r="I111" i="1"/>
  <c r="I110" i="1"/>
  <c r="I109" i="1"/>
  <c r="I106" i="1"/>
  <c r="I105" i="1"/>
  <c r="I104" i="1"/>
  <c r="I103" i="1"/>
  <c r="I102" i="1"/>
  <c r="I99" i="1"/>
  <c r="I98" i="1"/>
  <c r="I97" i="1"/>
  <c r="I96" i="1"/>
  <c r="I95" i="1"/>
  <c r="I92" i="1"/>
  <c r="I91" i="1"/>
  <c r="I90" i="1"/>
  <c r="I89" i="1"/>
  <c r="I88" i="1"/>
  <c r="I85" i="1"/>
  <c r="I84" i="1"/>
  <c r="I83" i="1"/>
  <c r="I82" i="1"/>
  <c r="I81" i="1"/>
  <c r="I78" i="1"/>
  <c r="I77" i="1"/>
  <c r="I76" i="1"/>
  <c r="I75" i="1"/>
  <c r="I74" i="1"/>
  <c r="I71" i="1"/>
  <c r="I70" i="1"/>
  <c r="I69" i="1"/>
  <c r="I68" i="1"/>
  <c r="I67" i="1"/>
  <c r="I60" i="1"/>
  <c r="I53" i="1"/>
  <c r="I50" i="1"/>
  <c r="J50" i="1" s="1"/>
  <c r="J49" i="1" s="1"/>
  <c r="I47" i="1"/>
  <c r="J47" i="1" s="1"/>
  <c r="J46" i="1" s="1"/>
  <c r="I44" i="1"/>
  <c r="I43" i="1"/>
  <c r="I39" i="1"/>
  <c r="J39" i="1" s="1"/>
  <c r="J38" i="1" s="1"/>
  <c r="I36" i="1"/>
  <c r="J36" i="1" s="1"/>
  <c r="I35" i="1"/>
  <c r="J35" i="1" s="1"/>
  <c r="I34" i="1"/>
  <c r="J34" i="1" s="1"/>
  <c r="I31" i="1"/>
  <c r="J31" i="1" s="1"/>
  <c r="I28" i="1"/>
  <c r="I25" i="1"/>
  <c r="J25" i="1" s="1"/>
  <c r="I23" i="1"/>
  <c r="I22" i="1"/>
  <c r="I21" i="1"/>
  <c r="I20" i="1"/>
  <c r="I19" i="1"/>
  <c r="I17" i="1"/>
  <c r="I16" i="1"/>
  <c r="I15" i="1"/>
  <c r="I14" i="1"/>
  <c r="I8" i="1"/>
  <c r="I9" i="1"/>
  <c r="I10" i="1"/>
  <c r="I11" i="1"/>
  <c r="I12" i="1"/>
  <c r="I7" i="1"/>
  <c r="E624" i="1"/>
  <c r="E621" i="1"/>
  <c r="E618" i="1"/>
  <c r="E614" i="1"/>
  <c r="E611" i="1"/>
  <c r="E608" i="1"/>
  <c r="E592" i="1"/>
  <c r="E576" i="1"/>
  <c r="E560" i="1"/>
  <c r="E544" i="1"/>
  <c r="E541" i="1"/>
  <c r="E538" i="1"/>
  <c r="E535" i="1"/>
  <c r="E530" i="1"/>
  <c r="E527" i="1"/>
  <c r="E526" i="1"/>
  <c r="E525" i="1"/>
  <c r="E524" i="1"/>
  <c r="E522" i="1"/>
  <c r="E521" i="1"/>
  <c r="E520" i="1"/>
  <c r="E519" i="1"/>
  <c r="E518" i="1"/>
  <c r="E502" i="1"/>
  <c r="E496" i="1"/>
  <c r="E495" i="1"/>
  <c r="E494" i="1"/>
  <c r="E493" i="1"/>
  <c r="E491" i="1"/>
  <c r="E490" i="1"/>
  <c r="E489" i="1"/>
  <c r="E488" i="1"/>
  <c r="E487" i="1"/>
  <c r="E471" i="1"/>
  <c r="E465" i="1"/>
  <c r="E464" i="1"/>
  <c r="E463" i="1"/>
  <c r="E462" i="1"/>
  <c r="E460" i="1"/>
  <c r="E459" i="1"/>
  <c r="E458" i="1"/>
  <c r="E457" i="1"/>
  <c r="E456" i="1"/>
  <c r="E440" i="1"/>
  <c r="E433" i="1"/>
  <c r="E429" i="1"/>
  <c r="E428" i="1"/>
  <c r="E425" i="1"/>
  <c r="E419" i="1"/>
  <c r="E416" i="1"/>
  <c r="E415" i="1"/>
  <c r="E414" i="1"/>
  <c r="E412" i="1"/>
  <c r="E411" i="1"/>
  <c r="E407" i="1"/>
  <c r="E406" i="1"/>
  <c r="E405" i="1"/>
  <c r="E403" i="1"/>
  <c r="E402" i="1"/>
  <c r="E398" i="1"/>
  <c r="E397" i="1"/>
  <c r="E396" i="1"/>
  <c r="E394" i="1"/>
  <c r="E393" i="1"/>
  <c r="E389" i="1"/>
  <c r="E388" i="1"/>
  <c r="E387" i="1"/>
  <c r="E385" i="1"/>
  <c r="E384" i="1"/>
  <c r="E380" i="1"/>
  <c r="E379" i="1"/>
  <c r="E378" i="1"/>
  <c r="E375" i="1"/>
  <c r="E374" i="1"/>
  <c r="E373" i="1"/>
  <c r="E370" i="1"/>
  <c r="E369" i="1"/>
  <c r="E368" i="1"/>
  <c r="E365" i="1"/>
  <c r="E364" i="1"/>
  <c r="E363" i="1"/>
  <c r="E359" i="1"/>
  <c r="E356" i="1"/>
  <c r="E353" i="1"/>
  <c r="E350" i="1"/>
  <c r="E347" i="1"/>
  <c r="E346" i="1"/>
  <c r="E345" i="1"/>
  <c r="E344" i="1"/>
  <c r="E343" i="1"/>
  <c r="E342" i="1"/>
  <c r="E326" i="1"/>
  <c r="E320" i="1"/>
  <c r="E319" i="1"/>
  <c r="E318" i="1"/>
  <c r="E317" i="1"/>
  <c r="E314" i="1"/>
  <c r="E313" i="1"/>
  <c r="E312" i="1"/>
  <c r="E308" i="1"/>
  <c r="E302" i="1"/>
  <c r="E301" i="1"/>
  <c r="E300" i="1"/>
  <c r="E299" i="1"/>
  <c r="E298" i="1"/>
  <c r="E297" i="1"/>
  <c r="E294" i="1"/>
  <c r="E288" i="1"/>
  <c r="E287" i="1"/>
  <c r="E286" i="1"/>
  <c r="E285" i="1"/>
  <c r="E284" i="1"/>
  <c r="E281" i="1"/>
  <c r="E280" i="1"/>
  <c r="E279" i="1"/>
  <c r="E278" i="1"/>
  <c r="E277" i="1"/>
  <c r="E274" i="1"/>
  <c r="E273" i="1"/>
  <c r="E272" i="1"/>
  <c r="E271" i="1"/>
  <c r="E270" i="1"/>
  <c r="E267" i="1"/>
  <c r="E266" i="1"/>
  <c r="E265" i="1"/>
  <c r="E264" i="1"/>
  <c r="E263" i="1"/>
  <c r="E260" i="1"/>
  <c r="E259" i="1"/>
  <c r="E258" i="1"/>
  <c r="E257" i="1"/>
  <c r="E256" i="1"/>
  <c r="E253" i="1"/>
  <c r="E252" i="1"/>
  <c r="E251" i="1"/>
  <c r="E250" i="1"/>
  <c r="E249" i="1"/>
  <c r="E246" i="1"/>
  <c r="E245" i="1"/>
  <c r="E244" i="1"/>
  <c r="E243" i="1"/>
  <c r="E242" i="1"/>
  <c r="E239" i="1"/>
  <c r="E238" i="1"/>
  <c r="E237" i="1"/>
  <c r="E236" i="1"/>
  <c r="E235" i="1"/>
  <c r="E232" i="1"/>
  <c r="E231" i="1"/>
  <c r="E230" i="1"/>
  <c r="E229" i="1"/>
  <c r="E228" i="1"/>
  <c r="E225" i="1"/>
  <c r="E224" i="1"/>
  <c r="E223" i="1"/>
  <c r="E222" i="1"/>
  <c r="E221" i="1"/>
  <c r="E218" i="1"/>
  <c r="E217" i="1"/>
  <c r="E216" i="1"/>
  <c r="E215" i="1"/>
  <c r="E214" i="1"/>
  <c r="E211" i="1"/>
  <c r="E210" i="1"/>
  <c r="E209" i="1"/>
  <c r="E208" i="1"/>
  <c r="E207" i="1"/>
  <c r="E204" i="1"/>
  <c r="E203" i="1"/>
  <c r="E202" i="1"/>
  <c r="E201" i="1"/>
  <c r="E200" i="1"/>
  <c r="E193" i="1"/>
  <c r="E192" i="1"/>
  <c r="E191" i="1"/>
  <c r="E190" i="1"/>
  <c r="E189" i="1"/>
  <c r="E186" i="1"/>
  <c r="E185" i="1"/>
  <c r="E184" i="1"/>
  <c r="E180" i="1"/>
  <c r="E179" i="1"/>
  <c r="E178" i="1"/>
  <c r="E177" i="1"/>
  <c r="E173" i="1"/>
  <c r="E172" i="1"/>
  <c r="E171" i="1"/>
  <c r="E167" i="1"/>
  <c r="E166" i="1"/>
  <c r="E165" i="1"/>
  <c r="E161" i="1"/>
  <c r="E160" i="1"/>
  <c r="E159" i="1"/>
  <c r="E155" i="1"/>
  <c r="E154" i="1"/>
  <c r="E153" i="1"/>
  <c r="E152" i="1"/>
  <c r="E151" i="1"/>
  <c r="E148" i="1"/>
  <c r="E147" i="1"/>
  <c r="E146" i="1"/>
  <c r="E145" i="1"/>
  <c r="E144" i="1"/>
  <c r="E141" i="1"/>
  <c r="E140" i="1"/>
  <c r="E139" i="1"/>
  <c r="E138" i="1"/>
  <c r="E137" i="1"/>
  <c r="E134" i="1"/>
  <c r="E133" i="1"/>
  <c r="E132" i="1"/>
  <c r="E131" i="1"/>
  <c r="E130" i="1"/>
  <c r="E127" i="1"/>
  <c r="E126" i="1"/>
  <c r="E125" i="1"/>
  <c r="E124" i="1"/>
  <c r="E123" i="1"/>
  <c r="E120" i="1"/>
  <c r="E119" i="1"/>
  <c r="E118" i="1"/>
  <c r="E117" i="1"/>
  <c r="E116" i="1"/>
  <c r="E113" i="1"/>
  <c r="E112" i="1"/>
  <c r="E111" i="1"/>
  <c r="E110" i="1"/>
  <c r="E109" i="1"/>
  <c r="E106" i="1"/>
  <c r="E105" i="1"/>
  <c r="E104" i="1"/>
  <c r="E103" i="1"/>
  <c r="E102" i="1"/>
  <c r="E99" i="1"/>
  <c r="E98" i="1"/>
  <c r="E97" i="1"/>
  <c r="E96" i="1"/>
  <c r="E95" i="1"/>
  <c r="E92" i="1"/>
  <c r="E91" i="1"/>
  <c r="E90" i="1"/>
  <c r="E89" i="1"/>
  <c r="E88" i="1"/>
  <c r="E85" i="1"/>
  <c r="E84" i="1"/>
  <c r="E83" i="1"/>
  <c r="E82" i="1"/>
  <c r="E81" i="1"/>
  <c r="P81" i="1" s="1"/>
  <c r="E78" i="1"/>
  <c r="E77" i="1"/>
  <c r="E76" i="1"/>
  <c r="N76" i="1" s="1"/>
  <c r="E75" i="1"/>
  <c r="E74" i="1"/>
  <c r="E71" i="1"/>
  <c r="E70" i="1"/>
  <c r="P70" i="1" s="1"/>
  <c r="E69" i="1"/>
  <c r="O69" i="1" s="1"/>
  <c r="E68" i="1"/>
  <c r="E67" i="1"/>
  <c r="E60" i="1"/>
  <c r="N60" i="1" s="1"/>
  <c r="N56" i="1" s="1"/>
  <c r="E53" i="1"/>
  <c r="E50" i="1"/>
  <c r="E47" i="1"/>
  <c r="E44" i="1"/>
  <c r="P44" i="1" s="1"/>
  <c r="E43" i="1"/>
  <c r="O43" i="1" s="1"/>
  <c r="E39" i="1"/>
  <c r="E36" i="1"/>
  <c r="E35" i="1"/>
  <c r="E34" i="1"/>
  <c r="E31" i="1"/>
  <c r="E28" i="1"/>
  <c r="E24" i="1"/>
  <c r="E25" i="1"/>
  <c r="N25" i="1" s="1"/>
  <c r="E7" i="1"/>
  <c r="N7" i="1" s="1"/>
  <c r="E8" i="1"/>
  <c r="P8" i="1" s="1"/>
  <c r="E9" i="1"/>
  <c r="M9" i="1" s="1"/>
  <c r="E10" i="1"/>
  <c r="N10" i="1" s="1"/>
  <c r="E11" i="1"/>
  <c r="E12" i="1"/>
  <c r="P12" i="1" s="1"/>
  <c r="E13" i="1"/>
  <c r="E14" i="1"/>
  <c r="O14" i="1" s="1"/>
  <c r="E15" i="1"/>
  <c r="E16" i="1"/>
  <c r="P16" i="1" s="1"/>
  <c r="E17" i="1"/>
  <c r="O17" i="1" s="1"/>
  <c r="E18" i="1"/>
  <c r="E19" i="1"/>
  <c r="E20" i="1"/>
  <c r="E21" i="1"/>
  <c r="E22" i="1"/>
  <c r="E23" i="1"/>
  <c r="E6" i="1"/>
  <c r="J706" i="1" l="1"/>
  <c r="M706" i="1" s="1"/>
  <c r="J635" i="1"/>
  <c r="O635" i="1" s="1"/>
  <c r="J705" i="1"/>
  <c r="O705" i="1" s="1"/>
  <c r="J728" i="1"/>
  <c r="P728" i="1" s="1"/>
  <c r="P726" i="1" s="1"/>
  <c r="Q746" i="1"/>
  <c r="Q757" i="1"/>
  <c r="H15" i="11"/>
  <c r="I14" i="11"/>
  <c r="C16" i="11"/>
  <c r="B17" i="11"/>
  <c r="D15" i="11"/>
  <c r="E14" i="11"/>
  <c r="G14" i="11"/>
  <c r="F15" i="11"/>
  <c r="K14" i="11"/>
  <c r="J15" i="11"/>
  <c r="Q750" i="1"/>
  <c r="Q749" i="1" s="1"/>
  <c r="J686" i="1"/>
  <c r="O686" i="1" s="1"/>
  <c r="L647" i="1"/>
  <c r="K663" i="1"/>
  <c r="K634" i="1"/>
  <c r="K648" i="1"/>
  <c r="K680" i="1"/>
  <c r="K704" i="1"/>
  <c r="L703" i="1"/>
  <c r="K710" i="1"/>
  <c r="L711" i="1"/>
  <c r="K711" i="1" s="1"/>
  <c r="K693" i="1"/>
  <c r="L698" i="1"/>
  <c r="L699" i="1"/>
  <c r="K699" i="1" s="1"/>
  <c r="K721" i="1"/>
  <c r="J33" i="1"/>
  <c r="Q753" i="1"/>
  <c r="M752" i="1"/>
  <c r="Q741" i="1"/>
  <c r="M740" i="1"/>
  <c r="Q738" i="1"/>
  <c r="M737" i="1"/>
  <c r="L641" i="1"/>
  <c r="L669" i="1"/>
  <c r="K669" i="1" s="1"/>
  <c r="J669" i="1"/>
  <c r="O669" i="1" s="1"/>
  <c r="Q669" i="1" s="1"/>
  <c r="J644" i="1"/>
  <c r="O644" i="1" s="1"/>
  <c r="Q644" i="1" s="1"/>
  <c r="H687" i="1"/>
  <c r="J687" i="1" s="1"/>
  <c r="O687" i="1" s="1"/>
  <c r="Q687" i="1" s="1"/>
  <c r="H689" i="1"/>
  <c r="L689" i="1" s="1"/>
  <c r="K689" i="1" s="1"/>
  <c r="P710" i="1"/>
  <c r="Q710" i="1" s="1"/>
  <c r="L686" i="1"/>
  <c r="K686" i="1" s="1"/>
  <c r="L644" i="1"/>
  <c r="K644" i="1" s="1"/>
  <c r="H670" i="1"/>
  <c r="J670" i="1" s="1"/>
  <c r="O670" i="1" s="1"/>
  <c r="Q670" i="1" s="1"/>
  <c r="H671" i="1"/>
  <c r="L671" i="1" s="1"/>
  <c r="K671" i="1" s="1"/>
  <c r="J696" i="1"/>
  <c r="M696" i="1" s="1"/>
  <c r="M692" i="1" s="1"/>
  <c r="J695" i="1"/>
  <c r="O695" i="1" s="1"/>
  <c r="O692" i="1" s="1"/>
  <c r="L642" i="1"/>
  <c r="K642" i="1" s="1"/>
  <c r="J643" i="1"/>
  <c r="M643" i="1" s="1"/>
  <c r="M640" i="1" s="1"/>
  <c r="L724" i="1"/>
  <c r="K724" i="1" s="1"/>
  <c r="J642" i="1"/>
  <c r="O642" i="1" s="1"/>
  <c r="L643" i="1"/>
  <c r="K643" i="1" s="1"/>
  <c r="J723" i="1"/>
  <c r="M723" i="1" s="1"/>
  <c r="Q723" i="1" s="1"/>
  <c r="L722" i="1"/>
  <c r="K722" i="1" s="1"/>
  <c r="L683" i="1"/>
  <c r="K683" i="1" s="1"/>
  <c r="J682" i="1"/>
  <c r="O682" i="1" s="1"/>
  <c r="Q682" i="1" s="1"/>
  <c r="L681" i="1"/>
  <c r="K681" i="1" s="1"/>
  <c r="L682" i="1"/>
  <c r="K682" i="1" s="1"/>
  <c r="O726" i="1"/>
  <c r="Q730" i="1"/>
  <c r="N726" i="1"/>
  <c r="L727" i="1"/>
  <c r="K727" i="1" s="1"/>
  <c r="M726" i="1"/>
  <c r="Q729" i="1"/>
  <c r="Q727" i="1"/>
  <c r="O717" i="1"/>
  <c r="N717" i="1"/>
  <c r="Q724" i="1"/>
  <c r="Q721" i="1"/>
  <c r="Q719" i="1"/>
  <c r="Q722" i="1"/>
  <c r="J647" i="1"/>
  <c r="O709" i="1"/>
  <c r="Q715" i="1"/>
  <c r="Q714" i="1" s="1"/>
  <c r="N714" i="1"/>
  <c r="N709" i="1"/>
  <c r="P711" i="1"/>
  <c r="Q711" i="1" s="1"/>
  <c r="J709" i="1"/>
  <c r="Q712" i="1"/>
  <c r="M703" i="1"/>
  <c r="P703" i="1"/>
  <c r="Q704" i="1"/>
  <c r="N703" i="1"/>
  <c r="O707" i="1"/>
  <c r="O703" i="1" s="1"/>
  <c r="J703" i="1"/>
  <c r="L697" i="1"/>
  <c r="K697" i="1" s="1"/>
  <c r="P697" i="1"/>
  <c r="Q697" i="1" s="1"/>
  <c r="J683" i="1"/>
  <c r="O683" i="1" s="1"/>
  <c r="Q683" i="1" s="1"/>
  <c r="Q706" i="1"/>
  <c r="Q705" i="1"/>
  <c r="K667" i="1"/>
  <c r="N692" i="1"/>
  <c r="J698" i="1"/>
  <c r="P698" i="1" s="1"/>
  <c r="Q698" i="1" s="1"/>
  <c r="H700" i="1"/>
  <c r="Q686" i="1"/>
  <c r="J699" i="1"/>
  <c r="P699" i="1" s="1"/>
  <c r="Q699" i="1" s="1"/>
  <c r="P679" i="1"/>
  <c r="Q694" i="1"/>
  <c r="L694" i="1"/>
  <c r="K694" i="1" s="1"/>
  <c r="Q693" i="1"/>
  <c r="Q684" i="1"/>
  <c r="L696" i="1"/>
  <c r="Q680" i="1"/>
  <c r="N679" i="1"/>
  <c r="L695" i="1"/>
  <c r="K695" i="1" s="1"/>
  <c r="Q681" i="1"/>
  <c r="L688" i="1"/>
  <c r="K688" i="1" s="1"/>
  <c r="J688" i="1"/>
  <c r="O688" i="1" s="1"/>
  <c r="Q688" i="1" s="1"/>
  <c r="P677" i="1"/>
  <c r="P674" i="1" s="1"/>
  <c r="N674" i="1"/>
  <c r="M662" i="1"/>
  <c r="P662" i="1"/>
  <c r="N662" i="1"/>
  <c r="L672" i="1"/>
  <c r="K672" i="1" s="1"/>
  <c r="J665" i="1"/>
  <c r="O665" i="1" s="1"/>
  <c r="Q665" i="1" s="1"/>
  <c r="O663" i="1"/>
  <c r="Q663" i="1" s="1"/>
  <c r="L664" i="1"/>
  <c r="K664" i="1" s="1"/>
  <c r="L666" i="1"/>
  <c r="Q667" i="1"/>
  <c r="Q672" i="1"/>
  <c r="Q666" i="1"/>
  <c r="L665" i="1"/>
  <c r="K665" i="1" s="1"/>
  <c r="J664" i="1"/>
  <c r="O664" i="1" s="1"/>
  <c r="Q664" i="1" s="1"/>
  <c r="P660" i="1"/>
  <c r="J657" i="1"/>
  <c r="N627" i="1"/>
  <c r="P627" i="1"/>
  <c r="J627" i="1"/>
  <c r="O627" i="1"/>
  <c r="Q630" i="1"/>
  <c r="P633" i="1"/>
  <c r="P655" i="1"/>
  <c r="P652" i="1" s="1"/>
  <c r="N652" i="1"/>
  <c r="O647" i="1"/>
  <c r="M650" i="1"/>
  <c r="M647" i="1" s="1"/>
  <c r="P647" i="1"/>
  <c r="N647" i="1"/>
  <c r="Q649" i="1"/>
  <c r="Q648" i="1"/>
  <c r="N640" i="1"/>
  <c r="Q641" i="1"/>
  <c r="P640" i="1"/>
  <c r="H342" i="1"/>
  <c r="H347" i="1" s="1"/>
  <c r="Q645" i="1"/>
  <c r="N633" i="1"/>
  <c r="J151" i="1"/>
  <c r="O634" i="1"/>
  <c r="Q638" i="1"/>
  <c r="Q635" i="1"/>
  <c r="J636" i="1"/>
  <c r="M636" i="1" s="1"/>
  <c r="L635" i="1"/>
  <c r="K635" i="1" s="1"/>
  <c r="J637" i="1"/>
  <c r="O637" i="1" s="1"/>
  <c r="Q637" i="1" s="1"/>
  <c r="H370" i="1"/>
  <c r="Q631" i="1"/>
  <c r="H313" i="1"/>
  <c r="J313" i="1" s="1"/>
  <c r="O313" i="1" s="1"/>
  <c r="G347" i="1"/>
  <c r="J171" i="1"/>
  <c r="G71" i="1"/>
  <c r="J373" i="1"/>
  <c r="H414" i="1"/>
  <c r="H270" i="1"/>
  <c r="J270" i="1" s="1"/>
  <c r="H397" i="1"/>
  <c r="J397" i="1" s="1"/>
  <c r="M397" i="1" s="1"/>
  <c r="G527" i="1"/>
  <c r="H217" i="1"/>
  <c r="J217" i="1" s="1"/>
  <c r="O217" i="1" s="1"/>
  <c r="H244" i="1"/>
  <c r="H199" i="1"/>
  <c r="G152" i="1"/>
  <c r="J152" i="1" s="1"/>
  <c r="O152" i="1" s="1"/>
  <c r="H203" i="1"/>
  <c r="H230" i="1"/>
  <c r="H256" i="1"/>
  <c r="J256" i="1" s="1"/>
  <c r="H285" i="1"/>
  <c r="H535" i="1"/>
  <c r="J535" i="1" s="1"/>
  <c r="P535" i="1" s="1"/>
  <c r="P534" i="1" s="1"/>
  <c r="J19" i="1"/>
  <c r="O19" i="1" s="1"/>
  <c r="J177" i="1"/>
  <c r="G154" i="1"/>
  <c r="G155" i="1" s="1"/>
  <c r="H215" i="1"/>
  <c r="H232" i="1"/>
  <c r="H260" i="1"/>
  <c r="H14" i="1"/>
  <c r="J14" i="1" s="1"/>
  <c r="N14" i="1" s="1"/>
  <c r="G70" i="1"/>
  <c r="H201" i="1"/>
  <c r="H228" i="1"/>
  <c r="J228" i="1" s="1"/>
  <c r="H246" i="1"/>
  <c r="J246" i="1" s="1"/>
  <c r="O246" i="1" s="1"/>
  <c r="H272" i="1"/>
  <c r="G343" i="1"/>
  <c r="G491" i="1"/>
  <c r="H7" i="1"/>
  <c r="H23" i="1" s="1"/>
  <c r="H319" i="1"/>
  <c r="G370" i="1"/>
  <c r="G388" i="1"/>
  <c r="J388" i="1" s="1"/>
  <c r="M388" i="1" s="1"/>
  <c r="G398" i="1"/>
  <c r="J159" i="1"/>
  <c r="G218" i="1"/>
  <c r="J184" i="1"/>
  <c r="J378" i="1"/>
  <c r="J414" i="1"/>
  <c r="J530" i="1"/>
  <c r="P530" i="1" s="1"/>
  <c r="P529" i="1" s="1"/>
  <c r="J608" i="1"/>
  <c r="J594" i="1" s="1"/>
  <c r="J621" i="1"/>
  <c r="J620" i="1" s="1"/>
  <c r="H318" i="1"/>
  <c r="J318" i="1" s="1"/>
  <c r="O318" i="1" s="1"/>
  <c r="G344" i="1"/>
  <c r="G490" i="1"/>
  <c r="G488" i="1"/>
  <c r="H179" i="1"/>
  <c r="J179" i="1" s="1"/>
  <c r="M179" i="1" s="1"/>
  <c r="H213" i="1"/>
  <c r="H218" i="1"/>
  <c r="H242" i="1"/>
  <c r="H258" i="1"/>
  <c r="H274" i="1"/>
  <c r="J274" i="1" s="1"/>
  <c r="O274" i="1" s="1"/>
  <c r="H405" i="1"/>
  <c r="J405" i="1" s="1"/>
  <c r="O405" i="1" s="1"/>
  <c r="H611" i="1"/>
  <c r="J611" i="1" s="1"/>
  <c r="H16" i="1"/>
  <c r="K16" i="1" s="1"/>
  <c r="J15" i="1"/>
  <c r="M15" i="1" s="1"/>
  <c r="J178" i="1"/>
  <c r="J312" i="1"/>
  <c r="J356" i="1"/>
  <c r="J355" i="1" s="1"/>
  <c r="J387" i="1"/>
  <c r="O387" i="1" s="1"/>
  <c r="J518" i="1"/>
  <c r="H180" i="1"/>
  <c r="J180" i="1" s="1"/>
  <c r="O180" i="1" s="1"/>
  <c r="H202" i="1"/>
  <c r="J202" i="1" s="1"/>
  <c r="M202" i="1" s="1"/>
  <c r="H214" i="1"/>
  <c r="J214" i="1" s="1"/>
  <c r="H229" i="1"/>
  <c r="H241" i="1"/>
  <c r="H245" i="1"/>
  <c r="H257" i="1"/>
  <c r="H269" i="1"/>
  <c r="H273" i="1"/>
  <c r="H286" i="1"/>
  <c r="H363" i="1"/>
  <c r="H365" i="1" s="1"/>
  <c r="J365" i="1" s="1"/>
  <c r="M365" i="1" s="1"/>
  <c r="H389" i="1"/>
  <c r="J389" i="1" s="1"/>
  <c r="O389" i="1" s="1"/>
  <c r="H406" i="1"/>
  <c r="L406" i="1" s="1"/>
  <c r="K406" i="1" s="1"/>
  <c r="H560" i="1"/>
  <c r="J560" i="1" s="1"/>
  <c r="J546" i="1" s="1"/>
  <c r="H618" i="1"/>
  <c r="J618" i="1" s="1"/>
  <c r="H12" i="1"/>
  <c r="J12" i="1" s="1"/>
  <c r="O12" i="1" s="1"/>
  <c r="H17" i="1"/>
  <c r="K17" i="1" s="1"/>
  <c r="J403" i="1"/>
  <c r="N403" i="1" s="1"/>
  <c r="J544" i="1"/>
  <c r="P544" i="1" s="1"/>
  <c r="P543" i="1" s="1"/>
  <c r="H294" i="1"/>
  <c r="J294" i="1" s="1"/>
  <c r="H368" i="1"/>
  <c r="J368" i="1" s="1"/>
  <c r="H385" i="1"/>
  <c r="J385" i="1" s="1"/>
  <c r="N385" i="1" s="1"/>
  <c r="H402" i="1"/>
  <c r="J402" i="1" s="1"/>
  <c r="H407" i="1"/>
  <c r="J407" i="1" s="1"/>
  <c r="O407" i="1" s="1"/>
  <c r="H592" i="1"/>
  <c r="J592" i="1" s="1"/>
  <c r="J369" i="1"/>
  <c r="O369" i="1" s="1"/>
  <c r="J419" i="1"/>
  <c r="J418" i="1" s="1"/>
  <c r="J624" i="1"/>
  <c r="H200" i="1"/>
  <c r="J200" i="1" s="1"/>
  <c r="H227" i="1"/>
  <c r="H255" i="1"/>
  <c r="G299" i="1"/>
  <c r="G319" i="1"/>
  <c r="H423" i="1"/>
  <c r="H425" i="1" s="1"/>
  <c r="J425" i="1" s="1"/>
  <c r="G465" i="1"/>
  <c r="H541" i="1"/>
  <c r="J541" i="1" s="1"/>
  <c r="P541" i="1" s="1"/>
  <c r="P540" i="1" s="1"/>
  <c r="H596" i="1"/>
  <c r="H600" i="1"/>
  <c r="H604" i="1"/>
  <c r="G288" i="1"/>
  <c r="J288" i="1" s="1"/>
  <c r="O288" i="1" s="1"/>
  <c r="G300" i="1"/>
  <c r="G320" i="1"/>
  <c r="H393" i="1"/>
  <c r="J393" i="1" s="1"/>
  <c r="H398" i="1"/>
  <c r="H415" i="1"/>
  <c r="H538" i="1"/>
  <c r="J538" i="1" s="1"/>
  <c r="P538" i="1" s="1"/>
  <c r="P537" i="1" s="1"/>
  <c r="H576" i="1"/>
  <c r="J576" i="1" s="1"/>
  <c r="H614" i="1"/>
  <c r="J614" i="1" s="1"/>
  <c r="H595" i="1"/>
  <c r="H599" i="1"/>
  <c r="H603" i="1"/>
  <c r="H607" i="1"/>
  <c r="J375" i="1"/>
  <c r="M375" i="1" s="1"/>
  <c r="J412" i="1"/>
  <c r="N412" i="1" s="1"/>
  <c r="G301" i="1"/>
  <c r="H350" i="1"/>
  <c r="J350" i="1" s="1"/>
  <c r="G374" i="1"/>
  <c r="J374" i="1" s="1"/>
  <c r="O374" i="1" s="1"/>
  <c r="H394" i="1"/>
  <c r="J394" i="1" s="1"/>
  <c r="N394" i="1" s="1"/>
  <c r="H411" i="1"/>
  <c r="J411" i="1" s="1"/>
  <c r="H416" i="1"/>
  <c r="J416" i="1" s="1"/>
  <c r="O416" i="1" s="1"/>
  <c r="H598" i="1"/>
  <c r="H602" i="1"/>
  <c r="H606" i="1"/>
  <c r="G298" i="1"/>
  <c r="H597" i="1"/>
  <c r="H601" i="1"/>
  <c r="H605" i="1"/>
  <c r="H580" i="1"/>
  <c r="H584" i="1"/>
  <c r="H588" i="1"/>
  <c r="H579" i="1"/>
  <c r="H583" i="1"/>
  <c r="H587" i="1"/>
  <c r="H591" i="1"/>
  <c r="H582" i="1"/>
  <c r="H586" i="1"/>
  <c r="H590" i="1"/>
  <c r="H581" i="1"/>
  <c r="H585" i="1"/>
  <c r="H589" i="1"/>
  <c r="H575" i="1"/>
  <c r="L575" i="1" s="1"/>
  <c r="H571" i="1"/>
  <c r="L571" i="1" s="1"/>
  <c r="H567" i="1"/>
  <c r="L567" i="1" s="1"/>
  <c r="H574" i="1"/>
  <c r="L574" i="1" s="1"/>
  <c r="H570" i="1"/>
  <c r="L570" i="1" s="1"/>
  <c r="H566" i="1"/>
  <c r="L566" i="1" s="1"/>
  <c r="H573" i="1"/>
  <c r="L573" i="1" s="1"/>
  <c r="H569" i="1"/>
  <c r="L569" i="1" s="1"/>
  <c r="H565" i="1"/>
  <c r="L565" i="1" s="1"/>
  <c r="H572" i="1"/>
  <c r="L572" i="1" s="1"/>
  <c r="H568" i="1"/>
  <c r="L568" i="1" s="1"/>
  <c r="H564" i="1"/>
  <c r="L564" i="1" s="1"/>
  <c r="H563" i="1"/>
  <c r="L563" i="1" s="1"/>
  <c r="H101" i="1"/>
  <c r="H559" i="1"/>
  <c r="L559" i="1" s="1"/>
  <c r="H555" i="1"/>
  <c r="L555" i="1" s="1"/>
  <c r="H551" i="1"/>
  <c r="L551" i="1" s="1"/>
  <c r="H558" i="1"/>
  <c r="L558" i="1" s="1"/>
  <c r="H554" i="1"/>
  <c r="L554" i="1" s="1"/>
  <c r="H550" i="1"/>
  <c r="L550" i="1" s="1"/>
  <c r="H557" i="1"/>
  <c r="L557" i="1" s="1"/>
  <c r="H553" i="1"/>
  <c r="L553" i="1" s="1"/>
  <c r="H549" i="1"/>
  <c r="L549" i="1" s="1"/>
  <c r="H556" i="1"/>
  <c r="L556" i="1" s="1"/>
  <c r="H552" i="1"/>
  <c r="L552" i="1" s="1"/>
  <c r="H548" i="1"/>
  <c r="L548" i="1" s="1"/>
  <c r="H547" i="1"/>
  <c r="L547" i="1" s="1"/>
  <c r="H506" i="1"/>
  <c r="H510" i="1"/>
  <c r="H514" i="1"/>
  <c r="H507" i="1"/>
  <c r="H511" i="1"/>
  <c r="H515" i="1"/>
  <c r="H508" i="1"/>
  <c r="H512" i="1"/>
  <c r="H516" i="1"/>
  <c r="H505" i="1"/>
  <c r="H509" i="1"/>
  <c r="H513" i="1"/>
  <c r="H517" i="1"/>
  <c r="H341" i="1"/>
  <c r="H337" i="1"/>
  <c r="H333" i="1"/>
  <c r="H340" i="1"/>
  <c r="H336" i="1"/>
  <c r="H332" i="1"/>
  <c r="H339" i="1"/>
  <c r="H335" i="1"/>
  <c r="H331" i="1"/>
  <c r="H338" i="1"/>
  <c r="H334" i="1"/>
  <c r="H330" i="1"/>
  <c r="J359" i="1"/>
  <c r="J380" i="1"/>
  <c r="M380" i="1" s="1"/>
  <c r="J396" i="1"/>
  <c r="O396" i="1" s="1"/>
  <c r="J429" i="1"/>
  <c r="M429" i="1" s="1"/>
  <c r="G190" i="1"/>
  <c r="G415" i="1"/>
  <c r="H428" i="1"/>
  <c r="J428" i="1" s="1"/>
  <c r="H96" i="1"/>
  <c r="G364" i="1"/>
  <c r="G379" i="1"/>
  <c r="J379" i="1" s="1"/>
  <c r="O379" i="1" s="1"/>
  <c r="J433" i="1"/>
  <c r="J153" i="1"/>
  <c r="M153" i="1" s="1"/>
  <c r="J353" i="1"/>
  <c r="G265" i="1"/>
  <c r="H89" i="1"/>
  <c r="H105" i="1"/>
  <c r="H145" i="1"/>
  <c r="H185" i="1"/>
  <c r="J185" i="1" s="1"/>
  <c r="O185" i="1" s="1"/>
  <c r="G203" i="1"/>
  <c r="G216" i="1"/>
  <c r="J216" i="1" s="1"/>
  <c r="M216" i="1" s="1"/>
  <c r="G245" i="1"/>
  <c r="G273" i="1"/>
  <c r="G522" i="1"/>
  <c r="J522" i="1" s="1"/>
  <c r="M522" i="1" s="1"/>
  <c r="H73" i="1"/>
  <c r="H115" i="1"/>
  <c r="G243" i="1"/>
  <c r="J243" i="1" s="1"/>
  <c r="O243" i="1" s="1"/>
  <c r="G260" i="1"/>
  <c r="G271" i="1"/>
  <c r="J271" i="1" s="1"/>
  <c r="O271" i="1" s="1"/>
  <c r="H77" i="1"/>
  <c r="G258" i="1"/>
  <c r="H235" i="1"/>
  <c r="J235" i="1" s="1"/>
  <c r="H84" i="1"/>
  <c r="G458" i="1"/>
  <c r="H69" i="1"/>
  <c r="J69" i="1" s="1"/>
  <c r="M69" i="1" s="1"/>
  <c r="H139" i="1"/>
  <c r="G279" i="1"/>
  <c r="H487" i="1"/>
  <c r="H491" i="1" s="1"/>
  <c r="H59" i="1"/>
  <c r="H60" i="1" s="1"/>
  <c r="J60" i="1" s="1"/>
  <c r="J297" i="1"/>
  <c r="H97" i="1"/>
  <c r="H109" i="1"/>
  <c r="J109" i="1" s="1"/>
  <c r="H124" i="1"/>
  <c r="G191" i="1"/>
  <c r="J191" i="1" s="1"/>
  <c r="M191" i="1" s="1"/>
  <c r="G209" i="1"/>
  <c r="G280" i="1"/>
  <c r="J280" i="1" s="1"/>
  <c r="O280" i="1" s="1"/>
  <c r="H320" i="1"/>
  <c r="G345" i="1"/>
  <c r="H80" i="1"/>
  <c r="H94" i="1"/>
  <c r="H110" i="1"/>
  <c r="H136" i="1"/>
  <c r="G222" i="1"/>
  <c r="G250" i="1"/>
  <c r="J250" i="1" s="1"/>
  <c r="O250" i="1" s="1"/>
  <c r="J53" i="1"/>
  <c r="J317" i="1"/>
  <c r="H66" i="1"/>
  <c r="H122" i="1"/>
  <c r="H173" i="1"/>
  <c r="J173" i="1" s="1"/>
  <c r="M173" i="1" s="1"/>
  <c r="G225" i="1"/>
  <c r="G236" i="1"/>
  <c r="G264" i="1"/>
  <c r="J264" i="1" s="1"/>
  <c r="O264" i="1" s="1"/>
  <c r="G457" i="1"/>
  <c r="G526" i="1"/>
  <c r="G132" i="1"/>
  <c r="J132" i="1" s="1"/>
  <c r="M132" i="1" s="1"/>
  <c r="H225" i="1"/>
  <c r="J172" i="1"/>
  <c r="O172" i="1" s="1"/>
  <c r="J314" i="1"/>
  <c r="M314" i="1" s="1"/>
  <c r="H70" i="1"/>
  <c r="H83" i="1"/>
  <c r="H113" i="1"/>
  <c r="L113" i="1" s="1"/>
  <c r="K113" i="1" s="1"/>
  <c r="H125" i="1"/>
  <c r="H140" i="1"/>
  <c r="G210" i="1"/>
  <c r="J210" i="1" s="1"/>
  <c r="O210" i="1" s="1"/>
  <c r="G239" i="1"/>
  <c r="G251" i="1"/>
  <c r="J116" i="1"/>
  <c r="J161" i="1"/>
  <c r="M161" i="1" s="1"/>
  <c r="H74" i="1"/>
  <c r="J74" i="1" s="1"/>
  <c r="H78" i="1"/>
  <c r="J78" i="1" s="1"/>
  <c r="O78" i="1" s="1"/>
  <c r="H90" i="1"/>
  <c r="H102" i="1"/>
  <c r="J102" i="1" s="1"/>
  <c r="H106" i="1"/>
  <c r="L106" i="1" s="1"/>
  <c r="K106" i="1" s="1"/>
  <c r="H146" i="1"/>
  <c r="H160" i="1"/>
  <c r="J160" i="1" s="1"/>
  <c r="O160" i="1" s="1"/>
  <c r="G204" i="1"/>
  <c r="J204" i="1" s="1"/>
  <c r="O204" i="1" s="1"/>
  <c r="G230" i="1"/>
  <c r="G232" i="1"/>
  <c r="G286" i="1"/>
  <c r="G519" i="1"/>
  <c r="J186" i="1"/>
  <c r="M186" i="1" s="1"/>
  <c r="H75" i="1"/>
  <c r="H87" i="1"/>
  <c r="H91" i="1"/>
  <c r="H103" i="1"/>
  <c r="H143" i="1"/>
  <c r="H147" i="1"/>
  <c r="G201" i="1"/>
  <c r="G215" i="1"/>
  <c r="G244" i="1"/>
  <c r="G257" i="1"/>
  <c r="G272" i="1"/>
  <c r="G463" i="1"/>
  <c r="G520" i="1"/>
  <c r="J287" i="1"/>
  <c r="O287" i="1" s="1"/>
  <c r="H88" i="1"/>
  <c r="J88" i="1" s="1"/>
  <c r="H144" i="1"/>
  <c r="J144" i="1" s="1"/>
  <c r="G229" i="1"/>
  <c r="G285" i="1"/>
  <c r="J68" i="1"/>
  <c r="O68" i="1" s="1"/>
  <c r="J253" i="1"/>
  <c r="O253" i="1" s="1"/>
  <c r="H67" i="1"/>
  <c r="J67" i="1" s="1"/>
  <c r="H71" i="1"/>
  <c r="H81" i="1"/>
  <c r="J81" i="1" s="1"/>
  <c r="H85" i="1"/>
  <c r="J85" i="1" s="1"/>
  <c r="O85" i="1" s="1"/>
  <c r="H98" i="1"/>
  <c r="H108" i="1"/>
  <c r="H111" i="1"/>
  <c r="H126" i="1"/>
  <c r="H137" i="1"/>
  <c r="J137" i="1" s="1"/>
  <c r="H141" i="1"/>
  <c r="J141" i="1" s="1"/>
  <c r="O141" i="1" s="1"/>
  <c r="G192" i="1"/>
  <c r="H207" i="1"/>
  <c r="J207" i="1" s="1"/>
  <c r="G211" i="1"/>
  <c r="G223" i="1"/>
  <c r="G237" i="1"/>
  <c r="G281" i="1"/>
  <c r="G252" i="1"/>
  <c r="J252" i="1" s="1"/>
  <c r="O252" i="1" s="1"/>
  <c r="G266" i="1"/>
  <c r="J266" i="1" s="1"/>
  <c r="O266" i="1" s="1"/>
  <c r="G459" i="1"/>
  <c r="J267" i="1"/>
  <c r="O267" i="1" s="1"/>
  <c r="H95" i="1"/>
  <c r="J95" i="1" s="1"/>
  <c r="H123" i="1"/>
  <c r="L123" i="1" s="1"/>
  <c r="H193" i="1"/>
  <c r="J193" i="1" s="1"/>
  <c r="O193" i="1" s="1"/>
  <c r="H281" i="1"/>
  <c r="L281" i="1" s="1"/>
  <c r="K281" i="1" s="1"/>
  <c r="H493" i="1"/>
  <c r="H496" i="1" s="1"/>
  <c r="J496" i="1" s="1"/>
  <c r="M496" i="1" s="1"/>
  <c r="J308" i="1"/>
  <c r="H444" i="1"/>
  <c r="H448" i="1"/>
  <c r="H452" i="1"/>
  <c r="H445" i="1"/>
  <c r="H449" i="1"/>
  <c r="H453" i="1"/>
  <c r="H446" i="1"/>
  <c r="H450" i="1"/>
  <c r="H454" i="1"/>
  <c r="H443" i="1"/>
  <c r="H447" i="1"/>
  <c r="H451" i="1"/>
  <c r="H455" i="1"/>
  <c r="J28" i="1"/>
  <c r="J165" i="1"/>
  <c r="J242" i="1"/>
  <c r="H44" i="1"/>
  <c r="J44" i="1" s="1"/>
  <c r="O44" i="1" s="1"/>
  <c r="O41" i="1" s="1"/>
  <c r="H166" i="1"/>
  <c r="J166" i="1" s="1"/>
  <c r="O166" i="1" s="1"/>
  <c r="H220" i="1"/>
  <c r="H223" i="1"/>
  <c r="H276" i="1"/>
  <c r="H279" i="1"/>
  <c r="H251" i="1"/>
  <c r="H265" i="1"/>
  <c r="J130" i="1"/>
  <c r="J231" i="1"/>
  <c r="O231" i="1" s="1"/>
  <c r="J259" i="1"/>
  <c r="O259" i="1" s="1"/>
  <c r="G117" i="1"/>
  <c r="H189" i="1"/>
  <c r="J189" i="1" s="1"/>
  <c r="H211" i="1"/>
  <c r="H221" i="1"/>
  <c r="J221" i="1" s="1"/>
  <c r="H239" i="1"/>
  <c r="H277" i="1"/>
  <c r="J277" i="1" s="1"/>
  <c r="H263" i="1"/>
  <c r="J263" i="1" s="1"/>
  <c r="H462" i="1"/>
  <c r="H464" i="1" s="1"/>
  <c r="J464" i="1" s="1"/>
  <c r="O464" i="1" s="1"/>
  <c r="G494" i="1"/>
  <c r="L28" i="1"/>
  <c r="L27" i="1" s="1"/>
  <c r="J167" i="1"/>
  <c r="M167" i="1" s="1"/>
  <c r="J284" i="1"/>
  <c r="G131" i="1"/>
  <c r="J131" i="1" s="1"/>
  <c r="O131" i="1" s="1"/>
  <c r="H192" i="1"/>
  <c r="H206" i="1"/>
  <c r="H209" i="1"/>
  <c r="H234" i="1"/>
  <c r="H237" i="1"/>
  <c r="H486" i="1"/>
  <c r="H482" i="1"/>
  <c r="H478" i="1"/>
  <c r="H485" i="1"/>
  <c r="H481" i="1"/>
  <c r="H477" i="1"/>
  <c r="H484" i="1"/>
  <c r="H480" i="1"/>
  <c r="H476" i="1"/>
  <c r="H483" i="1"/>
  <c r="H479" i="1"/>
  <c r="H475" i="1"/>
  <c r="H524" i="1"/>
  <c r="H526" i="1" s="1"/>
  <c r="J43" i="1"/>
  <c r="J119" i="1"/>
  <c r="O119" i="1" s="1"/>
  <c r="J238" i="1"/>
  <c r="O238" i="1" s="1"/>
  <c r="G118" i="1"/>
  <c r="L118" i="1" s="1"/>
  <c r="K118" i="1" s="1"/>
  <c r="H190" i="1"/>
  <c r="H249" i="1"/>
  <c r="J249" i="1" s="1"/>
  <c r="G495" i="1"/>
  <c r="J133" i="1"/>
  <c r="O133" i="1" s="1"/>
  <c r="J224" i="1"/>
  <c r="O224" i="1" s="1"/>
  <c r="J456" i="1"/>
  <c r="H208" i="1"/>
  <c r="J208" i="1" s="1"/>
  <c r="O208" i="1" s="1"/>
  <c r="H222" i="1"/>
  <c r="H236" i="1"/>
  <c r="H278" i="1"/>
  <c r="J278" i="1" s="1"/>
  <c r="O278" i="1" s="1"/>
  <c r="J471" i="1"/>
  <c r="P471" i="1" s="1"/>
  <c r="P468" i="1" s="1"/>
  <c r="J155" i="1"/>
  <c r="O155" i="1" s="1"/>
  <c r="J134" i="1"/>
  <c r="O134" i="1" s="1"/>
  <c r="J120" i="1"/>
  <c r="O120" i="1" s="1"/>
  <c r="J23" i="1"/>
  <c r="O23" i="1" s="1"/>
  <c r="J440" i="1"/>
  <c r="J502" i="1"/>
  <c r="P502" i="1" s="1"/>
  <c r="P499" i="1" s="1"/>
  <c r="H117" i="1"/>
  <c r="H299" i="1"/>
  <c r="H457" i="1"/>
  <c r="H519" i="1"/>
  <c r="H20" i="1"/>
  <c r="J20" i="1" s="1"/>
  <c r="O20" i="1" s="1"/>
  <c r="J460" i="1"/>
  <c r="M460" i="1" s="1"/>
  <c r="H458" i="1"/>
  <c r="H520" i="1"/>
  <c r="J21" i="1"/>
  <c r="O21" i="1" s="1"/>
  <c r="H459" i="1"/>
  <c r="H521" i="1"/>
  <c r="J521" i="1" s="1"/>
  <c r="O521" i="1" s="1"/>
  <c r="H9" i="1"/>
  <c r="J9" i="1" s="1"/>
  <c r="O9" i="1" s="1"/>
  <c r="J302" i="1"/>
  <c r="O302" i="1" s="1"/>
  <c r="H300" i="1"/>
  <c r="H345" i="1"/>
  <c r="J326" i="1"/>
  <c r="H301" i="1"/>
  <c r="H346" i="1"/>
  <c r="J346" i="1" s="1"/>
  <c r="M346" i="1" s="1"/>
  <c r="H298" i="1"/>
  <c r="H343" i="1"/>
  <c r="G145" i="1"/>
  <c r="G146" i="1" s="1"/>
  <c r="G147" i="1"/>
  <c r="J148" i="1"/>
  <c r="O148" i="1" s="1"/>
  <c r="G138" i="1"/>
  <c r="G139" i="1" s="1"/>
  <c r="G140" i="1"/>
  <c r="G124" i="1"/>
  <c r="G125" i="1" s="1"/>
  <c r="G126" i="1"/>
  <c r="J127" i="1"/>
  <c r="O127" i="1" s="1"/>
  <c r="G110" i="1"/>
  <c r="G111" i="1" s="1"/>
  <c r="G112" i="1"/>
  <c r="J112" i="1" s="1"/>
  <c r="O112" i="1" s="1"/>
  <c r="G103" i="1"/>
  <c r="G104" i="1" s="1"/>
  <c r="J104" i="1" s="1"/>
  <c r="M104" i="1" s="1"/>
  <c r="G105" i="1"/>
  <c r="J99" i="1"/>
  <c r="O99" i="1" s="1"/>
  <c r="G96" i="1"/>
  <c r="G97" i="1" s="1"/>
  <c r="G98" i="1"/>
  <c r="G89" i="1"/>
  <c r="G90" i="1" s="1"/>
  <c r="G91" i="1"/>
  <c r="J92" i="1"/>
  <c r="O92" i="1" s="1"/>
  <c r="G82" i="1"/>
  <c r="G83" i="1" s="1"/>
  <c r="G84" i="1"/>
  <c r="G75" i="1"/>
  <c r="G76" i="1" s="1"/>
  <c r="J76" i="1" s="1"/>
  <c r="M76" i="1" s="1"/>
  <c r="G77" i="1"/>
  <c r="M35" i="1"/>
  <c r="N20" i="1"/>
  <c r="P20" i="1"/>
  <c r="M36" i="1"/>
  <c r="O36" i="1"/>
  <c r="N47" i="1"/>
  <c r="N46" i="1" s="1"/>
  <c r="P47" i="1"/>
  <c r="P46" i="1" s="1"/>
  <c r="L47" i="1"/>
  <c r="L46" i="1" s="1"/>
  <c r="N71" i="1"/>
  <c r="P71" i="1"/>
  <c r="O83" i="1"/>
  <c r="M23" i="1"/>
  <c r="N19" i="1"/>
  <c r="N15" i="1"/>
  <c r="P15" i="1"/>
  <c r="N31" i="1"/>
  <c r="N30" i="1" s="1"/>
  <c r="P31" i="1"/>
  <c r="P30" i="1" s="1"/>
  <c r="L31" i="1"/>
  <c r="N39" i="1"/>
  <c r="N38" i="1" s="1"/>
  <c r="L39" i="1"/>
  <c r="L38" i="1" s="1"/>
  <c r="O50" i="1"/>
  <c r="O49" i="1" s="1"/>
  <c r="M50" i="1"/>
  <c r="M49" i="1" s="1"/>
  <c r="M68" i="1"/>
  <c r="M74" i="1"/>
  <c r="M78" i="1"/>
  <c r="N84" i="1"/>
  <c r="N90" i="1"/>
  <c r="P90" i="1"/>
  <c r="O90" i="1"/>
  <c r="N96" i="1"/>
  <c r="M96" i="1"/>
  <c r="P96" i="1"/>
  <c r="N102" i="1"/>
  <c r="M102" i="1"/>
  <c r="P102" i="1"/>
  <c r="N106" i="1"/>
  <c r="M106" i="1"/>
  <c r="P106" i="1"/>
  <c r="N112" i="1"/>
  <c r="M112" i="1"/>
  <c r="P112" i="1"/>
  <c r="P118" i="1"/>
  <c r="O118" i="1"/>
  <c r="N118" i="1"/>
  <c r="P124" i="1"/>
  <c r="N124" i="1"/>
  <c r="M124" i="1"/>
  <c r="N130" i="1"/>
  <c r="M130" i="1"/>
  <c r="P130" i="1"/>
  <c r="L130" i="1"/>
  <c r="P134" i="1"/>
  <c r="N134" i="1"/>
  <c r="M134" i="1"/>
  <c r="L134" i="1"/>
  <c r="K134" i="1" s="1"/>
  <c r="P140" i="1"/>
  <c r="N140" i="1"/>
  <c r="M140" i="1"/>
  <c r="P146" i="1"/>
  <c r="O146" i="1"/>
  <c r="N146" i="1"/>
  <c r="M152" i="1"/>
  <c r="L152" i="1"/>
  <c r="P152" i="1"/>
  <c r="N152" i="1"/>
  <c r="M159" i="1"/>
  <c r="P159" i="1"/>
  <c r="N159" i="1"/>
  <c r="L159" i="1"/>
  <c r="P166" i="1"/>
  <c r="N166" i="1"/>
  <c r="M166" i="1"/>
  <c r="P173" i="1"/>
  <c r="N173" i="1"/>
  <c r="O173" i="1"/>
  <c r="N180" i="1"/>
  <c r="P180" i="1"/>
  <c r="M180" i="1"/>
  <c r="N189" i="1"/>
  <c r="P189" i="1"/>
  <c r="M189" i="1"/>
  <c r="P193" i="1"/>
  <c r="N193" i="1"/>
  <c r="M193" i="1"/>
  <c r="P203" i="1"/>
  <c r="N203" i="1"/>
  <c r="M203" i="1"/>
  <c r="P209" i="1"/>
  <c r="N209" i="1"/>
  <c r="O209" i="1"/>
  <c r="N215" i="1"/>
  <c r="P215" i="1"/>
  <c r="M215" i="1"/>
  <c r="N221" i="1"/>
  <c r="M221" i="1"/>
  <c r="P221" i="1"/>
  <c r="N225" i="1"/>
  <c r="M225" i="1"/>
  <c r="P225" i="1"/>
  <c r="N231" i="1"/>
  <c r="M231" i="1"/>
  <c r="P231" i="1"/>
  <c r="L231" i="1"/>
  <c r="K231" i="1" s="1"/>
  <c r="O237" i="1"/>
  <c r="N237" i="1"/>
  <c r="P237" i="1"/>
  <c r="P243" i="1"/>
  <c r="N243" i="1"/>
  <c r="M243" i="1"/>
  <c r="N249" i="1"/>
  <c r="M249" i="1"/>
  <c r="P249" i="1"/>
  <c r="N253" i="1"/>
  <c r="M253" i="1"/>
  <c r="P253" i="1"/>
  <c r="L253" i="1"/>
  <c r="K253" i="1" s="1"/>
  <c r="L259" i="1"/>
  <c r="K259" i="1" s="1"/>
  <c r="P259" i="1"/>
  <c r="N259" i="1"/>
  <c r="M259" i="1"/>
  <c r="O265" i="1"/>
  <c r="N265" i="1"/>
  <c r="P265" i="1"/>
  <c r="N271" i="1"/>
  <c r="P271" i="1"/>
  <c r="M271" i="1"/>
  <c r="N277" i="1"/>
  <c r="P277" i="1"/>
  <c r="M277" i="1"/>
  <c r="M281" i="1"/>
  <c r="P281" i="1"/>
  <c r="N281" i="1"/>
  <c r="M287" i="1"/>
  <c r="P287" i="1"/>
  <c r="N287" i="1"/>
  <c r="L287" i="1"/>
  <c r="K287" i="1" s="1"/>
  <c r="P298" i="1"/>
  <c r="N298" i="1"/>
  <c r="P302" i="1"/>
  <c r="L302" i="1"/>
  <c r="K302" i="1" s="1"/>
  <c r="N302" i="1"/>
  <c r="M302" i="1"/>
  <c r="O314" i="1"/>
  <c r="N314" i="1"/>
  <c r="L314" i="1"/>
  <c r="K314" i="1" s="1"/>
  <c r="P314" i="1"/>
  <c r="O320" i="1"/>
  <c r="N320" i="1"/>
  <c r="P320" i="1"/>
  <c r="N344" i="1"/>
  <c r="P344" i="1"/>
  <c r="M344" i="1"/>
  <c r="O350" i="1"/>
  <c r="O349" i="1" s="1"/>
  <c r="L350" i="1"/>
  <c r="L349" i="1" s="1"/>
  <c r="P350" i="1"/>
  <c r="P349" i="1" s="1"/>
  <c r="M350" i="1"/>
  <c r="M349" i="1" s="1"/>
  <c r="K350" i="1"/>
  <c r="N363" i="1"/>
  <c r="P363" i="1"/>
  <c r="M363" i="1"/>
  <c r="N369" i="1"/>
  <c r="P369" i="1"/>
  <c r="L369" i="1"/>
  <c r="K369" i="1" s="1"/>
  <c r="M369" i="1"/>
  <c r="P375" i="1"/>
  <c r="L375" i="1"/>
  <c r="K375" i="1" s="1"/>
  <c r="N375" i="1"/>
  <c r="O375" i="1"/>
  <c r="M384" i="1"/>
  <c r="P384" i="1"/>
  <c r="K384" i="1"/>
  <c r="O384" i="1"/>
  <c r="L384" i="1"/>
  <c r="M389" i="1"/>
  <c r="P389" i="1"/>
  <c r="N389" i="1"/>
  <c r="O397" i="1"/>
  <c r="N397" i="1"/>
  <c r="P397" i="1"/>
  <c r="M405" i="1"/>
  <c r="P405" i="1"/>
  <c r="N405" i="1"/>
  <c r="M412" i="1"/>
  <c r="L412" i="1"/>
  <c r="P412" i="1"/>
  <c r="O412" i="1"/>
  <c r="K412" i="1"/>
  <c r="O419" i="1"/>
  <c r="O418" i="1" s="1"/>
  <c r="N419" i="1"/>
  <c r="N418" i="1" s="1"/>
  <c r="M419" i="1"/>
  <c r="M418" i="1" s="1"/>
  <c r="L419" i="1"/>
  <c r="P433" i="1"/>
  <c r="P432" i="1" s="1"/>
  <c r="K433" i="1"/>
  <c r="O433" i="1"/>
  <c r="O432" i="1" s="1"/>
  <c r="M433" i="1"/>
  <c r="M432" i="1" s="1"/>
  <c r="L432" i="1"/>
  <c r="C89" i="7" s="1"/>
  <c r="M458" i="1"/>
  <c r="P458" i="1"/>
  <c r="N458" i="1"/>
  <c r="N463" i="1"/>
  <c r="M463" i="1"/>
  <c r="P463" i="1"/>
  <c r="P487" i="1"/>
  <c r="N487" i="1"/>
  <c r="M487" i="1"/>
  <c r="P491" i="1"/>
  <c r="O491" i="1"/>
  <c r="N491" i="1"/>
  <c r="N496" i="1"/>
  <c r="P496" i="1"/>
  <c r="O496" i="1"/>
  <c r="P520" i="1"/>
  <c r="N520" i="1"/>
  <c r="M520" i="1"/>
  <c r="M525" i="1"/>
  <c r="P525" i="1"/>
  <c r="N525" i="1"/>
  <c r="O535" i="1"/>
  <c r="O534" i="1" s="1"/>
  <c r="N535" i="1"/>
  <c r="N534" i="1" s="1"/>
  <c r="M535" i="1"/>
  <c r="M534" i="1" s="1"/>
  <c r="O560" i="1"/>
  <c r="O546" i="1" s="1"/>
  <c r="N560" i="1"/>
  <c r="N546" i="1" s="1"/>
  <c r="M560" i="1"/>
  <c r="M546" i="1" s="1"/>
  <c r="M611" i="1"/>
  <c r="M610" i="1" s="1"/>
  <c r="O611" i="1"/>
  <c r="O610" i="1" s="1"/>
  <c r="N611" i="1"/>
  <c r="N610" i="1" s="1"/>
  <c r="M624" i="1"/>
  <c r="M623" i="1" s="1"/>
  <c r="L624" i="1"/>
  <c r="L623" i="1" s="1"/>
  <c r="P624" i="1"/>
  <c r="P623" i="1" s="1"/>
  <c r="K624" i="1"/>
  <c r="O624" i="1"/>
  <c r="O623" i="1" s="1"/>
  <c r="P25" i="1"/>
  <c r="P356" i="1"/>
  <c r="P355" i="1" s="1"/>
  <c r="P7" i="1"/>
  <c r="M8" i="1"/>
  <c r="N9" i="1"/>
  <c r="P11" i="1"/>
  <c r="M12" i="1"/>
  <c r="P14" i="1"/>
  <c r="M17" i="1"/>
  <c r="P19" i="1"/>
  <c r="P28" i="1"/>
  <c r="P27" i="1" s="1"/>
  <c r="L36" i="1"/>
  <c r="K36" i="1" s="1"/>
  <c r="M39" i="1"/>
  <c r="M38" i="1" s="1"/>
  <c r="M67" i="1"/>
  <c r="N68" i="1"/>
  <c r="M77" i="1"/>
  <c r="N78" i="1"/>
  <c r="P22" i="1"/>
  <c r="N22" i="1"/>
  <c r="O34" i="1"/>
  <c r="M34" i="1"/>
  <c r="N53" i="1"/>
  <c r="N52" i="1" s="1"/>
  <c r="P69" i="1"/>
  <c r="N69" i="1"/>
  <c r="P75" i="1"/>
  <c r="N75" i="1"/>
  <c r="M81" i="1"/>
  <c r="N85" i="1"/>
  <c r="M85" i="1"/>
  <c r="P85" i="1"/>
  <c r="N91" i="1"/>
  <c r="M91" i="1"/>
  <c r="P91" i="1"/>
  <c r="O97" i="1"/>
  <c r="N97" i="1"/>
  <c r="P97" i="1"/>
  <c r="P103" i="1"/>
  <c r="N103" i="1"/>
  <c r="M103" i="1"/>
  <c r="P109" i="1"/>
  <c r="N109" i="1"/>
  <c r="M109" i="1"/>
  <c r="P113" i="1"/>
  <c r="N113" i="1"/>
  <c r="M113" i="1"/>
  <c r="M119" i="1"/>
  <c r="P119" i="1"/>
  <c r="L119" i="1"/>
  <c r="K119" i="1" s="1"/>
  <c r="N119" i="1"/>
  <c r="O125" i="1"/>
  <c r="N125" i="1"/>
  <c r="P125" i="1"/>
  <c r="N131" i="1"/>
  <c r="M131" i="1"/>
  <c r="P131" i="1"/>
  <c r="M137" i="1"/>
  <c r="P137" i="1"/>
  <c r="N137" i="1"/>
  <c r="M141" i="1"/>
  <c r="P141" i="1"/>
  <c r="N141" i="1"/>
  <c r="M147" i="1"/>
  <c r="P147" i="1"/>
  <c r="N147" i="1"/>
  <c r="P153" i="1"/>
  <c r="L153" i="1"/>
  <c r="K153" i="1" s="1"/>
  <c r="N153" i="1"/>
  <c r="O153" i="1"/>
  <c r="P160" i="1"/>
  <c r="N160" i="1"/>
  <c r="M160" i="1"/>
  <c r="O167" i="1"/>
  <c r="N167" i="1"/>
  <c r="L167" i="1"/>
  <c r="K167" i="1" s="1"/>
  <c r="P167" i="1"/>
  <c r="M177" i="1"/>
  <c r="P177" i="1"/>
  <c r="N177" i="1"/>
  <c r="L177" i="1"/>
  <c r="M184" i="1"/>
  <c r="P184" i="1"/>
  <c r="N184" i="1"/>
  <c r="L184" i="1"/>
  <c r="N190" i="1"/>
  <c r="M190" i="1"/>
  <c r="P190" i="1"/>
  <c r="M200" i="1"/>
  <c r="P200" i="1"/>
  <c r="N200" i="1"/>
  <c r="L200" i="1"/>
  <c r="M204" i="1"/>
  <c r="N204" i="1"/>
  <c r="P204" i="1"/>
  <c r="M210" i="1"/>
  <c r="P210" i="1"/>
  <c r="N210" i="1"/>
  <c r="N216" i="1"/>
  <c r="P216" i="1"/>
  <c r="O216" i="1"/>
  <c r="N222" i="1"/>
  <c r="M222" i="1"/>
  <c r="P222" i="1"/>
  <c r="N228" i="1"/>
  <c r="M228" i="1"/>
  <c r="P228" i="1"/>
  <c r="N232" i="1"/>
  <c r="M232" i="1"/>
  <c r="P232" i="1"/>
  <c r="P238" i="1"/>
  <c r="L238" i="1"/>
  <c r="K238" i="1" s="1"/>
  <c r="N238" i="1"/>
  <c r="M238" i="1"/>
  <c r="O244" i="1"/>
  <c r="N244" i="1"/>
  <c r="P244" i="1"/>
  <c r="P250" i="1"/>
  <c r="N250" i="1"/>
  <c r="M250" i="1"/>
  <c r="P256" i="1"/>
  <c r="L256" i="1"/>
  <c r="N256" i="1"/>
  <c r="M256" i="1"/>
  <c r="N260" i="1"/>
  <c r="P260" i="1"/>
  <c r="M260" i="1"/>
  <c r="N266" i="1"/>
  <c r="P266" i="1"/>
  <c r="M266" i="1"/>
  <c r="O272" i="1"/>
  <c r="P272" i="1"/>
  <c r="N272" i="1"/>
  <c r="P278" i="1"/>
  <c r="M278" i="1"/>
  <c r="N278" i="1"/>
  <c r="P284" i="1"/>
  <c r="L284" i="1"/>
  <c r="N284" i="1"/>
  <c r="M284" i="1"/>
  <c r="P288" i="1"/>
  <c r="L288" i="1"/>
  <c r="K288" i="1" s="1"/>
  <c r="N288" i="1"/>
  <c r="M288" i="1"/>
  <c r="M299" i="1"/>
  <c r="N299" i="1"/>
  <c r="P299" i="1"/>
  <c r="M308" i="1"/>
  <c r="M305" i="1" s="1"/>
  <c r="O308" i="1"/>
  <c r="O305" i="1" s="1"/>
  <c r="N308" i="1"/>
  <c r="N305" i="1" s="1"/>
  <c r="L308" i="1"/>
  <c r="L305" i="1" s="1"/>
  <c r="N317" i="1"/>
  <c r="P317" i="1"/>
  <c r="L317" i="1"/>
  <c r="M317" i="1"/>
  <c r="N326" i="1"/>
  <c r="N323" i="1" s="1"/>
  <c r="O326" i="1"/>
  <c r="O323" i="1" s="1"/>
  <c r="M326" i="1"/>
  <c r="M323" i="1" s="1"/>
  <c r="M345" i="1"/>
  <c r="P345" i="1"/>
  <c r="N345" i="1"/>
  <c r="L353" i="1"/>
  <c r="L352" i="1" s="1"/>
  <c r="O353" i="1"/>
  <c r="O352" i="1" s="1"/>
  <c r="P353" i="1"/>
  <c r="P352" i="1" s="1"/>
  <c r="M353" i="1"/>
  <c r="M352" i="1" s="1"/>
  <c r="K353" i="1"/>
  <c r="M364" i="1"/>
  <c r="P364" i="1"/>
  <c r="N364" i="1"/>
  <c r="O370" i="1"/>
  <c r="P370" i="1"/>
  <c r="N370" i="1"/>
  <c r="N378" i="1"/>
  <c r="P378" i="1"/>
  <c r="L378" i="1"/>
  <c r="O378" i="1"/>
  <c r="M378" i="1"/>
  <c r="P385" i="1"/>
  <c r="K385" i="1"/>
  <c r="M385" i="1"/>
  <c r="L385" i="1"/>
  <c r="O385" i="1"/>
  <c r="L393" i="1"/>
  <c r="O393" i="1"/>
  <c r="P393" i="1"/>
  <c r="M393" i="1"/>
  <c r="K393" i="1"/>
  <c r="P398" i="1"/>
  <c r="L398" i="1"/>
  <c r="K398" i="1" s="1"/>
  <c r="N398" i="1"/>
  <c r="M398" i="1"/>
  <c r="O406" i="1"/>
  <c r="N406" i="1"/>
  <c r="P406" i="1"/>
  <c r="O414" i="1"/>
  <c r="N414" i="1"/>
  <c r="P414" i="1"/>
  <c r="M414" i="1"/>
  <c r="L414" i="1"/>
  <c r="K414" i="1" s="1"/>
  <c r="M425" i="1"/>
  <c r="M422" i="1" s="1"/>
  <c r="O425" i="1"/>
  <c r="O422" i="1" s="1"/>
  <c r="N425" i="1"/>
  <c r="N422" i="1" s="1"/>
  <c r="M440" i="1"/>
  <c r="M437" i="1" s="1"/>
  <c r="O440" i="1"/>
  <c r="O437" i="1" s="1"/>
  <c r="N440" i="1"/>
  <c r="N437" i="1" s="1"/>
  <c r="P459" i="1"/>
  <c r="N459" i="1"/>
  <c r="M459" i="1"/>
  <c r="P464" i="1"/>
  <c r="N464" i="1"/>
  <c r="M464" i="1"/>
  <c r="M488" i="1"/>
  <c r="P488" i="1"/>
  <c r="N488" i="1"/>
  <c r="M493" i="1"/>
  <c r="P493" i="1"/>
  <c r="N493" i="1"/>
  <c r="O502" i="1"/>
  <c r="O499" i="1" s="1"/>
  <c r="N502" i="1"/>
  <c r="N499" i="1" s="1"/>
  <c r="M502" i="1"/>
  <c r="M499" i="1" s="1"/>
  <c r="M521" i="1"/>
  <c r="P521" i="1"/>
  <c r="N521" i="1"/>
  <c r="N526" i="1"/>
  <c r="M526" i="1"/>
  <c r="P526" i="1"/>
  <c r="N538" i="1"/>
  <c r="N537" i="1" s="1"/>
  <c r="M538" i="1"/>
  <c r="M537" i="1" s="1"/>
  <c r="O538" i="1"/>
  <c r="O537" i="1" s="1"/>
  <c r="N576" i="1"/>
  <c r="M576" i="1"/>
  <c r="O576" i="1"/>
  <c r="O614" i="1"/>
  <c r="O613" i="1" s="1"/>
  <c r="N614" i="1"/>
  <c r="N613" i="1" s="1"/>
  <c r="M614" i="1"/>
  <c r="M613" i="1" s="1"/>
  <c r="P621" i="1"/>
  <c r="P620" i="1" s="1"/>
  <c r="N8" i="1"/>
  <c r="P10" i="1"/>
  <c r="M11" i="1"/>
  <c r="N12" i="1"/>
  <c r="K14" i="1"/>
  <c r="M16" i="1"/>
  <c r="M22" i="1"/>
  <c r="N23" i="1"/>
  <c r="L34" i="1"/>
  <c r="N36" i="1"/>
  <c r="O39" i="1"/>
  <c r="O38" i="1" s="1"/>
  <c r="L50" i="1"/>
  <c r="M53" i="1"/>
  <c r="M52" i="1" s="1"/>
  <c r="P68" i="1"/>
  <c r="M75" i="1"/>
  <c r="P78" i="1"/>
  <c r="M84" i="1"/>
  <c r="O25" i="1"/>
  <c r="M25" i="1"/>
  <c r="P43" i="1"/>
  <c r="P41" i="1" s="1"/>
  <c r="K43" i="1"/>
  <c r="N43" i="1"/>
  <c r="M21" i="1"/>
  <c r="N17" i="1"/>
  <c r="P35" i="1"/>
  <c r="L35" i="1"/>
  <c r="K35" i="1" s="1"/>
  <c r="N35" i="1"/>
  <c r="M44" i="1"/>
  <c r="M60" i="1"/>
  <c r="M56" i="1" s="1"/>
  <c r="M70" i="1"/>
  <c r="O76" i="1"/>
  <c r="N82" i="1"/>
  <c r="P82" i="1"/>
  <c r="P88" i="1"/>
  <c r="N88" i="1"/>
  <c r="M88" i="1"/>
  <c r="P92" i="1"/>
  <c r="L92" i="1"/>
  <c r="K92" i="1" s="1"/>
  <c r="N92" i="1"/>
  <c r="M92" i="1"/>
  <c r="P98" i="1"/>
  <c r="N98" i="1"/>
  <c r="M98" i="1"/>
  <c r="P104" i="1"/>
  <c r="O104" i="1"/>
  <c r="N104" i="1"/>
  <c r="M110" i="1"/>
  <c r="P110" i="1"/>
  <c r="N110" i="1"/>
  <c r="M116" i="1"/>
  <c r="P116" i="1"/>
  <c r="L116" i="1"/>
  <c r="N116" i="1"/>
  <c r="N120" i="1"/>
  <c r="M120" i="1"/>
  <c r="P120" i="1"/>
  <c r="L120" i="1"/>
  <c r="K120" i="1" s="1"/>
  <c r="P126" i="1"/>
  <c r="N126" i="1"/>
  <c r="M126" i="1"/>
  <c r="P132" i="1"/>
  <c r="O132" i="1"/>
  <c r="N132" i="1"/>
  <c r="N138" i="1"/>
  <c r="M138" i="1"/>
  <c r="P138" i="1"/>
  <c r="N144" i="1"/>
  <c r="M144" i="1"/>
  <c r="P144" i="1"/>
  <c r="M148" i="1"/>
  <c r="P148" i="1"/>
  <c r="N148" i="1"/>
  <c r="L148" i="1"/>
  <c r="K148" i="1" s="1"/>
  <c r="M154" i="1"/>
  <c r="N154" i="1"/>
  <c r="L154" i="1"/>
  <c r="K154" i="1" s="1"/>
  <c r="P154" i="1"/>
  <c r="O161" i="1"/>
  <c r="P161" i="1"/>
  <c r="N161" i="1"/>
  <c r="L161" i="1"/>
  <c r="K161" i="1" s="1"/>
  <c r="N171" i="1"/>
  <c r="P171" i="1"/>
  <c r="L171" i="1"/>
  <c r="M171" i="1"/>
  <c r="N178" i="1"/>
  <c r="P178" i="1"/>
  <c r="L178" i="1"/>
  <c r="O178" i="1"/>
  <c r="M178" i="1"/>
  <c r="P185" i="1"/>
  <c r="N185" i="1"/>
  <c r="M185" i="1"/>
  <c r="N191" i="1"/>
  <c r="P191" i="1"/>
  <c r="O191" i="1"/>
  <c r="N201" i="1"/>
  <c r="P201" i="1"/>
  <c r="M201" i="1"/>
  <c r="N207" i="1"/>
  <c r="P207" i="1"/>
  <c r="M207" i="1"/>
  <c r="N211" i="1"/>
  <c r="P211" i="1"/>
  <c r="M211" i="1"/>
  <c r="N217" i="1"/>
  <c r="M217" i="1"/>
  <c r="P217" i="1"/>
  <c r="P223" i="1"/>
  <c r="O223" i="1"/>
  <c r="N223" i="1"/>
  <c r="P229" i="1"/>
  <c r="N229" i="1"/>
  <c r="M229" i="1"/>
  <c r="P235" i="1"/>
  <c r="N235" i="1"/>
  <c r="M235" i="1"/>
  <c r="M239" i="1"/>
  <c r="P239" i="1"/>
  <c r="N239" i="1"/>
  <c r="P245" i="1"/>
  <c r="N245" i="1"/>
  <c r="M245" i="1"/>
  <c r="P251" i="1"/>
  <c r="O251" i="1"/>
  <c r="N251" i="1"/>
  <c r="M257" i="1"/>
  <c r="P257" i="1"/>
  <c r="N257" i="1"/>
  <c r="M263" i="1"/>
  <c r="P263" i="1"/>
  <c r="N263" i="1"/>
  <c r="P267" i="1"/>
  <c r="L267" i="1"/>
  <c r="K267" i="1" s="1"/>
  <c r="N267" i="1"/>
  <c r="M267" i="1"/>
  <c r="P273" i="1"/>
  <c r="N273" i="1"/>
  <c r="M273" i="1"/>
  <c r="O279" i="1"/>
  <c r="P279" i="1"/>
  <c r="N279" i="1"/>
  <c r="M285" i="1"/>
  <c r="N285" i="1"/>
  <c r="P285" i="1"/>
  <c r="M294" i="1"/>
  <c r="M291" i="1" s="1"/>
  <c r="O294" i="1"/>
  <c r="O291" i="1" s="1"/>
  <c r="N294" i="1"/>
  <c r="N291" i="1" s="1"/>
  <c r="N300" i="1"/>
  <c r="P300" i="1"/>
  <c r="M300" i="1"/>
  <c r="O312" i="1"/>
  <c r="M312" i="1"/>
  <c r="L312" i="1"/>
  <c r="P312" i="1"/>
  <c r="N312" i="1"/>
  <c r="M318" i="1"/>
  <c r="L318" i="1"/>
  <c r="K318" i="1" s="1"/>
  <c r="P318" i="1"/>
  <c r="N318" i="1"/>
  <c r="P342" i="1"/>
  <c r="M342" i="1"/>
  <c r="N342" i="1"/>
  <c r="L342" i="1"/>
  <c r="P346" i="1"/>
  <c r="N346" i="1"/>
  <c r="O346" i="1"/>
  <c r="N356" i="1"/>
  <c r="N355" i="1" s="1"/>
  <c r="O356" i="1"/>
  <c r="O355" i="1" s="1"/>
  <c r="M356" i="1"/>
  <c r="M355" i="1" s="1"/>
  <c r="P365" i="1"/>
  <c r="N365" i="1"/>
  <c r="O365" i="1"/>
  <c r="P373" i="1"/>
  <c r="L373" i="1"/>
  <c r="N373" i="1"/>
  <c r="O373" i="1"/>
  <c r="M373" i="1"/>
  <c r="M379" i="1"/>
  <c r="P379" i="1"/>
  <c r="N379" i="1"/>
  <c r="M387" i="1"/>
  <c r="N387" i="1"/>
  <c r="L387" i="1"/>
  <c r="K387" i="1" s="1"/>
  <c r="P387" i="1"/>
  <c r="O394" i="1"/>
  <c r="L394" i="1"/>
  <c r="K394" i="1"/>
  <c r="P394" i="1"/>
  <c r="M394" i="1"/>
  <c r="M402" i="1"/>
  <c r="L402" i="1"/>
  <c r="P402" i="1"/>
  <c r="K402" i="1"/>
  <c r="O402" i="1"/>
  <c r="M407" i="1"/>
  <c r="P407" i="1"/>
  <c r="N407" i="1"/>
  <c r="P415" i="1"/>
  <c r="O415" i="1"/>
  <c r="N415" i="1"/>
  <c r="N428" i="1"/>
  <c r="P428" i="1"/>
  <c r="M428" i="1"/>
  <c r="N456" i="1"/>
  <c r="M456" i="1"/>
  <c r="L456" i="1"/>
  <c r="P456" i="1"/>
  <c r="P460" i="1"/>
  <c r="L460" i="1"/>
  <c r="K460" i="1" s="1"/>
  <c r="O460" i="1"/>
  <c r="N460" i="1"/>
  <c r="P465" i="1"/>
  <c r="O465" i="1"/>
  <c r="N465" i="1"/>
  <c r="N489" i="1"/>
  <c r="M489" i="1"/>
  <c r="P489" i="1"/>
  <c r="P494" i="1"/>
  <c r="N494" i="1"/>
  <c r="M494" i="1"/>
  <c r="M518" i="1"/>
  <c r="P518" i="1"/>
  <c r="L518" i="1"/>
  <c r="O518" i="1"/>
  <c r="N518" i="1"/>
  <c r="N522" i="1"/>
  <c r="P522" i="1"/>
  <c r="O522" i="1"/>
  <c r="P527" i="1"/>
  <c r="O527" i="1"/>
  <c r="N527" i="1"/>
  <c r="O541" i="1"/>
  <c r="O540" i="1" s="1"/>
  <c r="N541" i="1"/>
  <c r="N540" i="1" s="1"/>
  <c r="M541" i="1"/>
  <c r="O592" i="1"/>
  <c r="N592" i="1"/>
  <c r="M592" i="1"/>
  <c r="M618" i="1"/>
  <c r="M617" i="1" s="1"/>
  <c r="L617" i="1"/>
  <c r="C205" i="7" s="1"/>
  <c r="P618" i="1"/>
  <c r="P617" i="1" s="1"/>
  <c r="K618" i="1"/>
  <c r="O618" i="1"/>
  <c r="O617" i="1" s="1"/>
  <c r="P39" i="1"/>
  <c r="P38" i="1" s="1"/>
  <c r="P419" i="1"/>
  <c r="P418" i="1" s="1"/>
  <c r="M7" i="1"/>
  <c r="P9" i="1"/>
  <c r="M10" i="1"/>
  <c r="N11" i="1"/>
  <c r="L14" i="1"/>
  <c r="M20" i="1"/>
  <c r="N21" i="1"/>
  <c r="P23" i="1"/>
  <c r="M31" i="1"/>
  <c r="M30" i="1" s="1"/>
  <c r="N34" i="1"/>
  <c r="O35" i="1"/>
  <c r="P36" i="1"/>
  <c r="M47" i="1"/>
  <c r="M46" i="1" s="1"/>
  <c r="N50" i="1"/>
  <c r="N49" i="1" s="1"/>
  <c r="O53" i="1"/>
  <c r="O52" i="1" s="1"/>
  <c r="P60" i="1"/>
  <c r="P56" i="1" s="1"/>
  <c r="M71" i="1"/>
  <c r="N74" i="1"/>
  <c r="P76" i="1"/>
  <c r="M82" i="1"/>
  <c r="N83" i="1"/>
  <c r="P84" i="1"/>
  <c r="N16" i="1"/>
  <c r="O28" i="1"/>
  <c r="O27" i="1" s="1"/>
  <c r="N67" i="1"/>
  <c r="P67" i="1"/>
  <c r="N77" i="1"/>
  <c r="P77" i="1"/>
  <c r="M89" i="1"/>
  <c r="P89" i="1"/>
  <c r="N89" i="1"/>
  <c r="M95" i="1"/>
  <c r="P95" i="1"/>
  <c r="N95" i="1"/>
  <c r="M99" i="1"/>
  <c r="P99" i="1"/>
  <c r="L99" i="1"/>
  <c r="K99" i="1" s="1"/>
  <c r="N99" i="1"/>
  <c r="N105" i="1"/>
  <c r="M105" i="1"/>
  <c r="P105" i="1"/>
  <c r="N111" i="1"/>
  <c r="P111" i="1"/>
  <c r="O111" i="1"/>
  <c r="N117" i="1"/>
  <c r="M117" i="1"/>
  <c r="P117" i="1"/>
  <c r="N123" i="1"/>
  <c r="M123" i="1"/>
  <c r="P123" i="1"/>
  <c r="M127" i="1"/>
  <c r="P127" i="1"/>
  <c r="L127" i="1"/>
  <c r="K127" i="1" s="1"/>
  <c r="N127" i="1"/>
  <c r="M133" i="1"/>
  <c r="P133" i="1"/>
  <c r="L133" i="1"/>
  <c r="K133" i="1" s="1"/>
  <c r="N133" i="1"/>
  <c r="O139" i="1"/>
  <c r="N139" i="1"/>
  <c r="P139" i="1"/>
  <c r="N145" i="1"/>
  <c r="M145" i="1"/>
  <c r="P145" i="1"/>
  <c r="N151" i="1"/>
  <c r="P151" i="1"/>
  <c r="L151" i="1"/>
  <c r="O151" i="1"/>
  <c r="M151" i="1"/>
  <c r="N155" i="1"/>
  <c r="P155" i="1"/>
  <c r="L155" i="1"/>
  <c r="K155" i="1" s="1"/>
  <c r="M155" i="1"/>
  <c r="N165" i="1"/>
  <c r="P165" i="1"/>
  <c r="L165" i="1"/>
  <c r="M165" i="1"/>
  <c r="M172" i="1"/>
  <c r="P172" i="1"/>
  <c r="N172" i="1"/>
  <c r="L172" i="1"/>
  <c r="L179" i="1"/>
  <c r="K179" i="1" s="1"/>
  <c r="O179" i="1"/>
  <c r="N179" i="1"/>
  <c r="P179" i="1"/>
  <c r="O186" i="1"/>
  <c r="P186" i="1"/>
  <c r="N186" i="1"/>
  <c r="L186" i="1"/>
  <c r="K186" i="1" s="1"/>
  <c r="M192" i="1"/>
  <c r="P192" i="1"/>
  <c r="N192" i="1"/>
  <c r="O202" i="1"/>
  <c r="L202" i="1"/>
  <c r="K202" i="1" s="1"/>
  <c r="P202" i="1"/>
  <c r="N202" i="1"/>
  <c r="M208" i="1"/>
  <c r="P208" i="1"/>
  <c r="N208" i="1"/>
  <c r="N214" i="1"/>
  <c r="M214" i="1"/>
  <c r="P214" i="1"/>
  <c r="P218" i="1"/>
  <c r="N218" i="1"/>
  <c r="M218" i="1"/>
  <c r="M224" i="1"/>
  <c r="P224" i="1"/>
  <c r="L224" i="1"/>
  <c r="K224" i="1" s="1"/>
  <c r="N224" i="1"/>
  <c r="P230" i="1"/>
  <c r="O230" i="1"/>
  <c r="N230" i="1"/>
  <c r="M236" i="1"/>
  <c r="P236" i="1"/>
  <c r="N236" i="1"/>
  <c r="N242" i="1"/>
  <c r="M242" i="1"/>
  <c r="L242" i="1"/>
  <c r="P242" i="1"/>
  <c r="M246" i="1"/>
  <c r="P246" i="1"/>
  <c r="N246" i="1"/>
  <c r="N252" i="1"/>
  <c r="M252" i="1"/>
  <c r="P252" i="1"/>
  <c r="N258" i="1"/>
  <c r="P258" i="1"/>
  <c r="O258" i="1"/>
  <c r="P264" i="1"/>
  <c r="N264" i="1"/>
  <c r="M264" i="1"/>
  <c r="M270" i="1"/>
  <c r="P270" i="1"/>
  <c r="N270" i="1"/>
  <c r="M274" i="1"/>
  <c r="N274" i="1"/>
  <c r="P274" i="1"/>
  <c r="N280" i="1"/>
  <c r="P280" i="1"/>
  <c r="M280" i="1"/>
  <c r="N286" i="1"/>
  <c r="P286" i="1"/>
  <c r="O286" i="1"/>
  <c r="M297" i="1"/>
  <c r="L297" i="1"/>
  <c r="P297" i="1"/>
  <c r="N297" i="1"/>
  <c r="O301" i="1"/>
  <c r="P301" i="1"/>
  <c r="N301" i="1"/>
  <c r="P313" i="1"/>
  <c r="L313" i="1"/>
  <c r="K313" i="1" s="1"/>
  <c r="N313" i="1"/>
  <c r="M313" i="1"/>
  <c r="N319" i="1"/>
  <c r="P319" i="1"/>
  <c r="L319" i="1"/>
  <c r="K319" i="1" s="1"/>
  <c r="M319" i="1"/>
  <c r="M343" i="1"/>
  <c r="P343" i="1"/>
  <c r="N343" i="1"/>
  <c r="M347" i="1"/>
  <c r="P347" i="1"/>
  <c r="N347" i="1"/>
  <c r="L347" i="1"/>
  <c r="K347" i="1" s="1"/>
  <c r="N359" i="1"/>
  <c r="N358" i="1" s="1"/>
  <c r="M359" i="1"/>
  <c r="M358" i="1" s="1"/>
  <c r="O359" i="1"/>
  <c r="O358" i="1" s="1"/>
  <c r="M368" i="1"/>
  <c r="N368" i="1"/>
  <c r="L368" i="1"/>
  <c r="P368" i="1"/>
  <c r="N374" i="1"/>
  <c r="P374" i="1"/>
  <c r="M374" i="1"/>
  <c r="P380" i="1"/>
  <c r="L380" i="1"/>
  <c r="K380" i="1" s="1"/>
  <c r="N380" i="1"/>
  <c r="O380" i="1"/>
  <c r="N388" i="1"/>
  <c r="P388" i="1"/>
  <c r="O388" i="1"/>
  <c r="M396" i="1"/>
  <c r="P396" i="1"/>
  <c r="N396" i="1"/>
  <c r="L396" i="1"/>
  <c r="K396" i="1" s="1"/>
  <c r="P403" i="1"/>
  <c r="K403" i="1"/>
  <c r="O403" i="1"/>
  <c r="M403" i="1"/>
  <c r="L403" i="1"/>
  <c r="P411" i="1"/>
  <c r="K411" i="1"/>
  <c r="O411" i="1"/>
  <c r="M411" i="1"/>
  <c r="L411" i="1"/>
  <c r="M416" i="1"/>
  <c r="L416" i="1"/>
  <c r="K416" i="1" s="1"/>
  <c r="P416" i="1"/>
  <c r="N416" i="1"/>
  <c r="P429" i="1"/>
  <c r="L429" i="1"/>
  <c r="K429" i="1" s="1"/>
  <c r="O429" i="1"/>
  <c r="N429" i="1"/>
  <c r="P457" i="1"/>
  <c r="N457" i="1"/>
  <c r="M457" i="1"/>
  <c r="N462" i="1"/>
  <c r="M462" i="1"/>
  <c r="P462" i="1"/>
  <c r="N471" i="1"/>
  <c r="N468" i="1" s="1"/>
  <c r="M471" i="1"/>
  <c r="M468" i="1" s="1"/>
  <c r="O471" i="1"/>
  <c r="O468" i="1" s="1"/>
  <c r="N490" i="1"/>
  <c r="M490" i="1"/>
  <c r="P490" i="1"/>
  <c r="M495" i="1"/>
  <c r="P495" i="1"/>
  <c r="N495" i="1"/>
  <c r="N519" i="1"/>
  <c r="M519" i="1"/>
  <c r="P519" i="1"/>
  <c r="N524" i="1"/>
  <c r="M524" i="1"/>
  <c r="P524" i="1"/>
  <c r="N530" i="1"/>
  <c r="N529" i="1" s="1"/>
  <c r="M530" i="1"/>
  <c r="M529" i="1" s="1"/>
  <c r="O530" i="1"/>
  <c r="O529" i="1" s="1"/>
  <c r="N544" i="1"/>
  <c r="N543" i="1" s="1"/>
  <c r="M544" i="1"/>
  <c r="M543" i="1" s="1"/>
  <c r="O544" i="1"/>
  <c r="O543" i="1" s="1"/>
  <c r="O608" i="1"/>
  <c r="N608" i="1"/>
  <c r="M608" i="1"/>
  <c r="O621" i="1"/>
  <c r="O620" i="1" s="1"/>
  <c r="N621" i="1"/>
  <c r="N620" i="1" s="1"/>
  <c r="M621" i="1"/>
  <c r="M620" i="1" s="1"/>
  <c r="M14" i="1"/>
  <c r="O15" i="1"/>
  <c r="M19" i="1"/>
  <c r="P21" i="1"/>
  <c r="N28" i="1"/>
  <c r="N27" i="1" s="1"/>
  <c r="O31" i="1"/>
  <c r="O30" i="1" s="1"/>
  <c r="P34" i="1"/>
  <c r="N44" i="1"/>
  <c r="O47" i="1"/>
  <c r="O46" i="1" s="1"/>
  <c r="P50" i="1"/>
  <c r="P49" i="1" s="1"/>
  <c r="L68" i="1"/>
  <c r="K68" i="1" s="1"/>
  <c r="N70" i="1"/>
  <c r="P74" i="1"/>
  <c r="N81" i="1"/>
  <c r="P83" i="1"/>
  <c r="J347" i="1" l="1"/>
  <c r="O347" i="1" s="1"/>
  <c r="L397" i="1"/>
  <c r="K397" i="1" s="1"/>
  <c r="L389" i="1"/>
  <c r="K389" i="1" s="1"/>
  <c r="Q728" i="1"/>
  <c r="L388" i="1"/>
  <c r="K388" i="1" s="1"/>
  <c r="L228" i="1"/>
  <c r="J726" i="1"/>
  <c r="Q756" i="1"/>
  <c r="Q737" i="1"/>
  <c r="Q752" i="1"/>
  <c r="L149" i="1"/>
  <c r="J229" i="1"/>
  <c r="O229" i="1" s="1"/>
  <c r="Q740" i="1"/>
  <c r="L717" i="1"/>
  <c r="L640" i="1"/>
  <c r="L709" i="1"/>
  <c r="L310" i="1"/>
  <c r="L391" i="1"/>
  <c r="L33" i="1"/>
  <c r="L692" i="1"/>
  <c r="F16" i="11"/>
  <c r="G15" i="11"/>
  <c r="J16" i="11"/>
  <c r="K15" i="11"/>
  <c r="B18" i="11"/>
  <c r="C17" i="11"/>
  <c r="E15" i="11"/>
  <c r="D16" i="11"/>
  <c r="I15" i="11"/>
  <c r="H16" i="11"/>
  <c r="L370" i="1"/>
  <c r="K370" i="1" s="1"/>
  <c r="L270" i="1"/>
  <c r="K270" i="1" s="1"/>
  <c r="L214" i="1"/>
  <c r="K165" i="1"/>
  <c r="K184" i="1"/>
  <c r="K177" i="1"/>
  <c r="K151" i="1"/>
  <c r="K130" i="1"/>
  <c r="K171" i="1"/>
  <c r="K373" i="1"/>
  <c r="K159" i="1"/>
  <c r="J398" i="1"/>
  <c r="O398" i="1" s="1"/>
  <c r="L633" i="1"/>
  <c r="C8" i="7"/>
  <c r="C10" i="7"/>
  <c r="K641" i="1"/>
  <c r="C73" i="7"/>
  <c r="C207" i="7"/>
  <c r="C72" i="7"/>
  <c r="C6" i="7"/>
  <c r="C5" i="7"/>
  <c r="N442" i="1"/>
  <c r="J182" i="1"/>
  <c r="M43" i="1"/>
  <c r="J41" i="1"/>
  <c r="P425" i="1"/>
  <c r="P422" i="1" s="1"/>
  <c r="J422" i="1"/>
  <c r="N618" i="1"/>
  <c r="N617" i="1" s="1"/>
  <c r="J617" i="1"/>
  <c r="O214" i="1"/>
  <c r="Q214" i="1" s="1"/>
  <c r="O270" i="1"/>
  <c r="N582" i="1"/>
  <c r="N586" i="1"/>
  <c r="N590" i="1"/>
  <c r="N578" i="1"/>
  <c r="N583" i="1"/>
  <c r="N587" i="1"/>
  <c r="N591" i="1"/>
  <c r="N579" i="1"/>
  <c r="N580" i="1"/>
  <c r="N584" i="1"/>
  <c r="N588" i="1"/>
  <c r="N581" i="1"/>
  <c r="N585" i="1"/>
  <c r="N589" i="1"/>
  <c r="O263" i="1"/>
  <c r="O261" i="1" s="1"/>
  <c r="O67" i="1"/>
  <c r="O109" i="1"/>
  <c r="O60" i="1"/>
  <c r="O56" i="1" s="1"/>
  <c r="J56" i="1"/>
  <c r="O235" i="1"/>
  <c r="N353" i="1"/>
  <c r="N352" i="1" s="1"/>
  <c r="J352" i="1"/>
  <c r="N473" i="1"/>
  <c r="J343" i="1"/>
  <c r="O343" i="1" s="1"/>
  <c r="O277" i="1"/>
  <c r="O189" i="1"/>
  <c r="Q189" i="1" s="1"/>
  <c r="O242" i="1"/>
  <c r="Q242" i="1" s="1"/>
  <c r="O207" i="1"/>
  <c r="O144" i="1"/>
  <c r="O317" i="1"/>
  <c r="Q317" i="1" s="1"/>
  <c r="O228" i="1"/>
  <c r="Q228" i="1" s="1"/>
  <c r="N350" i="1"/>
  <c r="N349" i="1" s="1"/>
  <c r="J349" i="1"/>
  <c r="O200" i="1"/>
  <c r="Q200" i="1" s="1"/>
  <c r="P592" i="1"/>
  <c r="Q592" i="1" s="1"/>
  <c r="J578" i="1"/>
  <c r="O368" i="1"/>
  <c r="O177" i="1"/>
  <c r="O175" i="1" s="1"/>
  <c r="J175" i="1"/>
  <c r="O256" i="1"/>
  <c r="N599" i="1"/>
  <c r="N603" i="1"/>
  <c r="N607" i="1"/>
  <c r="N595" i="1"/>
  <c r="N596" i="1"/>
  <c r="N600" i="1"/>
  <c r="N604" i="1"/>
  <c r="N597" i="1"/>
  <c r="N601" i="1"/>
  <c r="N605" i="1"/>
  <c r="N594" i="1"/>
  <c r="N598" i="1"/>
  <c r="N602" i="1"/>
  <c r="N606" i="1"/>
  <c r="N393" i="1"/>
  <c r="N391" i="1" s="1"/>
  <c r="O564" i="1"/>
  <c r="O568" i="1"/>
  <c r="O572" i="1"/>
  <c r="O565" i="1"/>
  <c r="O569" i="1"/>
  <c r="O573" i="1"/>
  <c r="O562" i="1"/>
  <c r="O566" i="1"/>
  <c r="O570" i="1"/>
  <c r="O574" i="1"/>
  <c r="O567" i="1"/>
  <c r="O571" i="1"/>
  <c r="O575" i="1"/>
  <c r="O563" i="1"/>
  <c r="M562" i="1"/>
  <c r="M566" i="1"/>
  <c r="M570" i="1"/>
  <c r="M574" i="1"/>
  <c r="M567" i="1"/>
  <c r="M571" i="1"/>
  <c r="M575" i="1"/>
  <c r="M564" i="1"/>
  <c r="M568" i="1"/>
  <c r="M572" i="1"/>
  <c r="M563" i="1"/>
  <c r="M565" i="1"/>
  <c r="M569" i="1"/>
  <c r="M573" i="1"/>
  <c r="O184" i="1"/>
  <c r="P473" i="1"/>
  <c r="P326" i="1"/>
  <c r="Q326" i="1" s="1"/>
  <c r="Q323" i="1" s="1"/>
  <c r="J323" i="1"/>
  <c r="O165" i="1"/>
  <c r="J163" i="1"/>
  <c r="O81" i="1"/>
  <c r="Q81" i="1" s="1"/>
  <c r="O88" i="1"/>
  <c r="Q88" i="1" s="1"/>
  <c r="P53" i="1"/>
  <c r="P52" i="1" s="1"/>
  <c r="J52" i="1"/>
  <c r="N411" i="1"/>
  <c r="Q411" i="1" s="1"/>
  <c r="N624" i="1"/>
  <c r="N623" i="1" s="1"/>
  <c r="J623" i="1"/>
  <c r="P294" i="1"/>
  <c r="P291" i="1" s="1"/>
  <c r="J291" i="1"/>
  <c r="O159" i="1"/>
  <c r="O157" i="1" s="1"/>
  <c r="J157" i="1"/>
  <c r="O171" i="1"/>
  <c r="O169" i="1" s="1"/>
  <c r="J169" i="1"/>
  <c r="M328" i="1"/>
  <c r="O95" i="1"/>
  <c r="O137" i="1"/>
  <c r="Q137" i="1" s="1"/>
  <c r="O102" i="1"/>
  <c r="Q102" i="1" s="1"/>
  <c r="P359" i="1"/>
  <c r="P358" i="1" s="1"/>
  <c r="J358" i="1"/>
  <c r="L576" i="1"/>
  <c r="L608" i="1" s="1"/>
  <c r="K608" i="1" s="1"/>
  <c r="J562" i="1"/>
  <c r="O598" i="1"/>
  <c r="O602" i="1"/>
  <c r="O606" i="1"/>
  <c r="O599" i="1"/>
  <c r="O603" i="1"/>
  <c r="O607" i="1"/>
  <c r="O595" i="1"/>
  <c r="O594" i="1"/>
  <c r="O596" i="1"/>
  <c r="O600" i="1"/>
  <c r="O604" i="1"/>
  <c r="O597" i="1"/>
  <c r="O601" i="1"/>
  <c r="O605" i="1"/>
  <c r="O578" i="1"/>
  <c r="O581" i="1"/>
  <c r="O585" i="1"/>
  <c r="O589" i="1"/>
  <c r="O582" i="1"/>
  <c r="O586" i="1"/>
  <c r="O590" i="1"/>
  <c r="O583" i="1"/>
  <c r="O587" i="1"/>
  <c r="O591" i="1"/>
  <c r="O579" i="1"/>
  <c r="O580" i="1"/>
  <c r="O584" i="1"/>
  <c r="O588" i="1"/>
  <c r="P442" i="1"/>
  <c r="P328" i="1"/>
  <c r="P504" i="1"/>
  <c r="L365" i="1"/>
  <c r="K365" i="1" s="1"/>
  <c r="M594" i="1"/>
  <c r="M596" i="1"/>
  <c r="M600" i="1"/>
  <c r="M604" i="1"/>
  <c r="M595" i="1"/>
  <c r="M597" i="1"/>
  <c r="M601" i="1"/>
  <c r="M605" i="1"/>
  <c r="M598" i="1"/>
  <c r="M602" i="1"/>
  <c r="M606" i="1"/>
  <c r="M599" i="1"/>
  <c r="M603" i="1"/>
  <c r="M607" i="1"/>
  <c r="M583" i="1"/>
  <c r="M587" i="1"/>
  <c r="M591" i="1"/>
  <c r="M580" i="1"/>
  <c r="M584" i="1"/>
  <c r="M588" i="1"/>
  <c r="M579" i="1"/>
  <c r="M578" i="1"/>
  <c r="M581" i="1"/>
  <c r="M585" i="1"/>
  <c r="M589" i="1"/>
  <c r="M582" i="1"/>
  <c r="M586" i="1"/>
  <c r="M590" i="1"/>
  <c r="N504" i="1"/>
  <c r="N328" i="1"/>
  <c r="P608" i="1"/>
  <c r="Q608" i="1" s="1"/>
  <c r="N565" i="1"/>
  <c r="N569" i="1"/>
  <c r="N573" i="1"/>
  <c r="N566" i="1"/>
  <c r="N570" i="1"/>
  <c r="N574" i="1"/>
  <c r="N567" i="1"/>
  <c r="N571" i="1"/>
  <c r="N575" i="1"/>
  <c r="N563" i="1"/>
  <c r="N562" i="1"/>
  <c r="N564" i="1"/>
  <c r="N568" i="1"/>
  <c r="N572" i="1"/>
  <c r="P440" i="1"/>
  <c r="J437" i="1"/>
  <c r="O456" i="1"/>
  <c r="Q456" i="1" s="1"/>
  <c r="O249" i="1"/>
  <c r="O247" i="1" s="1"/>
  <c r="O284" i="1"/>
  <c r="O221" i="1"/>
  <c r="Q221" i="1" s="1"/>
  <c r="O130" i="1"/>
  <c r="O128" i="1" s="1"/>
  <c r="J128" i="1"/>
  <c r="M28" i="1"/>
  <c r="M27" i="1" s="1"/>
  <c r="J27" i="1"/>
  <c r="P308" i="1"/>
  <c r="P305" i="1" s="1"/>
  <c r="J305" i="1"/>
  <c r="O74" i="1"/>
  <c r="O116" i="1"/>
  <c r="Q116" i="1" s="1"/>
  <c r="O297" i="1"/>
  <c r="Q297" i="1" s="1"/>
  <c r="N433" i="1"/>
  <c r="N432" i="1" s="1"/>
  <c r="J432" i="1"/>
  <c r="O428" i="1"/>
  <c r="J427" i="1"/>
  <c r="P614" i="1"/>
  <c r="P613" i="1" s="1"/>
  <c r="J613" i="1"/>
  <c r="N402" i="1"/>
  <c r="N400" i="1" s="1"/>
  <c r="J310" i="1"/>
  <c r="P611" i="1"/>
  <c r="P610" i="1" s="1"/>
  <c r="J610" i="1"/>
  <c r="J377" i="1"/>
  <c r="J372" i="1"/>
  <c r="H8" i="1"/>
  <c r="J8" i="1" s="1"/>
  <c r="O8" i="1" s="1"/>
  <c r="Q8" i="1" s="1"/>
  <c r="H11" i="1"/>
  <c r="J11" i="1" s="1"/>
  <c r="O11" i="1" s="1"/>
  <c r="L286" i="1"/>
  <c r="K286" i="1" s="1"/>
  <c r="L687" i="1"/>
  <c r="K687" i="1" s="1"/>
  <c r="P709" i="1"/>
  <c r="O640" i="1"/>
  <c r="Q695" i="1"/>
  <c r="L670" i="1"/>
  <c r="K670" i="1" s="1"/>
  <c r="J689" i="1"/>
  <c r="M689" i="1" s="1"/>
  <c r="Q689" i="1" s="1"/>
  <c r="Q679" i="1" s="1"/>
  <c r="Q696" i="1"/>
  <c r="J671" i="1"/>
  <c r="O671" i="1" s="1"/>
  <c r="Q671" i="1" s="1"/>
  <c r="Q662" i="1" s="1"/>
  <c r="M717" i="1"/>
  <c r="Q643" i="1"/>
  <c r="Q642" i="1"/>
  <c r="J640" i="1"/>
  <c r="L425" i="1"/>
  <c r="L422" i="1" s="1"/>
  <c r="L363" i="1"/>
  <c r="J717" i="1"/>
  <c r="L491" i="1"/>
  <c r="K491" i="1" s="1"/>
  <c r="J203" i="1"/>
  <c r="O203" i="1" s="1"/>
  <c r="Q203" i="1" s="1"/>
  <c r="Q726" i="1"/>
  <c r="K696" i="1"/>
  <c r="L728" i="1"/>
  <c r="K728" i="1" s="1"/>
  <c r="Q717" i="1"/>
  <c r="L95" i="1"/>
  <c r="L67" i="1"/>
  <c r="Q709" i="1"/>
  <c r="H22" i="1"/>
  <c r="J22" i="1" s="1"/>
  <c r="O22" i="1" s="1"/>
  <c r="Q22" i="1" s="1"/>
  <c r="L246" i="1"/>
  <c r="K246" i="1" s="1"/>
  <c r="H10" i="1"/>
  <c r="J10" i="1" s="1"/>
  <c r="O10" i="1" s="1"/>
  <c r="Q10" i="1" s="1"/>
  <c r="J16" i="1"/>
  <c r="O16" i="1" s="1"/>
  <c r="Q16" i="1" s="1"/>
  <c r="Q707" i="1"/>
  <c r="Q703" i="1" s="1"/>
  <c r="K666" i="1"/>
  <c r="K698" i="1"/>
  <c r="J7" i="1"/>
  <c r="J230" i="1"/>
  <c r="M230" i="1" s="1"/>
  <c r="M226" i="1" s="1"/>
  <c r="J215" i="1"/>
  <c r="O215" i="1" s="1"/>
  <c r="Q215" i="1" s="1"/>
  <c r="J258" i="1"/>
  <c r="M258" i="1" s="1"/>
  <c r="M254" i="1" s="1"/>
  <c r="J415" i="1"/>
  <c r="M415" i="1" s="1"/>
  <c r="M409" i="1" s="1"/>
  <c r="J700" i="1"/>
  <c r="P700" i="1" s="1"/>
  <c r="J701" i="1"/>
  <c r="P701" i="1" s="1"/>
  <c r="Q701" i="1" s="1"/>
  <c r="L74" i="1"/>
  <c r="O679" i="1"/>
  <c r="J320" i="1"/>
  <c r="M320" i="1" s="1"/>
  <c r="M316" i="1" s="1"/>
  <c r="J245" i="1"/>
  <c r="O245" i="1" s="1"/>
  <c r="J123" i="1"/>
  <c r="Q677" i="1"/>
  <c r="Q674" i="1" s="1"/>
  <c r="Q660" i="1"/>
  <c r="Q657" i="1" s="1"/>
  <c r="P657" i="1"/>
  <c r="Q627" i="1"/>
  <c r="Q655" i="1"/>
  <c r="Q652" i="1" s="1"/>
  <c r="J201" i="1"/>
  <c r="O201" i="1" s="1"/>
  <c r="L102" i="1"/>
  <c r="H364" i="1"/>
  <c r="J364" i="1" s="1"/>
  <c r="O364" i="1" s="1"/>
  <c r="H344" i="1"/>
  <c r="J344" i="1" s="1"/>
  <c r="O344" i="1" s="1"/>
  <c r="Q344" i="1" s="1"/>
  <c r="L71" i="1"/>
  <c r="K71" i="1" s="1"/>
  <c r="J285" i="1"/>
  <c r="O285" i="1" s="1"/>
  <c r="Q285" i="1" s="1"/>
  <c r="J257" i="1"/>
  <c r="O257" i="1" s="1"/>
  <c r="Q650" i="1"/>
  <c r="Q647" i="1" s="1"/>
  <c r="L374" i="1"/>
  <c r="K374" i="1" s="1"/>
  <c r="L264" i="1"/>
  <c r="K264" i="1" s="1"/>
  <c r="L257" i="1"/>
  <c r="K257" i="1" s="1"/>
  <c r="L245" i="1"/>
  <c r="K245" i="1" s="1"/>
  <c r="L320" i="1"/>
  <c r="K320" i="1" s="1"/>
  <c r="J260" i="1"/>
  <c r="O260" i="1" s="1"/>
  <c r="Q260" i="1" s="1"/>
  <c r="L230" i="1"/>
  <c r="K230" i="1" s="1"/>
  <c r="L250" i="1"/>
  <c r="K250" i="1" s="1"/>
  <c r="L405" i="1"/>
  <c r="K405" i="1" s="1"/>
  <c r="L244" i="1"/>
  <c r="K244" i="1" s="1"/>
  <c r="L78" i="1"/>
  <c r="K78" i="1" s="1"/>
  <c r="J298" i="1"/>
  <c r="O298" i="1" s="1"/>
  <c r="Q298" i="1" s="1"/>
  <c r="J342" i="1"/>
  <c r="J106" i="1"/>
  <c r="O106" i="1" s="1"/>
  <c r="Q106" i="1" s="1"/>
  <c r="J319" i="1"/>
  <c r="O319" i="1" s="1"/>
  <c r="Q634" i="1"/>
  <c r="O633" i="1"/>
  <c r="Q636" i="1"/>
  <c r="M633" i="1"/>
  <c r="J633" i="1"/>
  <c r="J71" i="1"/>
  <c r="O71" i="1" s="1"/>
  <c r="Q71" i="1" s="1"/>
  <c r="J265" i="1"/>
  <c r="M265" i="1" s="1"/>
  <c r="M261" i="1" s="1"/>
  <c r="L223" i="1"/>
  <c r="K223" i="1" s="1"/>
  <c r="L252" i="1"/>
  <c r="K252" i="1" s="1"/>
  <c r="L137" i="1"/>
  <c r="L496" i="1"/>
  <c r="K496" i="1" s="1"/>
  <c r="J244" i="1"/>
  <c r="M244" i="1" s="1"/>
  <c r="Q244" i="1" s="1"/>
  <c r="L493" i="1"/>
  <c r="K493" i="1" s="1"/>
  <c r="L229" i="1"/>
  <c r="K229" i="1" s="1"/>
  <c r="L204" i="1"/>
  <c r="K204" i="1" s="1"/>
  <c r="H494" i="1"/>
  <c r="L494" i="1" s="1"/>
  <c r="K494" i="1" s="1"/>
  <c r="J520" i="1"/>
  <c r="O520" i="1" s="1"/>
  <c r="Q520" i="1" s="1"/>
  <c r="L211" i="1"/>
  <c r="K211" i="1" s="1"/>
  <c r="J370" i="1"/>
  <c r="M370" i="1" s="1"/>
  <c r="M367" i="1" s="1"/>
  <c r="L218" i="1"/>
  <c r="K218" i="1" s="1"/>
  <c r="L415" i="1"/>
  <c r="K415" i="1" s="1"/>
  <c r="L273" i="1"/>
  <c r="K273" i="1" s="1"/>
  <c r="L70" i="1"/>
  <c r="K70" i="1" s="1"/>
  <c r="J77" i="1"/>
  <c r="O77" i="1" s="1"/>
  <c r="Q77" i="1" s="1"/>
  <c r="J345" i="1"/>
  <c r="O345" i="1" s="1"/>
  <c r="Q345" i="1" s="1"/>
  <c r="J458" i="1"/>
  <c r="O458" i="1" s="1"/>
  <c r="Q458" i="1" s="1"/>
  <c r="L428" i="1"/>
  <c r="L427" i="1" s="1"/>
  <c r="L191" i="1"/>
  <c r="K191" i="1" s="1"/>
  <c r="L88" i="1"/>
  <c r="J147" i="1"/>
  <c r="O147" i="1" s="1"/>
  <c r="Q147" i="1" s="1"/>
  <c r="J457" i="1"/>
  <c r="O457" i="1" s="1"/>
  <c r="Q457" i="1" s="1"/>
  <c r="J406" i="1"/>
  <c r="M406" i="1" s="1"/>
  <c r="Q406" i="1" s="1"/>
  <c r="K39" i="1"/>
  <c r="J84" i="1"/>
  <c r="O84" i="1" s="1"/>
  <c r="Q84" i="1" s="1"/>
  <c r="J140" i="1"/>
  <c r="O140" i="1" s="1"/>
  <c r="Q140" i="1" s="1"/>
  <c r="J279" i="1"/>
  <c r="M279" i="1" s="1"/>
  <c r="M275" i="1" s="1"/>
  <c r="L217" i="1"/>
  <c r="K217" i="1" s="1"/>
  <c r="J301" i="1"/>
  <c r="M301" i="1" s="1"/>
  <c r="M296" i="1" s="1"/>
  <c r="J300" i="1"/>
  <c r="O300" i="1" s="1"/>
  <c r="Q300" i="1" s="1"/>
  <c r="J236" i="1"/>
  <c r="O236" i="1" s="1"/>
  <c r="Q236" i="1" s="1"/>
  <c r="J251" i="1"/>
  <c r="M251" i="1" s="1"/>
  <c r="Q251" i="1" s="1"/>
  <c r="J286" i="1"/>
  <c r="M286" i="1" s="1"/>
  <c r="Q286" i="1" s="1"/>
  <c r="J272" i="1"/>
  <c r="M272" i="1" s="1"/>
  <c r="M268" i="1" s="1"/>
  <c r="J232" i="1"/>
  <c r="O232" i="1" s="1"/>
  <c r="L274" i="1"/>
  <c r="K274" i="1" s="1"/>
  <c r="L180" i="1"/>
  <c r="K180" i="1" s="1"/>
  <c r="J299" i="1"/>
  <c r="O299" i="1" s="1"/>
  <c r="Q299" i="1" s="1"/>
  <c r="L280" i="1"/>
  <c r="K280" i="1" s="1"/>
  <c r="L407" i="1"/>
  <c r="K407" i="1" s="1"/>
  <c r="L294" i="1"/>
  <c r="L291" i="1" s="1"/>
  <c r="L207" i="1"/>
  <c r="L285" i="1"/>
  <c r="K285" i="1" s="1"/>
  <c r="L243" i="1"/>
  <c r="K243" i="1" s="1"/>
  <c r="L173" i="1"/>
  <c r="K173" i="1" s="1"/>
  <c r="J70" i="1"/>
  <c r="O70" i="1" s="1"/>
  <c r="Q70" i="1" s="1"/>
  <c r="L265" i="1"/>
  <c r="K265" i="1" s="1"/>
  <c r="J218" i="1"/>
  <c r="O218" i="1" s="1"/>
  <c r="Q218" i="1" s="1"/>
  <c r="L185" i="1"/>
  <c r="K185" i="1" s="1"/>
  <c r="L210" i="1"/>
  <c r="K210" i="1" s="1"/>
  <c r="L141" i="1"/>
  <c r="K141" i="1" s="1"/>
  <c r="J83" i="1"/>
  <c r="M83" i="1" s="1"/>
  <c r="Q83" i="1" s="1"/>
  <c r="L235" i="1"/>
  <c r="J90" i="1"/>
  <c r="M90" i="1" s="1"/>
  <c r="M86" i="1" s="1"/>
  <c r="L144" i="1"/>
  <c r="J105" i="1"/>
  <c r="O105" i="1" s="1"/>
  <c r="Q105" i="1" s="1"/>
  <c r="L379" i="1"/>
  <c r="K379" i="1" s="1"/>
  <c r="L132" i="1"/>
  <c r="K132" i="1" s="1"/>
  <c r="L160" i="1"/>
  <c r="K160" i="1" s="1"/>
  <c r="J273" i="1"/>
  <c r="O273" i="1" s="1"/>
  <c r="Q273" i="1" s="1"/>
  <c r="J17" i="1"/>
  <c r="P17" i="1" s="1"/>
  <c r="Q17" i="1" s="1"/>
  <c r="J154" i="1"/>
  <c r="O154" i="1" s="1"/>
  <c r="Q154" i="1" s="1"/>
  <c r="J363" i="1"/>
  <c r="L560" i="1"/>
  <c r="K560" i="1" s="1"/>
  <c r="P560" i="1"/>
  <c r="Q560" i="1" s="1"/>
  <c r="L81" i="1"/>
  <c r="L277" i="1"/>
  <c r="J98" i="1"/>
  <c r="O98" i="1" s="1"/>
  <c r="Q98" i="1" s="1"/>
  <c r="J139" i="1"/>
  <c r="M139" i="1" s="1"/>
  <c r="M135" i="1" s="1"/>
  <c r="H495" i="1"/>
  <c r="J495" i="1" s="1"/>
  <c r="O495" i="1" s="1"/>
  <c r="Q495" i="1" s="1"/>
  <c r="L258" i="1"/>
  <c r="K258" i="1" s="1"/>
  <c r="L522" i="1"/>
  <c r="K522" i="1" s="1"/>
  <c r="K47" i="1"/>
  <c r="L272" i="1"/>
  <c r="K272" i="1" s="1"/>
  <c r="J491" i="1"/>
  <c r="M491" i="1" s="1"/>
  <c r="M485" i="1" s="1"/>
  <c r="J459" i="1"/>
  <c r="O459" i="1" s="1"/>
  <c r="Q459" i="1" s="1"/>
  <c r="H463" i="1"/>
  <c r="L463" i="1" s="1"/>
  <c r="K463" i="1" s="1"/>
  <c r="L462" i="1"/>
  <c r="K462" i="1" s="1"/>
  <c r="L216" i="1"/>
  <c r="K216" i="1" s="1"/>
  <c r="L85" i="1"/>
  <c r="K85" i="1" s="1"/>
  <c r="L69" i="1"/>
  <c r="K69" i="1" s="1"/>
  <c r="L60" i="1"/>
  <c r="L56" i="1" s="1"/>
  <c r="L215" i="1"/>
  <c r="K215" i="1" s="1"/>
  <c r="J117" i="1"/>
  <c r="O117" i="1" s="1"/>
  <c r="O114" i="1" s="1"/>
  <c r="J222" i="1"/>
  <c r="O222" i="1" s="1"/>
  <c r="Q222" i="1" s="1"/>
  <c r="P576" i="1"/>
  <c r="L251" i="1"/>
  <c r="K251" i="1" s="1"/>
  <c r="L131" i="1"/>
  <c r="K131" i="1" s="1"/>
  <c r="L109" i="1"/>
  <c r="L189" i="1"/>
  <c r="J126" i="1"/>
  <c r="O126" i="1" s="1"/>
  <c r="Q126" i="1" s="1"/>
  <c r="J519" i="1"/>
  <c r="O519" i="1" s="1"/>
  <c r="Q519" i="1" s="1"/>
  <c r="J211" i="1"/>
  <c r="O211" i="1" s="1"/>
  <c r="Q211" i="1" s="1"/>
  <c r="L271" i="1"/>
  <c r="K271" i="1" s="1"/>
  <c r="J125" i="1"/>
  <c r="M125" i="1" s="1"/>
  <c r="Q125" i="1" s="1"/>
  <c r="P33" i="1"/>
  <c r="K31" i="1"/>
  <c r="C165" i="7"/>
  <c r="C169" i="7"/>
  <c r="C173" i="7"/>
  <c r="C162" i="7"/>
  <c r="C166" i="7"/>
  <c r="C170" i="7"/>
  <c r="C161" i="7"/>
  <c r="C163" i="7"/>
  <c r="C167" i="7"/>
  <c r="C171" i="7"/>
  <c r="C164" i="7"/>
  <c r="C168" i="7"/>
  <c r="C172" i="7"/>
  <c r="N547" i="1"/>
  <c r="N548" i="1"/>
  <c r="N549" i="1"/>
  <c r="N550" i="1"/>
  <c r="N551" i="1"/>
  <c r="N552" i="1"/>
  <c r="N553" i="1"/>
  <c r="N554" i="1"/>
  <c r="N555" i="1"/>
  <c r="N556" i="1"/>
  <c r="N557" i="1"/>
  <c r="N558" i="1"/>
  <c r="N559" i="1"/>
  <c r="O547" i="1"/>
  <c r="O548" i="1"/>
  <c r="O549" i="1"/>
  <c r="O550" i="1"/>
  <c r="O551" i="1"/>
  <c r="O552" i="1"/>
  <c r="O553" i="1"/>
  <c r="O554" i="1"/>
  <c r="O555" i="1"/>
  <c r="O556" i="1"/>
  <c r="O557" i="1"/>
  <c r="O558" i="1"/>
  <c r="O559" i="1"/>
  <c r="M548" i="1"/>
  <c r="M552" i="1"/>
  <c r="M556" i="1"/>
  <c r="M547" i="1"/>
  <c r="M549" i="1"/>
  <c r="M553" i="1"/>
  <c r="M557" i="1"/>
  <c r="M550" i="1"/>
  <c r="M554" i="1"/>
  <c r="M558" i="1"/>
  <c r="M551" i="1"/>
  <c r="M555" i="1"/>
  <c r="M559" i="1"/>
  <c r="M33" i="1"/>
  <c r="N33" i="1"/>
  <c r="M330" i="1"/>
  <c r="M334" i="1"/>
  <c r="M338" i="1"/>
  <c r="M329" i="1"/>
  <c r="M331" i="1"/>
  <c r="M335" i="1"/>
  <c r="M339" i="1"/>
  <c r="M332" i="1"/>
  <c r="M336" i="1"/>
  <c r="M340" i="1"/>
  <c r="M333" i="1"/>
  <c r="M337" i="1"/>
  <c r="M341" i="1"/>
  <c r="L239" i="1"/>
  <c r="K239" i="1" s="1"/>
  <c r="L225" i="1"/>
  <c r="K225" i="1" s="1"/>
  <c r="L209" i="1"/>
  <c r="K209" i="1" s="1"/>
  <c r="P329" i="1"/>
  <c r="P330" i="1"/>
  <c r="P331" i="1"/>
  <c r="P332" i="1"/>
  <c r="P333" i="1"/>
  <c r="P334" i="1"/>
  <c r="P335" i="1"/>
  <c r="P336" i="1"/>
  <c r="P337" i="1"/>
  <c r="P338" i="1"/>
  <c r="P339" i="1"/>
  <c r="P340" i="1"/>
  <c r="P341" i="1"/>
  <c r="N329" i="1"/>
  <c r="N330" i="1"/>
  <c r="N331" i="1"/>
  <c r="N332" i="1"/>
  <c r="N333" i="1"/>
  <c r="N334" i="1"/>
  <c r="N335" i="1"/>
  <c r="N336" i="1"/>
  <c r="N337" i="1"/>
  <c r="N338" i="1"/>
  <c r="N339" i="1"/>
  <c r="N340" i="1"/>
  <c r="N341" i="1"/>
  <c r="J91" i="1"/>
  <c r="O91" i="1" s="1"/>
  <c r="Q91" i="1" s="1"/>
  <c r="J113" i="1"/>
  <c r="O113" i="1" s="1"/>
  <c r="Q113" i="1" s="1"/>
  <c r="J237" i="1"/>
  <c r="M237" i="1" s="1"/>
  <c r="M233" i="1" s="1"/>
  <c r="J192" i="1"/>
  <c r="O192" i="1" s="1"/>
  <c r="Q192" i="1" s="1"/>
  <c r="L279" i="1"/>
  <c r="K279" i="1" s="1"/>
  <c r="K28" i="1"/>
  <c r="L300" i="1"/>
  <c r="K300" i="1" s="1"/>
  <c r="L464" i="1"/>
  <c r="K464" i="1" s="1"/>
  <c r="L260" i="1"/>
  <c r="K260" i="1" s="1"/>
  <c r="L232" i="1"/>
  <c r="K232" i="1" s="1"/>
  <c r="J190" i="1"/>
  <c r="O190" i="1" s="1"/>
  <c r="Q190" i="1" s="1"/>
  <c r="L487" i="1"/>
  <c r="L301" i="1"/>
  <c r="K301" i="1" s="1"/>
  <c r="L201" i="1"/>
  <c r="K201" i="1" s="1"/>
  <c r="L203" i="1"/>
  <c r="K203" i="1" s="1"/>
  <c r="L193" i="1"/>
  <c r="K193" i="1" s="1"/>
  <c r="H489" i="1"/>
  <c r="J489" i="1" s="1"/>
  <c r="O489" i="1" s="1"/>
  <c r="Q489" i="1" s="1"/>
  <c r="L299" i="1"/>
  <c r="K299" i="1" s="1"/>
  <c r="L263" i="1"/>
  <c r="L192" i="1"/>
  <c r="K192" i="1" s="1"/>
  <c r="L44" i="1"/>
  <c r="L266" i="1"/>
  <c r="K266" i="1" s="1"/>
  <c r="L343" i="1"/>
  <c r="K343" i="1" s="1"/>
  <c r="L346" i="1"/>
  <c r="K346" i="1" s="1"/>
  <c r="L459" i="1"/>
  <c r="K459" i="1" s="1"/>
  <c r="L345" i="1"/>
  <c r="K345" i="1" s="1"/>
  <c r="J493" i="1"/>
  <c r="O493" i="1" s="1"/>
  <c r="Q493" i="1" s="1"/>
  <c r="H465" i="1"/>
  <c r="J465" i="1" s="1"/>
  <c r="M465" i="1" s="1"/>
  <c r="M454" i="1" s="1"/>
  <c r="J526" i="1"/>
  <c r="O526" i="1" s="1"/>
  <c r="Q526" i="1" s="1"/>
  <c r="O367" i="1"/>
  <c r="L221" i="1"/>
  <c r="J111" i="1"/>
  <c r="M111" i="1" s="1"/>
  <c r="M107" i="1" s="1"/>
  <c r="H490" i="1"/>
  <c r="J490" i="1" s="1"/>
  <c r="O490" i="1" s="1"/>
  <c r="Q490" i="1" s="1"/>
  <c r="J487" i="1"/>
  <c r="O409" i="1"/>
  <c r="P367" i="1"/>
  <c r="L166" i="1"/>
  <c r="K166" i="1" s="1"/>
  <c r="J97" i="1"/>
  <c r="M97" i="1" s="1"/>
  <c r="Q97" i="1" s="1"/>
  <c r="J146" i="1"/>
  <c r="M146" i="1" s="1"/>
  <c r="M142" i="1" s="1"/>
  <c r="H488" i="1"/>
  <c r="J488" i="1" s="1"/>
  <c r="O488" i="1" s="1"/>
  <c r="Q488" i="1" s="1"/>
  <c r="J225" i="1"/>
  <c r="O225" i="1" s="1"/>
  <c r="Q225" i="1" s="1"/>
  <c r="J223" i="1"/>
  <c r="M223" i="1" s="1"/>
  <c r="Q223" i="1" s="1"/>
  <c r="N367" i="1"/>
  <c r="J209" i="1"/>
  <c r="M209" i="1" s="1"/>
  <c r="Q209" i="1" s="1"/>
  <c r="J239" i="1"/>
  <c r="O239" i="1" s="1"/>
  <c r="J281" i="1"/>
  <c r="O281" i="1" s="1"/>
  <c r="O275" i="1" s="1"/>
  <c r="L208" i="1"/>
  <c r="K208" i="1" s="1"/>
  <c r="L222" i="1"/>
  <c r="K222" i="1" s="1"/>
  <c r="L190" i="1"/>
  <c r="K190" i="1" s="1"/>
  <c r="L458" i="1"/>
  <c r="K458" i="1" s="1"/>
  <c r="L298" i="1"/>
  <c r="K298" i="1" s="1"/>
  <c r="M41" i="1"/>
  <c r="L278" i="1"/>
  <c r="K278" i="1" s="1"/>
  <c r="L237" i="1"/>
  <c r="K237" i="1" s="1"/>
  <c r="L521" i="1"/>
  <c r="K521" i="1" s="1"/>
  <c r="J118" i="1"/>
  <c r="M118" i="1" s="1"/>
  <c r="M114" i="1" s="1"/>
  <c r="J462" i="1"/>
  <c r="O462" i="1" s="1"/>
  <c r="Q462" i="1" s="1"/>
  <c r="L526" i="1"/>
  <c r="K526" i="1" s="1"/>
  <c r="L524" i="1"/>
  <c r="K524" i="1" s="1"/>
  <c r="L457" i="1"/>
  <c r="K457" i="1" s="1"/>
  <c r="L236" i="1"/>
  <c r="K236" i="1" s="1"/>
  <c r="L249" i="1"/>
  <c r="J524" i="1"/>
  <c r="O524" i="1" s="1"/>
  <c r="H525" i="1"/>
  <c r="J525" i="1" s="1"/>
  <c r="O525" i="1" s="1"/>
  <c r="Q525" i="1" s="1"/>
  <c r="H527" i="1"/>
  <c r="L519" i="1"/>
  <c r="K519" i="1" s="1"/>
  <c r="L520" i="1"/>
  <c r="K520" i="1" s="1"/>
  <c r="P163" i="1"/>
  <c r="L117" i="1"/>
  <c r="K117" i="1" s="1"/>
  <c r="L139" i="1"/>
  <c r="K139" i="1" s="1"/>
  <c r="L104" i="1"/>
  <c r="K104" i="1" s="1"/>
  <c r="L98" i="1"/>
  <c r="K98" i="1" s="1"/>
  <c r="N163" i="1"/>
  <c r="L77" i="1"/>
  <c r="K77" i="1" s="1"/>
  <c r="L147" i="1"/>
  <c r="K147" i="1" s="1"/>
  <c r="L145" i="1"/>
  <c r="K145" i="1" s="1"/>
  <c r="M163" i="1"/>
  <c r="O163" i="1"/>
  <c r="L146" i="1"/>
  <c r="K146" i="1" s="1"/>
  <c r="L140" i="1"/>
  <c r="K140" i="1" s="1"/>
  <c r="J145" i="1"/>
  <c r="O145" i="1" s="1"/>
  <c r="L105" i="1"/>
  <c r="K105" i="1" s="1"/>
  <c r="Q134" i="1"/>
  <c r="L125" i="1"/>
  <c r="K125" i="1" s="1"/>
  <c r="L138" i="1"/>
  <c r="K138" i="1" s="1"/>
  <c r="P72" i="1"/>
  <c r="L91" i="1"/>
  <c r="K91" i="1" s="1"/>
  <c r="L89" i="1"/>
  <c r="K89" i="1" s="1"/>
  <c r="L126" i="1"/>
  <c r="K126" i="1" s="1"/>
  <c r="L111" i="1"/>
  <c r="K111" i="1" s="1"/>
  <c r="L110" i="1"/>
  <c r="K110" i="1" s="1"/>
  <c r="L82" i="1"/>
  <c r="K82" i="1" s="1"/>
  <c r="J124" i="1"/>
  <c r="O124" i="1" s="1"/>
  <c r="Q124" i="1" s="1"/>
  <c r="L124" i="1"/>
  <c r="K124" i="1" s="1"/>
  <c r="Q69" i="1"/>
  <c r="L103" i="1"/>
  <c r="K103" i="1" s="1"/>
  <c r="L97" i="1"/>
  <c r="K97" i="1" s="1"/>
  <c r="L112" i="1"/>
  <c r="K112" i="1" s="1"/>
  <c r="L83" i="1"/>
  <c r="K83" i="1" s="1"/>
  <c r="L76" i="1"/>
  <c r="K76" i="1" s="1"/>
  <c r="L96" i="1"/>
  <c r="K96" i="1" s="1"/>
  <c r="L75" i="1"/>
  <c r="K75" i="1" s="1"/>
  <c r="J75" i="1"/>
  <c r="O75" i="1" s="1"/>
  <c r="Q75" i="1" s="1"/>
  <c r="Q14" i="1"/>
  <c r="N79" i="1"/>
  <c r="L84" i="1"/>
  <c r="K84" i="1" s="1"/>
  <c r="K518" i="1"/>
  <c r="P474" i="1"/>
  <c r="P475" i="1"/>
  <c r="P476" i="1"/>
  <c r="P477" i="1"/>
  <c r="P478" i="1"/>
  <c r="P479" i="1"/>
  <c r="P480" i="1"/>
  <c r="P481" i="1"/>
  <c r="P482" i="1"/>
  <c r="P483" i="1"/>
  <c r="P484" i="1"/>
  <c r="P485" i="1"/>
  <c r="P486" i="1"/>
  <c r="J138" i="1"/>
  <c r="O138" i="1" s="1"/>
  <c r="P505" i="1"/>
  <c r="P506" i="1"/>
  <c r="P507" i="1"/>
  <c r="P508" i="1"/>
  <c r="P509" i="1"/>
  <c r="P510" i="1"/>
  <c r="P511" i="1"/>
  <c r="P512" i="1"/>
  <c r="P513" i="1"/>
  <c r="P514" i="1"/>
  <c r="P515" i="1"/>
  <c r="P516" i="1"/>
  <c r="P517" i="1"/>
  <c r="N474" i="1"/>
  <c r="N475" i="1"/>
  <c r="N476" i="1"/>
  <c r="N477" i="1"/>
  <c r="N478" i="1"/>
  <c r="N479" i="1"/>
  <c r="N480" i="1"/>
  <c r="N481" i="1"/>
  <c r="N482" i="1"/>
  <c r="N483" i="1"/>
  <c r="N484" i="1"/>
  <c r="N485" i="1"/>
  <c r="N486" i="1"/>
  <c r="N505" i="1"/>
  <c r="N506" i="1"/>
  <c r="N507" i="1"/>
  <c r="N508" i="1"/>
  <c r="N509" i="1"/>
  <c r="N510" i="1"/>
  <c r="N511" i="1"/>
  <c r="N512" i="1"/>
  <c r="N513" i="1"/>
  <c r="N514" i="1"/>
  <c r="N515" i="1"/>
  <c r="N516" i="1"/>
  <c r="N517" i="1"/>
  <c r="N72" i="1"/>
  <c r="N443" i="1"/>
  <c r="N444" i="1"/>
  <c r="N445" i="1"/>
  <c r="N446" i="1"/>
  <c r="N447" i="1"/>
  <c r="N448" i="1"/>
  <c r="N449" i="1"/>
  <c r="N450" i="1"/>
  <c r="N451" i="1"/>
  <c r="N452" i="1"/>
  <c r="N453" i="1"/>
  <c r="N454" i="1"/>
  <c r="N455" i="1"/>
  <c r="P443" i="1"/>
  <c r="P444" i="1"/>
  <c r="P445" i="1"/>
  <c r="P446" i="1"/>
  <c r="P447" i="1"/>
  <c r="P448" i="1"/>
  <c r="P449" i="1"/>
  <c r="P450" i="1"/>
  <c r="P451" i="1"/>
  <c r="P452" i="1"/>
  <c r="P453" i="1"/>
  <c r="P454" i="1"/>
  <c r="P455" i="1"/>
  <c r="P268" i="1"/>
  <c r="K50" i="1"/>
  <c r="L49" i="1"/>
  <c r="K34" i="1"/>
  <c r="N5" i="1"/>
  <c r="K621" i="1"/>
  <c r="K614" i="1"/>
  <c r="L613" i="1"/>
  <c r="C203" i="7" s="1"/>
  <c r="K611" i="1"/>
  <c r="L610" i="1"/>
  <c r="C202" i="7" s="1"/>
  <c r="K544" i="1"/>
  <c r="L543" i="1"/>
  <c r="C145" i="7" s="1"/>
  <c r="K541" i="1"/>
  <c r="L540" i="1"/>
  <c r="C144" i="7" s="1"/>
  <c r="K538" i="1"/>
  <c r="L537" i="1"/>
  <c r="C143" i="7" s="1"/>
  <c r="K535" i="1"/>
  <c r="L534" i="1"/>
  <c r="C142" i="7" s="1"/>
  <c r="K530" i="1"/>
  <c r="L529" i="1"/>
  <c r="C139" i="7" s="1"/>
  <c r="K456" i="1"/>
  <c r="K419" i="1"/>
  <c r="L418" i="1"/>
  <c r="Q394" i="1"/>
  <c r="K378" i="1"/>
  <c r="O372" i="1"/>
  <c r="K356" i="1"/>
  <c r="L355" i="1"/>
  <c r="C74" i="7" s="1"/>
  <c r="K368" i="1"/>
  <c r="K363" i="1"/>
  <c r="K359" i="1"/>
  <c r="L358" i="1"/>
  <c r="C75" i="7" s="1"/>
  <c r="K342" i="1"/>
  <c r="K317" i="1"/>
  <c r="K312" i="1"/>
  <c r="K308" i="1"/>
  <c r="K297" i="1"/>
  <c r="K284" i="1"/>
  <c r="K256" i="1"/>
  <c r="K242" i="1"/>
  <c r="K228" i="1"/>
  <c r="K214" i="1"/>
  <c r="K200" i="1"/>
  <c r="Q191" i="1"/>
  <c r="K178" i="1"/>
  <c r="K172" i="1"/>
  <c r="K53" i="1"/>
  <c r="L52" i="1"/>
  <c r="C12" i="7" s="1"/>
  <c r="M149" i="1"/>
  <c r="N149" i="1"/>
  <c r="P149" i="1"/>
  <c r="K152" i="1"/>
  <c r="K116" i="1"/>
  <c r="K123" i="1"/>
  <c r="J110" i="1"/>
  <c r="O110" i="1" s="1"/>
  <c r="J103" i="1"/>
  <c r="O103" i="1" s="1"/>
  <c r="J96" i="1"/>
  <c r="O96" i="1" s="1"/>
  <c r="L90" i="1"/>
  <c r="K90" i="1" s="1"/>
  <c r="J89" i="1"/>
  <c r="O89" i="1" s="1"/>
  <c r="P79" i="1"/>
  <c r="J82" i="1"/>
  <c r="O82" i="1" s="1"/>
  <c r="O79" i="1" s="1"/>
  <c r="K74" i="1"/>
  <c r="Q440" i="1"/>
  <c r="P437" i="1"/>
  <c r="P240" i="1"/>
  <c r="M212" i="1"/>
  <c r="P121" i="1"/>
  <c r="N93" i="1"/>
  <c r="P427" i="1"/>
  <c r="O400" i="1"/>
  <c r="P169" i="1"/>
  <c r="N86" i="1"/>
  <c r="P391" i="1"/>
  <c r="M377" i="1"/>
  <c r="N377" i="1"/>
  <c r="P316" i="1"/>
  <c r="P254" i="1"/>
  <c r="M198" i="1"/>
  <c r="M182" i="1"/>
  <c r="P175" i="1"/>
  <c r="P135" i="1"/>
  <c r="P362" i="1"/>
  <c r="N219" i="1"/>
  <c r="N128" i="1"/>
  <c r="P409" i="1"/>
  <c r="N296" i="1"/>
  <c r="N212" i="1"/>
  <c r="M121" i="1"/>
  <c r="N427" i="1"/>
  <c r="M372" i="1"/>
  <c r="P372" i="1"/>
  <c r="M310" i="1"/>
  <c r="N261" i="1"/>
  <c r="Q171" i="1"/>
  <c r="M169" i="1"/>
  <c r="N169" i="1"/>
  <c r="N142" i="1"/>
  <c r="P114" i="1"/>
  <c r="O391" i="1"/>
  <c r="O377" i="1"/>
  <c r="N316" i="1"/>
  <c r="P282" i="1"/>
  <c r="N254" i="1"/>
  <c r="P226" i="1"/>
  <c r="N198" i="1"/>
  <c r="O182" i="1"/>
  <c r="N135" i="1"/>
  <c r="P382" i="1"/>
  <c r="M362" i="1"/>
  <c r="N362" i="1"/>
  <c r="P275" i="1"/>
  <c r="N157" i="1"/>
  <c r="P100" i="1"/>
  <c r="P296" i="1"/>
  <c r="N268" i="1"/>
  <c r="N121" i="1"/>
  <c r="P65" i="1"/>
  <c r="O427" i="1"/>
  <c r="P400" i="1"/>
  <c r="N310" i="1"/>
  <c r="O310" i="1"/>
  <c r="P261" i="1"/>
  <c r="P233" i="1"/>
  <c r="P205" i="1"/>
  <c r="N114" i="1"/>
  <c r="M282" i="1"/>
  <c r="P198" i="1"/>
  <c r="N182" i="1"/>
  <c r="M175" i="1"/>
  <c r="P107" i="1"/>
  <c r="O33" i="1"/>
  <c r="M65" i="1"/>
  <c r="M382" i="1"/>
  <c r="N275" i="1"/>
  <c r="N247" i="1"/>
  <c r="P219" i="1"/>
  <c r="P188" i="1"/>
  <c r="P157" i="1"/>
  <c r="P128" i="1"/>
  <c r="M100" i="1"/>
  <c r="M72" i="1"/>
  <c r="N240" i="1"/>
  <c r="P212" i="1"/>
  <c r="P93" i="1"/>
  <c r="N65" i="1"/>
  <c r="M5" i="1"/>
  <c r="Q541" i="1"/>
  <c r="Q540" i="1" s="1"/>
  <c r="M540" i="1"/>
  <c r="M427" i="1"/>
  <c r="N372" i="1"/>
  <c r="P310" i="1"/>
  <c r="N233" i="1"/>
  <c r="N205" i="1"/>
  <c r="P142" i="1"/>
  <c r="P86" i="1"/>
  <c r="N41" i="1"/>
  <c r="M391" i="1"/>
  <c r="P377" i="1"/>
  <c r="N282" i="1"/>
  <c r="N226" i="1"/>
  <c r="P182" i="1"/>
  <c r="N175" i="1"/>
  <c r="N107" i="1"/>
  <c r="O382" i="1"/>
  <c r="P247" i="1"/>
  <c r="M188" i="1"/>
  <c r="N188" i="1"/>
  <c r="M157" i="1"/>
  <c r="M128" i="1"/>
  <c r="N100" i="1"/>
  <c r="Q374" i="1"/>
  <c r="Q407" i="1"/>
  <c r="Q208" i="1"/>
  <c r="Q373" i="1"/>
  <c r="Q43" i="1"/>
  <c r="Q19" i="1"/>
  <c r="Q544" i="1"/>
  <c r="Q543" i="1" s="1"/>
  <c r="Q530" i="1"/>
  <c r="Q529" i="1" s="1"/>
  <c r="Q271" i="1"/>
  <c r="Q216" i="1"/>
  <c r="Q397" i="1"/>
  <c r="Q259" i="1"/>
  <c r="Q253" i="1"/>
  <c r="Q95" i="1"/>
  <c r="Q267" i="1"/>
  <c r="Q152" i="1"/>
  <c r="Q109" i="1"/>
  <c r="Q155" i="1"/>
  <c r="Q460" i="1"/>
  <c r="Q104" i="1"/>
  <c r="Q429" i="1"/>
  <c r="Q230" i="1"/>
  <c r="Q518" i="1"/>
  <c r="Q387" i="1"/>
  <c r="Q379" i="1"/>
  <c r="Q207" i="1"/>
  <c r="Q185" i="1"/>
  <c r="Q521" i="1"/>
  <c r="Q288" i="1"/>
  <c r="Q246" i="1"/>
  <c r="Q224" i="1"/>
  <c r="Q127" i="1"/>
  <c r="Q99" i="1"/>
  <c r="Q35" i="1"/>
  <c r="Q464" i="1"/>
  <c r="Q204" i="1"/>
  <c r="Q160" i="1"/>
  <c r="Q496" i="1"/>
  <c r="Q369" i="1"/>
  <c r="Q9" i="1"/>
  <c r="Q274" i="1"/>
  <c r="Q133" i="1"/>
  <c r="Q167" i="1"/>
  <c r="Q141" i="1"/>
  <c r="Q403" i="1"/>
  <c r="Q396" i="1"/>
  <c r="Q380" i="1"/>
  <c r="Q313" i="1"/>
  <c r="Q252" i="1"/>
  <c r="Q31" i="1"/>
  <c r="Q20" i="1"/>
  <c r="Q522" i="1"/>
  <c r="Q402" i="1"/>
  <c r="Q346" i="1"/>
  <c r="Q229" i="1"/>
  <c r="Q178" i="1"/>
  <c r="Q92" i="1"/>
  <c r="Q21" i="1"/>
  <c r="Q614" i="1"/>
  <c r="Q613" i="1" s="1"/>
  <c r="Q538" i="1"/>
  <c r="Q537" i="1" s="1"/>
  <c r="Q398" i="1"/>
  <c r="Q378" i="1"/>
  <c r="Q278" i="1"/>
  <c r="Q256" i="1"/>
  <c r="Q238" i="1"/>
  <c r="Q153" i="1"/>
  <c r="Q131" i="1"/>
  <c r="Q34" i="1"/>
  <c r="Q535" i="1"/>
  <c r="Q405" i="1"/>
  <c r="Q375" i="1"/>
  <c r="Q302" i="1"/>
  <c r="Q277" i="1"/>
  <c r="Q173" i="1"/>
  <c r="Q112" i="1"/>
  <c r="Q68" i="1"/>
  <c r="Q471" i="1"/>
  <c r="Q416" i="1"/>
  <c r="Q347" i="1"/>
  <c r="Q202" i="1"/>
  <c r="Q428" i="1"/>
  <c r="Q161" i="1"/>
  <c r="Q148" i="1"/>
  <c r="Q76" i="1"/>
  <c r="Q11" i="1"/>
  <c r="Q385" i="1"/>
  <c r="Q210" i="1"/>
  <c r="Q184" i="1"/>
  <c r="Q39" i="1"/>
  <c r="Q38" i="1" s="1"/>
  <c r="Q12" i="1"/>
  <c r="Q350" i="1"/>
  <c r="Q159" i="1"/>
  <c r="Q74" i="1"/>
  <c r="Q621" i="1"/>
  <c r="Q388" i="1"/>
  <c r="Q368" i="1"/>
  <c r="Q280" i="1"/>
  <c r="Q264" i="1"/>
  <c r="Q165" i="1"/>
  <c r="Q151" i="1"/>
  <c r="Q28" i="1"/>
  <c r="Q47" i="1"/>
  <c r="Q46" i="1" s="1"/>
  <c r="Q15" i="1"/>
  <c r="Q365" i="1"/>
  <c r="Q356" i="1"/>
  <c r="Q355" i="1" s="1"/>
  <c r="Q318" i="1"/>
  <c r="Q312" i="1"/>
  <c r="Q235" i="1"/>
  <c r="Q217" i="1"/>
  <c r="Q201" i="1"/>
  <c r="Q144" i="1"/>
  <c r="Q132" i="1"/>
  <c r="Q120" i="1"/>
  <c r="Q44" i="1"/>
  <c r="Q25" i="1"/>
  <c r="Q179" i="1"/>
  <c r="Q414" i="1"/>
  <c r="Q353" i="1"/>
  <c r="Q352" i="1" s="1"/>
  <c r="Q284" i="1"/>
  <c r="Q266" i="1"/>
  <c r="Q250" i="1"/>
  <c r="Q119" i="1"/>
  <c r="Q85" i="1"/>
  <c r="Q419" i="1"/>
  <c r="Q412" i="1"/>
  <c r="Q389" i="1"/>
  <c r="Q314" i="1"/>
  <c r="Q287" i="1"/>
  <c r="Q243" i="1"/>
  <c r="Q231" i="1"/>
  <c r="Q193" i="1"/>
  <c r="Q180" i="1"/>
  <c r="Q166" i="1"/>
  <c r="Q78" i="1"/>
  <c r="Q23" i="1"/>
  <c r="Q36" i="1"/>
  <c r="Q343" i="1"/>
  <c r="Q270" i="1"/>
  <c r="Q186" i="1"/>
  <c r="Q172" i="1"/>
  <c r="Q618" i="1"/>
  <c r="Q53" i="1"/>
  <c r="Q502" i="1"/>
  <c r="Q308" i="1"/>
  <c r="Q305" i="1" s="1"/>
  <c r="Q67" i="1"/>
  <c r="Q50" i="1"/>
  <c r="Q49" i="1" s="1"/>
  <c r="Q249" i="1" l="1"/>
  <c r="Q611" i="1"/>
  <c r="Q610" i="1" s="1"/>
  <c r="Q433" i="1"/>
  <c r="Q432" i="1" s="1"/>
  <c r="Q359" i="1"/>
  <c r="Q358" i="1" s="1"/>
  <c r="Q263" i="1"/>
  <c r="Q624" i="1"/>
  <c r="Q623" i="1" s="1"/>
  <c r="L382" i="1"/>
  <c r="J391" i="1"/>
  <c r="L219" i="1"/>
  <c r="L261" i="1"/>
  <c r="L367" i="1"/>
  <c r="Q499" i="1"/>
  <c r="Q418" i="1"/>
  <c r="Q349" i="1"/>
  <c r="Q468" i="1"/>
  <c r="Q620" i="1"/>
  <c r="Q534" i="1"/>
  <c r="Q30" i="1"/>
  <c r="Q52" i="1"/>
  <c r="Q27" i="1"/>
  <c r="Q437" i="1"/>
  <c r="L247" i="1"/>
  <c r="L198" i="1"/>
  <c r="L114" i="1"/>
  <c r="Q617" i="1"/>
  <c r="P5" i="1"/>
  <c r="N409" i="1"/>
  <c r="K425" i="1"/>
  <c r="L679" i="1"/>
  <c r="L677" i="1" s="1"/>
  <c r="K677" i="1" s="1"/>
  <c r="L377" i="1"/>
  <c r="L409" i="1"/>
  <c r="L182" i="1"/>
  <c r="L169" i="1"/>
  <c r="C31" i="7" s="1"/>
  <c r="L316" i="1"/>
  <c r="Q393" i="1"/>
  <c r="Q130" i="1"/>
  <c r="Q128" i="1" s="1"/>
  <c r="Q320" i="1"/>
  <c r="P323" i="1"/>
  <c r="O205" i="1"/>
  <c r="L275" i="1"/>
  <c r="O226" i="1"/>
  <c r="L254" i="1"/>
  <c r="L163" i="1"/>
  <c r="L662" i="1"/>
  <c r="L372" i="1"/>
  <c r="L157" i="1"/>
  <c r="L296" i="1"/>
  <c r="Q425" i="1"/>
  <c r="L188" i="1"/>
  <c r="L205" i="1"/>
  <c r="O240" i="1"/>
  <c r="L212" i="1"/>
  <c r="L282" i="1"/>
  <c r="L128" i="1"/>
  <c r="L400" i="1"/>
  <c r="K16" i="11"/>
  <c r="J17" i="11"/>
  <c r="H17" i="11"/>
  <c r="I16" i="11"/>
  <c r="D17" i="11"/>
  <c r="E16" i="11"/>
  <c r="C18" i="11"/>
  <c r="B19" i="11"/>
  <c r="G16" i="11"/>
  <c r="F17" i="11"/>
  <c r="K44" i="1"/>
  <c r="L41" i="1"/>
  <c r="O316" i="1"/>
  <c r="Q117" i="1"/>
  <c r="K576" i="1"/>
  <c r="O282" i="1"/>
  <c r="Q60" i="1"/>
  <c r="Q415" i="1"/>
  <c r="Q177" i="1"/>
  <c r="Q294" i="1"/>
  <c r="K263" i="1"/>
  <c r="K109" i="1"/>
  <c r="L107" i="1"/>
  <c r="K235" i="1"/>
  <c r="L233" i="1"/>
  <c r="K294" i="1"/>
  <c r="K137" i="1"/>
  <c r="L135" i="1"/>
  <c r="L660" i="1"/>
  <c r="L631" i="1" s="1"/>
  <c r="K631" i="1" s="1"/>
  <c r="K88" i="1"/>
  <c r="L86" i="1"/>
  <c r="L240" i="1"/>
  <c r="L121" i="1"/>
  <c r="K249" i="1"/>
  <c r="K277" i="1"/>
  <c r="K144" i="1"/>
  <c r="L142" i="1"/>
  <c r="L72" i="1"/>
  <c r="K67" i="1"/>
  <c r="L65" i="1"/>
  <c r="L226" i="1"/>
  <c r="L175" i="1"/>
  <c r="K221" i="1"/>
  <c r="K487" i="1"/>
  <c r="K189" i="1"/>
  <c r="K81" i="1"/>
  <c r="L79" i="1"/>
  <c r="K207" i="1"/>
  <c r="K102" i="1"/>
  <c r="L100" i="1"/>
  <c r="K95" i="1"/>
  <c r="L93" i="1"/>
  <c r="L268" i="1"/>
  <c r="C28" i="7"/>
  <c r="C53" i="7"/>
  <c r="C81" i="7"/>
  <c r="C86" i="7"/>
  <c r="C14" i="7"/>
  <c r="C78" i="7"/>
  <c r="C7" i="7"/>
  <c r="C33" i="7"/>
  <c r="C54" i="7"/>
  <c r="C84" i="7"/>
  <c r="C206" i="7"/>
  <c r="C80" i="7"/>
  <c r="C11" i="7"/>
  <c r="C87" i="7"/>
  <c r="J409" i="1"/>
  <c r="P550" i="1"/>
  <c r="P546" i="1"/>
  <c r="O342" i="1"/>
  <c r="O331" i="1" s="1"/>
  <c r="J328" i="1"/>
  <c r="J100" i="1"/>
  <c r="J93" i="1"/>
  <c r="J86" i="1"/>
  <c r="J316" i="1"/>
  <c r="J205" i="1"/>
  <c r="J188" i="1"/>
  <c r="J233" i="1"/>
  <c r="J107" i="1"/>
  <c r="J261" i="1"/>
  <c r="J268" i="1"/>
  <c r="Q583" i="1"/>
  <c r="Q587" i="1"/>
  <c r="Q591" i="1"/>
  <c r="Q579" i="1"/>
  <c r="Q580" i="1"/>
  <c r="Q584" i="1"/>
  <c r="Q588" i="1"/>
  <c r="Q578" i="1"/>
  <c r="Q581" i="1"/>
  <c r="Q585" i="1"/>
  <c r="Q589" i="1"/>
  <c r="Q582" i="1"/>
  <c r="Q586" i="1"/>
  <c r="Q590" i="1"/>
  <c r="Q594" i="1"/>
  <c r="Q596" i="1"/>
  <c r="Q600" i="1"/>
  <c r="Q604" i="1"/>
  <c r="Q597" i="1"/>
  <c r="Q601" i="1"/>
  <c r="Q605" i="1"/>
  <c r="Q598" i="1"/>
  <c r="Q602" i="1"/>
  <c r="Q606" i="1"/>
  <c r="Q599" i="1"/>
  <c r="Q603" i="1"/>
  <c r="Q607" i="1"/>
  <c r="Q595" i="1"/>
  <c r="N62" i="1"/>
  <c r="P567" i="1"/>
  <c r="P571" i="1"/>
  <c r="P575" i="1"/>
  <c r="P563" i="1"/>
  <c r="P562" i="1"/>
  <c r="P564" i="1"/>
  <c r="P568" i="1"/>
  <c r="P572" i="1"/>
  <c r="P565" i="1"/>
  <c r="P569" i="1"/>
  <c r="P573" i="1"/>
  <c r="P566" i="1"/>
  <c r="P570" i="1"/>
  <c r="P574" i="1"/>
  <c r="O7" i="1"/>
  <c r="Q7" i="1" s="1"/>
  <c r="J5" i="1"/>
  <c r="J149" i="1"/>
  <c r="J114" i="1"/>
  <c r="J282" i="1"/>
  <c r="M442" i="1"/>
  <c r="P580" i="1"/>
  <c r="P584" i="1"/>
  <c r="P588" i="1"/>
  <c r="P581" i="1"/>
  <c r="P585" i="1"/>
  <c r="P589" i="1"/>
  <c r="P582" i="1"/>
  <c r="P586" i="1"/>
  <c r="P590" i="1"/>
  <c r="P578" i="1"/>
  <c r="P583" i="1"/>
  <c r="P587" i="1"/>
  <c r="P591" i="1"/>
  <c r="P579" i="1"/>
  <c r="O363" i="1"/>
  <c r="Q363" i="1" s="1"/>
  <c r="J362" i="1"/>
  <c r="O123" i="1"/>
  <c r="Q123" i="1" s="1"/>
  <c r="Q121" i="1" s="1"/>
  <c r="J121" i="1"/>
  <c r="J135" i="1"/>
  <c r="J79" i="1"/>
  <c r="J254" i="1"/>
  <c r="J367" i="1"/>
  <c r="J198" i="1"/>
  <c r="J226" i="1"/>
  <c r="J142" i="1"/>
  <c r="J240" i="1"/>
  <c r="J275" i="1"/>
  <c r="J65" i="1"/>
  <c r="Q546" i="1"/>
  <c r="Q547" i="1"/>
  <c r="P195" i="1"/>
  <c r="P62" i="1"/>
  <c r="N195" i="1"/>
  <c r="O487" i="1"/>
  <c r="J400" i="1"/>
  <c r="J296" i="1"/>
  <c r="J72" i="1"/>
  <c r="J219" i="1"/>
  <c r="J247" i="1"/>
  <c r="P597" i="1"/>
  <c r="P601" i="1"/>
  <c r="P605" i="1"/>
  <c r="P594" i="1"/>
  <c r="P598" i="1"/>
  <c r="P602" i="1"/>
  <c r="P606" i="1"/>
  <c r="P599" i="1"/>
  <c r="P603" i="1"/>
  <c r="P607" i="1"/>
  <c r="P595" i="1"/>
  <c r="P596" i="1"/>
  <c r="P600" i="1"/>
  <c r="P604" i="1"/>
  <c r="O504" i="1"/>
  <c r="J212" i="1"/>
  <c r="M473" i="1"/>
  <c r="J662" i="1"/>
  <c r="O662" i="1"/>
  <c r="J679" i="1"/>
  <c r="M679" i="1"/>
  <c r="Q640" i="1"/>
  <c r="Q237" i="1"/>
  <c r="O198" i="1"/>
  <c r="Q245" i="1"/>
  <c r="Q240" i="1" s="1"/>
  <c r="Q139" i="1"/>
  <c r="Q301" i="1"/>
  <c r="Q296" i="1" s="1"/>
  <c r="Q491" i="1"/>
  <c r="Q258" i="1"/>
  <c r="Q146" i="1"/>
  <c r="M240" i="1"/>
  <c r="O212" i="1"/>
  <c r="Q111" i="1"/>
  <c r="M79" i="1"/>
  <c r="M247" i="1"/>
  <c r="O268" i="1"/>
  <c r="Q700" i="1"/>
  <c r="Q692" i="1" s="1"/>
  <c r="P692" i="1"/>
  <c r="J692" i="1"/>
  <c r="Q118" i="1"/>
  <c r="Q281" i="1"/>
  <c r="O254" i="1"/>
  <c r="Q265" i="1"/>
  <c r="Q261" i="1" s="1"/>
  <c r="K428" i="1"/>
  <c r="Q370" i="1"/>
  <c r="Q367" i="1" s="1"/>
  <c r="Q257" i="1"/>
  <c r="O149" i="1"/>
  <c r="L364" i="1"/>
  <c r="K364" i="1" s="1"/>
  <c r="O65" i="1"/>
  <c r="Q272" i="1"/>
  <c r="Q268" i="1" s="1"/>
  <c r="Q90" i="1"/>
  <c r="Q576" i="1"/>
  <c r="L344" i="1"/>
  <c r="L336" i="1" s="1"/>
  <c r="J494" i="1"/>
  <c r="O494" i="1" s="1"/>
  <c r="Q494" i="1" s="1"/>
  <c r="Q279" i="1"/>
  <c r="Q319" i="1"/>
  <c r="Q316" i="1" s="1"/>
  <c r="Q232" i="1"/>
  <c r="Q226" i="1" s="1"/>
  <c r="M400" i="1"/>
  <c r="O296" i="1"/>
  <c r="M484" i="1"/>
  <c r="Q633" i="1"/>
  <c r="M481" i="1"/>
  <c r="P552" i="1"/>
  <c r="O107" i="1"/>
  <c r="O329" i="1"/>
  <c r="O100" i="1"/>
  <c r="L489" i="1"/>
  <c r="K489" i="1" s="1"/>
  <c r="O233" i="1"/>
  <c r="M480" i="1"/>
  <c r="M477" i="1"/>
  <c r="P548" i="1"/>
  <c r="O135" i="1"/>
  <c r="M479" i="1"/>
  <c r="M486" i="1"/>
  <c r="P556" i="1"/>
  <c r="O142" i="1"/>
  <c r="L495" i="1"/>
  <c r="K495" i="1" s="1"/>
  <c r="Q364" i="1"/>
  <c r="O93" i="1"/>
  <c r="M474" i="1"/>
  <c r="M482" i="1"/>
  <c r="M483" i="1"/>
  <c r="M478" i="1"/>
  <c r="M476" i="1"/>
  <c r="M475" i="1"/>
  <c r="P557" i="1"/>
  <c r="P553" i="1"/>
  <c r="P549" i="1"/>
  <c r="P559" i="1"/>
  <c r="P555" i="1"/>
  <c r="P551" i="1"/>
  <c r="P547" i="1"/>
  <c r="P558" i="1"/>
  <c r="P554" i="1"/>
  <c r="M445" i="1"/>
  <c r="K60" i="1"/>
  <c r="Q239" i="1"/>
  <c r="M444" i="1"/>
  <c r="J463" i="1"/>
  <c r="O463" i="1" s="1"/>
  <c r="O446" i="1" s="1"/>
  <c r="L592" i="1"/>
  <c r="K592" i="1" s="1"/>
  <c r="C154" i="7"/>
  <c r="C149" i="7"/>
  <c r="C148" i="7"/>
  <c r="C150" i="7"/>
  <c r="C147" i="7"/>
  <c r="C159" i="7"/>
  <c r="C157" i="7"/>
  <c r="C156" i="7"/>
  <c r="C155" i="7"/>
  <c r="C158" i="7"/>
  <c r="C153" i="7"/>
  <c r="C152" i="7"/>
  <c r="C151" i="7"/>
  <c r="L606" i="1"/>
  <c r="L601" i="1"/>
  <c r="L600" i="1"/>
  <c r="L599" i="1"/>
  <c r="L602" i="1"/>
  <c r="L597" i="1"/>
  <c r="L596" i="1"/>
  <c r="L598" i="1"/>
  <c r="L595" i="1"/>
  <c r="L607" i="1"/>
  <c r="L605" i="1"/>
  <c r="L604" i="1"/>
  <c r="L603" i="1"/>
  <c r="L465" i="1"/>
  <c r="K465" i="1" s="1"/>
  <c r="Q548" i="1"/>
  <c r="Q549" i="1"/>
  <c r="Q550" i="1"/>
  <c r="Q551" i="1"/>
  <c r="Q552" i="1"/>
  <c r="Q553" i="1"/>
  <c r="Q554" i="1"/>
  <c r="Q555" i="1"/>
  <c r="Q556" i="1"/>
  <c r="Q557" i="1"/>
  <c r="Q558" i="1"/>
  <c r="Q559" i="1"/>
  <c r="L490" i="1"/>
  <c r="K490" i="1" s="1"/>
  <c r="M205" i="1"/>
  <c r="O219" i="1"/>
  <c r="O86" i="1"/>
  <c r="O512" i="1"/>
  <c r="M219" i="1"/>
  <c r="M93" i="1"/>
  <c r="M443" i="1"/>
  <c r="M455" i="1"/>
  <c r="M450" i="1"/>
  <c r="O188" i="1"/>
  <c r="M453" i="1"/>
  <c r="M452" i="1"/>
  <c r="M451" i="1"/>
  <c r="M446" i="1"/>
  <c r="Q465" i="1"/>
  <c r="M449" i="1"/>
  <c r="M448" i="1"/>
  <c r="M447" i="1"/>
  <c r="L326" i="1"/>
  <c r="L488" i="1"/>
  <c r="K488" i="1" s="1"/>
  <c r="Q377" i="1"/>
  <c r="O513" i="1"/>
  <c r="O508" i="1"/>
  <c r="Q524" i="1"/>
  <c r="O517" i="1"/>
  <c r="O506" i="1"/>
  <c r="O509" i="1"/>
  <c r="O516" i="1"/>
  <c r="O510" i="1"/>
  <c r="O505" i="1"/>
  <c r="O514" i="1"/>
  <c r="O507" i="1"/>
  <c r="O515" i="1"/>
  <c r="O511" i="1"/>
  <c r="Q89" i="1"/>
  <c r="Q138" i="1"/>
  <c r="L525" i="1"/>
  <c r="K525" i="1" s="1"/>
  <c r="J527" i="1"/>
  <c r="M527" i="1" s="1"/>
  <c r="M504" i="1" s="1"/>
  <c r="L527" i="1"/>
  <c r="Q145" i="1"/>
  <c r="Q96" i="1"/>
  <c r="Q93" i="1" s="1"/>
  <c r="Q103" i="1"/>
  <c r="Q100" i="1" s="1"/>
  <c r="Q110" i="1"/>
  <c r="O72" i="1"/>
  <c r="Q82" i="1"/>
  <c r="Q79" i="1" s="1"/>
  <c r="Q427" i="1"/>
  <c r="Q391" i="1"/>
  <c r="Q310" i="1"/>
  <c r="Q212" i="1"/>
  <c r="Q157" i="1"/>
  <c r="Q149" i="1"/>
  <c r="Q282" i="1"/>
  <c r="Q163" i="1"/>
  <c r="Q182" i="1"/>
  <c r="Q33" i="1"/>
  <c r="Q198" i="1"/>
  <c r="Q72" i="1"/>
  <c r="Q205" i="1"/>
  <c r="Q188" i="1"/>
  <c r="Q409" i="1"/>
  <c r="Q41" i="1"/>
  <c r="Q65" i="1"/>
  <c r="Q247" i="1"/>
  <c r="Q400" i="1"/>
  <c r="Q219" i="1"/>
  <c r="Q372" i="1"/>
  <c r="Q169" i="1"/>
  <c r="O337" i="1" l="1"/>
  <c r="O335" i="1"/>
  <c r="O340" i="1"/>
  <c r="O338" i="1"/>
  <c r="O333" i="1"/>
  <c r="O339" i="1"/>
  <c r="O330" i="1"/>
  <c r="Q175" i="1"/>
  <c r="O341" i="1"/>
  <c r="Q233" i="1"/>
  <c r="O332" i="1"/>
  <c r="Q114" i="1"/>
  <c r="O5" i="1"/>
  <c r="Q56" i="1"/>
  <c r="Q422" i="1"/>
  <c r="Q142" i="1"/>
  <c r="O121" i="1"/>
  <c r="Q5" i="1"/>
  <c r="Q291" i="1"/>
  <c r="O334" i="1"/>
  <c r="O336" i="1"/>
  <c r="L509" i="1"/>
  <c r="L447" i="1"/>
  <c r="L505" i="1"/>
  <c r="L483" i="1"/>
  <c r="L474" i="1"/>
  <c r="L475" i="1"/>
  <c r="L484" i="1"/>
  <c r="L332" i="1"/>
  <c r="L450" i="1"/>
  <c r="L514" i="1"/>
  <c r="L513" i="1"/>
  <c r="L330" i="1"/>
  <c r="L449" i="1"/>
  <c r="L445" i="1"/>
  <c r="L477" i="1"/>
  <c r="L478" i="1"/>
  <c r="L479" i="1"/>
  <c r="L517" i="1"/>
  <c r="L334" i="1"/>
  <c r="L451" i="1"/>
  <c r="L455" i="1"/>
  <c r="K344" i="1"/>
  <c r="L340" i="1"/>
  <c r="C70" i="7" s="1"/>
  <c r="L337" i="1"/>
  <c r="L329" i="1"/>
  <c r="L515" i="1"/>
  <c r="L331" i="1"/>
  <c r="C61" i="7" s="1"/>
  <c r="L454" i="1"/>
  <c r="L452" i="1"/>
  <c r="L481" i="1"/>
  <c r="L482" i="1"/>
  <c r="L476" i="1"/>
  <c r="L508" i="1"/>
  <c r="L339" i="1"/>
  <c r="L453" i="1"/>
  <c r="L507" i="1"/>
  <c r="L338" i="1"/>
  <c r="L446" i="1"/>
  <c r="L506" i="1"/>
  <c r="L341" i="1"/>
  <c r="L443" i="1"/>
  <c r="L362" i="1"/>
  <c r="L485" i="1"/>
  <c r="L486" i="1"/>
  <c r="L480" i="1"/>
  <c r="L510" i="1"/>
  <c r="L335" i="1"/>
  <c r="L444" i="1"/>
  <c r="L511" i="1"/>
  <c r="L512" i="1"/>
  <c r="L333" i="1"/>
  <c r="L448" i="1"/>
  <c r="L516" i="1"/>
  <c r="F18" i="11"/>
  <c r="G17" i="11"/>
  <c r="J18" i="11"/>
  <c r="K17" i="11"/>
  <c r="B20" i="11"/>
  <c r="C19" i="11"/>
  <c r="I17" i="11"/>
  <c r="H18" i="11"/>
  <c r="E17" i="11"/>
  <c r="D18" i="11"/>
  <c r="Q254" i="1"/>
  <c r="O362" i="1"/>
  <c r="Q107" i="1"/>
  <c r="Q362" i="1"/>
  <c r="Q275" i="1"/>
  <c r="M195" i="1"/>
  <c r="C17" i="7"/>
  <c r="C18" i="7"/>
  <c r="C51" i="7"/>
  <c r="C45" i="7"/>
  <c r="C37" i="7"/>
  <c r="C21" i="7"/>
  <c r="C27" i="7"/>
  <c r="C41" i="7"/>
  <c r="C47" i="7"/>
  <c r="C36" i="7"/>
  <c r="C30" i="7"/>
  <c r="C197" i="7"/>
  <c r="C199" i="7"/>
  <c r="C189" i="7"/>
  <c r="C190" i="7"/>
  <c r="C193" i="7"/>
  <c r="C195" i="7"/>
  <c r="C34" i="7"/>
  <c r="C46" i="7"/>
  <c r="C38" i="7"/>
  <c r="C22" i="7"/>
  <c r="C43" i="7"/>
  <c r="C192" i="7"/>
  <c r="C200" i="7"/>
  <c r="C25" i="7"/>
  <c r="C48" i="7"/>
  <c r="C16" i="7"/>
  <c r="C55" i="7"/>
  <c r="K660" i="1"/>
  <c r="L630" i="1"/>
  <c r="K630" i="1" s="1"/>
  <c r="C19" i="7"/>
  <c r="C39" i="7"/>
  <c r="C44" i="7"/>
  <c r="C24" i="7"/>
  <c r="C26" i="7"/>
  <c r="C23" i="7"/>
  <c r="C40" i="7"/>
  <c r="C198" i="7"/>
  <c r="C201" i="7"/>
  <c r="C191" i="7"/>
  <c r="C194" i="7"/>
  <c r="C83" i="7"/>
  <c r="C29" i="7"/>
  <c r="C82" i="7"/>
  <c r="C9" i="7"/>
  <c r="C50" i="7"/>
  <c r="C20" i="7"/>
  <c r="C196" i="7"/>
  <c r="C42" i="7"/>
  <c r="C79" i="7"/>
  <c r="C32" i="7"/>
  <c r="P1" i="1"/>
  <c r="M62" i="1"/>
  <c r="Q487" i="1"/>
  <c r="Q482" i="1" s="1"/>
  <c r="O473" i="1"/>
  <c r="J62" i="1"/>
  <c r="Q342" i="1"/>
  <c r="O328" i="1"/>
  <c r="Q195" i="1"/>
  <c r="O195" i="1"/>
  <c r="J195" i="1"/>
  <c r="J442" i="1"/>
  <c r="O62" i="1"/>
  <c r="O442" i="1"/>
  <c r="Q562" i="1"/>
  <c r="Q566" i="1"/>
  <c r="Q570" i="1"/>
  <c r="Q574" i="1"/>
  <c r="Q567" i="1"/>
  <c r="Q571" i="1"/>
  <c r="Q575" i="1"/>
  <c r="Q563" i="1"/>
  <c r="Q564" i="1"/>
  <c r="Q568" i="1"/>
  <c r="Q572" i="1"/>
  <c r="Q565" i="1"/>
  <c r="Q569" i="1"/>
  <c r="Q573" i="1"/>
  <c r="J473" i="1"/>
  <c r="J504" i="1"/>
  <c r="Q135" i="1"/>
  <c r="Q476" i="1"/>
  <c r="O486" i="1"/>
  <c r="O485" i="1"/>
  <c r="O477" i="1"/>
  <c r="O476" i="1"/>
  <c r="O483" i="1"/>
  <c r="O478" i="1"/>
  <c r="O475" i="1"/>
  <c r="O474" i="1"/>
  <c r="O481" i="1"/>
  <c r="O482" i="1"/>
  <c r="O479" i="1"/>
  <c r="O484" i="1"/>
  <c r="Q86" i="1"/>
  <c r="O480" i="1"/>
  <c r="O447" i="1"/>
  <c r="O454" i="1"/>
  <c r="O455" i="1"/>
  <c r="C99" i="7"/>
  <c r="O443" i="1"/>
  <c r="O450" i="1"/>
  <c r="O451" i="1"/>
  <c r="O448" i="1"/>
  <c r="L588" i="1"/>
  <c r="L589" i="1"/>
  <c r="L590" i="1"/>
  <c r="L591" i="1"/>
  <c r="L587" i="1"/>
  <c r="L586" i="1"/>
  <c r="O444" i="1"/>
  <c r="O452" i="1"/>
  <c r="O453" i="1"/>
  <c r="Q463" i="1"/>
  <c r="O445" i="1"/>
  <c r="O449" i="1"/>
  <c r="L583" i="1"/>
  <c r="L579" i="1"/>
  <c r="L584" i="1"/>
  <c r="L582" i="1"/>
  <c r="L585" i="1"/>
  <c r="L580" i="1"/>
  <c r="L581" i="1"/>
  <c r="L323" i="1"/>
  <c r="C57" i="7" s="1"/>
  <c r="K326" i="1"/>
  <c r="K527" i="1"/>
  <c r="M514" i="1"/>
  <c r="M515" i="1"/>
  <c r="M509" i="1"/>
  <c r="M505" i="1"/>
  <c r="M508" i="1"/>
  <c r="M513" i="1"/>
  <c r="Q527" i="1"/>
  <c r="Q504" i="1" s="1"/>
  <c r="M506" i="1"/>
  <c r="M507" i="1"/>
  <c r="M512" i="1"/>
  <c r="M517" i="1"/>
  <c r="M510" i="1"/>
  <c r="M511" i="1"/>
  <c r="M516" i="1"/>
  <c r="Q475" i="1" l="1"/>
  <c r="Q479" i="1"/>
  <c r="Q481" i="1"/>
  <c r="H19" i="11"/>
  <c r="I18" i="11"/>
  <c r="K18" i="11"/>
  <c r="J19" i="11"/>
  <c r="D19" i="11"/>
  <c r="E18" i="11"/>
  <c r="C20" i="11"/>
  <c r="B21" i="11"/>
  <c r="G18" i="11"/>
  <c r="F19" i="11"/>
  <c r="Q486" i="1"/>
  <c r="Q480" i="1"/>
  <c r="Q478" i="1"/>
  <c r="Q483" i="1"/>
  <c r="Q477" i="1"/>
  <c r="Q484" i="1"/>
  <c r="Q474" i="1"/>
  <c r="C180" i="7"/>
  <c r="C115" i="7"/>
  <c r="C103" i="7"/>
  <c r="C137" i="7"/>
  <c r="C135" i="7"/>
  <c r="C113" i="7"/>
  <c r="C122" i="7"/>
  <c r="C105" i="7"/>
  <c r="C104" i="7"/>
  <c r="C67" i="7"/>
  <c r="C62" i="7"/>
  <c r="C66" i="7"/>
  <c r="C117" i="7"/>
  <c r="C111" i="7"/>
  <c r="C182" i="7"/>
  <c r="C106" i="7"/>
  <c r="C65" i="7"/>
  <c r="C59" i="7"/>
  <c r="C132" i="7"/>
  <c r="C138" i="7"/>
  <c r="C112" i="7"/>
  <c r="C131" i="7"/>
  <c r="C130" i="7"/>
  <c r="C126" i="7"/>
  <c r="C129" i="7"/>
  <c r="C114" i="7"/>
  <c r="C120" i="7"/>
  <c r="C118" i="7"/>
  <c r="C176" i="7"/>
  <c r="C178" i="7"/>
  <c r="C175" i="7"/>
  <c r="C183" i="7"/>
  <c r="C186" i="7"/>
  <c r="C184" i="7"/>
  <c r="C98" i="7"/>
  <c r="C101" i="7"/>
  <c r="C97" i="7"/>
  <c r="C94" i="7"/>
  <c r="C95" i="7"/>
  <c r="C64" i="7"/>
  <c r="C96" i="7"/>
  <c r="C68" i="7"/>
  <c r="C71" i="7"/>
  <c r="C133" i="7"/>
  <c r="C128" i="7"/>
  <c r="C134" i="7"/>
  <c r="C121" i="7"/>
  <c r="C116" i="7"/>
  <c r="C110" i="7"/>
  <c r="C177" i="7"/>
  <c r="C181" i="7"/>
  <c r="C179" i="7"/>
  <c r="C100" i="7"/>
  <c r="C60" i="7"/>
  <c r="C69" i="7"/>
  <c r="C63" i="7"/>
  <c r="C77" i="7"/>
  <c r="C127" i="7"/>
  <c r="C136" i="7"/>
  <c r="C119" i="7"/>
  <c r="C187" i="7"/>
  <c r="C185" i="7"/>
  <c r="C102" i="7"/>
  <c r="M1" i="1"/>
  <c r="O1" i="1"/>
  <c r="Q328" i="1"/>
  <c r="Q330" i="1"/>
  <c r="Q334" i="1"/>
  <c r="Q338" i="1"/>
  <c r="Q331" i="1"/>
  <c r="Q335" i="1"/>
  <c r="Q339" i="1"/>
  <c r="Q332" i="1"/>
  <c r="Q336" i="1"/>
  <c r="Q340" i="1"/>
  <c r="Q329" i="1"/>
  <c r="Q333" i="1"/>
  <c r="Q337" i="1"/>
  <c r="Q341" i="1"/>
  <c r="Q446" i="1"/>
  <c r="Q442" i="1"/>
  <c r="Q62" i="1"/>
  <c r="Q473" i="1"/>
  <c r="Q485" i="1"/>
  <c r="L440" i="1"/>
  <c r="L437" i="1" s="1"/>
  <c r="Q450" i="1"/>
  <c r="Q454" i="1"/>
  <c r="Q447" i="1"/>
  <c r="Q451" i="1"/>
  <c r="Q443" i="1"/>
  <c r="Q448" i="1"/>
  <c r="Q444" i="1"/>
  <c r="Q455" i="1"/>
  <c r="Q452" i="1"/>
  <c r="Q445" i="1"/>
  <c r="Q449" i="1"/>
  <c r="Q453" i="1"/>
  <c r="L471" i="1"/>
  <c r="L468" i="1" s="1"/>
  <c r="L502" i="1"/>
  <c r="L499" i="1" s="1"/>
  <c r="Q506" i="1"/>
  <c r="Q510" i="1"/>
  <c r="Q514" i="1"/>
  <c r="Q507" i="1"/>
  <c r="Q511" i="1"/>
  <c r="Q515" i="1"/>
  <c r="Q508" i="1"/>
  <c r="Q512" i="1"/>
  <c r="Q516" i="1"/>
  <c r="Q505" i="1"/>
  <c r="Q509" i="1"/>
  <c r="Q513" i="1"/>
  <c r="Q517" i="1"/>
  <c r="F20" i="11" l="1"/>
  <c r="G19" i="11"/>
  <c r="B22" i="11"/>
  <c r="C21" i="11"/>
  <c r="J20" i="11"/>
  <c r="K19" i="11"/>
  <c r="E19" i="11"/>
  <c r="D20" i="11"/>
  <c r="I19" i="11"/>
  <c r="H20" i="11"/>
  <c r="K471" i="1"/>
  <c r="C92" i="7"/>
  <c r="K440" i="1"/>
  <c r="K502" i="1"/>
  <c r="H21" i="11" l="1"/>
  <c r="I20" i="11"/>
  <c r="D21" i="11"/>
  <c r="E20" i="11"/>
  <c r="C22" i="11"/>
  <c r="B23" i="11"/>
  <c r="K20" i="11"/>
  <c r="J21" i="11"/>
  <c r="G20" i="11"/>
  <c r="F21" i="11"/>
  <c r="C108" i="7"/>
  <c r="C124" i="7"/>
  <c r="J22" i="11" l="1"/>
  <c r="K21" i="11"/>
  <c r="E21" i="11"/>
  <c r="D22" i="11"/>
  <c r="F22" i="11"/>
  <c r="G21" i="11"/>
  <c r="B24" i="11"/>
  <c r="C23" i="11"/>
  <c r="I21" i="11"/>
  <c r="H22" i="11"/>
  <c r="H384" i="1"/>
  <c r="J384" i="1" s="1"/>
  <c r="J382" i="1" s="1"/>
  <c r="J1" i="1" s="1"/>
  <c r="D23" i="11" l="1"/>
  <c r="E22" i="11"/>
  <c r="C24" i="11"/>
  <c r="B25" i="11"/>
  <c r="H23" i="11"/>
  <c r="I22" i="11"/>
  <c r="G22" i="11"/>
  <c r="F23" i="11"/>
  <c r="K22" i="11"/>
  <c r="J23" i="11"/>
  <c r="N384" i="1"/>
  <c r="F24" i="11" l="1"/>
  <c r="G23" i="11"/>
  <c r="B26" i="11"/>
  <c r="C25" i="11"/>
  <c r="J24" i="11"/>
  <c r="K23" i="11"/>
  <c r="I23" i="11"/>
  <c r="H24" i="11"/>
  <c r="E23" i="11"/>
  <c r="D24" i="11"/>
  <c r="Q384" i="1"/>
  <c r="N382" i="1"/>
  <c r="N1" i="1" s="1"/>
  <c r="Q382" i="1" l="1"/>
  <c r="H25" i="11"/>
  <c r="I24" i="11"/>
  <c r="C26" i="11"/>
  <c r="B27" i="11"/>
  <c r="D25" i="11"/>
  <c r="E24" i="11"/>
  <c r="K24" i="11"/>
  <c r="J25" i="11"/>
  <c r="G24" i="11"/>
  <c r="F25" i="11"/>
  <c r="Q1" i="1"/>
  <c r="E25" i="11" l="1"/>
  <c r="D26" i="11"/>
  <c r="I25" i="11"/>
  <c r="H26" i="11"/>
  <c r="J26" i="11"/>
  <c r="K25" i="11"/>
  <c r="B28" i="11"/>
  <c r="C27" i="11"/>
  <c r="F26" i="11"/>
  <c r="G25" i="11"/>
  <c r="H27" i="11" l="1"/>
  <c r="I26" i="11"/>
  <c r="C28" i="11"/>
  <c r="B29" i="11"/>
  <c r="D27" i="11"/>
  <c r="E26" i="11"/>
  <c r="G26" i="11"/>
  <c r="F27" i="11"/>
  <c r="K26" i="11"/>
  <c r="J27" i="11"/>
  <c r="F28" i="11" l="1"/>
  <c r="G27" i="11"/>
  <c r="B30" i="11"/>
  <c r="C29" i="11"/>
  <c r="J28" i="11"/>
  <c r="K27" i="11"/>
  <c r="E27" i="11"/>
  <c r="D28" i="11"/>
  <c r="I27" i="11"/>
  <c r="H28" i="11"/>
  <c r="B31" i="11" l="1"/>
  <c r="C30" i="11"/>
  <c r="D29" i="11"/>
  <c r="E28" i="11"/>
  <c r="H29" i="11"/>
  <c r="I28" i="11"/>
  <c r="K28" i="11"/>
  <c r="J29" i="11"/>
  <c r="G28" i="11"/>
  <c r="F29" i="11"/>
  <c r="J30" i="11" l="1"/>
  <c r="K29" i="11"/>
  <c r="E29" i="11"/>
  <c r="D30" i="11"/>
  <c r="F30" i="11"/>
  <c r="G29" i="11"/>
  <c r="H30" i="11"/>
  <c r="I29" i="11"/>
  <c r="B32" i="11"/>
  <c r="C31" i="11"/>
  <c r="D31" i="11" l="1"/>
  <c r="E30" i="11"/>
  <c r="H31" i="11"/>
  <c r="I30" i="11"/>
  <c r="B33" i="11"/>
  <c r="C32" i="11"/>
  <c r="F31" i="11"/>
  <c r="G30" i="11"/>
  <c r="J31" i="11"/>
  <c r="K30" i="11"/>
  <c r="F32" i="11" l="1"/>
  <c r="G31" i="11"/>
  <c r="H32" i="11"/>
  <c r="I31" i="11"/>
  <c r="J32" i="11"/>
  <c r="K31" i="11"/>
  <c r="B34" i="11"/>
  <c r="C33" i="11"/>
  <c r="D32" i="11"/>
  <c r="E31" i="11"/>
  <c r="B35" i="11" l="1"/>
  <c r="C34" i="11"/>
  <c r="H33" i="11"/>
  <c r="I32" i="11"/>
  <c r="D33" i="11"/>
  <c r="E32" i="11"/>
  <c r="J33" i="11"/>
  <c r="K32" i="11"/>
  <c r="F33" i="11"/>
  <c r="G32" i="11"/>
  <c r="J34" i="11" l="1"/>
  <c r="K33" i="11"/>
  <c r="H34" i="11"/>
  <c r="I33" i="11"/>
  <c r="F34" i="11"/>
  <c r="G33" i="11"/>
  <c r="D34" i="11"/>
  <c r="E33" i="11"/>
  <c r="B36" i="11"/>
  <c r="C35" i="11"/>
  <c r="E34" i="11" l="1"/>
  <c r="D35" i="11"/>
  <c r="H35" i="11"/>
  <c r="I34" i="11"/>
  <c r="B37" i="11"/>
  <c r="C36" i="11"/>
  <c r="F35" i="11"/>
  <c r="G34" i="11"/>
  <c r="J35" i="11"/>
  <c r="K34" i="11"/>
  <c r="D36" i="11" l="1"/>
  <c r="E35" i="11"/>
  <c r="J36" i="11"/>
  <c r="K35" i="11"/>
  <c r="C37" i="11"/>
  <c r="B38" i="11"/>
  <c r="G35" i="11"/>
  <c r="F36" i="11"/>
  <c r="H36" i="11"/>
  <c r="I35" i="11"/>
  <c r="F37" i="11" l="1"/>
  <c r="G36" i="11"/>
  <c r="J37" i="11"/>
  <c r="K36" i="11"/>
  <c r="B39" i="11"/>
  <c r="C38" i="11"/>
  <c r="H37" i="11"/>
  <c r="I36" i="11"/>
  <c r="D37" i="11"/>
  <c r="E36" i="11"/>
  <c r="H38" i="11" l="1"/>
  <c r="I37" i="11"/>
  <c r="J38" i="11"/>
  <c r="K37" i="11"/>
  <c r="D38" i="11"/>
  <c r="E37" i="11"/>
  <c r="B40" i="11"/>
  <c r="C39" i="11"/>
  <c r="F38" i="11"/>
  <c r="G37" i="11"/>
  <c r="C40" i="11" l="1"/>
  <c r="B41" i="11"/>
  <c r="K38" i="11"/>
  <c r="J39" i="11"/>
  <c r="F39" i="11"/>
  <c r="G38" i="11"/>
  <c r="D39" i="11"/>
  <c r="E38" i="11"/>
  <c r="I38" i="11"/>
  <c r="H39" i="11"/>
  <c r="I39" i="11" l="1"/>
  <c r="H40" i="11"/>
  <c r="B42" i="11"/>
  <c r="C41" i="11"/>
  <c r="F40" i="11"/>
  <c r="G39" i="11"/>
  <c r="J40" i="11"/>
  <c r="K39" i="11"/>
  <c r="E39" i="11"/>
  <c r="D40" i="11"/>
  <c r="K40" i="11" l="1"/>
  <c r="J41" i="11"/>
  <c r="C42" i="11"/>
  <c r="B43" i="11"/>
  <c r="D41" i="11"/>
  <c r="E40" i="11"/>
  <c r="H41" i="11"/>
  <c r="I40" i="11"/>
  <c r="G40" i="11"/>
  <c r="F41" i="11"/>
  <c r="B44" i="11" l="1"/>
  <c r="C43" i="11"/>
  <c r="I41" i="11"/>
  <c r="H42" i="11"/>
  <c r="F42" i="11"/>
  <c r="G41" i="11"/>
  <c r="J42" i="11"/>
  <c r="K41" i="11"/>
  <c r="E41" i="11"/>
  <c r="D42" i="11"/>
  <c r="D43" i="11" l="1"/>
  <c r="E42" i="11"/>
  <c r="H43" i="11"/>
  <c r="I42" i="11"/>
  <c r="K42" i="11"/>
  <c r="J43" i="11"/>
  <c r="G42" i="11"/>
  <c r="F43" i="11"/>
  <c r="C44" i="11"/>
  <c r="B45" i="11"/>
  <c r="F44" i="11" l="1"/>
  <c r="G43" i="11"/>
  <c r="I43" i="11"/>
  <c r="H44" i="11"/>
  <c r="B46" i="11"/>
  <c r="C45" i="11"/>
  <c r="J44" i="11"/>
  <c r="K43" i="11"/>
  <c r="E43" i="11"/>
  <c r="D44" i="11"/>
  <c r="K44" i="11" l="1"/>
  <c r="J45" i="11"/>
  <c r="H45" i="11"/>
  <c r="I44" i="11"/>
  <c r="D45" i="11"/>
  <c r="E44" i="11"/>
  <c r="C46" i="11"/>
  <c r="B47" i="11"/>
  <c r="G44" i="11"/>
  <c r="F45" i="11"/>
  <c r="B48" i="11" l="1"/>
  <c r="C47" i="11"/>
  <c r="I45" i="11"/>
  <c r="H46" i="11"/>
  <c r="F46" i="11"/>
  <c r="G45" i="11"/>
  <c r="J46" i="11"/>
  <c r="K45" i="11"/>
  <c r="E45" i="11"/>
  <c r="D46" i="11"/>
  <c r="H47" i="11" l="1"/>
  <c r="I46" i="11"/>
  <c r="K46" i="11"/>
  <c r="J47" i="11"/>
  <c r="D47" i="11"/>
  <c r="E46" i="11"/>
  <c r="G46" i="11"/>
  <c r="F47" i="11"/>
  <c r="C48" i="11"/>
  <c r="B49" i="11"/>
  <c r="B50" i="11" l="1"/>
  <c r="C49" i="11"/>
  <c r="F48" i="11"/>
  <c r="G47" i="11"/>
  <c r="J48" i="11"/>
  <c r="K47" i="11"/>
  <c r="E47" i="11"/>
  <c r="D48" i="11"/>
  <c r="I47" i="11"/>
  <c r="H48" i="11"/>
  <c r="H49" i="11" l="1"/>
  <c r="I48" i="11"/>
  <c r="D49" i="11"/>
  <c r="E48" i="11"/>
  <c r="G48" i="11"/>
  <c r="F49" i="11"/>
  <c r="K48" i="11"/>
  <c r="J49" i="11"/>
  <c r="C50" i="11"/>
  <c r="B51" i="11"/>
  <c r="B52" i="11" l="1"/>
  <c r="C51" i="11"/>
  <c r="J50" i="11"/>
  <c r="K49" i="11"/>
  <c r="E49" i="11"/>
  <c r="D50" i="11"/>
  <c r="F50" i="11"/>
  <c r="G49" i="11"/>
  <c r="I49" i="11"/>
  <c r="H50" i="11"/>
  <c r="H51" i="11" l="1"/>
  <c r="I50" i="11"/>
  <c r="G50" i="11"/>
  <c r="F51" i="11"/>
  <c r="K50" i="11"/>
  <c r="J51" i="11"/>
  <c r="D51" i="11"/>
  <c r="E50" i="11"/>
  <c r="C52" i="11"/>
  <c r="B53" i="11"/>
  <c r="J52" i="11" l="1"/>
  <c r="K51" i="11"/>
  <c r="F52" i="11"/>
  <c r="G51" i="11"/>
  <c r="E51" i="11"/>
  <c r="D52" i="11"/>
  <c r="B54" i="11"/>
  <c r="C53" i="11"/>
  <c r="I51" i="11"/>
  <c r="H52" i="11"/>
  <c r="C54" i="11" l="1"/>
  <c r="B55" i="11"/>
  <c r="G52" i="11"/>
  <c r="F53" i="11"/>
  <c r="H53" i="11"/>
  <c r="I52" i="11"/>
  <c r="D53" i="11"/>
  <c r="E52" i="11"/>
  <c r="K52" i="11"/>
  <c r="J53" i="11"/>
  <c r="J54" i="11" l="1"/>
  <c r="K53" i="11"/>
  <c r="F54" i="11"/>
  <c r="G53" i="11"/>
  <c r="E53" i="11"/>
  <c r="D54" i="11"/>
  <c r="B56" i="11"/>
  <c r="C55" i="11"/>
  <c r="I53" i="11"/>
  <c r="H54" i="11"/>
  <c r="G54" i="11" l="1"/>
  <c r="F55" i="11"/>
  <c r="G55" i="11" s="1"/>
  <c r="H55" i="11"/>
  <c r="I55" i="11" s="1"/>
  <c r="I54" i="11"/>
  <c r="D55" i="11"/>
  <c r="E54" i="11"/>
  <c r="K54" i="11"/>
  <c r="J55" i="11"/>
  <c r="K55" i="11" s="1"/>
  <c r="E55" i="11" l="1"/>
  <c r="D56" i="11"/>
  <c r="E56" i="11" s="1"/>
</calcChain>
</file>

<file path=xl/sharedStrings.xml><?xml version="1.0" encoding="utf-8"?>
<sst xmlns="http://schemas.openxmlformats.org/spreadsheetml/2006/main" count="13223" uniqueCount="1272">
  <si>
    <t>Line No.</t>
  </si>
  <si>
    <t>Resource Name</t>
  </si>
  <si>
    <t>Unit</t>
  </si>
  <si>
    <t>No</t>
  </si>
  <si>
    <t>Production</t>
  </si>
  <si>
    <t>Quantity</t>
  </si>
  <si>
    <t>Rate</t>
  </si>
  <si>
    <t>Labour</t>
  </si>
  <si>
    <t>Material</t>
  </si>
  <si>
    <t>Plant</t>
  </si>
  <si>
    <t>Subcontract</t>
  </si>
  <si>
    <t>Total</t>
  </si>
  <si>
    <t xml:space="preserve">Line No 1
Item No </t>
  </si>
  <si>
    <t>HSC 14/12 REHABILITATION OF MULTIPLE ROADS AND STREETS</t>
  </si>
  <si>
    <t xml:space="preserve">Line No 3
Item No </t>
  </si>
  <si>
    <t>ESTABLISHMENT / PRELIMINARIES</t>
  </si>
  <si>
    <t>Line No 5
Item No MRS28 - 1101</t>
  </si>
  <si>
    <t>Contractor's site facilities, including establishment at commencement and disestablishment at completion of the project.</t>
  </si>
  <si>
    <t xml:space="preserve">Lump </t>
  </si>
  <si>
    <t>Site Facilities:</t>
  </si>
  <si>
    <t>Float</t>
  </si>
  <si>
    <t xml:space="preserve">LS   </t>
  </si>
  <si>
    <t>Temporary Fence</t>
  </si>
  <si>
    <t xml:space="preserve">m    </t>
  </si>
  <si>
    <t>Set Up Site Facilitues:</t>
  </si>
  <si>
    <t>CBR15 (Fill)</t>
  </si>
  <si>
    <t>tonne</t>
  </si>
  <si>
    <t xml:space="preserve">hr   </t>
  </si>
  <si>
    <t>Backhoe</t>
  </si>
  <si>
    <t>Electrician</t>
  </si>
  <si>
    <t>Establish Machinery:</t>
  </si>
  <si>
    <t>Grader</t>
  </si>
  <si>
    <t>CAT297</t>
  </si>
  <si>
    <t>Retention Costs:</t>
  </si>
  <si>
    <t xml:space="preserve">item </t>
  </si>
  <si>
    <t>Line No 6
Item No MRS28 - 1101</t>
  </si>
  <si>
    <t>Contractor's site facilities (disestablishment and re-establishment between general localities within the Shire) (Provisional Quantity, if ordered)</t>
  </si>
  <si>
    <t>Per r</t>
  </si>
  <si>
    <t xml:space="preserve">each </t>
  </si>
  <si>
    <t>Line No 7
Item No MRS51 - 1331</t>
  </si>
  <si>
    <t>Develop Environmental Management Plan (Construction)</t>
  </si>
  <si>
    <t>Project Manager</t>
  </si>
  <si>
    <t xml:space="preserve">week </t>
  </si>
  <si>
    <t>Line No 8
Item No MRS51 - 1332</t>
  </si>
  <si>
    <t>Implement Environmental Management Plan (Construction)</t>
  </si>
  <si>
    <t>Water Cart - Hire</t>
  </si>
  <si>
    <t>Line No 9
Item No n/a</t>
  </si>
  <si>
    <t>Provision of Insurances - As outlined in Condiions of Contract</t>
  </si>
  <si>
    <t>CAR</t>
  </si>
  <si>
    <t xml:space="preserve">Item </t>
  </si>
  <si>
    <t>Line No 10
Item No MRS02 - 1201</t>
  </si>
  <si>
    <t>Provision for Traffic</t>
  </si>
  <si>
    <t>Traffic Controller (Allci</t>
  </si>
  <si>
    <t>Ute - Hire</t>
  </si>
  <si>
    <t xml:space="preserve">day  </t>
  </si>
  <si>
    <t>Line No 11
Item No MRS02 - 1202</t>
  </si>
  <si>
    <t>Traffic Management Plan</t>
  </si>
  <si>
    <t>Line No 12
Item No n/a</t>
  </si>
  <si>
    <t>Site Safety Plan (Construction)</t>
  </si>
  <si>
    <t>Line No 13
Item No 9001S</t>
  </si>
  <si>
    <t>Survey of existing road formation, delineation, road furniture and culverts prior to works, to provide locality, geometry and detail for reconstruction</t>
  </si>
  <si>
    <t xml:space="preserve">m of </t>
  </si>
  <si>
    <t>Survey</t>
  </si>
  <si>
    <t xml:space="preserve">Line No 15
Item No </t>
  </si>
  <si>
    <t>EARTHWORKS</t>
  </si>
  <si>
    <t>Line No 17
Item No MRS04 - 3208</t>
  </si>
  <si>
    <t>Special excavation, removing existing seal (contaminated material) at repair areas and disposal at approved HSC site, including haulage up to 18 km (Provisional Quantity, if ordered)</t>
  </si>
  <si>
    <t xml:space="preserve">m3   </t>
  </si>
  <si>
    <t>Run Tractor Through &amp; Mix with General Fill.</t>
  </si>
  <si>
    <t>WS220</t>
  </si>
  <si>
    <t>Line No 18
Item No MRS04 - 3208</t>
  </si>
  <si>
    <t>Special box excavation, all materials and disposal at approved HSC site for road repairs, including haulage up to 18 km (Provisional Quantity, if ordered)</t>
  </si>
  <si>
    <t>Depth of Excacvation (Average):</t>
  </si>
  <si>
    <t>Excavator - 25T</t>
  </si>
  <si>
    <t>Tipper</t>
  </si>
  <si>
    <t>PF Roller</t>
  </si>
  <si>
    <t>Line No 19
Item No MRS04 - 3208</t>
  </si>
  <si>
    <t>Special excavation all materials, for pothole repairs and disposal at approved HSC disposal site, including haulage up to 18 km (Provisional Quantity, if ordered)</t>
  </si>
  <si>
    <t>4 Locations for potholes, assume 6 hours per pot hole.</t>
  </si>
  <si>
    <t>Line No 20
Item No MRS04 - 3208</t>
  </si>
  <si>
    <t>Special excavation, all materials for culverts, inlet and outlet structures and disposal at approved HSC disposal site, including haulage up to 18 km (Provisional Quantity, if ordered)</t>
  </si>
  <si>
    <t>7 Locations for culverts, assume 6 hours per pot hole.</t>
  </si>
  <si>
    <t>Line No 21
Item No MRS04 - 3208</t>
  </si>
  <si>
    <t>Special excavation, removal of debris and silt from culvert inlets and disposal at approved HSC site, including haulage up to 18 km (Provisional Quantity, if ordered)</t>
  </si>
  <si>
    <t>4 Locations for culverts, assume 6 hours per pot hole.</t>
  </si>
  <si>
    <t>Line No 22
Item No MRS04 - 3208</t>
  </si>
  <si>
    <t>Special excavation, removal of debris and silt from culvert barrels including hydraulic pressure blasting applied for dislodging, removal and cleaning and disposal at approved HSC site, iincluding haulage up to 18 km (Provisional Quantity, if ordered)</t>
  </si>
  <si>
    <t>1Locations for de-silting, assume 9 hours per pot hole.</t>
  </si>
  <si>
    <t>Line No 23
Item No MRS04 - 3208</t>
  </si>
  <si>
    <t>Special excavation, removal of silt from table drains and reshape drains; and from road surfaces and disposal at approved HSC site, including haulage up to 18 km (Provisional Quantity, if ordered)</t>
  </si>
  <si>
    <t>5 Locations for Drain Cleaning, assume 6 hours per location.</t>
  </si>
  <si>
    <t>Line No 24
Item No MRS04 - 3108</t>
  </si>
  <si>
    <t>Excavation and disposal of Unsuitable Material with individual excavation &lt;= 10 m3, including haulage up to 18 km (Provisional Quantity, if ordered)</t>
  </si>
  <si>
    <t>Line No 25
Item No MRS04 - 3109</t>
  </si>
  <si>
    <t>Excavation and disposal of Unsuitable Material with individual excavation &gt; 10 m3, including haulage up to 18 km (Provisional Quantity, if ordered)</t>
  </si>
  <si>
    <t>Line No 26
Item No MRS04 - 3502</t>
  </si>
  <si>
    <t>PRINCIPAL SUPPLIED - Supply select backfill material for backfill to unsuitable excavations, -75 mm graded rock  (Principal paid material) (Provisional Quantity, if ordered)</t>
  </si>
  <si>
    <t>Line No 27
Item No MRS04 - 3502</t>
  </si>
  <si>
    <t>Deliver select backfill material for backfill to unsuitable excavations, -75 mm graded rock, including haulage up to 18 km (Contractor delivery rate) (Principal paid material) (Provisional Quantity, if ordered)</t>
  </si>
  <si>
    <t xml:space="preserve">km   </t>
  </si>
  <si>
    <t>Line No 28
Item No MRS04 - 3502</t>
  </si>
  <si>
    <t>Backfill to unsuitable excavations, -75 mm graded rock, including haulage up to 18 km (Contractor delivery rate) (Principal paid material) (Provisional Quantity, if ordered)</t>
  </si>
  <si>
    <t>SD Roller</t>
  </si>
  <si>
    <t>Line No 29
Item No MRS04 - 3501</t>
  </si>
  <si>
    <t>PRINCIPAL SUPPLIED - Supply general fill material for repairs to formation, culverts and drains (Principal paid material) (Provisional Quantity, if ordered)</t>
  </si>
  <si>
    <t>Line No 30
Item No MRS04 - 3501</t>
  </si>
  <si>
    <t>Deliver general fill material, including haulage up to 18 km (Contractor delivery rate) (Principal paid material) (Provisional Quantity, if ordered)</t>
  </si>
  <si>
    <t>Line No 31
Item No MRS04 - 3501</t>
  </si>
  <si>
    <t>Fill repair to formation, inlet structure backfill and drain repairs with general fill material (Contractor installation Rate) (Principal paid material) (Provisional Quantity, if ordered)</t>
  </si>
  <si>
    <t>5 Locations for Drain Cleaning, assume 4 hours per location.</t>
  </si>
  <si>
    <t>Line No 32
Item No MRS04 - 3402</t>
  </si>
  <si>
    <t>Subgrade treatment Type A, compact existing (Provisonal Quantity, if ordered)</t>
  </si>
  <si>
    <t xml:space="preserve">m2   </t>
  </si>
  <si>
    <t>Line No 33
Item No MRS04 - 3411</t>
  </si>
  <si>
    <t>PRINCIPAL SUPPLIED - Supply -75 mm graded rock material for subgrade treatment Type I (Principal paid material) (Provisional Quantity, if ordered)</t>
  </si>
  <si>
    <t>Line No 34
Item No MRS04 - 3411</t>
  </si>
  <si>
    <t>Deliver -75 mm graded rock material for subgrade treatment Type I, including haulage up to 18 km  (Contractor delivery rate) (Principal paid material) (Provisional Quantity, if ordered)</t>
  </si>
  <si>
    <t>Line No 35
Item No MRS04 - 3411</t>
  </si>
  <si>
    <t>Subgrade in cuttings, subgrade treatment Type I, -75 mm graded rock fill (Contractor installation rate) (Principal paid material) (Provisional Quantity, if ordered)</t>
  </si>
  <si>
    <t>Line No 36
Item No MRS04 - 3304</t>
  </si>
  <si>
    <t>Supply and installation of geotextile, Strength Class D, Filtration Class IV for subgrade treatment Type I and drainage (Bidim A39 complies with this specification) (Provisional Quantity, if ordered)</t>
  </si>
  <si>
    <t>A34</t>
  </si>
  <si>
    <t xml:space="preserve">m²   </t>
  </si>
  <si>
    <t>Line No 37
Item No MRS04 - 3304</t>
  </si>
  <si>
    <t>Supply and installation of geotextile, Strength Class D, Filtration Class IV at culvert pipe repair joints in 200 mm wide circumferential strips with 500 mm end overlaps (Bidim A39 complies with this specification) (Provisional Quantity, if ordered)</t>
  </si>
  <si>
    <t>Line No 38
Item No 9002PS</t>
  </si>
  <si>
    <t>Extra over Items MRS04-3208.1PS to MRS04-3208.9PS, MRS04-3108PS and MRS04-3109PS for haulage in excess of 18 km (Provisional Quantity, if ordered) (m3 x km, single trip)</t>
  </si>
  <si>
    <t xml:space="preserve">m3 * </t>
  </si>
  <si>
    <t>Gravel Haulage (18 km)</t>
  </si>
  <si>
    <t>Line No 39
Item No 9003PS</t>
  </si>
  <si>
    <t>Extra over Items MRS04-3502.2PS and MRS04-3411.2PS for haulage in excess of 18 km (Provisional Quantity, if ordered) (m3 x km, single trip)</t>
  </si>
  <si>
    <t xml:space="preserve">Line No 41
Item No </t>
  </si>
  <si>
    <t>DRAINAGE AND PROTECTION</t>
  </si>
  <si>
    <t>Line No 43
Item No MRS03 - 2101</t>
  </si>
  <si>
    <t>Removal and salvaging existing culverts for reinstallation; pipe culverts up to 600 dia, box culverts up to 600 x 600 (Provisional Quantity, if ordered)</t>
  </si>
  <si>
    <t>Line No 44
Item No MRS03 - 2101</t>
  </si>
  <si>
    <t>Removal and disposal at approved HSC site, of culvert pipes up to 600 dia, including all haulage (Provisional Quantity, if ordered)</t>
  </si>
  <si>
    <t>Line No 45
Item No MRS03 - 2102</t>
  </si>
  <si>
    <t>Demolition and removal of culvert end structures and disposal at approved HSC site, including all haulage (Provisional Quantity, if ordered)</t>
  </si>
  <si>
    <t>Line No 46
Item No MRS03 - 2221</t>
  </si>
  <si>
    <t>Installation of salvaged concrete culvert components, pipe culverts up to 600 mm dia, box culverts up to 600 x 600 (Provisional Quantity, if ordered)</t>
  </si>
  <si>
    <t>Line No 47
Item No MRS03 - 2241</t>
  </si>
  <si>
    <t>Supply and installation of concrete pipe culvert components, Class 2, 375 mm dia (Provisional Quantity, if ordered)</t>
  </si>
  <si>
    <t>Purchase Materials:</t>
  </si>
  <si>
    <t>375 RCP</t>
  </si>
  <si>
    <t>Sand</t>
  </si>
  <si>
    <t>Install:</t>
  </si>
  <si>
    <t>Plate Compactor</t>
  </si>
  <si>
    <t>Line No 48
Item No MRS03 - 2241</t>
  </si>
  <si>
    <t>Supply and installation of concrete pipe culvert components, Class 4, 450 mm dia (Provisional Quantity, if ordered)</t>
  </si>
  <si>
    <t>450 RCP FJ CL2</t>
  </si>
  <si>
    <t>Line No 49
Item No MRS03 - 2241</t>
  </si>
  <si>
    <t>Supply and installation of concrete pipe culvert components, Class 8, 525 mm dia (Provisional Quantity, if ordered)</t>
  </si>
  <si>
    <t>Line No 50
Item No MRS03 - 2241</t>
  </si>
  <si>
    <t>Supply and installation of concrete pipe culvert components, Class 8, 600 mm dia (Provisional Quantity, if ordered)</t>
  </si>
  <si>
    <t>Line No 51
Item No MRS03 - 2308</t>
  </si>
  <si>
    <t>End structures to culverts and repairs to end structures, reinforced concrete (Provisional Quantity, if ordered)</t>
  </si>
  <si>
    <t>Concrete Sub-contract</t>
  </si>
  <si>
    <t>Line No 52
Item No MRS03 - 2643</t>
  </si>
  <si>
    <t>PRINCIPAL SUPPLIED - Supply rock for protection (300 mm rock) (Principal paid material) (Provisional Quantity, if ordered)</t>
  </si>
  <si>
    <t>Line No 53
Item No MRS03 - 2643</t>
  </si>
  <si>
    <t>Deliver rock for protection (300 mm rock)  (Contractor delivery rate) (Principal paid material) (Provisional Quantity, if ordered)</t>
  </si>
  <si>
    <t>Line No 54
Item No MRS03 - 2643</t>
  </si>
  <si>
    <t>Rock protection (300 mm rock) (Contractor installation rate) (Principal paid material) (Provisional Quantity, if ordered)</t>
  </si>
  <si>
    <t xml:space="preserve">Line No 55
Item No </t>
  </si>
  <si>
    <t>Pothole Repairs (Asphalt)</t>
  </si>
  <si>
    <t>Line No 56
Item No 9004PS</t>
  </si>
  <si>
    <t>Supply premix asphalt material, apply emulsion tack coat (0.3 L/m2) and patch potholes (Provisional Quantity, if ordered)</t>
  </si>
  <si>
    <t xml:space="preserve">Line No 58
Item No </t>
  </si>
  <si>
    <t>PAVEMENT</t>
  </si>
  <si>
    <t>Line No 60
Item No MRS05 - 4151</t>
  </si>
  <si>
    <t>PRINCIPAL SUPPLIED - Supply Subtype 2.2 Unbound Pavement material for Base course.  (Provisional Quantity, if ordered) (Principal paid material)</t>
  </si>
  <si>
    <t>Line No 61
Item No MRS05 - 4151</t>
  </si>
  <si>
    <t>Deliver Subtype 2.2 Unbound Pavement material for Base course, including haulage up to 18 km (Provisional quantity, if ordered) (Contractor delivery rate) (Principal paid material)</t>
  </si>
  <si>
    <t>Line No 62
Item No MRS05 - 4151</t>
  </si>
  <si>
    <t>Base course, unbound pavement, Subtype 2.2 (Provisional quantity, if ordered) (Contractor Installation Rate) (Principal paid material)</t>
  </si>
  <si>
    <t>MW Roller - Day</t>
  </si>
  <si>
    <t>Line No 63
Item No MRS05 - 4153</t>
  </si>
  <si>
    <t>PRINCIPAL SUPPLIED - Supply Subtype 2.3 Unbound Pavement material for Subbase course. (Provisional quantity, if ordered) (Principal paid material)</t>
  </si>
  <si>
    <t>Line No 64
Item No MRS05 - 4153</t>
  </si>
  <si>
    <t>Deliver Subtype 2.3 Unbound Pavement material for Subbase course, including haulage up to 18 km. (Provisional quantity, if ordered) (Contractor delivery rate) (Principal paid material)</t>
  </si>
  <si>
    <t>Line No 65
Item No MRS05 - 4153</t>
  </si>
  <si>
    <t>Subbase course, unbound pavement, Subtype 2.3. (Provisional quantity, if ordered) (Contractor Installation Rate) (Principal paid material)</t>
  </si>
  <si>
    <t>Line No 66
Item No 9005.1PS</t>
  </si>
  <si>
    <t>PRINCIPAL SUPPLIED - Supply unbound pavement, Wearing Course Type gravel for shoulders (Principal paid material) (Provisional quantity, if ordered)</t>
  </si>
  <si>
    <t>Line No 67
Item No 9005.2PS</t>
  </si>
  <si>
    <t>Deliver unbound pavement, Wearing Course Type gravel for shoulders, including haulage up to 18 km (Provisional quantity, if ordered) (Contractor delivery rate) (Principal paid material)</t>
  </si>
  <si>
    <t>Line No 68
Item No 9005.3PS</t>
  </si>
  <si>
    <t>Unbound pavement, Wearing Course Type gravel for shoulders (Provisional quantity, if ordered) (Contractor installation rate) (Principal paid material)</t>
  </si>
  <si>
    <t>Line No 69
Item No 9006PS</t>
  </si>
  <si>
    <t>Extra over Items MRS05-4151.2PS, MRS05-4153.2,MRS07-4203.2PS and 9005.2 for haulage in excess of 18 km (Provisional Quantity, if ordered) (m3 x km, single trip)</t>
  </si>
  <si>
    <t xml:space="preserve">Line No 71
Item No </t>
  </si>
  <si>
    <t>BITUMEN SURFACING</t>
  </si>
  <si>
    <t xml:space="preserve">Line No 73
Item No </t>
  </si>
  <si>
    <t>Seal Design by Contractor. Application rates are indicative only</t>
  </si>
  <si>
    <t>Line No 74
Item No MRS30 - 5401</t>
  </si>
  <si>
    <t>Preparation of the existing sealed surface for resealing (Provisional quantity, if ordered)</t>
  </si>
  <si>
    <t>litre</t>
  </si>
  <si>
    <t>Line No 75
Item No MRS11 - 5105</t>
  </si>
  <si>
    <t>Enrichment spray, 60% bitumen emulsion, total 0.9L/m2 applied in 3 passes (Provisional quantity, if ordered)</t>
  </si>
  <si>
    <t>Line No 76
Item No MRS30- 5402P</t>
  </si>
  <si>
    <t>Crack Filling (Provisional Quantity, if ordered)</t>
  </si>
  <si>
    <t>Line No 77
Item No MRS30- 5403P</t>
  </si>
  <si>
    <t>Strain alleviating fabric strips (Provisional Quantity, if ordered)</t>
  </si>
  <si>
    <t>Strain Alleviating Strips</t>
  </si>
  <si>
    <t>Line No 78
Item No MRS11 - 5102</t>
  </si>
  <si>
    <t>Primerseal, Grade AMC5, spray rate 1.5 L/m2, including supply of binder, all areas. (Seal design by Contractor) (Provisional Quantity, if ordered)</t>
  </si>
  <si>
    <t>AMC5</t>
  </si>
  <si>
    <t>Line No 79
Item No MRS11 - 5103</t>
  </si>
  <si>
    <t>Second Seal  C170 Bitumen, 1.5 L/m2 including binder (Seal design by Contractor) (Provisional Quantity, if ordered)</t>
  </si>
  <si>
    <t>C170</t>
  </si>
  <si>
    <t>Line No 80
Item No MRS11 - 5112</t>
  </si>
  <si>
    <t>Spreading cover aggregate to Primerseal (14mm), spread rate 110 m2/m3, all areas (Seal design by Contractor) (Provisional Quantity, if ordered)</t>
  </si>
  <si>
    <t>Spread - 16mm</t>
  </si>
  <si>
    <t xml:space="preserve">m³   </t>
  </si>
  <si>
    <t>Line No 81
Item No MRS11 - 5112</t>
  </si>
  <si>
    <t>Spreading cover aggregate to Second Seal (10mm), 130 m2/m3 (Seal design by Contractor) (Provisional Quantity, if ordered)</t>
  </si>
  <si>
    <t>Spreading - 10mm</t>
  </si>
  <si>
    <t>Line No 82
Item No MRS22 - 5011</t>
  </si>
  <si>
    <t>Supply of Primerseal cover aggregate, precoated, 14 mm nominal size, spread rate 110 m2/m3, all areas (Seal design by Contractor) (Provisional Quantity, if ordered)</t>
  </si>
  <si>
    <t>Line No 83
Item No MRS22 - 5011</t>
  </si>
  <si>
    <t>Supply of Second Seal cover aggregate, precoated, 10 mm nominal size,spread rate 130 m2/m3 (Seal design by Contractor) (Provisional Quantity)</t>
  </si>
  <si>
    <t xml:space="preserve">Line No 85
Item No </t>
  </si>
  <si>
    <t>ROAD FURNITURE, ROAD SIGNS, LINE MARKING, DELINEATION</t>
  </si>
  <si>
    <t>Line No 87
Item No MRS14 - 6111</t>
  </si>
  <si>
    <t>Road edge guide posts (Provisional Quantity, if ordered)</t>
  </si>
  <si>
    <t>Guide Post</t>
  </si>
  <si>
    <t>Line No 88
Item No MRS45 - 6301</t>
  </si>
  <si>
    <t>Spotting only for longitudinal lines (Provisional Quantity, if ordered)</t>
  </si>
  <si>
    <t>Line Marking</t>
  </si>
  <si>
    <t>Line No 89
Item No MRS45 - 6353</t>
  </si>
  <si>
    <t>Temporary raised pavement markers (Provisional Quantity, if ordered)</t>
  </si>
  <si>
    <t>Traffic Control Hours</t>
  </si>
  <si>
    <t>Depth to remove</t>
  </si>
  <si>
    <t>Area = Volume / depth</t>
  </si>
  <si>
    <t>Depth = Area from Item 17 / QTY</t>
  </si>
  <si>
    <t>Barberos Road</t>
  </si>
  <si>
    <t>Ann Street</t>
  </si>
  <si>
    <t>Fabris Road</t>
  </si>
  <si>
    <t>Burke Offset Road</t>
  </si>
  <si>
    <t>Harvey Road</t>
  </si>
  <si>
    <t>Heards Road</t>
  </si>
  <si>
    <t>Mile Road</t>
  </si>
  <si>
    <t>Wallaman Falls Road</t>
  </si>
  <si>
    <t>Allingham Road</t>
  </si>
  <si>
    <t>Taylors Beach Road</t>
  </si>
  <si>
    <t>Taraken Road</t>
  </si>
  <si>
    <t>Amos St</t>
  </si>
  <si>
    <t>Lannercost Extension Road</t>
  </si>
  <si>
    <t>QTY / Area of seal to be removed (4259 / 25842)</t>
  </si>
  <si>
    <t>Amos Street</t>
  </si>
  <si>
    <t>Quantity * 2.4 = Tonnes</t>
  </si>
  <si>
    <t>Haul Distance</t>
  </si>
  <si>
    <t>Intermediate Trim: QTY = 7173.333</t>
  </si>
  <si>
    <t>Resorce Name</t>
  </si>
  <si>
    <t>Type</t>
  </si>
  <si>
    <t>Cost</t>
  </si>
  <si>
    <t>Usage</t>
  </si>
  <si>
    <t>Duration</t>
  </si>
  <si>
    <t>Description</t>
  </si>
  <si>
    <t>Currency</t>
  </si>
  <si>
    <t>Base Rate</t>
  </si>
  <si>
    <t>LAFHA</t>
  </si>
  <si>
    <t>L</t>
  </si>
  <si>
    <t>AUD</t>
  </si>
  <si>
    <t>Project Administrator</t>
  </si>
  <si>
    <t>Weekly Rate - Project Manager</t>
  </si>
  <si>
    <t>Project Supervisor</t>
  </si>
  <si>
    <t>Re-establishment</t>
  </si>
  <si>
    <t>M</t>
  </si>
  <si>
    <t>525 RCP</t>
  </si>
  <si>
    <t>600 RCP</t>
  </si>
  <si>
    <t>Cold Mix Asphalt</t>
  </si>
  <si>
    <t>Small Tools</t>
  </si>
  <si>
    <t>Temporary Pavement Mark</t>
  </si>
  <si>
    <t>P</t>
  </si>
  <si>
    <t>CAT297C MTL - No Operator</t>
  </si>
  <si>
    <t>Crib Facilities</t>
  </si>
  <si>
    <t>Site Office &amp; Tiolet, 1 Pump out during project.</t>
  </si>
  <si>
    <t>GPS Hire</t>
  </si>
  <si>
    <t>Grader - Wet Hire</t>
  </si>
  <si>
    <t>Pad Foot Roller - Dry</t>
  </si>
  <si>
    <t>Plate Compactor - Dry Hire</t>
  </si>
  <si>
    <t>Pump</t>
  </si>
  <si>
    <t>SD Roller - Dry</t>
  </si>
  <si>
    <t>Tipper (Wet Hire)</t>
  </si>
  <si>
    <t>Water Cart Hire</t>
  </si>
  <si>
    <t>S</t>
  </si>
  <si>
    <t>Accommodation</t>
  </si>
  <si>
    <t>CAR Insurance</t>
  </si>
  <si>
    <t>CUM Rate</t>
  </si>
  <si>
    <t>Cover Agg - 10mm</t>
  </si>
  <si>
    <t>Cover Agg - 14mm</t>
  </si>
  <si>
    <t>Crack Filling</t>
  </si>
  <si>
    <t>Electrician - Hourly Rate</t>
  </si>
  <si>
    <t>Enrichmnet Spray</t>
  </si>
  <si>
    <t>Retention Costs</t>
  </si>
  <si>
    <t>Surface Preparation Seal</t>
  </si>
  <si>
    <r>
      <t>Quantity (m</t>
    </r>
    <r>
      <rPr>
        <vertAlign val="superscript"/>
        <sz val="8"/>
        <color theme="1"/>
        <rFont val="Calibri"/>
        <family val="2"/>
        <scheme val="minor"/>
      </rPr>
      <t>2</t>
    </r>
    <r>
      <rPr>
        <sz val="8"/>
        <color theme="1"/>
        <rFont val="Calibri"/>
        <family val="2"/>
        <scheme val="minor"/>
      </rPr>
      <t xml:space="preserve"> of road - From item )</t>
    </r>
  </si>
  <si>
    <r>
      <t>m</t>
    </r>
    <r>
      <rPr>
        <b/>
        <vertAlign val="superscript"/>
        <sz val="8"/>
        <color theme="1"/>
        <rFont val="Calibri"/>
        <family val="2"/>
        <scheme val="minor"/>
      </rPr>
      <t>3</t>
    </r>
    <r>
      <rPr>
        <b/>
        <sz val="8"/>
        <color theme="1"/>
        <rFont val="Calibri"/>
        <family val="2"/>
        <scheme val="minor"/>
      </rPr>
      <t xml:space="preserve">   </t>
    </r>
  </si>
  <si>
    <r>
      <t>m</t>
    </r>
    <r>
      <rPr>
        <b/>
        <vertAlign val="superscript"/>
        <sz val="8"/>
        <color theme="1"/>
        <rFont val="Calibri"/>
        <family val="2"/>
        <scheme val="minor"/>
      </rPr>
      <t>2</t>
    </r>
    <r>
      <rPr>
        <b/>
        <sz val="8"/>
        <color theme="1"/>
        <rFont val="Calibri"/>
        <family val="2"/>
        <scheme val="minor"/>
      </rPr>
      <t xml:space="preserve">   </t>
    </r>
  </si>
  <si>
    <t>Intermediate Trim: QTY based on depth</t>
  </si>
  <si>
    <t>Depth of Layer</t>
  </si>
  <si>
    <t>Depth of layer</t>
  </si>
  <si>
    <t>Q</t>
  </si>
  <si>
    <t>Non-Working Calendar 2011 - 2015 (Queensland - Australia)</t>
  </si>
  <si>
    <t>Christmas Day</t>
  </si>
  <si>
    <t>Boxing Day</t>
  </si>
  <si>
    <t>New Years Day</t>
  </si>
  <si>
    <t>Australia Day</t>
  </si>
  <si>
    <t>Good Friday</t>
  </si>
  <si>
    <t>Easter Monday</t>
  </si>
  <si>
    <t>ANZAC Day</t>
  </si>
  <si>
    <t>Labour Day</t>
  </si>
  <si>
    <t>Queen's Birthday</t>
  </si>
  <si>
    <t>Xmas S/D</t>
  </si>
  <si>
    <t>Practical Completion</t>
  </si>
  <si>
    <t>1,10</t>
  </si>
  <si>
    <t>3,1</t>
  </si>
  <si>
    <t>5,3</t>
  </si>
  <si>
    <t>3,9</t>
  </si>
  <si>
    <t>1,7</t>
  </si>
  <si>
    <t>11,13</t>
  </si>
  <si>
    <t>22,52</t>
  </si>
  <si>
    <t>3,5,7,9,10,11</t>
  </si>
  <si>
    <t>13,22</t>
  </si>
  <si>
    <t xml:space="preserve">   Ann Street</t>
  </si>
  <si>
    <t xml:space="preserve">   Barberos Road</t>
  </si>
  <si>
    <t xml:space="preserve">   Burke Offset Road</t>
  </si>
  <si>
    <t xml:space="preserve">   Fabris Road</t>
  </si>
  <si>
    <t xml:space="preserve">   Harvey Road</t>
  </si>
  <si>
    <t xml:space="preserve">   Heards Road</t>
  </si>
  <si>
    <t xml:space="preserve">   Mile Road</t>
  </si>
  <si>
    <t xml:space="preserve">   Wallaman Falls Road</t>
  </si>
  <si>
    <t>42,54</t>
  </si>
  <si>
    <t xml:space="preserve">   Allingham Road</t>
  </si>
  <si>
    <t xml:space="preserve">   Taylors Beach Road</t>
  </si>
  <si>
    <t xml:space="preserve">   Taraken Road</t>
  </si>
  <si>
    <t xml:space="preserve">   Amos St</t>
  </si>
  <si>
    <t xml:space="preserve">   Lannercost Extension Road</t>
  </si>
  <si>
    <t xml:space="preserve">   Amos Street</t>
  </si>
  <si>
    <t>PRINCIPAL SUPPLIED - Supply select backfill material for backfill to unsuitable excavations, -75 mm graded rock (Principal paid material) (Provisional Quantity, if ordered)</t>
  </si>
  <si>
    <t>Deliver -75 mm graded rock material for subgrade treatment Type I, including haulage up to 18 km (Contractor delivery rate) (Principal paid material) (Provisional Quantity, if ordered)</t>
  </si>
  <si>
    <t xml:space="preserve">   PRINCIPAL SUPPLIED - Supply Subtype 2.2 Unbound Pavement material for Base course. (Provisional Quantity, if ordered) (Principal paid material)</t>
  </si>
  <si>
    <t xml:space="preserve">   Deliver Subtype 2.2 Unbound Pavement material for Base course, including haulage up to 18 km (Provisional quantity, if ordered) (Contractor delivery rate) (Principal paid material)</t>
  </si>
  <si>
    <t xml:space="preserve">   Base course, unbound pavement, Subtype 2.2 (Provisional quantity, if ordered) (Contractor Installation Rate) (Principal paid material)</t>
  </si>
  <si>
    <t xml:space="preserve">      Ann Street</t>
  </si>
  <si>
    <t>146,174,23,141,87</t>
  </si>
  <si>
    <t xml:space="preserve">      Barberos Road</t>
  </si>
  <si>
    <t>147,175,17</t>
  </si>
  <si>
    <t xml:space="preserve">      Burke Offset Road</t>
  </si>
  <si>
    <t>148,18</t>
  </si>
  <si>
    <t xml:space="preserve">      Fabris Road</t>
  </si>
  <si>
    <t>149,19</t>
  </si>
  <si>
    <t xml:space="preserve">      Harvey Road</t>
  </si>
  <si>
    <t>150,20</t>
  </si>
  <si>
    <t xml:space="preserve">      Heards Road</t>
  </si>
  <si>
    <t>151,25</t>
  </si>
  <si>
    <t xml:space="preserve">      Mile Road</t>
  </si>
  <si>
    <t>152,15</t>
  </si>
  <si>
    <t xml:space="preserve">      Wallaman Falls Road</t>
  </si>
  <si>
    <t xml:space="preserve">      Allingham Road</t>
  </si>
  <si>
    <t>154,26</t>
  </si>
  <si>
    <t xml:space="preserve">      Taylors Beach Road</t>
  </si>
  <si>
    <t>155,21</t>
  </si>
  <si>
    <t xml:space="preserve">      Taraken Road</t>
  </si>
  <si>
    <t>156,24</t>
  </si>
  <si>
    <t xml:space="preserve">      Amos Street</t>
  </si>
  <si>
    <t xml:space="preserve">      Lannercost Extension Road</t>
  </si>
  <si>
    <t>158,16</t>
  </si>
  <si>
    <t xml:space="preserve">   PRINCIPAL SUPPLIED - Supply Subtype 2.3 Unbound Pavement material for Subbase course. (Provisional quantity, if ordered) (Principal paid material)</t>
  </si>
  <si>
    <t xml:space="preserve">   Deliver Subtype 2.3 Unbound Pavement material for Subbase course, including haulage up to 18 km. (Provisional quantity, if ordered) (Contractor delivery rate) (Principal paid material)</t>
  </si>
  <si>
    <t xml:space="preserve">   Subbase course, unbound pavement, Subtype 2.3. (Provisional quantity, if ordered) (Contractor Installation Rate) (Principal paid material)</t>
  </si>
  <si>
    <t xml:space="preserve">   PRINCIPAL SUPPLIED - Supply unbound pavement, Wearing Course Type gravel for shoulders (Principal paid material) (Provisional quantity, if ordered)</t>
  </si>
  <si>
    <t xml:space="preserve">   Deliver unbound pavement, Wearing Course Type gravel for shoulders, including haulage up to 18 km (Provisional quantity, if ordered) (Contractor delivery rate) (Principal paid material)</t>
  </si>
  <si>
    <t xml:space="preserve">   Unbound pavement, Wearing Course Type gravel for shoulders (Provisional quantity, if ordered) (Contractor installation rate) (Principal paid material)</t>
  </si>
  <si>
    <t xml:space="preserve">   Extra over Items MRS05-4151.2PS, MRS05-4153.2,MRS07-4203.2PS and 9005.2 for haulage in excess of 18 km (Provisional Quantity, if ordered) (m3 x km, single trip)</t>
  </si>
  <si>
    <t xml:space="preserve">   BITUMEN SURFACING</t>
  </si>
  <si>
    <t xml:space="preserve">      Seal Design by Contractor. Application rates are indicative only</t>
  </si>
  <si>
    <t xml:space="preserve">      Preparation of the existing sealed surface for resealing (Provisional quantity, if ordered)</t>
  </si>
  <si>
    <t xml:space="preserve">      Enrichment spray, 60% bitumen emulsion, total 0.9L/m2 applied in 3 passes (Provisional quantity, if ordered)</t>
  </si>
  <si>
    <t xml:space="preserve">      Crack Filling (Provisional Quantity, if ordered)</t>
  </si>
  <si>
    <t xml:space="preserve">      Strain alleviating fabric strips (Provisional Quantity, if ordered)</t>
  </si>
  <si>
    <t xml:space="preserve">      Primerseal, Grade AMC5, spray rate 1.5 L/m2, including supply of binder, all areas. (Seal design by Contractor) (Provisional Quantity, if ordered)</t>
  </si>
  <si>
    <t xml:space="preserve">         Ann Street</t>
  </si>
  <si>
    <t xml:space="preserve">         Barberos Road</t>
  </si>
  <si>
    <t xml:space="preserve">         Burke Offset Road</t>
  </si>
  <si>
    <t xml:space="preserve">         Fabris Road</t>
  </si>
  <si>
    <t xml:space="preserve">         Harvey Road</t>
  </si>
  <si>
    <t xml:space="preserve">         Heards Road</t>
  </si>
  <si>
    <t xml:space="preserve">         Mile Road</t>
  </si>
  <si>
    <t xml:space="preserve">         Wallaman Falls Road</t>
  </si>
  <si>
    <t xml:space="preserve">         Allingham Road</t>
  </si>
  <si>
    <t xml:space="preserve">         Taylors Beach Road</t>
  </si>
  <si>
    <t xml:space="preserve">         Taraken Road</t>
  </si>
  <si>
    <t xml:space="preserve">         Amos Street</t>
  </si>
  <si>
    <t xml:space="preserve">         Lannercost Extension Road</t>
  </si>
  <si>
    <t xml:space="preserve">      Second Seal C170 Bitumen, 1.5 L/m2 including binder (Seal design by Contractor) (Provisional Quantity, if ordered)</t>
  </si>
  <si>
    <t xml:space="preserve">      Spreading cover aggregate to Primerseal (14mm), spread rate 110 m2/m3, all areas (Seal design by Contractor) (Provisional Quantity, if ordered)</t>
  </si>
  <si>
    <t xml:space="preserve">      Spreading cover aggregate to Second Seal (10mm), 130 m2/m3 (Seal design by Contractor) (Provisional Quantity, if ordered)</t>
  </si>
  <si>
    <t xml:space="preserve">      Supply of Primerseal cover aggregate, precoated, 14 mm nominal size, spread rate 110 m2/m3, all areas (Seal design by Contractor) (Provisional Quantity, if ordered)</t>
  </si>
  <si>
    <t xml:space="preserve">      Supply of Second Seal cover aggregate, precoated, 10 mm nominal size,spread rate 130 m2/m3 (Seal design by Contractor) (Provisional Quantity)</t>
  </si>
  <si>
    <t xml:space="preserve">   Road edge guide posts (Provisional Quantity, if ordered)</t>
  </si>
  <si>
    <t xml:space="preserve">   Spotting only for longitudinal lines (Provisional Quantity, if ordered)</t>
  </si>
  <si>
    <t xml:space="preserve">   Temporary raised pavement markers (Provisional Quantity, if ordered)</t>
  </si>
  <si>
    <t xml:space="preserve">   Removal and salvaging existing culverts for reinstallation; pipe culverts up to 600 dia, box culverts up to 600 x 600 (Provisional Quantity, if ordered)</t>
  </si>
  <si>
    <t xml:space="preserve">   Removal and disposal at approved HSC site, of culvert pipes up to 600 dia, including all haulage (Provisional Quantity, if ordered)</t>
  </si>
  <si>
    <t xml:space="preserve">   Demolition and removal of culvert end structures and disposal at approved HSC site, including all haulage (Provisional Quantity, if ordered)</t>
  </si>
  <si>
    <t xml:space="preserve">   Supply and installation of concrete pipe culvert components, Class 2, 375 mm dia (Provisional Quantity, if ordered)</t>
  </si>
  <si>
    <t xml:space="preserve">   Supply and installation of concrete pipe culvert components, Class 4, 450 mm dia (Provisional Quantity, if ordered)</t>
  </si>
  <si>
    <t xml:space="preserve">   Supply and installation of concrete pipe culvert components, Class 8, 525 mm dia (Provisional Quantity, if ordered)</t>
  </si>
  <si>
    <t xml:space="preserve">   Supply and installation of concrete pipe culvert components, Class 8, 600 mm dia (Provisional Quantity, if ordered)</t>
  </si>
  <si>
    <t xml:space="preserve">   End structures to culverts and repairs to end structures, reinforced concrete (Provisional Quantity, if ordered)</t>
  </si>
  <si>
    <t xml:space="preserve">   PRINCIPAL SUPPLIED - Supply rock for protection (300 mm rock) (Principal paid material) (Provisional Quantity, if ordered)</t>
  </si>
  <si>
    <t xml:space="preserve">   Deliver rock for protection (300 mm rock) (Contractor delivery rate) (Principal paid material) (Provisional Quantity, if ordered)</t>
  </si>
  <si>
    <t xml:space="preserve">   Rock protection (300 mm rock) (Contractor installation rate) (Principal paid material) (Provisional Quantity, if ordered)</t>
  </si>
  <si>
    <t xml:space="preserve">   Pothole Repairs (Asphalt)</t>
  </si>
  <si>
    <t xml:space="preserve">   Supply premix asphalt material, apply emulsion tack coat (0.3 L/m2) and patch potholes (Provisional Quantity, if ordered)</t>
  </si>
  <si>
    <t xml:space="preserve"> </t>
  </si>
  <si>
    <t xml:space="preserve">VAR01       </t>
  </si>
  <si>
    <t>VAR01 - TC001  This equates to $3.10/m3 for delivery of 14,397m3 of material which is summation of items at MRS04 -34411.PS; MRS05-4151.2PS;MRS05-4153.2PS &amp; 9005.2PS. This adjustment is made on the basis that Allciv will not have any contractual relationship with the quarry chosen to have any ability to pass on or recoiver cost from the quarry associated with waiting time or slow production rates. This additional amount of $3.10/m3 will cover these costs should they arise (provisional Quantity , if ordered)</t>
  </si>
  <si>
    <t xml:space="preserve">VAR02       </t>
  </si>
  <si>
    <t xml:space="preserve">MRS04 - 3101.1PS - Clearing of Shoulders - width 1m in with to hing point </t>
  </si>
  <si>
    <t xml:space="preserve">MRS04- 3208.9PS: Special Excavation all material, grading of shoulders to acheive pavemnent surface drainage and disposal of material at HSC disposal site and disposal of material at HSC disposal site,including haulage up to 18km (provisional Quantity,as directed)##CRLF####CRLF##Qty =  area x 50mm </t>
  </si>
  <si>
    <t xml:space="preserve">VAR04.1     </t>
  </si>
  <si>
    <t xml:space="preserve">9009.1PS-  Moisture conditioning of sub-base 2.3 Gravel </t>
  </si>
  <si>
    <t xml:space="preserve">VAR03.5     </t>
  </si>
  <si>
    <t xml:space="preserve">MRS08 - 4301.5PS  Deliver Subbase 2.3 Plant mixed 3% cement </t>
  </si>
  <si>
    <t xml:space="preserve">VAR3.9      </t>
  </si>
  <si>
    <t xml:space="preserve">9008.1PS  - EXTRA OVER ITEMS VAR 3.2, VAR3.5 ,VAR3.7 for haulage in eccess of 18km ##CRLF####CRLF##Wallaman job site  - 32.5km - 18km = 14.5km </t>
  </si>
  <si>
    <t>m3*km</t>
  </si>
  <si>
    <t xml:space="preserve">VAR3.6      </t>
  </si>
  <si>
    <t xml:space="preserve">MRS08-4301.6PS - Installation sub-base 2.3 3% cement </t>
  </si>
  <si>
    <t xml:space="preserve">VAR3.2      </t>
  </si>
  <si>
    <t xml:space="preserve">MRS08 4301.2PS Delivery Subtype 2.2 CMB 1.5% Cement </t>
  </si>
  <si>
    <t xml:space="preserve">VAR3.3      </t>
  </si>
  <si>
    <t xml:space="preserve">MRS08-4301.3PS  Installation subtype 2.2 Cement Treated Base 1.5% cement </t>
  </si>
  <si>
    <t xml:space="preserve">VAR05       </t>
  </si>
  <si>
    <t>Dayworks  to undertake pavement repairs, sweeping and seal patching Wallaman Fall Road Ch 34600 - Ch 34800</t>
  </si>
  <si>
    <t xml:space="preserve">VAR06       </t>
  </si>
  <si>
    <t xml:space="preserve">Dayworks - EIR7561 - removal of loose gravel from verge intersection of Dangercamp road </t>
  </si>
  <si>
    <t xml:space="preserve">VAR07       </t>
  </si>
  <si>
    <t xml:space="preserve">Holding 7mm Seal - Variation works  Neame street  </t>
  </si>
  <si>
    <t xml:space="preserve">VAR08       </t>
  </si>
  <si>
    <t xml:space="preserve">Additional establishment for sealing works Neame Street  </t>
  </si>
  <si>
    <t xml:space="preserve">VAR09       </t>
  </si>
  <si>
    <t xml:space="preserve">Hawkin Creek  road washout  works  -  rate for installation of rock revised  due to qty  of rock installation rate for this works only is $111  </t>
  </si>
  <si>
    <t xml:space="preserve">VAR10       </t>
  </si>
  <si>
    <t>Var 7.1 supply and Lay DG 7 asphalt ##CRLF##Var 7.2 Supply and Spray 10mm C170 ##CRLF####CRLF##</t>
  </si>
  <si>
    <t>DC Rate</t>
  </si>
  <si>
    <t>DC</t>
  </si>
  <si>
    <t>Quantity = Tonnes</t>
  </si>
  <si>
    <t>Haul Distance (9.7 KM Established)</t>
  </si>
  <si>
    <t>Portfolio WBS</t>
  </si>
  <si>
    <t>DG10</t>
  </si>
  <si>
    <t>Rock</t>
  </si>
  <si>
    <t>Purchase Material</t>
  </si>
  <si>
    <t>Install</t>
  </si>
  <si>
    <t>QMR</t>
  </si>
  <si>
    <t>Asphalt Supply &amp; Compact</t>
  </si>
  <si>
    <t xml:space="preserve">Line No OH  1
Item No </t>
  </si>
  <si>
    <t>Project Management</t>
  </si>
  <si>
    <t xml:space="preserve">Line No OH  2
Item No </t>
  </si>
  <si>
    <t>Project Supervision</t>
  </si>
  <si>
    <t xml:space="preserve">Line No OH  3
Item No </t>
  </si>
  <si>
    <t>Project Administration</t>
  </si>
  <si>
    <t xml:space="preserve">Line No OH  4
Item No </t>
  </si>
  <si>
    <t>Project Facilities</t>
  </si>
  <si>
    <t xml:space="preserve">Line No OH  5
Item No </t>
  </si>
  <si>
    <t xml:space="preserve">Line No OH  6
Item No </t>
  </si>
  <si>
    <t>Water Pumps</t>
  </si>
  <si>
    <t xml:space="preserve">Pump                     </t>
  </si>
  <si>
    <t xml:space="preserve">Line No OH  7
Item No </t>
  </si>
  <si>
    <t xml:space="preserve">Accommodation            </t>
  </si>
  <si>
    <t xml:space="preserve">Line No OH  8
Item No </t>
  </si>
  <si>
    <t>SWP</t>
  </si>
  <si>
    <t>QMS</t>
  </si>
  <si>
    <t>5,6,8,29,49,52,56,123,28</t>
  </si>
  <si>
    <t>3,28</t>
  </si>
  <si>
    <t>49SS</t>
  </si>
  <si>
    <t>3,65SS</t>
  </si>
  <si>
    <t>50,48SS,52,56</t>
  </si>
  <si>
    <t>52SS</t>
  </si>
  <si>
    <t>3,49</t>
  </si>
  <si>
    <t>51SS,54</t>
  </si>
  <si>
    <t>56SS</t>
  </si>
  <si>
    <t>55SS,67</t>
  </si>
  <si>
    <t>132,49SS</t>
  </si>
  <si>
    <t>44,56,54,51,50,48</t>
  </si>
  <si>
    <t>91SS</t>
  </si>
  <si>
    <t>90SS,102</t>
  </si>
  <si>
    <t>153,27,91</t>
  </si>
  <si>
    <t>118,90,91</t>
  </si>
  <si>
    <t>107SS</t>
  </si>
  <si>
    <t>116SS</t>
  </si>
  <si>
    <t>118,106SS</t>
  </si>
  <si>
    <t>100,107SS</t>
  </si>
  <si>
    <t>123SS</t>
  </si>
  <si>
    <t>3,132SS</t>
  </si>
  <si>
    <t>122SS,134</t>
  </si>
  <si>
    <t>116,123SS,140,201</t>
  </si>
  <si>
    <t>93,88</t>
  </si>
  <si>
    <t>206,204,8,6,53</t>
  </si>
  <si>
    <t>195,205FF</t>
  </si>
  <si>
    <t>160,161,162,163,164,165,166,167FF,168,169,170,171,172</t>
  </si>
  <si>
    <t>Labour Resources</t>
  </si>
  <si>
    <t>Material Resources</t>
  </si>
  <si>
    <t>Plant Resources</t>
  </si>
  <si>
    <t>Sub-Contract Resources</t>
  </si>
  <si>
    <t>WBS</t>
  </si>
  <si>
    <t>Model Input</t>
  </si>
  <si>
    <r>
      <t>Qty / Prod</t>
    </r>
    <r>
      <rPr>
        <b/>
        <vertAlign val="superscript"/>
        <sz val="8"/>
        <color theme="1"/>
        <rFont val="Calibri"/>
        <family val="2"/>
        <scheme val="minor"/>
      </rPr>
      <t>n</t>
    </r>
  </si>
  <si>
    <t>UOM</t>
  </si>
  <si>
    <t>Working Hours</t>
  </si>
  <si>
    <t>Item No</t>
  </si>
  <si>
    <t>Budget</t>
  </si>
  <si>
    <t>Tender Quantity</t>
  </si>
  <si>
    <t>Contract Quantity</t>
  </si>
  <si>
    <t>Revenue Sep 14</t>
  </si>
  <si>
    <t>Revenue Oct 14</t>
  </si>
  <si>
    <t>Revenue Nov 14</t>
  </si>
  <si>
    <t>Revenue Dec 14</t>
  </si>
  <si>
    <t>Revenue Jan 15</t>
  </si>
  <si>
    <t>Revenue Feb 15</t>
  </si>
  <si>
    <t>Revenue Mar 15</t>
  </si>
  <si>
    <t>Contract Items</t>
  </si>
  <si>
    <t xml:space="preserve">            </t>
  </si>
  <si>
    <t xml:space="preserve">     </t>
  </si>
  <si>
    <t>MRS28 - 1101</t>
  </si>
  <si>
    <t>MRS51 - 1331</t>
  </si>
  <si>
    <t>MRS51 - 1332</t>
  </si>
  <si>
    <t xml:space="preserve">n/a         </t>
  </si>
  <si>
    <t>MRS02 - 1201</t>
  </si>
  <si>
    <t>MRS02 - 1202</t>
  </si>
  <si>
    <t xml:space="preserve">9001S       </t>
  </si>
  <si>
    <t>MRS04 - 3208</t>
  </si>
  <si>
    <t>MRS04 - 3108</t>
  </si>
  <si>
    <t>MRS04 - 3109</t>
  </si>
  <si>
    <t>MRS04 - 3502</t>
  </si>
  <si>
    <t>MRS04 - 3501</t>
  </si>
  <si>
    <t>MRS04 - 3402</t>
  </si>
  <si>
    <t>MRS04 - 3411</t>
  </si>
  <si>
    <t>MRS04 - 3304</t>
  </si>
  <si>
    <t xml:space="preserve">9002PS      </t>
  </si>
  <si>
    <t xml:space="preserve">9003PS      </t>
  </si>
  <si>
    <t>MRS03 - 2101</t>
  </si>
  <si>
    <t>MRS03 - 2102</t>
  </si>
  <si>
    <t>MRS03 - 2221</t>
  </si>
  <si>
    <t>MRS03 - 2241</t>
  </si>
  <si>
    <t>MRS03 - 2308</t>
  </si>
  <si>
    <t>MRS03 - 2643</t>
  </si>
  <si>
    <t xml:space="preserve">9004PS      </t>
  </si>
  <si>
    <t>MRS05 - 4151</t>
  </si>
  <si>
    <t>MRS05 - 4153</t>
  </si>
  <si>
    <t xml:space="preserve">9005.1PS    </t>
  </si>
  <si>
    <t xml:space="preserve">9005.2PS    </t>
  </si>
  <si>
    <t xml:space="preserve">9005.3PS    </t>
  </si>
  <si>
    <t xml:space="preserve">9006PS      </t>
  </si>
  <si>
    <t>MRS30 - 5401</t>
  </si>
  <si>
    <t>MRS11 - 5105</t>
  </si>
  <si>
    <t>MRS30- 5402P</t>
  </si>
  <si>
    <t>MRS30- 5403P</t>
  </si>
  <si>
    <t>MRS11 - 5102</t>
  </si>
  <si>
    <t>MRS11 - 5103</t>
  </si>
  <si>
    <t>MRS11 - 5112</t>
  </si>
  <si>
    <t>MRS22 - 5011</t>
  </si>
  <si>
    <t>MRS14 - 6111</t>
  </si>
  <si>
    <t>MRS45 - 6301</t>
  </si>
  <si>
    <t>MRS45 - 6353</t>
  </si>
  <si>
    <t>Variations</t>
  </si>
  <si>
    <t xml:space="preserve">MRS04- 3208.9PS: Special Excavation all material, grading of shoulders to acheive pavemnent surface drainage and disposal of material at HSC disposal site and disposal of material at HSC disposal site,including haulage up to 18km (provisional Quantity,as directed)
Qty =  area x 50mm </t>
  </si>
  <si>
    <t xml:space="preserve">9008.1PS  - EXTRA OVER ITEMS VAR 3.2, VAR3.5 ,VAR3.7 for haulage in eccess of 18km 
Wallaman job site  - 32.5km - 18km = 14.5km </t>
  </si>
  <si>
    <t xml:space="preserve">Var 7.1 supply and Lay DG 7 asphalt 
Var 7.2 Supply and Spray 10mm C170 
</t>
  </si>
  <si>
    <t>Total, all contract items and variations</t>
  </si>
  <si>
    <t>Tender Budget</t>
  </si>
  <si>
    <t>Tender Sell Rate</t>
  </si>
  <si>
    <t>Tender Sell Total</t>
  </si>
  <si>
    <t>Final Contract Total</t>
  </si>
  <si>
    <t>Task</t>
  </si>
  <si>
    <t>WBS Predecessors</t>
  </si>
  <si>
    <t>WBS Successors</t>
  </si>
  <si>
    <t>%C -  Oct 14</t>
  </si>
  <si>
    <t>%C -  Sep 14</t>
  </si>
  <si>
    <t>%C -  Nov 14</t>
  </si>
  <si>
    <t>%C -  Dec 14</t>
  </si>
  <si>
    <t>%C -  Jan 15</t>
  </si>
  <si>
    <t>%C -  Feb 15</t>
  </si>
  <si>
    <t>%C -  Mar 15</t>
  </si>
  <si>
    <t>Date</t>
  </si>
  <si>
    <t>Resource</t>
  </si>
  <si>
    <t>Induction Travel Taylor Beach Markup and Wallaman Falls Road Model</t>
  </si>
  <si>
    <t xml:space="preserve">Survey                   </t>
  </si>
  <si>
    <t xml:space="preserve">Survey on Wallaman Falls Road, Taylors Beach Road </t>
  </si>
  <si>
    <t>Survey at Wallaman falls Road- Field Hours and Office Hours</t>
  </si>
  <si>
    <t>Field hours and Survey Crew and Wallamans Falls Road.</t>
  </si>
  <si>
    <t>Field hours and Survey Crew and Taylors Beach Road.</t>
  </si>
  <si>
    <t>Office  hours  Crew Allingham Street Model</t>
  </si>
  <si>
    <t>Field hours and Survey Crew for  Taylors Beach Road.</t>
  </si>
  <si>
    <t>Neame Street Detail Survey</t>
  </si>
  <si>
    <t>Field hours and Survey Crew for Taylors Beach</t>
  </si>
  <si>
    <t>Neame Street - Field Hours-Survey Crew, Office Hours</t>
  </si>
  <si>
    <t>Field hours and Survey Crew for Wallaman Fall Road.</t>
  </si>
  <si>
    <t xml:space="preserve">Subtotal for 011                   </t>
  </si>
  <si>
    <t>California Bearing Ration</t>
  </si>
  <si>
    <t xml:space="preserve">QA Testing               </t>
  </si>
  <si>
    <t xml:space="preserve">California Bearing Ratio, </t>
  </si>
  <si>
    <t>California Bearing Ratio, Wallaman Falls Rd</t>
  </si>
  <si>
    <t xml:space="preserve">Subtotal for 013                   </t>
  </si>
  <si>
    <t>Hire of Equipment 22/9/14 - 5/10/14</t>
  </si>
  <si>
    <t xml:space="preserve">GPS Hire                 </t>
  </si>
  <si>
    <t>FRU-Contro Box CB450 Software, Accu Grade</t>
  </si>
  <si>
    <t xml:space="preserve">CB450                    </t>
  </si>
  <si>
    <t>Allciv Equipment Hire</t>
  </si>
  <si>
    <t>Instrument -SPS730 Robotic UTS &amp; TSC3 Core &amp; Road Internal</t>
  </si>
  <si>
    <t xml:space="preserve">Robotic UTS              </t>
  </si>
  <si>
    <t xml:space="preserve">Instrument -SPS730 Robotic UTS &amp; TSC3 Core &amp; Road Internal 1/3/15 -  3/3/15 </t>
  </si>
  <si>
    <t xml:space="preserve">Subtotal for 016                   </t>
  </si>
  <si>
    <t>25T Excavator Hire</t>
  </si>
  <si>
    <t xml:space="preserve">Excavator - 25T          </t>
  </si>
  <si>
    <t>Hire of 14T Excavator</t>
  </si>
  <si>
    <t xml:space="preserve">Excavator - 14T          </t>
  </si>
  <si>
    <t xml:space="preserve">Tipper                   </t>
  </si>
  <si>
    <t xml:space="preserve">Labour                   </t>
  </si>
  <si>
    <t>ATS Labour Hire</t>
  </si>
  <si>
    <t>BCLA Pty Ltd - Tractor/Profiler</t>
  </si>
  <si>
    <t xml:space="preserve">Tractor/Profiler         </t>
  </si>
  <si>
    <t>Tandem Tipper Truck</t>
  </si>
  <si>
    <t xml:space="preserve">Truck Tandem Tipper      </t>
  </si>
  <si>
    <t>24T Excavator Hire</t>
  </si>
  <si>
    <t>Travel Allowance for for Henry Miller, James Sherlick, Jeffrey Loder and Steven Loder</t>
  </si>
  <si>
    <t xml:space="preserve">Travel Allowance         </t>
  </si>
  <si>
    <t>Truck Tipper Hire</t>
  </si>
  <si>
    <t xml:space="preserve">Truck Tipper             </t>
  </si>
  <si>
    <t xml:space="preserve">Water Cart - Hire        </t>
  </si>
  <si>
    <t>Backhoe Hire</t>
  </si>
  <si>
    <t xml:space="preserve">Backhoe                  </t>
  </si>
  <si>
    <t>24T Excavator Dry Hire Shannons Excavator</t>
  </si>
  <si>
    <t xml:space="preserve">Excavator - Dry Hire     </t>
  </si>
  <si>
    <t>24T Excavator Dry Hire</t>
  </si>
  <si>
    <t>Travel Allowance for Ben King week ending 19/10/2014</t>
  </si>
  <si>
    <t>9T Vibrating Rammer Hired 1/10/14 - 31/10/14</t>
  </si>
  <si>
    <t xml:space="preserve">Vibrating Rammer         </t>
  </si>
  <si>
    <t xml:space="preserve">Film Polythene </t>
  </si>
  <si>
    <t xml:space="preserve">Small Tools              </t>
  </si>
  <si>
    <t>Western Star Truck</t>
  </si>
  <si>
    <t xml:space="preserve">Western Star             </t>
  </si>
  <si>
    <t>24T Excavator</t>
  </si>
  <si>
    <t xml:space="preserve">24T Excavator </t>
  </si>
  <si>
    <t>Vibrating Multi Tyre Roller  Hired 31/10/14 -* 30/11/14</t>
  </si>
  <si>
    <t xml:space="preserve">Multi Tyre Roller        </t>
  </si>
  <si>
    <t>Western Star Truck &amp; Dog</t>
  </si>
  <si>
    <t>2.2 Roadbase Cartage 219.38</t>
  </si>
  <si>
    <t>ATS Labour  Hire</t>
  </si>
  <si>
    <t>Western Star Truck and Trailer</t>
  </si>
  <si>
    <t xml:space="preserve">Truck &amp; Dog Hire </t>
  </si>
  <si>
    <t xml:space="preserve">Truck &amp; Dog              </t>
  </si>
  <si>
    <t>Western Star Truck Traile</t>
  </si>
  <si>
    <t xml:space="preserve">ATS Labour Hire/ Travel Cost 52Hours </t>
  </si>
  <si>
    <t xml:space="preserve">ATS Labour Hire/Travel Cost </t>
  </si>
  <si>
    <t xml:space="preserve"> Travel Cost </t>
  </si>
  <si>
    <t xml:space="preserve">ATS Labour Hire/ Travel Cost week ending 1/2/15 </t>
  </si>
  <si>
    <t xml:space="preserve">ATS Labour Hire Travel Costs </t>
  </si>
  <si>
    <t>ATS  Travel Cost week ending 8/2/15</t>
  </si>
  <si>
    <t>ATS Labour Hire Travel Costs</t>
  </si>
  <si>
    <t>Bobcat Hire</t>
  </si>
  <si>
    <t xml:space="preserve">Bobcat Hire              </t>
  </si>
  <si>
    <t>ATS Labour Hire Travel Costs Week Ending 8/3/15</t>
  </si>
  <si>
    <t>ATS Labour Hire Travel Costs Week Ending 22/2/15</t>
  </si>
  <si>
    <t>ATS Labour Hire Travel Costs Week Ending 1/3/15</t>
  </si>
  <si>
    <t xml:space="preserve">Subtotal for 053                   </t>
  </si>
  <si>
    <t xml:space="preserve">ATS Labour Hire </t>
  </si>
  <si>
    <t>140M Cat Grader   Hired 25/2/15 - 28/2/15</t>
  </si>
  <si>
    <t xml:space="preserve">Cat 140M Grader          </t>
  </si>
  <si>
    <t>Bulk GP / GB Cement x 4</t>
  </si>
  <si>
    <t xml:space="preserve">Cement                   </t>
  </si>
  <si>
    <t>Vibrating Multi Tyre Roller  Hired 17/2/15 - 27/2/15</t>
  </si>
  <si>
    <t>Smooth Drum Roller Hired from 16/2/15 - 27/2/15</t>
  </si>
  <si>
    <t xml:space="preserve">SD Roller-Flexi Hire     </t>
  </si>
  <si>
    <t xml:space="preserve">Subtotal for 057                   </t>
  </si>
  <si>
    <t>2.2 Roadbase</t>
  </si>
  <si>
    <t xml:space="preserve">Roadbase 2.2             </t>
  </si>
  <si>
    <t xml:space="preserve">Subtotal for 061                   </t>
  </si>
  <si>
    <t>2.2 Roadbase 012-TET</t>
  </si>
  <si>
    <t>2.2 Roadbase 145-KQT</t>
  </si>
  <si>
    <t>Truck &amp; Dog Hire</t>
  </si>
  <si>
    <t xml:space="preserve">To Cover Cost of Fuel Driving from Prossie to Ingham and return in my own vehicle </t>
  </si>
  <si>
    <t xml:space="preserve">Labour Hire </t>
  </si>
  <si>
    <t>Truck and Dog Hire</t>
  </si>
  <si>
    <t xml:space="preserve">Water Cart Hire
</t>
  </si>
  <si>
    <t>Truck &amp; Dog  (27T &amp; 29T)</t>
  </si>
  <si>
    <t>2.2 Roadbase 976 - MFJ</t>
  </si>
  <si>
    <t>2.2 Roadbase 906-BHB</t>
  </si>
  <si>
    <t>2.2 Roadbase 327-KJT</t>
  </si>
  <si>
    <t>2.2 Roadbase 055-VAF</t>
  </si>
  <si>
    <t>Smooth Drum Roller Hired from 17/11/14 - 30/11/14</t>
  </si>
  <si>
    <t xml:space="preserve">Western Star Truck </t>
  </si>
  <si>
    <t xml:space="preserve">Truck &amp; Dog </t>
  </si>
  <si>
    <t>2.2 Roadbase 643 - RUP</t>
  </si>
  <si>
    <t>2.2 Roadbase  327 KJT</t>
  </si>
  <si>
    <t>2.2 Roadbase  501 - LPI</t>
  </si>
  <si>
    <t>2.2 Roadbase 327 - KJT</t>
  </si>
  <si>
    <t>Grader John deer 770 GP Fitted with Trimble UTS</t>
  </si>
  <si>
    <t xml:space="preserve">Grader-John Deer         </t>
  </si>
  <si>
    <t>2.2 Roadbase 131 - TOR</t>
  </si>
  <si>
    <t>2.2 Roadbase 055 - VAF</t>
  </si>
  <si>
    <t>2.2 Roadbase 621-SVJ</t>
  </si>
  <si>
    <t>2.2 Roadbase  501.- LPI</t>
  </si>
  <si>
    <t>2.2 Roadbase 649-EYJ</t>
  </si>
  <si>
    <t>2.2 Roadbase 148-KQT</t>
  </si>
  <si>
    <t xml:space="preserve">2.2 Roadbase </t>
  </si>
  <si>
    <t>Truck Hire  90.66  x  2.3 Roadbase</t>
  </si>
  <si>
    <t>Smooth Drum Roller Hired from 31/01/15 - 5/2/15</t>
  </si>
  <si>
    <t xml:space="preserve">Subtotal for 0613                  </t>
  </si>
  <si>
    <t>Grader Cat 12H GPS/UTS (with robotic total station and rover unit)</t>
  </si>
  <si>
    <t xml:space="preserve">Grader 12H GPS/          </t>
  </si>
  <si>
    <t>140M Cat Grader   Hired 31/10/2014 - 13/11/14</t>
  </si>
  <si>
    <t>Water Cart</t>
  </si>
  <si>
    <t>Smooth Drum Roller Hired from 30/10/14 - 30/11/14</t>
  </si>
  <si>
    <t>Vibrating Multi Tyre Roller  Hired 30/11/14</t>
  </si>
  <si>
    <t>Smooth Drum Roller Hired from 30/11/14 - 31/12/14</t>
  </si>
  <si>
    <t>ATS Labour Hire10.5</t>
  </si>
  <si>
    <t xml:space="preserve">Subtotal for 062                   </t>
  </si>
  <si>
    <t>Moisture Conditioning of 2.3 Gravel</t>
  </si>
  <si>
    <t xml:space="preserve">Moisture Conditioning    </t>
  </si>
  <si>
    <t>Smooth Drum Roller Hired from 26/9/14 - 30/9/14</t>
  </si>
  <si>
    <t>Travel Allowance for James Sherlock, Steven Loder and Henry Muller Week Ending 5/10/14</t>
  </si>
  <si>
    <t>Travel Allowance for Benjamin King Week ending 12/10/14</t>
  </si>
  <si>
    <t>Travel Allowance for James Sherlock, Steven Loder and Henry Miller  Week ending 12/10/14</t>
  </si>
  <si>
    <t>ATS Labour Hire Travel allowance for James Sherlock</t>
  </si>
  <si>
    <t>13T Smooth Drum Roller Hired from 30/9/14 - 31/10/14</t>
  </si>
  <si>
    <t>13T Smooth Drum Roller  &amp; Transport Hired from 31/10/14 - 31/10/14</t>
  </si>
  <si>
    <t>13T Smooth Drum Roller Hired from 31/10/13 - 5/11/14</t>
  </si>
  <si>
    <t xml:space="preserve">Vibrating Multi Tyre Roller  Hired 31/10/14 -* 30/11/14 </t>
  </si>
  <si>
    <t xml:space="preserve">Backhoe Hire </t>
  </si>
  <si>
    <t>ATS Labour Hire/Travel Hours</t>
  </si>
  <si>
    <t>Travel Hours</t>
  </si>
  <si>
    <t>Smooth Drum Roller Hired from 31/12/15 - 31/01/15</t>
  </si>
  <si>
    <t xml:space="preserve">Subtotal for 0623                  </t>
  </si>
  <si>
    <t>Truck Hire covers diesel for forward and return trips</t>
  </si>
  <si>
    <t xml:space="preserve">Subtotal for 063                   </t>
  </si>
  <si>
    <t xml:space="preserve">14mm Seal Agg </t>
  </si>
  <si>
    <t xml:space="preserve">Cover Agg - 14mm         </t>
  </si>
  <si>
    <t>14mm Seal Agg</t>
  </si>
  <si>
    <t>Suppy and Spray Primer Seal  on the 7/11/14</t>
  </si>
  <si>
    <t xml:space="preserve">Primer  Seal             </t>
  </si>
  <si>
    <t>10mm Seal Agg</t>
  </si>
  <si>
    <t xml:space="preserve">Cover Agg - 10mm         </t>
  </si>
  <si>
    <t>22 kg bags Ezstreet</t>
  </si>
  <si>
    <t xml:space="preserve">Ezstreet                 </t>
  </si>
  <si>
    <t>Suppy and Spray Primer Seal  on the 26/11/14</t>
  </si>
  <si>
    <t>Spreading of14 mm Cover Agg  on the 26/11/14</t>
  </si>
  <si>
    <t>Spreading of14 mm Cover Agg  on the 7/11/14</t>
  </si>
  <si>
    <t>Second Seal on the 26/11/14</t>
  </si>
  <si>
    <t>Spreading of 10mm Cover Agg  on the 26/11/14</t>
  </si>
  <si>
    <t>Docket 14343 04/12/2014 &amp; travel</t>
  </si>
  <si>
    <t>22 kg bags Ezstreet x 10</t>
  </si>
  <si>
    <t>CRS 170/60Bulk</t>
  </si>
  <si>
    <t xml:space="preserve">C170                     </t>
  </si>
  <si>
    <t>7mm Seal Agg</t>
  </si>
  <si>
    <t xml:space="preserve">Cover Agg - 7mm          </t>
  </si>
  <si>
    <t>22 kg bags Ezstreet x 8</t>
  </si>
  <si>
    <t>Spreading of14 mm Cover Agg  on the 9/12/14 Heards Rd</t>
  </si>
  <si>
    <t>Suppy and Spray Primer Seal  on the 03/12/14</t>
  </si>
  <si>
    <t>Spreading of14 mm Cover Agg  on the 3/12/14 Wallerman Falls Rd</t>
  </si>
  <si>
    <t>Suppy and Spray Primer Seal  on the 03/12/14 Blackrock Rd</t>
  </si>
  <si>
    <t>Spreading of14 mm Cover Agg  on the 3/12/14 Blackrock Rd</t>
  </si>
  <si>
    <t>Suppy and Spray Primer Seal  on the 09/12/14</t>
  </si>
  <si>
    <t>Supply &amp; spray primer seal Taylors Beach Rd 17/12/2014</t>
  </si>
  <si>
    <t>Spreading 14mm Cover aggl Taylors Beach Rd 17/12/2014</t>
  </si>
  <si>
    <t>Second seal Wallerman Falls Rd 18/12/2014</t>
  </si>
  <si>
    <t>Spreading 10mm Cover Agg Wallerman Falls Rd 18/12/2014</t>
  </si>
  <si>
    <t>CRS 170/60 - Bulk</t>
  </si>
  <si>
    <t>6 kg bags Ezstreet x 8</t>
  </si>
  <si>
    <t>Spreading 14mm Cover aggl Barbero Road</t>
  </si>
  <si>
    <t>Spreading 10mm Cover Agg Blackrock Road</t>
  </si>
  <si>
    <t>Second Seal C170 for Alingham Street</t>
  </si>
  <si>
    <t xml:space="preserve">Second Seal C170         </t>
  </si>
  <si>
    <t>Spreading 10mm Cover Agg Anne Street</t>
  </si>
  <si>
    <t>Spreading 10mm Cover Agg Alingham Street</t>
  </si>
  <si>
    <t>Spreading 10mm Cover Agg Taylors Road</t>
  </si>
  <si>
    <t>Spreading 10mm Cover Agg Barero Road</t>
  </si>
  <si>
    <t xml:space="preserve">Second Seal C170 Barbero Road </t>
  </si>
  <si>
    <t>Second Seal C170 Anne Street</t>
  </si>
  <si>
    <t>Second Seal C170 for Taylors Beach Road</t>
  </si>
  <si>
    <t>Spreading 14mm Cover agg at Taylors Beach Road</t>
  </si>
  <si>
    <t>Second Seal C170 for Heards Road</t>
  </si>
  <si>
    <t>Spreading 10mm Cover Agg Heards Road</t>
  </si>
  <si>
    <t>Second Seal C170 for Blackrock Road</t>
  </si>
  <si>
    <t xml:space="preserve">Spreading 14mm Cover agg at lAllingham Street </t>
  </si>
  <si>
    <t xml:space="preserve">7mm Seal Agg &amp; Inviromental Levy </t>
  </si>
  <si>
    <t>CRS Bulk 170/60</t>
  </si>
  <si>
    <t xml:space="preserve">4  x 22 kg bags Ezstreet </t>
  </si>
  <si>
    <t>Hire of Street Sweeping Machine</t>
  </si>
  <si>
    <t xml:space="preserve">Street Sweepers          </t>
  </si>
  <si>
    <t xml:space="preserve">Spreading of 10mm Cover Agg  on the Spray Sheet 6894 3/3/15  Neame Street </t>
  </si>
  <si>
    <t>Second Seal C170 Neame Street 3/3/15</t>
  </si>
  <si>
    <t xml:space="preserve">Establishment Fee        </t>
  </si>
  <si>
    <t>Spre ading of14 mm Cover Agg  on the 3/3/15 Neame Street</t>
  </si>
  <si>
    <t>Spreading of 10mm Cover Agg  on the Spray Sheet 6893 3/3/15  Atkinson Street</t>
  </si>
  <si>
    <t>Second Seal C170 Atkinson Street 3/3/15</t>
  </si>
  <si>
    <t>Spreading of14 mm Cover Agg  on the 3/3/15 Spray Sheet 6893   Atkinson Street</t>
  </si>
  <si>
    <t>4  x 22 kg bags Ezstreet</t>
  </si>
  <si>
    <t xml:space="preserve">Supply and lay DG07 Corrector - Taylors Beach Road </t>
  </si>
  <si>
    <t xml:space="preserve">Second Seal C170 1.1 l/m2; 10mm Spray sheet 6910 Taylors Beach Road. </t>
  </si>
  <si>
    <t xml:space="preserve">Subtotal for 064                   </t>
  </si>
  <si>
    <t xml:space="preserve">Subtotal for 065                   </t>
  </si>
  <si>
    <t>Spray &amp; Mark Paint</t>
  </si>
  <si>
    <t>Spray &amp; Mark Paint x 4  x 12Pack</t>
  </si>
  <si>
    <t>Spot Marking Paint x 9</t>
  </si>
  <si>
    <t>Spray &amp; Mark Paint x 1</t>
  </si>
  <si>
    <t>Mortar Mix 20Kg and Rapid Concrete mix</t>
  </si>
  <si>
    <t xml:space="preserve">Concrete Mix             </t>
  </si>
  <si>
    <t xml:space="preserve">Subtotal for 067                   </t>
  </si>
  <si>
    <t>Ply film faced, Threaded rod, nuts, washers, screws, nails, dynabolt, pipe, drill bits, turps and Sprayer pressure.</t>
  </si>
  <si>
    <t xml:space="preserve">N32 20mm Concrete .60M3 and Min Charge </t>
  </si>
  <si>
    <t xml:space="preserve">N20                      </t>
  </si>
  <si>
    <t>Threaded Rod, Nut, Washer, Wheel Cut, Ply Film, Cement and Mortar Mix</t>
  </si>
  <si>
    <t>N32 20mm Concrete</t>
  </si>
  <si>
    <t>Gumboots and Deformed Bars</t>
  </si>
  <si>
    <t xml:space="preserve"> .40 M3    N32  Concrete</t>
  </si>
  <si>
    <t xml:space="preserve">N32                      </t>
  </si>
  <si>
    <t xml:space="preserve">Subtotal for 072                   </t>
  </si>
  <si>
    <t xml:space="preserve">80mm A Camlock adaptor &amp; 80mm B Camlock adaptor </t>
  </si>
  <si>
    <t>Tipper Hire /Float Backhoe</t>
  </si>
  <si>
    <t>ATS  Travel Cost week ending15/2/15</t>
  </si>
  <si>
    <t>ATS  Travel Cost week ending 22/2/15</t>
  </si>
  <si>
    <t>ATS  Travel Cost week ending 1/3/15</t>
  </si>
  <si>
    <t>ATS  Travel Cost week ending 8/3/15</t>
  </si>
  <si>
    <t xml:space="preserve">Subtotal for 088                   </t>
  </si>
  <si>
    <t xml:space="preserve">40 Brackets centre mount </t>
  </si>
  <si>
    <t xml:space="preserve">Signs - General          </t>
  </si>
  <si>
    <t xml:space="preserve">Travel Allowance for Henry Miller Week ending 19/10/2014 </t>
  </si>
  <si>
    <t>Travel Allowance for Henry Miller, James Sherlock and Benjamin King.  Week ending 26/10/2014</t>
  </si>
  <si>
    <t>2 x TC's + Ute, Signs &amp; Comms  Hire of Traffic Control from 10/11/14 - 15/11/14</t>
  </si>
  <si>
    <t xml:space="preserve">Traffic Control Crew     </t>
  </si>
  <si>
    <t>2 x TC's + Ute, Signs &amp; Comms  Hire of Traffic Control from 17/11/14 - 21/11/14</t>
  </si>
  <si>
    <t>2 x TC's + Ute, Signs &amp; Comms  Hire of Traffic Control from 24/11/14 - 25/11/14</t>
  </si>
  <si>
    <t>2 x TC's + Ute, Signs &amp; Comms  Hire of Traffic Control from 5/12/14</t>
  </si>
  <si>
    <t xml:space="preserve">ATS Labour Hire/Travel Hours </t>
  </si>
  <si>
    <t>ATS Labour Hire/Travel Hours Week ending 9/11/14</t>
  </si>
  <si>
    <t>ATS Labour Hire/Travel Hours Week ending 2/11/14</t>
  </si>
  <si>
    <t xml:space="preserve">ATS Labour Hire/Travel Hours  Week Ending the 1/2/15 </t>
  </si>
  <si>
    <t>ATS Labour Hire/Travel Hours week ending the 1/2/15</t>
  </si>
  <si>
    <t>ATS Labour Hire/</t>
  </si>
  <si>
    <t>ATS Travel Hours week ending the 15/2/15</t>
  </si>
  <si>
    <t>ATS Travel Hours week ending the 8/2/15</t>
  </si>
  <si>
    <t>ATS Travel Hours week ending 15/2/15</t>
  </si>
  <si>
    <t>ATS Travel Hours week ending 22/2/15</t>
  </si>
  <si>
    <t>ATS Labour Hire Sick Hours  Week Ending 15/2/15</t>
  </si>
  <si>
    <t>1 x TC's + Ute, Signs &amp; Comms  Hire of Traffic Control</t>
  </si>
  <si>
    <t>ATS Travel Hours week ending the 1/3/15</t>
  </si>
  <si>
    <t>1 x TC's + Ute, Signs &amp; Comms  Hire of Traffic Control 23/2/15 - 27/2/15</t>
  </si>
  <si>
    <t>ATS Travel Hours week ending 1/3/15</t>
  </si>
  <si>
    <t>1 x TC's + Ute, Signs &amp; Comms  Hire of Traffic Control 2/3/15</t>
  </si>
  <si>
    <t>1 x TC's + Ute, Signs &amp; Comms  Hire of Traffic Control 3/3/15</t>
  </si>
  <si>
    <t xml:space="preserve">Hire of Traffic Lights Hired from  25/9/14 - 29/9/14 </t>
  </si>
  <si>
    <t xml:space="preserve">Traffic Lights           </t>
  </si>
  <si>
    <t>Road Liner Barrirers and Delivery Hired 26/9/14 - 30/9/14</t>
  </si>
  <si>
    <t xml:space="preserve">Road Barriers            </t>
  </si>
  <si>
    <t>Hire of Traffic Lights Hired from  20/10/14 - 31/10/14</t>
  </si>
  <si>
    <t>Hire of Traffic Lights Hired from 30/9/14 - 31/10/14</t>
  </si>
  <si>
    <t>Road Liner Barrirers and Delivery Hired 30/9/14 - 31/10/14 Pick up charge to return 8 Water Barriers</t>
  </si>
  <si>
    <t>Hire of Traffic Lights Hired from 31/10/14 - 27/11/14</t>
  </si>
  <si>
    <t>Road Liner Barrirers and Delivery Hired Hired 1/11/14 - 30/11/14</t>
  </si>
  <si>
    <t>Hire of Traffic Lights Hired from31/10/14 - 30/11/14</t>
  </si>
  <si>
    <t>Road Liner Barrirers and Delivery Hired 30/11/14 - 4/12/14</t>
  </si>
  <si>
    <t>Hire of Traffic Lights Hired from 1/12/2014-31/12/2014</t>
  </si>
  <si>
    <t>Hire of Traffic Lights Hired from 31/12/14 - 30/1/15</t>
  </si>
  <si>
    <t>Hire of Traffic Lights Hired from 9/2/15 - 27/2/15</t>
  </si>
  <si>
    <t>Transport of Lights back to Flexihire</t>
  </si>
  <si>
    <t>Excavate &amp; Locate Storm Water &amp; Telstra Service</t>
  </si>
  <si>
    <t xml:space="preserve">Service Locator          </t>
  </si>
  <si>
    <t xml:space="preserve">Subtotal for 151                   </t>
  </si>
  <si>
    <t>Bidim A36 2.00M x 125M &amp; Bidim A39 3.00M x 125M</t>
  </si>
  <si>
    <t xml:space="preserve">A39                      </t>
  </si>
  <si>
    <t>Bidim A44 2.00M x 100M &amp; Bidim A44 3.00M x 100M</t>
  </si>
  <si>
    <t xml:space="preserve">A44                      </t>
  </si>
  <si>
    <t>Bidim A39 3.00M x 125M &amp; Bidim A39 3.00M x 125M</t>
  </si>
  <si>
    <t xml:space="preserve">Bidim A44 3.00M x 100M </t>
  </si>
  <si>
    <t>Bidim A44 3.00M x 100M</t>
  </si>
  <si>
    <t>3 x Roof Gal Nails</t>
  </si>
  <si>
    <t>Bidim A36 3.00M x 125M &amp; Bidim A39 2.00M x 125M</t>
  </si>
  <si>
    <t xml:space="preserve">Subtotal for 222                   </t>
  </si>
  <si>
    <t xml:space="preserve"> Project Manager F/N Ending 7/9/14</t>
  </si>
  <si>
    <t xml:space="preserve">Project Manager          </t>
  </si>
  <si>
    <t>Allciv - Project Engineer   Week Ending  7/9/14</t>
  </si>
  <si>
    <t xml:space="preserve"> Project Manager F/N Ending 
21/9/14</t>
  </si>
  <si>
    <t>Allciv - Project Engineer   Week Ending 21/9/14</t>
  </si>
  <si>
    <t>Project Manager F/N Ending 5/10/14</t>
  </si>
  <si>
    <t>Project Manager F/N Ending 
19/10/14</t>
  </si>
  <si>
    <t>Project Manager F/N Ending 2/11/14</t>
  </si>
  <si>
    <t>Project Manager F/N Ending 
 16/11/14</t>
  </si>
  <si>
    <t>Project Manager F/N Ending 30/11/14</t>
  </si>
  <si>
    <t>Project Manager F/N Ending  7/12/14</t>
  </si>
  <si>
    <t>Project Manager F/N Ending 19/12/14</t>
  </si>
  <si>
    <t>Only 1Week Worked Due to Christmas Break Project Manager F/N Ending 11/12/14</t>
  </si>
  <si>
    <t>Project Manager F/N Ending 25/1/2015</t>
  </si>
  <si>
    <t>Project Manager F/N Ending   8/2/2015</t>
  </si>
  <si>
    <t>Project Manager F/N Ending  22/2/2015</t>
  </si>
  <si>
    <t>Project Manager F/N Ending 8/3/2015</t>
  </si>
  <si>
    <t>Project Manager F/N Ending 22/3/2015</t>
  </si>
  <si>
    <t xml:space="preserve">Subtotal for 901                   </t>
  </si>
  <si>
    <t>2.5 Toshiba Canvio External</t>
  </si>
  <si>
    <t xml:space="preserve">Office Supplies          </t>
  </si>
  <si>
    <t>PVC Sweep bend 50mm 90 Degree orange</t>
  </si>
  <si>
    <t xml:space="preserve">PVC Fitting              </t>
  </si>
  <si>
    <t>Toilet Paper</t>
  </si>
  <si>
    <t>Tissues, Coffee, Teabags, Oragic Tea, Milk</t>
  </si>
  <si>
    <t>PVC Pipe</t>
  </si>
  <si>
    <t>Spoons, knives, Chopping Boards, &amp; ect</t>
  </si>
  <si>
    <t>Adhesive blue tack, letter clip, whiteboard markers, copy paper, pens, notebooks, exercise books, marbig clipboards, staplers, power stapler, Photo coping double sided, single sides and colour coping.</t>
  </si>
  <si>
    <t>Cart Hise Gard &amp; Grow used to roll night line into</t>
  </si>
  <si>
    <t xml:space="preserve">Office Supplies-Canon inkjet </t>
  </si>
  <si>
    <t>Office Supplies   Kitchen Jars</t>
  </si>
  <si>
    <t>Three Room Office, Male &amp; Female Toilets Hired 11/9/14 - 30/9/14</t>
  </si>
  <si>
    <t xml:space="preserve">Building Facilites       </t>
  </si>
  <si>
    <t>2 x Ice Bags</t>
  </si>
  <si>
    <t>Towels, Knifes, Forks and Dessert Spoons</t>
  </si>
  <si>
    <t>30 Photo Copies, Single and Double Sided, Notebooks, Pens, Clipboards, Sheet Protectors, Tudor Letter clips, Bantex Binder, Letter Clip, File Dividers, Artline Pens, Hand Towel and Bantex Clipboard.</t>
  </si>
  <si>
    <t>80M of Mesh Panels, Blocks and Clamps</t>
  </si>
  <si>
    <t xml:space="preserve">Temporary Fence          </t>
  </si>
  <si>
    <t>Indoor Broom, Hasp and Stapler L/Duty, Dustpan and Broom, Screw N/Point, Flat Bar</t>
  </si>
  <si>
    <t>Pre Assebled Steps and landing</t>
  </si>
  <si>
    <t>Office Supplies - Envelopes 100PK</t>
  </si>
  <si>
    <t>Hire of Office, Toilet Male &amp; Female and Folding Platic Chairs</t>
  </si>
  <si>
    <t xml:space="preserve">Crib Facilities          </t>
  </si>
  <si>
    <t>Office Supplies - Ink Cartridges</t>
  </si>
  <si>
    <t>Folding tablel and Bookcase</t>
  </si>
  <si>
    <t xml:space="preserve">Kamb express cup urn </t>
  </si>
  <si>
    <t>GME Bonnet/Bracket, Antenna phone Spring Based</t>
  </si>
  <si>
    <t>Portable Building Hired 31/8/14 - 30/9/14</t>
  </si>
  <si>
    <t xml:space="preserve">10/14 Chip Seal          </t>
  </si>
  <si>
    <t>240Lt x 13  Wheelie Bin &amp; 240Lt x 7  Recycling Wheelie Bin</t>
  </si>
  <si>
    <t xml:space="preserve">Waste Removal            </t>
  </si>
  <si>
    <t>Staminade Powder</t>
  </si>
  <si>
    <t xml:space="preserve">Mop and Bucket  Coffee, Teabags, </t>
  </si>
  <si>
    <t>Delivery of Ice on the 25/9/14 &amp; 27/10/14</t>
  </si>
  <si>
    <t xml:space="preserve">Bulk Ice                 </t>
  </si>
  <si>
    <t>Tissues, &amp; Soap</t>
  </si>
  <si>
    <t>Folding tablel and Bookcase &amp; Delivery</t>
  </si>
  <si>
    <t>Pump out toilets block and waste disposal</t>
  </si>
  <si>
    <t xml:space="preserve">Three Room Office, Male &amp; Female Toilets Hired1/11/14 - 30/11/14 </t>
  </si>
  <si>
    <t>Ice, Cool Drink, Servettes, Cheese Slices, butter, lettuce, onion, tomato,  Bread, coleslaw, oil tomato sauce and bbq sauce ect</t>
  </si>
  <si>
    <t>Milk, Sugar and Spray and Wipe</t>
  </si>
  <si>
    <t>International Coffee</t>
  </si>
  <si>
    <t>Three Room Office, Male &amp; Female Toilets Hired  1/12/14 - 31/12/14</t>
  </si>
  <si>
    <t>.12    287-MFH  Construction or Demolition</t>
  </si>
  <si>
    <t>CRS Sugar and Retangular Atlantis</t>
  </si>
  <si>
    <t>Deliver 20 Container from venables crossing to Taylors Beach Road</t>
  </si>
  <si>
    <t xml:space="preserve">Float                    </t>
  </si>
  <si>
    <t>Credit on Three Room Office, Male &amp; Female Toilets Hired 12/12/14-31/12/14</t>
  </si>
  <si>
    <t>Relocate to Taylors Rd</t>
  </si>
  <si>
    <t xml:space="preserve">Hire 6m x 3m 11/12/2014 - 31/12/2014
Moving fees to Taylors Beach 
Cleaning fees
</t>
  </si>
  <si>
    <t>Credit on Folding table</t>
  </si>
  <si>
    <t>File Dividers Multi Coloured</t>
  </si>
  <si>
    <t>Tea Bags. Staminade Powder and Garbage Bags</t>
  </si>
  <si>
    <t>Three Room Office, Male &amp; Female Toilets Hired 1/1/15-31/1/15</t>
  </si>
  <si>
    <t>Three Room Office, Male &amp; Female Toilets Hired 1/2/15 - 28/2/15</t>
  </si>
  <si>
    <t>Credit Note for the hire of Building Facitily , Male &amp; Female Toilets Hired 6/2/15 - 28/2/15</t>
  </si>
  <si>
    <t>Delivery of Ice on the November / December</t>
  </si>
  <si>
    <t>Copy Paper and blue tack</t>
  </si>
  <si>
    <t>Minimum charge for metered stand pipe hire</t>
  </si>
  <si>
    <t>Commercial &amp; Industrial Waste</t>
  </si>
  <si>
    <t>23 Masonary Products</t>
  </si>
  <si>
    <t>Cake for Vaughan</t>
  </si>
  <si>
    <t>Stamindade Powder</t>
  </si>
  <si>
    <t>Toilet paper</t>
  </si>
  <si>
    <t>Rehire 14 Units of Blocks and Rehire 31 Units of Clamps, Rehire of 22.5 Mesh Panels</t>
  </si>
  <si>
    <t xml:space="preserve">2 x Party Ice </t>
  </si>
  <si>
    <t xml:space="preserve">Party Ice </t>
  </si>
  <si>
    <t xml:space="preserve">Ice                      </t>
  </si>
  <si>
    <t>Clip folder</t>
  </si>
  <si>
    <t>Bandex Binder</t>
  </si>
  <si>
    <t>Deliver 20 Container from Taylors Beach Road to Andy Roadhouse</t>
  </si>
  <si>
    <t>Ìce`x  2</t>
  </si>
  <si>
    <t>Rehire 1 Units of Blocks and Rehire 1 Units of Clamps, Rehire of 15 Mesh Panels</t>
  </si>
  <si>
    <t>The Cleaning &amp; Sanitise of Building and Toilet. Transport of Both back to Ausco.</t>
  </si>
  <si>
    <t>Canon Combo Pack</t>
  </si>
  <si>
    <t>Rehire 14Units of Blocks and Rehire 14 Units of Clamps, Rehire of14 Mesh Panels</t>
  </si>
  <si>
    <t xml:space="preserve">HP Black Ink Cartridge </t>
  </si>
  <si>
    <t>Purchase of Sand.</t>
  </si>
  <si>
    <t xml:space="preserve">A4 Fil Divider </t>
  </si>
  <si>
    <t>Trasport of 140H Grader from Townsville to Ingham</t>
  </si>
  <si>
    <t>Trasport of Tractor Stabiliser from Ingham to Proserpine.</t>
  </si>
  <si>
    <t>Hire of Float to transport grader from Taylors Beach Road to Railway Statione area.</t>
  </si>
  <si>
    <t>Crane to travel to venables crossing and load and position of 3 Dongas</t>
  </si>
  <si>
    <t>Transport of 30T Crane to Transport 30T Excavator and Grader from Venables Crossing to Balck Beach Road</t>
  </si>
  <si>
    <t>Crane to travel to Taylors Beach to load abultion dongas and site office</t>
  </si>
  <si>
    <t xml:space="preserve">Subtotal for 903                   </t>
  </si>
  <si>
    <t>Construction Risk Insurance</t>
  </si>
  <si>
    <t xml:space="preserve">Insurance                </t>
  </si>
  <si>
    <t>Damage Waiver on 
Three Room Office and Toilets</t>
  </si>
  <si>
    <t xml:space="preserve">Damage Waiver            </t>
  </si>
  <si>
    <t>Hard Cooler Eskys</t>
  </si>
  <si>
    <t>Damage Waiver on Pre-Assembled Steps and Landing</t>
  </si>
  <si>
    <t>Damage Waiver on 13T Smoothdrum Roller</t>
  </si>
  <si>
    <t>Damage Waiver on Portable Build</t>
  </si>
  <si>
    <t>Damage Waiver on Road Barriers Hired 30/9/14 - 31/10/2014</t>
  </si>
  <si>
    <t xml:space="preserve">Damage Waiver on Road Barriers </t>
  </si>
  <si>
    <t xml:space="preserve">Damage Waiver on Traffic Lights </t>
  </si>
  <si>
    <t>Damage Waiver on Traffic Lights Hired 30/9/14 - 31/10/14</t>
  </si>
  <si>
    <t xml:space="preserve">Damage Waiver on 9T Vibrating Multityre Roller Hired 1/10/14 - 31/10/14 </t>
  </si>
  <si>
    <t>Damage Waiver on 13T Smooth Drum Roller Hired 30/9/14 - 31/10/14</t>
  </si>
  <si>
    <t>Damage Waiver on Traffic Lights Hired 20/10/14 - 31/10/14</t>
  </si>
  <si>
    <t>Damage Waiver on 13T Smoothdrum Roller Hired 30/10/14- 31/10/14</t>
  </si>
  <si>
    <t>Damage Waiver on Traffic Lights Hired 31/10/14 - 27/11/14</t>
  </si>
  <si>
    <t>Damage Waiver on Traffic Lights Hired 31/10/14 - 30/11/14</t>
  </si>
  <si>
    <t>Damage Waiver on Traffic Lights Hired 1/12/2014-31/12/2014</t>
  </si>
  <si>
    <t>Insurance on 9Tonne Vibrating Multityre Roller Hired 31/10/14 -30/11/14</t>
  </si>
  <si>
    <t>Damage Waiver on 13T Smoothdrum Roller Hired 17/11/14 - 30/11/14</t>
  </si>
  <si>
    <t>Damage Waiver on 13T Smoothdrum Roller Hired 31/10/14 - 30/11/14</t>
  </si>
  <si>
    <t>Insurance on 9Tonne Vibrating Multityre Roller Hired 30/11/14 - 4/12/14</t>
  </si>
  <si>
    <t>Damage Waiver on Toilets &amp; office buildings</t>
  </si>
  <si>
    <t>Credit on Damage Waiver on folding table</t>
  </si>
  <si>
    <t>Credit on Damage Waiver on Toilets &amp; office buildings</t>
  </si>
  <si>
    <t>Damage Waiver on 13T Smoothdrum Roller Hired 30/11/2014-31/12/2014</t>
  </si>
  <si>
    <t>Damage Waiver on 13T Smoothdrum Roller Hired 31/12/2014 - 31/01/15</t>
  </si>
  <si>
    <t>Damage Waiver on Traffic Lights</t>
  </si>
  <si>
    <t>Damage Waiver on 13T Smoothdrum Roller Hired 16/2/15 - 27/2/15</t>
  </si>
  <si>
    <t>Damage Waiver on Vibrating Multi Tyre Roller  Hired 17/2/15 - 27/2/15</t>
  </si>
  <si>
    <t xml:space="preserve">Subtotal for 904                   </t>
  </si>
  <si>
    <t>Key Cutting for 2/7 Abbott Street</t>
  </si>
  <si>
    <t xml:space="preserve">Key Cutting              </t>
  </si>
  <si>
    <t>Morning Fresh and Hand wash</t>
  </si>
  <si>
    <t>Quickbit set and Water Cooler</t>
  </si>
  <si>
    <t>Connetor Philmac, Elbow BSP, Reducing Nippple, Philmac Connector and Wrench Pipe</t>
  </si>
  <si>
    <t xml:space="preserve">1 x Reducing BSP Socket and Union Comp S/Tite </t>
  </si>
  <si>
    <t>Socket Reducing BSP and Comp</t>
  </si>
  <si>
    <t>Marking Fluro, Nut Nyloc, Nuts and Bolts, Screw L/Thread, Clip Saddle, Rubber Mat, Rubber Adjustable Jet, Mat Ultimate, Super Wipes and Garbage Bags.</t>
  </si>
  <si>
    <t>Office Supplies- Document Trays Storage Trays</t>
  </si>
  <si>
    <t>3 x Rapid Concrete 20 kg Mix</t>
  </si>
  <si>
    <t>6 x Support Shelf Plastic Metal Pins</t>
  </si>
  <si>
    <t>Photo Copy Paper</t>
  </si>
  <si>
    <t>ADPT FME To Telstra 4G USB Modem</t>
  </si>
  <si>
    <t>Shovels, Cable Ties, Concrete Pliet, Wrenchs, Ulitily Knife, Screwdriver and Toolbox</t>
  </si>
  <si>
    <t>Office Supplies - Black Retractable and Adhesive notes.</t>
  </si>
  <si>
    <t>Ironing Board W/Cpver amd Fam Pedestal</t>
  </si>
  <si>
    <t>Birthday Cake</t>
  </si>
  <si>
    <t>63 x Bassine Yard Broom and 50 Garden Stakes</t>
  </si>
  <si>
    <t>Office Supplies  3 x Uniball Signo</t>
  </si>
  <si>
    <t xml:space="preserve">Out Door Broom </t>
  </si>
  <si>
    <t>Foldback Clip, Clopfolder and Blue Tac</t>
  </si>
  <si>
    <t xml:space="preserve">Gree Starplug, Masonry Drill, Screws </t>
  </si>
  <si>
    <t>Office Supplies  Whiteboard Markers</t>
  </si>
  <si>
    <t>Ink Cartridges, Mechanical Pencil and Display Files.</t>
  </si>
  <si>
    <t>Key Cuts and Key Tags</t>
  </si>
  <si>
    <t xml:space="preserve">Petrol Caps </t>
  </si>
  <si>
    <t>2 x Gal Cap</t>
  </si>
  <si>
    <t>Spare Jocke</t>
  </si>
  <si>
    <t>Flat Washer, Nuts &amp; Bolts, Nyloc Nuts</t>
  </si>
  <si>
    <t>Pens and Corrector Tape</t>
  </si>
  <si>
    <t>CSR Sugar</t>
  </si>
  <si>
    <t>Cup Hooks</t>
  </si>
  <si>
    <t>1 Mush HD ZP Nuts &amp; Bolts</t>
  </si>
  <si>
    <t>Floats for footvalve of pump</t>
  </si>
  <si>
    <t xml:space="preserve">General Rope </t>
  </si>
  <si>
    <t>Photocopies B &amp; W A4 Double Sided</t>
  </si>
  <si>
    <t>Double A4 Pater and Magazine rack</t>
  </si>
  <si>
    <t>Tape Seal &amp; Joining Sil</t>
  </si>
  <si>
    <t>Starter Fluoro</t>
  </si>
  <si>
    <t>Copy Paper and Cartridge Inks</t>
  </si>
  <si>
    <t>Bulk GP / GB Cement x 7</t>
  </si>
  <si>
    <t>Mortar Mix 20Kg x 3</t>
  </si>
  <si>
    <t xml:space="preserve">3 x Tie Wire </t>
  </si>
  <si>
    <t>7L Sprayer Pressure for the Paveline Truck</t>
  </si>
  <si>
    <t>1 x 80mm x 50mm Socket, 1x Adapt Camlock and 2.5 QRT Ring x 2M BSP</t>
  </si>
  <si>
    <t xml:space="preserve">Bosch Measuring Tool </t>
  </si>
  <si>
    <t>Yellow Brick Line x 2, PH Soil Test Kit, &amp; 8m Tape Measures x</t>
  </si>
  <si>
    <t xml:space="preserve">8 x 20Kg Cement </t>
  </si>
  <si>
    <t xml:space="preserve">Powerboard 6 Way and Mortar Mix </t>
  </si>
  <si>
    <t xml:space="preserve">1 x Accent Quickspray and Screws </t>
  </si>
  <si>
    <t>Chain Galv and D Shackle</t>
  </si>
  <si>
    <t>Airfilter, Spark Plug and Airfilter oil</t>
  </si>
  <si>
    <t>Specs Safety Icon Clear, Wire Tie Belt and shield face tradesman</t>
  </si>
  <si>
    <t>3m Alum Screed and Diamond Blade</t>
  </si>
  <si>
    <t>Cut off Disc</t>
  </si>
  <si>
    <t>Plow  B &amp; N  x 10</t>
  </si>
  <si>
    <t xml:space="preserve">Utilux Metal Plug 7 Pin </t>
  </si>
  <si>
    <t xml:space="preserve">3 x Harvest Hats </t>
  </si>
  <si>
    <t>Additive for the Flexihire Roller that could not start</t>
  </si>
  <si>
    <t xml:space="preserve">Subtotal for 905                   </t>
  </si>
  <si>
    <t>Frieght 20FT 6T Container from Nicholl St Proserpine Delivered to Lannercost Benables Crossing Ingham.</t>
  </si>
  <si>
    <t>Trasport of Furniture from Proserpine to Ingham and back to Proserpine</t>
  </si>
  <si>
    <t>Transport of Tractor &amp; Profiler from Nicol Street to L &amp; W repairs Challands Street Ingham</t>
  </si>
  <si>
    <t>Travel Allowance for Jeffrey Loder and Steven Loder</t>
  </si>
  <si>
    <t>Steel Conduit, T &amp; E Conduit, saddles, screw adapto, lockring and dager tape, rapid set, circuit breaker HD Conduit and coupling.</t>
  </si>
  <si>
    <t xml:space="preserve">Conduit                  </t>
  </si>
  <si>
    <t>GME Microphine to suit</t>
  </si>
  <si>
    <t>Key Cutting and Key Tag</t>
  </si>
  <si>
    <t>GME Microphone</t>
  </si>
  <si>
    <t>Transport of 140M Grader</t>
  </si>
  <si>
    <t>Transport of 120H Grader</t>
  </si>
  <si>
    <t>Transport of 279 &amp; Attachments</t>
  </si>
  <si>
    <t xml:space="preserve">4 x Metric Poly, 1 x Plumber Tape, Bush, Elbow Poly </t>
  </si>
  <si>
    <t>Move to Taylors Beach</t>
  </si>
  <si>
    <t xml:space="preserve">Crane 20T                </t>
  </si>
  <si>
    <t>Disconnect power at Venables Rd &amp; reconnect at Taylors Beach Rd. Cable; conduit; adaptors; couplings; wire; brackets; labour etc</t>
  </si>
  <si>
    <t xml:space="preserve">Electrician              </t>
  </si>
  <si>
    <t xml:space="preserve">N20 Concrete Includes Minumum Freight Chg and Enviromental Levey </t>
  </si>
  <si>
    <t>Disconnect power to site huts and isolate cables</t>
  </si>
  <si>
    <t>Supply 50mm HD Conduit</t>
  </si>
  <si>
    <t>Transport of 20Ft Container</t>
  </si>
  <si>
    <t>Transport of 16T Multi Tyre  Roller from Neame Street Ingham to Flexi Hired</t>
  </si>
  <si>
    <t>Transport of 13T Smooth Drum Roller from Neame Street Ingham to Flexi Hired</t>
  </si>
  <si>
    <t xml:space="preserve">Subtotal for 907                   </t>
  </si>
  <si>
    <t>Bobcat Hire- Labour Hire</t>
  </si>
  <si>
    <t>Bulk GP / GB Cement x 6, Natural Broom and Mineral Turps</t>
  </si>
  <si>
    <t>Bucket Plastic, Bannister Brush, Dustpan Set and Concrete Mix</t>
  </si>
  <si>
    <t xml:space="preserve">Trasport of Bobcat in Mack from Ingham to Prossie and Return </t>
  </si>
  <si>
    <t>Labour Hire</t>
  </si>
  <si>
    <t xml:space="preserve">Drive Jacintas Ute from Ingam to Prossie </t>
  </si>
  <si>
    <t>Dive Iveco from Prosserpine to Mackay and Bicbcat Hire</t>
  </si>
  <si>
    <t xml:space="preserve"> Wages Dive Iveco from Prosserpine to Mackay and Bobcat Hire</t>
  </si>
  <si>
    <t xml:space="preserve">Subtotal for 910                   </t>
  </si>
  <si>
    <t>Accommodation &amp; Meals</t>
  </si>
  <si>
    <t>1/10 Abott Street Ingham</t>
  </si>
  <si>
    <t>2/7  Abbott Street Ingham</t>
  </si>
  <si>
    <t>3/40  Abbott Street Ingham</t>
  </si>
  <si>
    <t>2/11 Abbott Street Ingham</t>
  </si>
  <si>
    <t>51 MCLllwraith Street Ingham</t>
  </si>
  <si>
    <t xml:space="preserve">Phik meals </t>
  </si>
  <si>
    <t>Meals and Drinks</t>
  </si>
  <si>
    <t>Accommadation  Jude</t>
  </si>
  <si>
    <t>Electricity Account for 1/10 Abbott Street Billing Period 25/9/14-23/12/14</t>
  </si>
  <si>
    <t xml:space="preserve">Electrictiy              </t>
  </si>
  <si>
    <t>Electricity Account for 1/10 Abbott Street Billing Period 23/12/14 - 4/3/15</t>
  </si>
  <si>
    <t>Electricity Account for 1/10 Abbott Street Billing Period 15/9/14 - 25/9/14</t>
  </si>
  <si>
    <t>Electricity Account for 2/7 Abbott Street,  Igham
Billing period 10/9/14 - 25/9/14</t>
  </si>
  <si>
    <t>1/13 Palm Avenue</t>
  </si>
  <si>
    <t>Dinner &amp; Drinks</t>
  </si>
  <si>
    <t xml:space="preserve">Electricity Account for 2/11 Palmer Street Ingham  </t>
  </si>
  <si>
    <t>4 Weeks Mcllwrath, 3/40 Hardy and 2/11 Palmer Street Ingham</t>
  </si>
  <si>
    <t>Electricity Account for 2/7 Abbott Street,  Igham
Billing period 25/9/14 - 3/10/14</t>
  </si>
  <si>
    <t>Accommodation-Judith</t>
  </si>
  <si>
    <t>2/7 Abbott Street Ingham</t>
  </si>
  <si>
    <t>1/19 Palm Avenue</t>
  </si>
  <si>
    <t xml:space="preserve">Steve &amp; Zac Accomadaton </t>
  </si>
  <si>
    <t>Electricity Account for3/40 Hardy  Street,  Igham
Billing period 10/9/14 - 19/11/14</t>
  </si>
  <si>
    <t xml:space="preserve">1/10 Abott Street Ingham  23/10/14 - 5/11/14 </t>
  </si>
  <si>
    <t xml:space="preserve">1/19 Palm Avenue  </t>
  </si>
  <si>
    <t xml:space="preserve"> Mcllwrath, 3/40 Hardy and 2/11 Palmer Street Ingham 51 MCLllwraith Street Ingham
 2/11 Abbott Street Ingham
 1/13 Palm Street.  4/8 Palmer Street, 1/10 Abbott Street, 1/19 Palmer Street.</t>
  </si>
  <si>
    <t xml:space="preserve">51 MCLllwraith Street Ingham  </t>
  </si>
  <si>
    <t>1/10 Abott Street Ingham  18/12/14 - 31/12/14</t>
  </si>
  <si>
    <t xml:space="preserve"> 2/11 Mcllwrath, 3/40 Hardy</t>
  </si>
  <si>
    <t xml:space="preserve">1/13 Palm Avenue &amp; 1/19 Palm Terrace </t>
  </si>
  <si>
    <t>1/10 Abott Street Ingham  1/1/15-14/1/15</t>
  </si>
  <si>
    <t>Electricity Account for 2/11 Palmer Street Ingham</t>
  </si>
  <si>
    <t>Electricity Account for 49 MCilwraith Street Ingham  Billing Period 25/10/14 - 24/12/14</t>
  </si>
  <si>
    <t xml:space="preserve"> 2/11 Mcllwrath, 3/40 Hardy </t>
  </si>
  <si>
    <t xml:space="preserve">Electricity Account for 1/13 Palmer Street Ingham billing period 27/10/14 - 27/01/15 </t>
  </si>
  <si>
    <t>Electricity Account for 1/19 Palmer Street Ingham</t>
  </si>
  <si>
    <t>Electricity Account for3/40 Hardy  Street,  Igham
Billing period 19/11/14 - 19/2/15</t>
  </si>
  <si>
    <t>Electricity Account for3/40 Hardy  Street,  Igham
Billing period 19-2-15 - 4/3/15</t>
  </si>
  <si>
    <t xml:space="preserve">Phil  2/3/15 - 5/3 /15 </t>
  </si>
  <si>
    <t xml:space="preserve">Subtotal for 911                   </t>
  </si>
  <si>
    <t xml:space="preserve">Travel Allowance for Steven Loder Week Ending the 19/10/2014 </t>
  </si>
  <si>
    <t>Labour Hire - Chad Carlill</t>
  </si>
  <si>
    <t>ATS Labour Hire/Travel Hours week ending 8/2/15</t>
  </si>
  <si>
    <t>ATS Labour Hire/Travel Hours week ending 15/2/15</t>
  </si>
  <si>
    <t>ATS Labour Hire/Travel Hours week ending 22/2/15</t>
  </si>
  <si>
    <t>ATS Labour Hire/Travel Hours week ending 1/3/15</t>
  </si>
  <si>
    <t>ATS Labour Hire/Travel Hours week ending 8/3/15</t>
  </si>
  <si>
    <t xml:space="preserve">Subtotal for 916                   </t>
  </si>
  <si>
    <t>Stablised sand 3m includes minimum freight &amp; environmental fee</t>
  </si>
  <si>
    <t xml:space="preserve">Sand                     </t>
  </si>
  <si>
    <t xml:space="preserve">Subtotal for QMS                   </t>
  </si>
  <si>
    <t>15 x General signs &amp; delineation for traffic control.</t>
  </si>
  <si>
    <t>General signs &amp; delineation for traffic control.</t>
  </si>
  <si>
    <t>General signs &amp; delineation for traffic control.
60, 80, reduce speed, road work ahead. do not overtake sign.</t>
  </si>
  <si>
    <t xml:space="preserve">General signs &amp; delineation for traffic control.
End of Road works and 60km </t>
  </si>
  <si>
    <t>2 x 600 x 600 M/Mess Speed, 2 x Probable delay</t>
  </si>
  <si>
    <t>2 x Bep Side Road Closed and 1 x MMSG on side Road</t>
  </si>
  <si>
    <t>Pavement Markers</t>
  </si>
  <si>
    <t>Grand Total</t>
  </si>
  <si>
    <t>Project Engineer</t>
  </si>
  <si>
    <t>BAC</t>
  </si>
  <si>
    <t>BAC Rate</t>
  </si>
  <si>
    <t>Final Rate</t>
  </si>
  <si>
    <t>AQ</t>
  </si>
  <si>
    <t>AC</t>
  </si>
  <si>
    <t>PQ</t>
  </si>
  <si>
    <t>PV</t>
  </si>
  <si>
    <t>EV</t>
  </si>
  <si>
    <t>Survey - Construction</t>
  </si>
  <si>
    <t>QA Testing</t>
  </si>
  <si>
    <t>Weeks</t>
  </si>
  <si>
    <t>Cut to Spoil</t>
  </si>
  <si>
    <t>m3</t>
  </si>
  <si>
    <t>Remove &amp; Replace unsuitable</t>
  </si>
  <si>
    <t>Subgrade Preparation</t>
  </si>
  <si>
    <t>Place &amp; Compact Gravel (CBR80)</t>
  </si>
  <si>
    <t>Tonne</t>
  </si>
  <si>
    <t>Trim All Layers</t>
  </si>
  <si>
    <t>Sweep &amp; Prime / Primer seal or Seal</t>
  </si>
  <si>
    <t>Asphalt (Cold MIx)</t>
  </si>
  <si>
    <t>Line Marking &amp; Signs</t>
  </si>
  <si>
    <t>525 &gt; 750</t>
  </si>
  <si>
    <t>m</t>
  </si>
  <si>
    <t>Clean &amp; Trim Table Drains</t>
  </si>
  <si>
    <t>Traffic Controllers</t>
  </si>
  <si>
    <t>Supply &amp; Place Silt fences &amp; protective devices</t>
  </si>
  <si>
    <t>Supply &amp; Place Geofabrics</t>
  </si>
  <si>
    <t>Deliver Road Base Gravel</t>
  </si>
  <si>
    <t>Project Insurance, Fees &amp; Levies</t>
  </si>
  <si>
    <t>Site Establishment</t>
  </si>
  <si>
    <t>De-Establishment &amp; Cleanup</t>
  </si>
  <si>
    <t>Night</t>
  </si>
  <si>
    <t>Site Administration</t>
  </si>
  <si>
    <t xml:space="preserve">Hr   </t>
  </si>
  <si>
    <t>Allciv - Tipper (Mack Truck)</t>
  </si>
  <si>
    <t xml:space="preserve">Tipper - Allciv          </t>
  </si>
  <si>
    <t>Allciv - Stabilising Crew</t>
  </si>
  <si>
    <t>Allciv - Labour Hire</t>
  </si>
  <si>
    <t>Allciv - New Holland Grader</t>
  </si>
  <si>
    <t xml:space="preserve">New Holland              </t>
  </si>
  <si>
    <t>Allciv - Stabilising Crew - Maitenence on tractor</t>
  </si>
  <si>
    <t>Allciv - Labour Hire- Maitencence on Tractor</t>
  </si>
  <si>
    <t xml:space="preserve">Allciv - Tipper (Mack Truck) </t>
  </si>
  <si>
    <t xml:space="preserve">Allciv - 120H Grader </t>
  </si>
  <si>
    <t xml:space="preserve">120H Grader              </t>
  </si>
  <si>
    <t xml:space="preserve">CAT297                   </t>
  </si>
  <si>
    <t xml:space="preserve">Truck Tipper Hire  </t>
  </si>
  <si>
    <t>2.2 Roadbase   976 - MFJ</t>
  </si>
  <si>
    <t>Allciv Paveline - Emulsion Truck</t>
  </si>
  <si>
    <t xml:space="preserve">Paveline-Emulsion Truck  </t>
  </si>
  <si>
    <t>Allciv - Tipper (Mack Truck) &amp; tag</t>
  </si>
  <si>
    <t>Allciv - Site Administration</t>
  </si>
  <si>
    <t>2 x TC's + Ute, Signs &amp; Comms</t>
  </si>
  <si>
    <t>1x TC's + Ute, Signs &amp; Comms</t>
  </si>
  <si>
    <t>1 x TC's + Ute, Signs &amp; Comms</t>
  </si>
  <si>
    <t xml:space="preserve">Project Supervisor       </t>
  </si>
  <si>
    <t>Site Supervisor</t>
  </si>
  <si>
    <t xml:space="preserve">Subtotal for 902                   </t>
  </si>
  <si>
    <t xml:space="preserve">Labour </t>
  </si>
  <si>
    <t>Start Date</t>
  </si>
  <si>
    <t>Portfolio WBS 011</t>
  </si>
  <si>
    <t>Portfolio WBS 013</t>
  </si>
  <si>
    <t>Portfolio WBS 016</t>
  </si>
  <si>
    <t>Portfolio WBS 053</t>
  </si>
  <si>
    <t>Portfolio WBS 057</t>
  </si>
  <si>
    <t>Portfolio WBS 061</t>
  </si>
  <si>
    <t>Portfolio WBS 0613</t>
  </si>
  <si>
    <t>Portfolio WBS 062</t>
  </si>
  <si>
    <t>Portfolio WBS 0623</t>
  </si>
  <si>
    <t>Portfolio WBS 063</t>
  </si>
  <si>
    <t>Portfolio WBS 064</t>
  </si>
  <si>
    <t>Portfolio WBS 065</t>
  </si>
  <si>
    <t>Portfolio WBS 067</t>
  </si>
  <si>
    <t>Portfolio WBS 072</t>
  </si>
  <si>
    <t>Portfolio WBS 088</t>
  </si>
  <si>
    <t>Portfolio WBS 141</t>
  </si>
  <si>
    <t>Portfolio WBS 151</t>
  </si>
  <si>
    <t>Portfolio WBS 222</t>
  </si>
  <si>
    <t>Portfolio WBS 901</t>
  </si>
  <si>
    <t>Portfolio WBS 902</t>
  </si>
  <si>
    <t>Portfolio WBS 903</t>
  </si>
  <si>
    <t>Portfolio WBS 904</t>
  </si>
  <si>
    <t>Portfolio WBS 905</t>
  </si>
  <si>
    <t>Portfolio WBS 907</t>
  </si>
  <si>
    <t>Portfolio WBS 910</t>
  </si>
  <si>
    <t>Portfolio WBS 911</t>
  </si>
  <si>
    <t>Portfolio WBS 916</t>
  </si>
  <si>
    <t>Portfolio WBS QMS</t>
  </si>
  <si>
    <t>Demolition</t>
  </si>
  <si>
    <t>SW &gt;450</t>
  </si>
  <si>
    <t>SW&lt;525</t>
  </si>
  <si>
    <t>Place Protection Rock</t>
  </si>
  <si>
    <t>Supply Rock</t>
  </si>
  <si>
    <t>Supply Stormwater Pipe</t>
  </si>
  <si>
    <t xml:space="preserve">Subtotal for 141            </t>
  </si>
  <si>
    <t>Final Qty (AQ)</t>
  </si>
  <si>
    <t>Final Cost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</si>
</sst>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43" formatCode="_-* #,##0.00_-;\-* #,##0.00_-;_-* &quot;-&quot;??_-;_-@_-"/>
    <numFmt numFmtId="164" formatCode="#,##0.000;[Red]\-#,##0.000"/>
    <numFmt numFmtId="165" formatCode="&quot;$&quot;#,##0.00"/>
    <numFmt numFmtId="166" formatCode="yyyy"/>
    <numFmt numFmtId="167" formatCode="ddd"/>
    <numFmt numFmtId="168" formatCode="_-* #,##0_-;\-* #,##0_-;_-* &quot;-&quot;??_-;_-@_-"/>
    <numFmt numFmtId="169" formatCode="dd\ mmm\ yyyy"/>
    <numFmt numFmtId="170" formatCode="#,##0.00_ ;[Red]\-#,##0.00\ "/>
    <numFmt numFmtId="171" formatCode="0;\-0;&quot;-&quot;;@"/>
    <numFmt numFmtId="172" formatCode="#,##0.00_ ;\-#,##0.00\ "/>
    <numFmt numFmtId="173" formatCode="#,##0_ ;\-#,##0\ "/>
  </numFmts>
  <fonts count="18" x14ac:knownFonts="1">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b/>
      <sz val="11"/>
      <name val="Calibri"/>
      <family val="2"/>
      <scheme val="minor"/>
    </font>
    <font>
      <sz val="11"/>
      <name val="Calibri"/>
      <family val="2"/>
      <scheme val="minor"/>
    </font>
    <font>
      <sz val="9"/>
      <color rgb="FF000000"/>
      <name val="Calibri"/>
      <family val="2"/>
      <scheme val="minor"/>
    </font>
    <font>
      <vertAlign val="superscript"/>
      <sz val="8"/>
      <color theme="1"/>
      <name val="Calibri"/>
      <family val="2"/>
      <scheme val="minor"/>
    </font>
    <font>
      <b/>
      <vertAlign val="superscript"/>
      <sz val="8"/>
      <color theme="1"/>
      <name val="Calibri"/>
      <family val="2"/>
      <scheme val="minor"/>
    </font>
    <font>
      <b/>
      <i/>
      <sz val="11"/>
      <color theme="1"/>
      <name val="Calibri"/>
      <family val="2"/>
      <scheme val="minor"/>
    </font>
    <font>
      <i/>
      <sz val="11"/>
      <color theme="1"/>
      <name val="Calibri"/>
      <family val="2"/>
      <scheme val="minor"/>
    </font>
    <font>
      <sz val="11"/>
      <color rgb="FF000000"/>
      <name val="Calibri"/>
      <family val="2"/>
      <scheme val="minor"/>
    </font>
    <font>
      <b/>
      <sz val="9"/>
      <color rgb="FF000000"/>
      <name val="Calibri"/>
      <family val="2"/>
      <scheme val="minor"/>
    </font>
    <font>
      <b/>
      <sz val="8"/>
      <color rgb="FFFF0000"/>
      <name val="Calibri"/>
      <family val="2"/>
      <scheme val="minor"/>
    </font>
    <font>
      <sz val="8"/>
      <color rgb="FFFF0000"/>
      <name val="Calibri"/>
      <family val="2"/>
      <scheme val="minor"/>
    </font>
    <font>
      <b/>
      <sz val="11"/>
      <color rgb="FFFF0000"/>
      <name val="Calibri"/>
      <family val="2"/>
      <scheme val="minor"/>
    </font>
    <font>
      <sz val="11"/>
      <color theme="1"/>
      <name val="Calibri"/>
      <family val="2"/>
      <scheme val="minor"/>
    </font>
    <font>
      <sz val="8"/>
      <name val="Calibri"/>
      <family val="2"/>
      <scheme val="minor"/>
    </font>
  </fonts>
  <fills count="12">
    <fill>
      <patternFill patternType="none"/>
    </fill>
    <fill>
      <patternFill patternType="gray125"/>
    </fill>
    <fill>
      <patternFill patternType="solid">
        <fgColor rgb="FFE6E6E6"/>
        <bgColor indexed="64"/>
      </patternFill>
    </fill>
    <fill>
      <patternFill patternType="solid">
        <fgColor rgb="FFFBF5B5"/>
        <bgColor indexed="64"/>
      </patternFill>
    </fill>
    <fill>
      <patternFill patternType="solid">
        <fgColor rgb="FFFFFFCC"/>
        <bgColor indexed="64"/>
      </patternFill>
    </fill>
    <fill>
      <patternFill patternType="solid">
        <fgColor theme="9"/>
        <bgColor indexed="64"/>
      </patternFill>
    </fill>
    <fill>
      <patternFill patternType="solid">
        <fgColor theme="0" tint="-4.9989318521683403E-2"/>
        <bgColor indexed="64"/>
      </patternFill>
    </fill>
    <fill>
      <patternFill patternType="solid">
        <fgColor rgb="FFFFFF66"/>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C0C0C0"/>
        <bgColor indexed="64"/>
      </patternFill>
    </fill>
    <fill>
      <patternFill patternType="solid">
        <fgColor theme="4" tint="0.79998168889431442"/>
        <bgColor indexed="64"/>
      </patternFill>
    </fill>
  </fills>
  <borders count="28">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indexed="8"/>
      </top>
      <bottom style="thin">
        <color indexed="8"/>
      </bottom>
      <diagonal/>
    </border>
    <border>
      <left/>
      <right/>
      <top style="thin">
        <color indexed="8"/>
      </top>
      <bottom/>
      <diagonal/>
    </border>
    <border>
      <left/>
      <right style="double">
        <color indexed="8"/>
      </right>
      <top/>
      <bottom/>
      <diagonal/>
    </border>
    <border>
      <left style="double">
        <color indexed="8"/>
      </left>
      <right/>
      <top style="thin">
        <color indexed="8"/>
      </top>
      <bottom style="thin">
        <color indexed="8"/>
      </bottom>
      <diagonal/>
    </border>
    <border>
      <left/>
      <right style="double">
        <color indexed="8"/>
      </right>
      <top style="thin">
        <color indexed="8"/>
      </top>
      <bottom style="thin">
        <color indexed="8"/>
      </bottom>
      <diagonal/>
    </border>
    <border>
      <left/>
      <right style="double">
        <color indexed="8"/>
      </right>
      <top/>
      <bottom style="thin">
        <color indexed="8"/>
      </bottom>
      <diagonal/>
    </border>
    <border>
      <left/>
      <right style="double">
        <color indexed="8"/>
      </right>
      <top style="thin">
        <color indexed="8"/>
      </top>
      <bottom/>
      <diagonal/>
    </border>
    <border>
      <left/>
      <right/>
      <top style="double">
        <color indexed="8"/>
      </top>
      <bottom style="thin">
        <color indexed="8"/>
      </bottom>
      <diagonal/>
    </border>
    <border>
      <left/>
      <right style="double">
        <color indexed="8"/>
      </right>
      <top style="double">
        <color indexed="8"/>
      </top>
      <bottom style="thin">
        <color indexed="8"/>
      </bottom>
      <diagonal/>
    </border>
  </borders>
  <cellStyleXfs count="4">
    <xf numFmtId="0" fontId="0" fillId="0" borderId="0"/>
    <xf numFmtId="43" fontId="16" fillId="0" borderId="0" applyFont="0" applyFill="0" applyBorder="0" applyAlignment="0" applyProtection="0"/>
    <xf numFmtId="44" fontId="16" fillId="0" borderId="0" applyFont="0" applyFill="0" applyBorder="0" applyAlignment="0" applyProtection="0"/>
    <xf numFmtId="9" fontId="16" fillId="0" borderId="0" applyFont="0" applyFill="0" applyBorder="0" applyAlignment="0" applyProtection="0"/>
  </cellStyleXfs>
  <cellXfs count="249">
    <xf numFmtId="0" fontId="0" fillId="0" borderId="0" xfId="0"/>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right" vertical="top"/>
    </xf>
    <xf numFmtId="0" fontId="3" fillId="0" borderId="0" xfId="0" applyFont="1"/>
    <xf numFmtId="0" fontId="2" fillId="2" borderId="0" xfId="0" applyFont="1" applyFill="1" applyAlignment="1">
      <alignment vertical="top" wrapText="1"/>
    </xf>
    <xf numFmtId="0" fontId="2" fillId="2" borderId="0" xfId="0" applyFont="1" applyFill="1" applyAlignment="1">
      <alignment vertical="top"/>
    </xf>
    <xf numFmtId="164" fontId="2" fillId="2" borderId="0" xfId="0" applyNumberFormat="1" applyFont="1" applyFill="1" applyAlignment="1">
      <alignment vertical="top"/>
    </xf>
    <xf numFmtId="38" fontId="2" fillId="2" borderId="0" xfId="0" applyNumberFormat="1" applyFont="1" applyFill="1" applyAlignment="1">
      <alignment vertical="top"/>
    </xf>
    <xf numFmtId="0" fontId="3" fillId="0" borderId="0" xfId="0" applyFont="1" applyAlignment="1">
      <alignment vertical="top"/>
    </xf>
    <xf numFmtId="0" fontId="3" fillId="0" borderId="0" xfId="0" applyFont="1" applyAlignment="1">
      <alignment vertical="top" wrapText="1"/>
    </xf>
    <xf numFmtId="164" fontId="3" fillId="0" borderId="0" xfId="0" applyNumberFormat="1" applyFont="1" applyAlignment="1">
      <alignment vertical="top"/>
    </xf>
    <xf numFmtId="38" fontId="3" fillId="0" borderId="0" xfId="0" applyNumberFormat="1" applyFont="1" applyAlignment="1">
      <alignment vertical="top"/>
    </xf>
    <xf numFmtId="0" fontId="3" fillId="3" borderId="0" xfId="0" applyFont="1" applyFill="1" applyAlignment="1">
      <alignment vertical="top"/>
    </xf>
    <xf numFmtId="0" fontId="3" fillId="3" borderId="0" xfId="0" applyFont="1" applyFill="1" applyAlignment="1">
      <alignment vertical="top" wrapText="1"/>
    </xf>
    <xf numFmtId="164" fontId="3" fillId="3" borderId="0" xfId="0" applyNumberFormat="1" applyFont="1" applyFill="1" applyAlignment="1">
      <alignment vertical="top"/>
    </xf>
    <xf numFmtId="38" fontId="3" fillId="3" borderId="0" xfId="0" applyNumberFormat="1" applyFont="1" applyFill="1" applyAlignment="1">
      <alignment vertical="top"/>
    </xf>
    <xf numFmtId="0" fontId="3" fillId="0" borderId="0" xfId="0" applyFont="1" applyAlignment="1">
      <alignment horizontal="center"/>
    </xf>
    <xf numFmtId="0" fontId="3" fillId="0" borderId="0" xfId="0" applyFont="1" applyAlignment="1">
      <alignment horizontal="center" vertical="top"/>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center" vertical="top" wrapText="1"/>
    </xf>
    <xf numFmtId="165" fontId="5" fillId="0" borderId="0" xfId="0" applyNumberFormat="1" applyFont="1" applyAlignment="1">
      <alignment vertical="top"/>
    </xf>
    <xf numFmtId="0" fontId="2" fillId="0" borderId="0" xfId="0" applyFont="1" applyAlignment="1">
      <alignment horizontal="center" vertical="top"/>
    </xf>
    <xf numFmtId="0" fontId="2" fillId="2" borderId="0" xfId="0" applyFont="1" applyFill="1" applyAlignment="1">
      <alignment horizontal="center" vertical="top"/>
    </xf>
    <xf numFmtId="0" fontId="3" fillId="3" borderId="0" xfId="0" applyFont="1" applyFill="1" applyAlignment="1">
      <alignment horizontal="center" vertical="top"/>
    </xf>
    <xf numFmtId="4" fontId="3" fillId="3" borderId="0" xfId="0" applyNumberFormat="1" applyFont="1" applyFill="1" applyAlignment="1">
      <alignment horizontal="right" vertical="top"/>
    </xf>
    <xf numFmtId="4" fontId="3" fillId="3" borderId="0" xfId="0" applyNumberFormat="1" applyFont="1" applyFill="1" applyAlignment="1">
      <alignment vertical="top"/>
    </xf>
    <xf numFmtId="164" fontId="2" fillId="2" borderId="0" xfId="0" applyNumberFormat="1" applyFont="1" applyFill="1" applyAlignment="1">
      <alignment horizontal="right" vertical="top"/>
    </xf>
    <xf numFmtId="164" fontId="3" fillId="3" borderId="0" xfId="0" applyNumberFormat="1" applyFont="1" applyFill="1" applyAlignment="1">
      <alignment horizontal="right" vertical="top"/>
    </xf>
    <xf numFmtId="164" fontId="3" fillId="0" borderId="0" xfId="0" applyNumberFormat="1" applyFont="1" applyAlignment="1">
      <alignment horizontal="right" vertical="top"/>
    </xf>
    <xf numFmtId="0" fontId="3" fillId="0" borderId="0" xfId="0" applyFont="1" applyAlignment="1">
      <alignment horizontal="right" vertical="top"/>
    </xf>
    <xf numFmtId="3" fontId="3" fillId="0" borderId="0" xfId="0" applyNumberFormat="1" applyFont="1" applyAlignment="1">
      <alignment vertical="top"/>
    </xf>
    <xf numFmtId="3" fontId="3" fillId="0" borderId="0" xfId="0" applyNumberFormat="1" applyFont="1" applyAlignment="1">
      <alignment horizontal="right" vertical="top"/>
    </xf>
    <xf numFmtId="0" fontId="1" fillId="0" borderId="0" xfId="0" applyFont="1"/>
    <xf numFmtId="164" fontId="2" fillId="5" borderId="0" xfId="0" applyNumberFormat="1" applyFont="1" applyFill="1" applyAlignment="1">
      <alignment vertical="top"/>
    </xf>
    <xf numFmtId="164" fontId="3" fillId="5" borderId="0" xfId="0" applyNumberFormat="1" applyFont="1" applyFill="1" applyAlignment="1">
      <alignment vertical="top"/>
    </xf>
    <xf numFmtId="4" fontId="3" fillId="0" borderId="0" xfId="0" applyNumberFormat="1" applyFont="1" applyAlignment="1">
      <alignment horizontal="center" vertical="top"/>
    </xf>
    <xf numFmtId="10" fontId="2" fillId="2" borderId="0" xfId="0" applyNumberFormat="1" applyFont="1" applyFill="1" applyAlignment="1">
      <alignment vertical="top"/>
    </xf>
    <xf numFmtId="167" fontId="1" fillId="6" borderId="6" xfId="0" applyNumberFormat="1" applyFont="1" applyFill="1" applyBorder="1" applyAlignment="1">
      <alignment horizontal="center"/>
    </xf>
    <xf numFmtId="167" fontId="1" fillId="6" borderId="2" xfId="0" applyNumberFormat="1" applyFont="1" applyFill="1" applyBorder="1" applyAlignment="1">
      <alignment horizontal="center"/>
    </xf>
    <xf numFmtId="167" fontId="1" fillId="0" borderId="2" xfId="0" applyNumberFormat="1" applyFont="1" applyBorder="1" applyAlignment="1">
      <alignment horizontal="center"/>
    </xf>
    <xf numFmtId="167" fontId="1" fillId="6" borderId="7" xfId="0" applyNumberFormat="1" applyFont="1" applyFill="1" applyBorder="1" applyAlignment="1">
      <alignment horizontal="center"/>
    </xf>
    <xf numFmtId="167" fontId="1" fillId="0" borderId="0" xfId="0" applyNumberFormat="1" applyFont="1"/>
    <xf numFmtId="15" fontId="0" fillId="6" borderId="6" xfId="0" applyNumberFormat="1" applyFill="1" applyBorder="1" applyAlignment="1">
      <alignment horizontal="center"/>
    </xf>
    <xf numFmtId="15" fontId="0" fillId="6" borderId="2" xfId="0" applyNumberFormat="1" applyFill="1" applyBorder="1" applyAlignment="1">
      <alignment horizontal="center"/>
    </xf>
    <xf numFmtId="15" fontId="0" fillId="0" borderId="2" xfId="0" applyNumberFormat="1" applyBorder="1" applyAlignment="1">
      <alignment horizontal="center"/>
    </xf>
    <xf numFmtId="15" fontId="0" fillId="6" borderId="7" xfId="0" applyNumberFormat="1" applyFill="1" applyBorder="1" applyAlignment="1">
      <alignment horizontal="center"/>
    </xf>
    <xf numFmtId="14" fontId="0" fillId="0" borderId="0" xfId="0" applyNumberFormat="1"/>
    <xf numFmtId="15" fontId="0" fillId="6" borderId="4" xfId="0" applyNumberFormat="1" applyFill="1" applyBorder="1" applyAlignment="1">
      <alignment horizontal="center"/>
    </xf>
    <xf numFmtId="15" fontId="0" fillId="6" borderId="3" xfId="0" applyNumberFormat="1" applyFill="1" applyBorder="1" applyAlignment="1">
      <alignment horizontal="center"/>
    </xf>
    <xf numFmtId="15" fontId="0" fillId="0" borderId="3" xfId="0" applyNumberFormat="1" applyBorder="1" applyAlignment="1">
      <alignment horizontal="center"/>
    </xf>
    <xf numFmtId="15" fontId="0" fillId="6" borderId="5" xfId="0" applyNumberFormat="1" applyFill="1" applyBorder="1" applyAlignment="1">
      <alignment horizontal="center"/>
    </xf>
    <xf numFmtId="0" fontId="9" fillId="0" borderId="0" xfId="0" applyFont="1"/>
    <xf numFmtId="15" fontId="0" fillId="6" borderId="12" xfId="0" applyNumberFormat="1" applyFill="1" applyBorder="1" applyAlignment="1">
      <alignment horizontal="center"/>
    </xf>
    <xf numFmtId="15" fontId="0" fillId="6" borderId="13" xfId="0" applyNumberFormat="1" applyFill="1" applyBorder="1" applyAlignment="1">
      <alignment horizontal="center"/>
    </xf>
    <xf numFmtId="15" fontId="0" fillId="0" borderId="13" xfId="0" applyNumberFormat="1" applyBorder="1" applyAlignment="1">
      <alignment horizontal="center"/>
    </xf>
    <xf numFmtId="15" fontId="0" fillId="6" borderId="14" xfId="0" applyNumberFormat="1" applyFill="1" applyBorder="1" applyAlignment="1">
      <alignment horizontal="center"/>
    </xf>
    <xf numFmtId="0" fontId="0" fillId="0" borderId="2" xfId="0" applyBorder="1" applyAlignment="1">
      <alignment horizontal="center"/>
    </xf>
    <xf numFmtId="15" fontId="0" fillId="6" borderId="15" xfId="0" applyNumberFormat="1" applyFill="1" applyBorder="1" applyAlignment="1">
      <alignment horizontal="center"/>
    </xf>
    <xf numFmtId="15" fontId="10" fillId="6" borderId="16" xfId="0" applyNumberFormat="1" applyFont="1" applyFill="1" applyBorder="1" applyAlignment="1">
      <alignment horizontal="center"/>
    </xf>
    <xf numFmtId="15" fontId="0" fillId="0" borderId="16" xfId="0" applyNumberFormat="1" applyBorder="1" applyAlignment="1">
      <alignment horizontal="center"/>
    </xf>
    <xf numFmtId="15" fontId="0" fillId="6" borderId="16" xfId="0" applyNumberFormat="1" applyFill="1" applyBorder="1" applyAlignment="1">
      <alignment horizontal="center"/>
    </xf>
    <xf numFmtId="0" fontId="0" fillId="0" borderId="16" xfId="0" applyBorder="1" applyAlignment="1">
      <alignment horizontal="center"/>
    </xf>
    <xf numFmtId="15" fontId="10" fillId="6" borderId="17" xfId="0" applyNumberFormat="1" applyFont="1" applyFill="1" applyBorder="1" applyAlignment="1">
      <alignment horizontal="center"/>
    </xf>
    <xf numFmtId="15" fontId="0" fillId="0" borderId="0" xfId="0" applyNumberFormat="1" applyAlignment="1">
      <alignment horizontal="center"/>
    </xf>
    <xf numFmtId="0" fontId="0" fillId="0" borderId="0" xfId="0" applyAlignment="1">
      <alignment horizontal="center"/>
    </xf>
    <xf numFmtId="164" fontId="2" fillId="0" borderId="0" xfId="0" applyNumberFormat="1" applyFont="1" applyAlignment="1">
      <alignment vertical="top"/>
    </xf>
    <xf numFmtId="164" fontId="2" fillId="0" borderId="0" xfId="0" applyNumberFormat="1" applyFont="1" applyAlignment="1">
      <alignment horizontal="right" vertical="top"/>
    </xf>
    <xf numFmtId="38" fontId="2" fillId="0" borderId="0" xfId="0" applyNumberFormat="1" applyFont="1" applyAlignment="1">
      <alignment vertical="top"/>
    </xf>
    <xf numFmtId="4" fontId="3" fillId="0" borderId="0" xfId="0" applyNumberFormat="1" applyFont="1" applyAlignment="1">
      <alignment horizontal="right" vertical="top"/>
    </xf>
    <xf numFmtId="4" fontId="3" fillId="0" borderId="0" xfId="0" applyNumberFormat="1" applyFont="1" applyAlignment="1">
      <alignment vertical="top"/>
    </xf>
    <xf numFmtId="165" fontId="3" fillId="0" borderId="0" xfId="0" applyNumberFormat="1" applyFont="1"/>
    <xf numFmtId="0" fontId="4" fillId="0" borderId="0" xfId="0" applyFont="1" applyAlignment="1">
      <alignment vertical="center" textRotation="90"/>
    </xf>
    <xf numFmtId="0" fontId="4" fillId="0" borderId="2" xfId="0" applyFont="1" applyBorder="1" applyAlignment="1">
      <alignment vertical="center" textRotation="90"/>
    </xf>
    <xf numFmtId="0" fontId="4" fillId="0" borderId="3" xfId="0" applyFont="1" applyBorder="1" applyAlignment="1">
      <alignment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165" fontId="4" fillId="0" borderId="3" xfId="0" applyNumberFormat="1" applyFont="1" applyBorder="1" applyAlignment="1">
      <alignment horizontal="right" vertical="top"/>
    </xf>
    <xf numFmtId="0" fontId="5" fillId="4" borderId="3" xfId="0" applyFont="1" applyFill="1" applyBorder="1" applyAlignment="1">
      <alignment vertical="top"/>
    </xf>
    <xf numFmtId="0" fontId="5" fillId="4" borderId="3" xfId="0" applyFont="1" applyFill="1" applyBorder="1" applyAlignment="1">
      <alignment vertical="top" wrapText="1"/>
    </xf>
    <xf numFmtId="0" fontId="5" fillId="4" borderId="3" xfId="0" applyFont="1" applyFill="1" applyBorder="1" applyAlignment="1">
      <alignment horizontal="center" vertical="top" wrapText="1"/>
    </xf>
    <xf numFmtId="165" fontId="5" fillId="4" borderId="3" xfId="0" applyNumberFormat="1"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1" xfId="0" applyFont="1" applyFill="1" applyBorder="1" applyAlignment="1">
      <alignment horizontal="center" vertical="top" wrapText="1"/>
    </xf>
    <xf numFmtId="165" fontId="5" fillId="4" borderId="1" xfId="0" applyNumberFormat="1" applyFont="1" applyFill="1" applyBorder="1" applyAlignment="1">
      <alignment vertical="top"/>
    </xf>
    <xf numFmtId="0" fontId="5" fillId="4" borderId="18" xfId="0" applyFont="1" applyFill="1" applyBorder="1" applyAlignment="1">
      <alignment vertical="top"/>
    </xf>
    <xf numFmtId="0" fontId="5" fillId="4" borderId="18" xfId="0" applyFont="1" applyFill="1" applyBorder="1" applyAlignment="1">
      <alignment vertical="top" wrapText="1"/>
    </xf>
    <xf numFmtId="0" fontId="5" fillId="4" borderId="18" xfId="0" applyFont="1" applyFill="1" applyBorder="1" applyAlignment="1">
      <alignment horizontal="center" vertical="top" wrapText="1"/>
    </xf>
    <xf numFmtId="165" fontId="5" fillId="4" borderId="18" xfId="0" applyNumberFormat="1" applyFont="1" applyFill="1" applyBorder="1" applyAlignment="1">
      <alignment vertical="top"/>
    </xf>
    <xf numFmtId="0" fontId="5" fillId="7" borderId="3" xfId="0" applyFont="1" applyFill="1" applyBorder="1" applyAlignment="1">
      <alignment vertical="top"/>
    </xf>
    <xf numFmtId="0" fontId="5" fillId="7" borderId="3" xfId="0" applyFont="1" applyFill="1" applyBorder="1" applyAlignment="1">
      <alignment vertical="top" wrapText="1"/>
    </xf>
    <xf numFmtId="0" fontId="5" fillId="7" borderId="3" xfId="0" applyFont="1" applyFill="1" applyBorder="1" applyAlignment="1">
      <alignment horizontal="center" vertical="top" wrapText="1"/>
    </xf>
    <xf numFmtId="165" fontId="5" fillId="7" borderId="3" xfId="0" applyNumberFormat="1" applyFont="1" applyFill="1" applyBorder="1" applyAlignment="1">
      <alignment vertical="top"/>
    </xf>
    <xf numFmtId="0" fontId="5" fillId="7" borderId="1" xfId="0" applyFont="1" applyFill="1" applyBorder="1" applyAlignment="1">
      <alignment vertical="top"/>
    </xf>
    <xf numFmtId="0" fontId="5" fillId="7" borderId="1" xfId="0" applyFont="1" applyFill="1" applyBorder="1" applyAlignment="1">
      <alignment vertical="top" wrapText="1"/>
    </xf>
    <xf numFmtId="0" fontId="5" fillId="7" borderId="1" xfId="0" applyFont="1" applyFill="1" applyBorder="1" applyAlignment="1">
      <alignment horizontal="center" vertical="top" wrapText="1"/>
    </xf>
    <xf numFmtId="165" fontId="5" fillId="7" borderId="1" xfId="0" applyNumberFormat="1" applyFont="1" applyFill="1" applyBorder="1" applyAlignment="1">
      <alignment vertical="top"/>
    </xf>
    <xf numFmtId="0" fontId="5" fillId="7" borderId="18" xfId="0" applyFont="1" applyFill="1" applyBorder="1" applyAlignment="1">
      <alignment vertical="top"/>
    </xf>
    <xf numFmtId="0" fontId="5" fillId="7" borderId="18" xfId="0" applyFont="1" applyFill="1" applyBorder="1" applyAlignment="1">
      <alignment vertical="top" wrapText="1"/>
    </xf>
    <xf numFmtId="0" fontId="5" fillId="7" borderId="18" xfId="0" applyFont="1" applyFill="1" applyBorder="1" applyAlignment="1">
      <alignment horizontal="center" vertical="top" wrapText="1"/>
    </xf>
    <xf numFmtId="165" fontId="5" fillId="7" borderId="18" xfId="0" applyNumberFormat="1" applyFont="1" applyFill="1" applyBorder="1" applyAlignment="1">
      <alignment vertical="top"/>
    </xf>
    <xf numFmtId="0" fontId="5" fillId="8" borderId="3" xfId="0" applyFont="1" applyFill="1" applyBorder="1" applyAlignment="1">
      <alignment vertical="top"/>
    </xf>
    <xf numFmtId="0" fontId="5" fillId="8" borderId="3" xfId="0" applyFont="1" applyFill="1" applyBorder="1" applyAlignment="1">
      <alignment vertical="top" wrapText="1"/>
    </xf>
    <xf numFmtId="0" fontId="5" fillId="8" borderId="3" xfId="0" applyFont="1" applyFill="1" applyBorder="1" applyAlignment="1">
      <alignment horizontal="center" vertical="top" wrapText="1"/>
    </xf>
    <xf numFmtId="165" fontId="5" fillId="8" borderId="3" xfId="0" applyNumberFormat="1" applyFont="1" applyFill="1" applyBorder="1" applyAlignment="1">
      <alignment vertical="top"/>
    </xf>
    <xf numFmtId="0" fontId="5" fillId="8" borderId="1" xfId="0" applyFont="1" applyFill="1" applyBorder="1" applyAlignment="1">
      <alignment vertical="top"/>
    </xf>
    <xf numFmtId="0" fontId="5" fillId="8" borderId="1" xfId="0" applyFont="1" applyFill="1" applyBorder="1" applyAlignment="1">
      <alignment vertical="top" wrapText="1"/>
    </xf>
    <xf numFmtId="0" fontId="5" fillId="8" borderId="1" xfId="0" applyFont="1" applyFill="1" applyBorder="1" applyAlignment="1">
      <alignment horizontal="center" vertical="top" wrapText="1"/>
    </xf>
    <xf numFmtId="165" fontId="5" fillId="8" borderId="1" xfId="0" applyNumberFormat="1" applyFont="1" applyFill="1" applyBorder="1" applyAlignment="1">
      <alignment vertical="top"/>
    </xf>
    <xf numFmtId="0" fontId="5" fillId="8" borderId="18" xfId="0" applyFont="1" applyFill="1" applyBorder="1" applyAlignment="1">
      <alignment vertical="top"/>
    </xf>
    <xf numFmtId="0" fontId="5" fillId="8" borderId="18" xfId="0" applyFont="1" applyFill="1" applyBorder="1" applyAlignment="1">
      <alignment vertical="top" wrapText="1"/>
    </xf>
    <xf numFmtId="0" fontId="5" fillId="8" borderId="18" xfId="0" applyFont="1" applyFill="1" applyBorder="1" applyAlignment="1">
      <alignment horizontal="center" vertical="top" wrapText="1"/>
    </xf>
    <xf numFmtId="165" fontId="5" fillId="8" borderId="18" xfId="0" applyNumberFormat="1" applyFont="1" applyFill="1" applyBorder="1" applyAlignment="1">
      <alignment vertical="top"/>
    </xf>
    <xf numFmtId="0" fontId="5" fillId="9" borderId="3" xfId="0" applyFont="1" applyFill="1" applyBorder="1" applyAlignment="1">
      <alignment vertical="top"/>
    </xf>
    <xf numFmtId="0" fontId="5" fillId="9" borderId="3" xfId="0" applyFont="1" applyFill="1" applyBorder="1" applyAlignment="1">
      <alignment vertical="top" wrapText="1"/>
    </xf>
    <xf numFmtId="0" fontId="5" fillId="9" borderId="3" xfId="0" applyFont="1" applyFill="1" applyBorder="1" applyAlignment="1">
      <alignment horizontal="center" vertical="top" wrapText="1"/>
    </xf>
    <xf numFmtId="165" fontId="5" fillId="9" borderId="3" xfId="0" applyNumberFormat="1" applyFont="1" applyFill="1" applyBorder="1" applyAlignment="1">
      <alignment vertical="top"/>
    </xf>
    <xf numFmtId="0" fontId="5" fillId="9" borderId="1" xfId="0" applyFont="1" applyFill="1" applyBorder="1" applyAlignment="1">
      <alignment vertical="top"/>
    </xf>
    <xf numFmtId="0" fontId="5" fillId="9" borderId="1" xfId="0" applyFont="1" applyFill="1" applyBorder="1" applyAlignment="1">
      <alignment vertical="top" wrapText="1"/>
    </xf>
    <xf numFmtId="0" fontId="5" fillId="9" borderId="1" xfId="0" applyFont="1" applyFill="1" applyBorder="1" applyAlignment="1">
      <alignment horizontal="center" vertical="top" wrapText="1"/>
    </xf>
    <xf numFmtId="165" fontId="5" fillId="9" borderId="1" xfId="0" applyNumberFormat="1" applyFont="1" applyFill="1" applyBorder="1" applyAlignment="1">
      <alignment vertical="top"/>
    </xf>
    <xf numFmtId="0" fontId="5" fillId="9" borderId="18" xfId="0" applyFont="1" applyFill="1" applyBorder="1" applyAlignment="1">
      <alignment vertical="top"/>
    </xf>
    <xf numFmtId="0" fontId="5" fillId="9" borderId="18" xfId="0" applyFont="1" applyFill="1" applyBorder="1" applyAlignment="1">
      <alignment vertical="top" wrapText="1"/>
    </xf>
    <xf numFmtId="0" fontId="5" fillId="9" borderId="18" xfId="0" applyFont="1" applyFill="1" applyBorder="1" applyAlignment="1">
      <alignment horizontal="center" vertical="top" wrapText="1"/>
    </xf>
    <xf numFmtId="165" fontId="5" fillId="9" borderId="18" xfId="0" applyNumberFormat="1" applyFont="1" applyFill="1" applyBorder="1" applyAlignment="1">
      <alignment vertical="top"/>
    </xf>
    <xf numFmtId="0" fontId="4" fillId="0" borderId="3" xfId="0" applyFont="1" applyBorder="1" applyAlignment="1">
      <alignment horizontal="center" vertical="top"/>
    </xf>
    <xf numFmtId="0" fontId="5" fillId="4" borderId="3" xfId="0" applyFont="1" applyFill="1" applyBorder="1" applyAlignment="1">
      <alignment horizontal="center" vertical="top"/>
    </xf>
    <xf numFmtId="0" fontId="5" fillId="4" borderId="1" xfId="0" applyFont="1" applyFill="1" applyBorder="1" applyAlignment="1">
      <alignment horizontal="center" vertical="top"/>
    </xf>
    <xf numFmtId="0" fontId="5" fillId="4" borderId="18" xfId="0" applyFont="1" applyFill="1" applyBorder="1" applyAlignment="1">
      <alignment horizontal="center" vertical="top"/>
    </xf>
    <xf numFmtId="0" fontId="5" fillId="7" borderId="3" xfId="0" applyFont="1" applyFill="1" applyBorder="1" applyAlignment="1">
      <alignment horizontal="center" vertical="top"/>
    </xf>
    <xf numFmtId="0" fontId="5" fillId="7" borderId="1" xfId="0" applyFont="1" applyFill="1" applyBorder="1" applyAlignment="1">
      <alignment horizontal="center" vertical="top"/>
    </xf>
    <xf numFmtId="0" fontId="5" fillId="7" borderId="18" xfId="0" applyFont="1" applyFill="1" applyBorder="1" applyAlignment="1">
      <alignment horizontal="center" vertical="top"/>
    </xf>
    <xf numFmtId="0" fontId="5" fillId="8" borderId="3" xfId="0" applyFont="1" applyFill="1" applyBorder="1" applyAlignment="1">
      <alignment horizontal="center" vertical="top"/>
    </xf>
    <xf numFmtId="0" fontId="5" fillId="8" borderId="1" xfId="0" applyFont="1" applyFill="1" applyBorder="1" applyAlignment="1">
      <alignment horizontal="center" vertical="top"/>
    </xf>
    <xf numFmtId="0" fontId="5" fillId="8" borderId="18" xfId="0" applyFont="1" applyFill="1" applyBorder="1" applyAlignment="1">
      <alignment horizontal="center" vertical="top"/>
    </xf>
    <xf numFmtId="0" fontId="5" fillId="9" borderId="3" xfId="0" applyFont="1" applyFill="1" applyBorder="1" applyAlignment="1">
      <alignment horizontal="center" vertical="top"/>
    </xf>
    <xf numFmtId="0" fontId="5" fillId="9" borderId="1" xfId="0" applyFont="1" applyFill="1" applyBorder="1" applyAlignment="1">
      <alignment horizontal="center" vertical="top"/>
    </xf>
    <xf numFmtId="0" fontId="5" fillId="9" borderId="18" xfId="0" applyFont="1" applyFill="1" applyBorder="1" applyAlignment="1">
      <alignment horizontal="center" vertical="top"/>
    </xf>
    <xf numFmtId="0" fontId="5" fillId="0" borderId="0" xfId="0" applyFont="1" applyAlignment="1">
      <alignment horizontal="center" vertical="top"/>
    </xf>
    <xf numFmtId="0" fontId="2" fillId="0" borderId="0" xfId="0" applyFont="1"/>
    <xf numFmtId="4" fontId="3" fillId="0" borderId="1" xfId="0" applyNumberFormat="1" applyFont="1" applyBorder="1" applyAlignment="1">
      <alignment horizontal="center" vertical="top"/>
    </xf>
    <xf numFmtId="0" fontId="3" fillId="0" borderId="1" xfId="0" applyFont="1" applyBorder="1" applyAlignment="1">
      <alignment wrapText="1"/>
    </xf>
    <xf numFmtId="0" fontId="14" fillId="0" borderId="1" xfId="0" applyFont="1" applyBorder="1"/>
    <xf numFmtId="0" fontId="3" fillId="0" borderId="1" xfId="0" applyFont="1" applyBorder="1" applyAlignment="1">
      <alignment horizontal="center"/>
    </xf>
    <xf numFmtId="4" fontId="3" fillId="0" borderId="1" xfId="0" applyNumberFormat="1" applyFont="1" applyBorder="1"/>
    <xf numFmtId="4" fontId="2" fillId="0" borderId="18" xfId="0" applyNumberFormat="1" applyFont="1" applyBorder="1"/>
    <xf numFmtId="0" fontId="2" fillId="0" borderId="18" xfId="0" applyFont="1" applyBorder="1" applyAlignment="1">
      <alignment wrapText="1"/>
    </xf>
    <xf numFmtId="0" fontId="13" fillId="0" borderId="18" xfId="0" applyFont="1" applyBorder="1"/>
    <xf numFmtId="0" fontId="2" fillId="0" borderId="18" xfId="0" applyFont="1" applyBorder="1" applyAlignment="1">
      <alignment horizontal="center"/>
    </xf>
    <xf numFmtId="0" fontId="15" fillId="0" borderId="0" xfId="0" applyFont="1"/>
    <xf numFmtId="1" fontId="15" fillId="0" borderId="0" xfId="0" applyNumberFormat="1" applyFont="1" applyAlignment="1">
      <alignment horizontal="center"/>
    </xf>
    <xf numFmtId="2" fontId="3" fillId="0" borderId="0" xfId="0" applyNumberFormat="1" applyFont="1" applyAlignment="1">
      <alignment vertical="top"/>
    </xf>
    <xf numFmtId="2" fontId="2" fillId="0" borderId="0" xfId="0" applyNumberFormat="1" applyFont="1" applyAlignment="1">
      <alignment horizontal="right" vertical="top"/>
    </xf>
    <xf numFmtId="2" fontId="2" fillId="2" borderId="0" xfId="0" applyNumberFormat="1" applyFont="1" applyFill="1" applyAlignment="1">
      <alignment vertical="top"/>
    </xf>
    <xf numFmtId="2" fontId="3" fillId="3" borderId="0" xfId="0" applyNumberFormat="1" applyFont="1" applyFill="1" applyAlignment="1">
      <alignment vertical="top"/>
    </xf>
    <xf numFmtId="2" fontId="2" fillId="0" borderId="0" xfId="0" applyNumberFormat="1" applyFont="1" applyAlignment="1">
      <alignment vertical="top"/>
    </xf>
    <xf numFmtId="0" fontId="1" fillId="0" borderId="0" xfId="0" applyFont="1" applyAlignment="1">
      <alignment wrapText="1"/>
    </xf>
    <xf numFmtId="0" fontId="0" fillId="0" borderId="0" xfId="0" applyAlignment="1">
      <alignment wrapText="1"/>
    </xf>
    <xf numFmtId="164" fontId="0" fillId="0" borderId="0" xfId="0" applyNumberFormat="1"/>
    <xf numFmtId="40" fontId="0" fillId="0" borderId="0" xfId="0" applyNumberFormat="1"/>
    <xf numFmtId="44" fontId="0" fillId="0" borderId="2" xfId="2" applyFont="1" applyBorder="1"/>
    <xf numFmtId="0" fontId="1" fillId="0" borderId="19" xfId="0" applyFont="1" applyBorder="1"/>
    <xf numFmtId="0" fontId="1" fillId="0" borderId="19" xfId="0" applyFont="1" applyBorder="1" applyAlignment="1">
      <alignment wrapText="1"/>
    </xf>
    <xf numFmtId="164" fontId="1" fillId="0" borderId="19" xfId="0" applyNumberFormat="1" applyFont="1" applyBorder="1"/>
    <xf numFmtId="40" fontId="1" fillId="0" borderId="19" xfId="0" applyNumberFormat="1" applyFont="1" applyBorder="1"/>
    <xf numFmtId="0" fontId="1" fillId="11" borderId="2" xfId="0" applyFont="1" applyFill="1" applyBorder="1" applyAlignment="1">
      <alignment horizontal="center" vertical="top" wrapText="1"/>
    </xf>
    <xf numFmtId="168" fontId="1" fillId="11" borderId="2" xfId="1" applyNumberFormat="1" applyFont="1" applyFill="1" applyBorder="1" applyAlignment="1">
      <alignment horizontal="center" vertical="top" wrapText="1"/>
    </xf>
    <xf numFmtId="44" fontId="1" fillId="11" borderId="2" xfId="2" applyFont="1" applyFill="1" applyBorder="1" applyAlignment="1">
      <alignment horizontal="center" wrapText="1"/>
    </xf>
    <xf numFmtId="0" fontId="1" fillId="0" borderId="0" xfId="0" applyFont="1" applyAlignment="1">
      <alignment horizontal="center" wrapText="1"/>
    </xf>
    <xf numFmtId="43" fontId="3" fillId="0" borderId="0" xfId="1" applyFont="1" applyAlignment="1">
      <alignment horizontal="center"/>
    </xf>
    <xf numFmtId="43" fontId="3" fillId="0" borderId="0" xfId="0" applyNumberFormat="1" applyFont="1" applyAlignment="1">
      <alignment horizontal="center"/>
    </xf>
    <xf numFmtId="0" fontId="0" fillId="0" borderId="2" xfId="0" applyBorder="1"/>
    <xf numFmtId="10" fontId="0" fillId="0" borderId="2" xfId="3" applyNumberFormat="1" applyFont="1" applyBorder="1"/>
    <xf numFmtId="0" fontId="5" fillId="0" borderId="2" xfId="0" applyFont="1" applyBorder="1" applyAlignment="1">
      <alignment horizontal="center" vertical="top" wrapText="1"/>
    </xf>
    <xf numFmtId="0" fontId="5" fillId="0" borderId="2" xfId="0" applyFont="1" applyBorder="1" applyAlignment="1">
      <alignment horizontal="center" vertical="top"/>
    </xf>
    <xf numFmtId="0" fontId="5" fillId="0" borderId="2" xfId="0" applyFont="1" applyBorder="1" applyAlignment="1">
      <alignment wrapText="1"/>
    </xf>
    <xf numFmtId="43" fontId="5" fillId="0" borderId="2" xfId="1" applyFont="1" applyBorder="1" applyAlignment="1">
      <alignment wrapText="1"/>
    </xf>
    <xf numFmtId="0" fontId="5" fillId="0" borderId="2" xfId="0" applyFont="1" applyBorder="1"/>
    <xf numFmtId="164" fontId="5" fillId="0" borderId="2" xfId="0" applyNumberFormat="1" applyFont="1" applyBorder="1"/>
    <xf numFmtId="40" fontId="5" fillId="0" borderId="2" xfId="0" applyNumberFormat="1" applyFont="1" applyBorder="1"/>
    <xf numFmtId="10" fontId="5" fillId="0" borderId="2" xfId="3" applyNumberFormat="1" applyFont="1" applyBorder="1"/>
    <xf numFmtId="44" fontId="5" fillId="0" borderId="2" xfId="2" applyFont="1" applyBorder="1"/>
    <xf numFmtId="0" fontId="5" fillId="0" borderId="2" xfId="0" applyFont="1" applyBorder="1" applyAlignment="1">
      <alignment vertical="top" wrapText="1"/>
    </xf>
    <xf numFmtId="0" fontId="5" fillId="0" borderId="0" xfId="0" applyFont="1" applyAlignment="1">
      <alignment wrapText="1"/>
    </xf>
    <xf numFmtId="43" fontId="5" fillId="0" borderId="0" xfId="1" applyFont="1" applyAlignment="1">
      <alignment wrapText="1"/>
    </xf>
    <xf numFmtId="164" fontId="5" fillId="0" borderId="0" xfId="0" applyNumberFormat="1" applyFont="1"/>
    <xf numFmtId="40" fontId="5" fillId="0" borderId="0" xfId="0" applyNumberFormat="1" applyFont="1"/>
    <xf numFmtId="10" fontId="5" fillId="0" borderId="2" xfId="0" applyNumberFormat="1" applyFont="1" applyBorder="1" applyAlignment="1">
      <alignment horizontal="center" vertical="top" wrapText="1"/>
    </xf>
    <xf numFmtId="17" fontId="5" fillId="0" borderId="2" xfId="0" applyNumberFormat="1" applyFont="1" applyBorder="1" applyAlignment="1">
      <alignment horizontal="center" vertical="top" wrapText="1"/>
    </xf>
    <xf numFmtId="0" fontId="5" fillId="10" borderId="2" xfId="0" applyFont="1" applyFill="1" applyBorder="1" applyAlignment="1">
      <alignment horizontal="center" vertical="top"/>
    </xf>
    <xf numFmtId="0" fontId="5" fillId="10" borderId="2" xfId="0" applyFont="1" applyFill="1" applyBorder="1" applyAlignment="1">
      <alignment wrapText="1"/>
    </xf>
    <xf numFmtId="43" fontId="5" fillId="10" borderId="2" xfId="1" applyFont="1" applyFill="1" applyBorder="1" applyAlignment="1">
      <alignment wrapText="1"/>
    </xf>
    <xf numFmtId="0" fontId="5" fillId="10" borderId="2" xfId="0" applyFont="1" applyFill="1" applyBorder="1"/>
    <xf numFmtId="164" fontId="5" fillId="10" borderId="2" xfId="0" applyNumberFormat="1" applyFont="1" applyFill="1" applyBorder="1"/>
    <xf numFmtId="40" fontId="5" fillId="10" borderId="2" xfId="0" applyNumberFormat="1" applyFont="1" applyFill="1" applyBorder="1"/>
    <xf numFmtId="17" fontId="1" fillId="11" borderId="2" xfId="0" applyNumberFormat="1" applyFont="1" applyFill="1" applyBorder="1" applyAlignment="1">
      <alignment horizontal="center" wrapText="1"/>
    </xf>
    <xf numFmtId="44" fontId="0" fillId="0" borderId="0" xfId="2" applyFont="1"/>
    <xf numFmtId="4" fontId="0" fillId="0" borderId="0" xfId="0" applyNumberFormat="1"/>
    <xf numFmtId="0" fontId="0" fillId="0" borderId="0" xfId="0" applyAlignment="1">
      <alignment horizontal="right"/>
    </xf>
    <xf numFmtId="0" fontId="6" fillId="0" borderId="2" xfId="0" applyFont="1" applyBorder="1" applyAlignment="1">
      <alignment vertical="center" wrapText="1"/>
    </xf>
    <xf numFmtId="0" fontId="12" fillId="0" borderId="2" xfId="0" applyFont="1" applyBorder="1" applyAlignment="1">
      <alignment vertical="center" wrapText="1"/>
    </xf>
    <xf numFmtId="0" fontId="0" fillId="0" borderId="2" xfId="0" applyBorder="1" applyAlignment="1">
      <alignment horizontal="right" vertical="center" wrapText="1"/>
    </xf>
    <xf numFmtId="0" fontId="11" fillId="0" borderId="2" xfId="0" applyFont="1" applyBorder="1" applyAlignment="1">
      <alignment horizontal="right" vertical="center" wrapText="1"/>
    </xf>
    <xf numFmtId="3" fontId="11" fillId="0" borderId="2" xfId="0" applyNumberFormat="1" applyFont="1" applyBorder="1" applyAlignment="1">
      <alignment horizontal="right" vertical="center" wrapText="1"/>
    </xf>
    <xf numFmtId="0" fontId="0" fillId="0" borderId="2" xfId="0" applyBorder="1" applyAlignment="1">
      <alignment vertical="center" wrapText="1"/>
    </xf>
    <xf numFmtId="0" fontId="11" fillId="0" borderId="2" xfId="0" applyFont="1" applyBorder="1" applyAlignment="1">
      <alignment vertical="center" wrapText="1"/>
    </xf>
    <xf numFmtId="169" fontId="1" fillId="0" borderId="0" xfId="0" applyNumberFormat="1" applyFont="1"/>
    <xf numFmtId="164" fontId="1" fillId="0" borderId="0" xfId="0" applyNumberFormat="1" applyFont="1"/>
    <xf numFmtId="40" fontId="1" fillId="0" borderId="0" xfId="0" applyNumberFormat="1" applyFont="1"/>
    <xf numFmtId="169" fontId="0" fillId="0" borderId="0" xfId="0" applyNumberFormat="1"/>
    <xf numFmtId="169" fontId="1" fillId="0" borderId="20" xfId="0" applyNumberFormat="1" applyFont="1" applyBorder="1"/>
    <xf numFmtId="0" fontId="1" fillId="0" borderId="20" xfId="0" applyFont="1" applyBorder="1" applyAlignment="1">
      <alignment wrapText="1"/>
    </xf>
    <xf numFmtId="0" fontId="1" fillId="0" borderId="20" xfId="0" applyFont="1" applyBorder="1"/>
    <xf numFmtId="164" fontId="1" fillId="0" borderId="20" xfId="0" applyNumberFormat="1" applyFont="1" applyBorder="1"/>
    <xf numFmtId="40" fontId="1" fillId="0" borderId="20" xfId="0" applyNumberFormat="1" applyFont="1" applyBorder="1"/>
    <xf numFmtId="169" fontId="1" fillId="0" borderId="19" xfId="0" applyNumberFormat="1" applyFont="1" applyBorder="1"/>
    <xf numFmtId="43" fontId="0" fillId="0" borderId="0" xfId="1" applyFont="1" applyAlignment="1">
      <alignment horizontal="center"/>
    </xf>
    <xf numFmtId="4" fontId="0" fillId="0" borderId="0" xfId="0" applyNumberFormat="1" applyAlignment="1">
      <alignment horizontal="right"/>
    </xf>
    <xf numFmtId="0" fontId="1" fillId="0" borderId="19" xfId="0" applyFont="1" applyBorder="1" applyAlignment="1">
      <alignment horizontal="center"/>
    </xf>
    <xf numFmtId="38" fontId="1" fillId="0" borderId="19" xfId="0" applyNumberFormat="1" applyFont="1" applyBorder="1" applyAlignment="1">
      <alignment horizontal="center"/>
    </xf>
    <xf numFmtId="38" fontId="1" fillId="0" borderId="22" xfId="0" applyNumberFormat="1" applyFont="1" applyBorder="1" applyAlignment="1">
      <alignment horizontal="center"/>
    </xf>
    <xf numFmtId="38" fontId="1" fillId="0" borderId="23" xfId="0" applyNumberFormat="1" applyFont="1" applyBorder="1" applyAlignment="1">
      <alignment horizontal="center"/>
    </xf>
    <xf numFmtId="38" fontId="11" fillId="0" borderId="0" xfId="0" applyNumberFormat="1" applyFont="1"/>
    <xf numFmtId="170" fontId="0" fillId="0" borderId="0" xfId="0" applyNumberFormat="1"/>
    <xf numFmtId="38" fontId="0" fillId="0" borderId="0" xfId="0" applyNumberFormat="1" applyAlignment="1">
      <alignment horizontal="right"/>
    </xf>
    <xf numFmtId="38" fontId="0" fillId="0" borderId="0" xfId="0" applyNumberFormat="1"/>
    <xf numFmtId="0" fontId="1" fillId="0" borderId="0" xfId="0" applyFont="1" applyAlignment="1">
      <alignment horizontal="center"/>
    </xf>
    <xf numFmtId="0" fontId="0" fillId="0" borderId="0" xfId="0" applyAlignment="1">
      <alignment horizontal="center" wrapText="1"/>
    </xf>
    <xf numFmtId="0" fontId="1" fillId="0" borderId="20" xfId="0" applyFont="1" applyBorder="1" applyAlignment="1">
      <alignment horizontal="center"/>
    </xf>
    <xf numFmtId="4" fontId="0" fillId="0" borderId="21" xfId="0" applyNumberFormat="1" applyBorder="1"/>
    <xf numFmtId="43" fontId="0" fillId="0" borderId="25" xfId="1" applyFont="1" applyBorder="1" applyAlignment="1">
      <alignment horizontal="center"/>
    </xf>
    <xf numFmtId="43" fontId="0" fillId="0" borderId="21" xfId="1" applyFont="1" applyBorder="1" applyAlignment="1">
      <alignment horizontal="center"/>
    </xf>
    <xf numFmtId="43" fontId="0" fillId="0" borderId="24" xfId="1" applyFont="1" applyBorder="1" applyAlignment="1">
      <alignment horizontal="center"/>
    </xf>
    <xf numFmtId="15" fontId="15" fillId="0" borderId="0" xfId="0" applyNumberFormat="1" applyFont="1" applyAlignment="1">
      <alignment horizontal="center"/>
    </xf>
    <xf numFmtId="168" fontId="3" fillId="0" borderId="0" xfId="1" applyNumberFormat="1" applyFont="1" applyAlignment="1">
      <alignment horizontal="center"/>
    </xf>
    <xf numFmtId="171" fontId="1" fillId="0" borderId="26" xfId="0" applyNumberFormat="1" applyFont="1" applyBorder="1" applyAlignment="1">
      <alignment horizontal="center"/>
    </xf>
    <xf numFmtId="171" fontId="1" fillId="0" borderId="26" xfId="0" applyNumberFormat="1" applyFont="1" applyBorder="1" applyAlignment="1">
      <alignment horizontal="center" wrapText="1"/>
    </xf>
    <xf numFmtId="172" fontId="1" fillId="0" borderId="26" xfId="0" applyNumberFormat="1" applyFont="1" applyBorder="1" applyAlignment="1">
      <alignment horizontal="center"/>
    </xf>
    <xf numFmtId="173" fontId="1" fillId="0" borderId="26" xfId="0" applyNumberFormat="1" applyFont="1" applyBorder="1" applyAlignment="1">
      <alignment horizontal="center"/>
    </xf>
    <xf numFmtId="172" fontId="1" fillId="0" borderId="27" xfId="0" applyNumberFormat="1" applyFont="1" applyBorder="1" applyAlignment="1">
      <alignment horizontal="center"/>
    </xf>
    <xf numFmtId="0" fontId="4" fillId="0" borderId="2" xfId="0" applyFont="1" applyBorder="1" applyAlignment="1">
      <alignment horizontal="center" vertical="center" textRotation="90"/>
    </xf>
    <xf numFmtId="15" fontId="1" fillId="0" borderId="8" xfId="0" applyNumberFormat="1" applyFont="1" applyBorder="1" applyAlignment="1">
      <alignment horizontal="center"/>
    </xf>
    <xf numFmtId="166" fontId="1" fillId="6" borderId="9" xfId="0" applyNumberFormat="1" applyFont="1" applyFill="1" applyBorder="1" applyAlignment="1">
      <alignment horizontal="center"/>
    </xf>
    <xf numFmtId="166" fontId="1" fillId="6" borderId="10" xfId="0" applyNumberFormat="1" applyFont="1" applyFill="1" applyBorder="1" applyAlignment="1">
      <alignment horizontal="center"/>
    </xf>
    <xf numFmtId="166" fontId="1" fillId="0" borderId="10" xfId="0" applyNumberFormat="1" applyFont="1" applyBorder="1" applyAlignment="1">
      <alignment horizontal="center"/>
    </xf>
    <xf numFmtId="166" fontId="1" fillId="6" borderId="11"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sw-my.sharepoint.com/Users/Brett%20Thiele/Desktop/UNSW/Study/UNSW%20(ADFA)/Project%20Data/P018%20-%20Whitsunday%20Coast%20Car%20Park/P018%20-WORKSHHET%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ources"/>
      <sheetName val="Estimate"/>
      <sheetName val="Program"/>
      <sheetName val="Simulation (Cost)"/>
      <sheetName val="Sheet1"/>
      <sheetName val="Non-Work Calender"/>
      <sheetName val="Sheet2"/>
    </sheetNames>
    <sheetDataSet>
      <sheetData sheetId="0"/>
      <sheetData sheetId="1">
        <row r="1">
          <cell r="B1"/>
        </row>
      </sheetData>
      <sheetData sheetId="2"/>
      <sheetData sheetId="3"/>
      <sheetData sheetId="4"/>
      <sheetData sheetId="5">
        <row r="4">
          <cell r="B4">
            <v>40544</v>
          </cell>
          <cell r="C4">
            <v>40545</v>
          </cell>
          <cell r="D4"/>
          <cell r="E4">
            <v>40909</v>
          </cell>
          <cell r="F4">
            <v>41279</v>
          </cell>
          <cell r="G4">
            <v>41280</v>
          </cell>
          <cell r="H4">
            <v>41643</v>
          </cell>
          <cell r="I4">
            <v>41644</v>
          </cell>
          <cell r="J4">
            <v>42007</v>
          </cell>
          <cell r="K4">
            <v>42008</v>
          </cell>
        </row>
        <row r="5">
          <cell r="B5">
            <v>40551</v>
          </cell>
          <cell r="C5">
            <v>40552</v>
          </cell>
          <cell r="D5">
            <v>40915</v>
          </cell>
          <cell r="E5">
            <v>40916</v>
          </cell>
          <cell r="F5">
            <v>41286</v>
          </cell>
          <cell r="G5">
            <v>41287</v>
          </cell>
          <cell r="H5">
            <v>41650</v>
          </cell>
          <cell r="I5">
            <v>41651</v>
          </cell>
          <cell r="J5">
            <v>42014</v>
          </cell>
          <cell r="K5">
            <v>42015</v>
          </cell>
        </row>
        <row r="6">
          <cell r="B6">
            <v>40558</v>
          </cell>
          <cell r="C6">
            <v>40559</v>
          </cell>
          <cell r="D6">
            <v>40922</v>
          </cell>
          <cell r="E6">
            <v>40923</v>
          </cell>
          <cell r="F6">
            <v>41293</v>
          </cell>
          <cell r="G6">
            <v>41294</v>
          </cell>
          <cell r="H6">
            <v>41657</v>
          </cell>
          <cell r="I6">
            <v>41658</v>
          </cell>
          <cell r="J6">
            <v>42021</v>
          </cell>
          <cell r="K6">
            <v>42022</v>
          </cell>
        </row>
        <row r="7">
          <cell r="B7">
            <v>40565</v>
          </cell>
          <cell r="C7">
            <v>40566</v>
          </cell>
          <cell r="D7">
            <v>40929</v>
          </cell>
          <cell r="E7">
            <v>40930</v>
          </cell>
          <cell r="F7">
            <v>41300</v>
          </cell>
          <cell r="G7">
            <v>41301</v>
          </cell>
          <cell r="H7">
            <v>41664</v>
          </cell>
          <cell r="I7">
            <v>41665</v>
          </cell>
          <cell r="J7">
            <v>42028</v>
          </cell>
          <cell r="K7">
            <v>42029</v>
          </cell>
        </row>
        <row r="8">
          <cell r="B8">
            <v>40572</v>
          </cell>
          <cell r="C8">
            <v>40573</v>
          </cell>
          <cell r="D8">
            <v>40936</v>
          </cell>
          <cell r="E8">
            <v>40937</v>
          </cell>
          <cell r="F8">
            <v>41307</v>
          </cell>
          <cell r="G8">
            <v>41308</v>
          </cell>
          <cell r="H8">
            <v>41671</v>
          </cell>
          <cell r="I8">
            <v>41672</v>
          </cell>
          <cell r="J8">
            <v>42035</v>
          </cell>
          <cell r="K8">
            <v>42036</v>
          </cell>
        </row>
        <row r="9">
          <cell r="B9">
            <v>40579</v>
          </cell>
          <cell r="C9">
            <v>40580</v>
          </cell>
          <cell r="D9">
            <v>40943</v>
          </cell>
          <cell r="E9">
            <v>40944</v>
          </cell>
          <cell r="F9">
            <v>41314</v>
          </cell>
          <cell r="G9">
            <v>41315</v>
          </cell>
          <cell r="H9">
            <v>41678</v>
          </cell>
          <cell r="I9">
            <v>41679</v>
          </cell>
          <cell r="J9">
            <v>42042</v>
          </cell>
          <cell r="K9">
            <v>42043</v>
          </cell>
        </row>
        <row r="10">
          <cell r="B10">
            <v>40586</v>
          </cell>
          <cell r="C10">
            <v>40587</v>
          </cell>
          <cell r="D10">
            <v>40950</v>
          </cell>
          <cell r="E10">
            <v>40951</v>
          </cell>
          <cell r="F10">
            <v>41321</v>
          </cell>
          <cell r="G10">
            <v>41322</v>
          </cell>
          <cell r="H10">
            <v>41685</v>
          </cell>
          <cell r="I10">
            <v>41686</v>
          </cell>
          <cell r="J10">
            <v>42049</v>
          </cell>
          <cell r="K10">
            <v>42050</v>
          </cell>
        </row>
        <row r="11">
          <cell r="B11">
            <v>40593</v>
          </cell>
          <cell r="C11">
            <v>40594</v>
          </cell>
          <cell r="D11">
            <v>40957</v>
          </cell>
          <cell r="E11">
            <v>40958</v>
          </cell>
          <cell r="F11">
            <v>41328</v>
          </cell>
          <cell r="G11">
            <v>41329</v>
          </cell>
          <cell r="H11">
            <v>41692</v>
          </cell>
          <cell r="I11">
            <v>41693</v>
          </cell>
          <cell r="J11">
            <v>42056</v>
          </cell>
          <cell r="K11">
            <v>42057</v>
          </cell>
        </row>
        <row r="12">
          <cell r="B12">
            <v>40600</v>
          </cell>
          <cell r="C12">
            <v>40601</v>
          </cell>
          <cell r="D12">
            <v>40964</v>
          </cell>
          <cell r="E12">
            <v>40965</v>
          </cell>
          <cell r="F12">
            <v>41335</v>
          </cell>
          <cell r="G12">
            <v>41336</v>
          </cell>
          <cell r="H12">
            <v>41699</v>
          </cell>
          <cell r="I12">
            <v>41700</v>
          </cell>
          <cell r="J12">
            <v>42063</v>
          </cell>
          <cell r="K12">
            <v>42064</v>
          </cell>
        </row>
        <row r="13">
          <cell r="B13">
            <v>40607</v>
          </cell>
          <cell r="C13">
            <v>40608</v>
          </cell>
          <cell r="D13">
            <v>40971</v>
          </cell>
          <cell r="E13">
            <v>40972</v>
          </cell>
          <cell r="F13">
            <v>41342</v>
          </cell>
          <cell r="G13">
            <v>41343</v>
          </cell>
          <cell r="H13">
            <v>41706</v>
          </cell>
          <cell r="I13">
            <v>41707</v>
          </cell>
          <cell r="J13">
            <v>42070</v>
          </cell>
          <cell r="K13">
            <v>42071</v>
          </cell>
        </row>
        <row r="14">
          <cell r="B14">
            <v>40614</v>
          </cell>
          <cell r="C14">
            <v>40615</v>
          </cell>
          <cell r="D14">
            <v>40978</v>
          </cell>
          <cell r="E14">
            <v>40979</v>
          </cell>
          <cell r="F14">
            <v>41349</v>
          </cell>
          <cell r="G14">
            <v>41350</v>
          </cell>
          <cell r="H14">
            <v>41713</v>
          </cell>
          <cell r="I14">
            <v>41714</v>
          </cell>
          <cell r="J14">
            <v>42077</v>
          </cell>
          <cell r="K14">
            <v>42078</v>
          </cell>
        </row>
        <row r="15">
          <cell r="B15">
            <v>40621</v>
          </cell>
          <cell r="C15">
            <v>40622</v>
          </cell>
          <cell r="D15">
            <v>40985</v>
          </cell>
          <cell r="E15">
            <v>40986</v>
          </cell>
          <cell r="F15">
            <v>41356</v>
          </cell>
          <cell r="G15">
            <v>41357</v>
          </cell>
          <cell r="H15">
            <v>41720</v>
          </cell>
          <cell r="I15">
            <v>41721</v>
          </cell>
          <cell r="J15">
            <v>42084</v>
          </cell>
          <cell r="K15">
            <v>42085</v>
          </cell>
        </row>
        <row r="16">
          <cell r="B16">
            <v>40628</v>
          </cell>
          <cell r="C16">
            <v>40629</v>
          </cell>
          <cell r="D16">
            <v>40992</v>
          </cell>
          <cell r="E16">
            <v>40993</v>
          </cell>
          <cell r="F16">
            <v>41363</v>
          </cell>
          <cell r="G16">
            <v>41364</v>
          </cell>
          <cell r="H16">
            <v>41727</v>
          </cell>
          <cell r="I16">
            <v>41728</v>
          </cell>
          <cell r="J16">
            <v>42091</v>
          </cell>
          <cell r="K16">
            <v>42092</v>
          </cell>
        </row>
        <row r="17">
          <cell r="B17">
            <v>40635</v>
          </cell>
          <cell r="C17">
            <v>40636</v>
          </cell>
          <cell r="D17">
            <v>40999</v>
          </cell>
          <cell r="E17">
            <v>41000</v>
          </cell>
          <cell r="F17">
            <v>41370</v>
          </cell>
          <cell r="G17">
            <v>41371</v>
          </cell>
          <cell r="H17">
            <v>41734</v>
          </cell>
          <cell r="I17">
            <v>41735</v>
          </cell>
          <cell r="J17">
            <v>42098</v>
          </cell>
          <cell r="K17">
            <v>42099</v>
          </cell>
        </row>
        <row r="18">
          <cell r="B18">
            <v>40642</v>
          </cell>
          <cell r="C18">
            <v>40643</v>
          </cell>
          <cell r="D18">
            <v>41006</v>
          </cell>
          <cell r="E18">
            <v>41007</v>
          </cell>
          <cell r="F18">
            <v>41377</v>
          </cell>
          <cell r="G18">
            <v>41378</v>
          </cell>
          <cell r="H18">
            <v>41741</v>
          </cell>
          <cell r="I18">
            <v>41742</v>
          </cell>
          <cell r="J18">
            <v>42105</v>
          </cell>
          <cell r="K18">
            <v>42106</v>
          </cell>
        </row>
        <row r="19">
          <cell r="B19">
            <v>40649</v>
          </cell>
          <cell r="C19">
            <v>40650</v>
          </cell>
          <cell r="D19">
            <v>41013</v>
          </cell>
          <cell r="E19">
            <v>41014</v>
          </cell>
          <cell r="F19">
            <v>41384</v>
          </cell>
          <cell r="G19">
            <v>41385</v>
          </cell>
          <cell r="H19">
            <v>41748</v>
          </cell>
          <cell r="I19">
            <v>41749</v>
          </cell>
          <cell r="J19">
            <v>42112</v>
          </cell>
          <cell r="K19">
            <v>42113</v>
          </cell>
        </row>
        <row r="20">
          <cell r="B20">
            <v>40656</v>
          </cell>
          <cell r="C20">
            <v>40657</v>
          </cell>
          <cell r="D20">
            <v>41020</v>
          </cell>
          <cell r="E20">
            <v>41021</v>
          </cell>
          <cell r="F20">
            <v>41391</v>
          </cell>
          <cell r="G20">
            <v>41392</v>
          </cell>
          <cell r="H20">
            <v>41755</v>
          </cell>
          <cell r="I20">
            <v>41756</v>
          </cell>
          <cell r="J20">
            <v>42119</v>
          </cell>
          <cell r="K20">
            <v>42120</v>
          </cell>
        </row>
        <row r="21">
          <cell r="B21">
            <v>40663</v>
          </cell>
          <cell r="C21">
            <v>40664</v>
          </cell>
          <cell r="D21">
            <v>41027</v>
          </cell>
          <cell r="E21">
            <v>41028</v>
          </cell>
          <cell r="F21">
            <v>41398</v>
          </cell>
          <cell r="G21">
            <v>41399</v>
          </cell>
          <cell r="H21">
            <v>41762</v>
          </cell>
          <cell r="I21">
            <v>41763</v>
          </cell>
          <cell r="J21">
            <v>42126</v>
          </cell>
          <cell r="K21">
            <v>42127</v>
          </cell>
        </row>
        <row r="22">
          <cell r="B22">
            <v>40670</v>
          </cell>
          <cell r="C22">
            <v>40671</v>
          </cell>
          <cell r="D22">
            <v>41034</v>
          </cell>
          <cell r="E22">
            <v>41035</v>
          </cell>
          <cell r="F22">
            <v>41405</v>
          </cell>
          <cell r="G22">
            <v>41406</v>
          </cell>
          <cell r="H22">
            <v>41769</v>
          </cell>
          <cell r="I22">
            <v>41770</v>
          </cell>
          <cell r="J22">
            <v>42133</v>
          </cell>
          <cell r="K22">
            <v>42134</v>
          </cell>
        </row>
        <row r="23">
          <cell r="B23">
            <v>40677</v>
          </cell>
          <cell r="C23">
            <v>40678</v>
          </cell>
          <cell r="D23">
            <v>41041</v>
          </cell>
          <cell r="E23">
            <v>41042</v>
          </cell>
          <cell r="F23">
            <v>41412</v>
          </cell>
          <cell r="G23">
            <v>41413</v>
          </cell>
          <cell r="H23">
            <v>41776</v>
          </cell>
          <cell r="I23">
            <v>41777</v>
          </cell>
          <cell r="J23">
            <v>42140</v>
          </cell>
          <cell r="K23">
            <v>42141</v>
          </cell>
        </row>
        <row r="24">
          <cell r="B24">
            <v>40684</v>
          </cell>
          <cell r="C24">
            <v>40685</v>
          </cell>
          <cell r="D24">
            <v>41048</v>
          </cell>
          <cell r="E24">
            <v>41049</v>
          </cell>
          <cell r="F24">
            <v>41419</v>
          </cell>
          <cell r="G24">
            <v>41420</v>
          </cell>
          <cell r="H24">
            <v>41783</v>
          </cell>
          <cell r="I24">
            <v>41784</v>
          </cell>
          <cell r="J24">
            <v>42147</v>
          </cell>
          <cell r="K24">
            <v>42148</v>
          </cell>
        </row>
        <row r="25">
          <cell r="B25">
            <v>40691</v>
          </cell>
          <cell r="C25">
            <v>40692</v>
          </cell>
          <cell r="D25">
            <v>41055</v>
          </cell>
          <cell r="E25">
            <v>41056</v>
          </cell>
          <cell r="F25">
            <v>41426</v>
          </cell>
          <cell r="G25">
            <v>41427</v>
          </cell>
          <cell r="H25">
            <v>41790</v>
          </cell>
          <cell r="I25">
            <v>41791</v>
          </cell>
          <cell r="J25">
            <v>42154</v>
          </cell>
          <cell r="K25">
            <v>42155</v>
          </cell>
        </row>
        <row r="26">
          <cell r="B26">
            <v>40698</v>
          </cell>
          <cell r="C26">
            <v>40699</v>
          </cell>
          <cell r="D26">
            <v>41062</v>
          </cell>
          <cell r="E26">
            <v>41063</v>
          </cell>
          <cell r="F26">
            <v>41433</v>
          </cell>
          <cell r="G26">
            <v>41434</v>
          </cell>
          <cell r="H26">
            <v>41797</v>
          </cell>
          <cell r="I26">
            <v>41798</v>
          </cell>
          <cell r="J26">
            <v>42161</v>
          </cell>
          <cell r="K26">
            <v>42162</v>
          </cell>
        </row>
        <row r="27">
          <cell r="B27">
            <v>40705</v>
          </cell>
          <cell r="C27">
            <v>40706</v>
          </cell>
          <cell r="D27">
            <v>41069</v>
          </cell>
          <cell r="E27">
            <v>41070</v>
          </cell>
          <cell r="F27">
            <v>41440</v>
          </cell>
          <cell r="G27">
            <v>41441</v>
          </cell>
          <cell r="H27">
            <v>41804</v>
          </cell>
          <cell r="I27">
            <v>41805</v>
          </cell>
          <cell r="J27">
            <v>42168</v>
          </cell>
          <cell r="K27">
            <v>42169</v>
          </cell>
        </row>
        <row r="28">
          <cell r="B28">
            <v>40712</v>
          </cell>
          <cell r="C28">
            <v>40713</v>
          </cell>
          <cell r="D28">
            <v>41076</v>
          </cell>
          <cell r="E28">
            <v>41077</v>
          </cell>
          <cell r="F28">
            <v>41447</v>
          </cell>
          <cell r="G28">
            <v>41448</v>
          </cell>
          <cell r="H28">
            <v>41811</v>
          </cell>
          <cell r="I28">
            <v>41812</v>
          </cell>
          <cell r="J28">
            <v>42175</v>
          </cell>
          <cell r="K28">
            <v>42176</v>
          </cell>
        </row>
        <row r="29">
          <cell r="B29">
            <v>40719</v>
          </cell>
          <cell r="C29">
            <v>40720</v>
          </cell>
          <cell r="D29">
            <v>41083</v>
          </cell>
          <cell r="E29">
            <v>41084</v>
          </cell>
          <cell r="F29">
            <v>41454</v>
          </cell>
          <cell r="G29">
            <v>41455</v>
          </cell>
          <cell r="H29">
            <v>41818</v>
          </cell>
          <cell r="I29">
            <v>41819</v>
          </cell>
          <cell r="J29">
            <v>42182</v>
          </cell>
          <cell r="K29">
            <v>42183</v>
          </cell>
        </row>
        <row r="30">
          <cell r="B30">
            <v>40726</v>
          </cell>
          <cell r="C30">
            <v>40727</v>
          </cell>
          <cell r="D30">
            <v>41090</v>
          </cell>
          <cell r="E30">
            <v>41091</v>
          </cell>
          <cell r="F30">
            <v>41461</v>
          </cell>
          <cell r="G30">
            <v>41462</v>
          </cell>
          <cell r="H30">
            <v>41825</v>
          </cell>
          <cell r="I30">
            <v>41826</v>
          </cell>
          <cell r="J30">
            <v>42189</v>
          </cell>
          <cell r="K30">
            <v>42190</v>
          </cell>
        </row>
        <row r="31">
          <cell r="B31">
            <v>40733</v>
          </cell>
          <cell r="C31">
            <v>40734</v>
          </cell>
          <cell r="D31">
            <v>41097</v>
          </cell>
          <cell r="E31">
            <v>41098</v>
          </cell>
          <cell r="F31">
            <v>41468</v>
          </cell>
          <cell r="G31">
            <v>41469</v>
          </cell>
          <cell r="H31">
            <v>41832</v>
          </cell>
          <cell r="I31">
            <v>41833</v>
          </cell>
          <cell r="J31">
            <v>42196</v>
          </cell>
          <cell r="K31">
            <v>42197</v>
          </cell>
        </row>
        <row r="32">
          <cell r="B32">
            <v>40740</v>
          </cell>
          <cell r="C32">
            <v>40741</v>
          </cell>
          <cell r="D32">
            <v>41104</v>
          </cell>
          <cell r="E32">
            <v>41105</v>
          </cell>
          <cell r="F32">
            <v>41475</v>
          </cell>
          <cell r="G32">
            <v>41476</v>
          </cell>
          <cell r="H32">
            <v>41839</v>
          </cell>
          <cell r="I32">
            <v>41840</v>
          </cell>
          <cell r="J32">
            <v>42203</v>
          </cell>
          <cell r="K32">
            <v>42204</v>
          </cell>
        </row>
        <row r="33">
          <cell r="B33">
            <v>40747</v>
          </cell>
          <cell r="C33">
            <v>40748</v>
          </cell>
          <cell r="D33">
            <v>41111</v>
          </cell>
          <cell r="E33">
            <v>41112</v>
          </cell>
          <cell r="F33">
            <v>41482</v>
          </cell>
          <cell r="G33">
            <v>41483</v>
          </cell>
          <cell r="H33">
            <v>41846</v>
          </cell>
          <cell r="I33">
            <v>41847</v>
          </cell>
          <cell r="J33">
            <v>42210</v>
          </cell>
          <cell r="K33">
            <v>42211</v>
          </cell>
        </row>
        <row r="34">
          <cell r="B34">
            <v>40754</v>
          </cell>
          <cell r="C34">
            <v>40755</v>
          </cell>
          <cell r="D34">
            <v>41118</v>
          </cell>
          <cell r="E34">
            <v>41119</v>
          </cell>
          <cell r="F34">
            <v>41489</v>
          </cell>
          <cell r="G34">
            <v>41490</v>
          </cell>
          <cell r="H34">
            <v>41853</v>
          </cell>
          <cell r="I34">
            <v>41854</v>
          </cell>
          <cell r="J34">
            <v>42217</v>
          </cell>
          <cell r="K34">
            <v>42218</v>
          </cell>
        </row>
        <row r="35">
          <cell r="B35">
            <v>40761</v>
          </cell>
          <cell r="C35">
            <v>40762</v>
          </cell>
          <cell r="D35">
            <v>41125</v>
          </cell>
          <cell r="E35">
            <v>41126</v>
          </cell>
          <cell r="F35">
            <v>41496</v>
          </cell>
          <cell r="G35">
            <v>41497</v>
          </cell>
          <cell r="H35">
            <v>41860</v>
          </cell>
          <cell r="I35">
            <v>41861</v>
          </cell>
          <cell r="J35">
            <v>42224</v>
          </cell>
          <cell r="K35">
            <v>42225</v>
          </cell>
        </row>
        <row r="36">
          <cell r="B36">
            <v>40768</v>
          </cell>
          <cell r="C36">
            <v>40769</v>
          </cell>
          <cell r="D36">
            <v>41132</v>
          </cell>
          <cell r="E36">
            <v>41133</v>
          </cell>
          <cell r="F36">
            <v>41503</v>
          </cell>
          <cell r="G36">
            <v>41504</v>
          </cell>
          <cell r="H36">
            <v>41867</v>
          </cell>
          <cell r="I36">
            <v>41868</v>
          </cell>
          <cell r="J36">
            <v>42231</v>
          </cell>
          <cell r="K36">
            <v>42232</v>
          </cell>
        </row>
        <row r="37">
          <cell r="B37">
            <v>40775</v>
          </cell>
          <cell r="C37">
            <v>40776</v>
          </cell>
          <cell r="D37">
            <v>41139</v>
          </cell>
          <cell r="E37">
            <v>41140</v>
          </cell>
          <cell r="F37">
            <v>41510</v>
          </cell>
          <cell r="G37">
            <v>41511</v>
          </cell>
          <cell r="H37">
            <v>41874</v>
          </cell>
          <cell r="I37">
            <v>41875</v>
          </cell>
          <cell r="J37">
            <v>42238</v>
          </cell>
          <cell r="K37">
            <v>42239</v>
          </cell>
        </row>
        <row r="38">
          <cell r="B38">
            <v>40782</v>
          </cell>
          <cell r="C38">
            <v>40783</v>
          </cell>
          <cell r="D38">
            <v>41146</v>
          </cell>
          <cell r="E38">
            <v>41147</v>
          </cell>
          <cell r="F38">
            <v>41517</v>
          </cell>
          <cell r="G38">
            <v>41518</v>
          </cell>
          <cell r="H38">
            <v>41881</v>
          </cell>
          <cell r="I38">
            <v>41882</v>
          </cell>
          <cell r="J38">
            <v>42245</v>
          </cell>
          <cell r="K38">
            <v>42246</v>
          </cell>
        </row>
        <row r="39">
          <cell r="B39">
            <v>40789</v>
          </cell>
          <cell r="C39">
            <v>40790</v>
          </cell>
          <cell r="D39">
            <v>41153</v>
          </cell>
          <cell r="E39">
            <v>41154</v>
          </cell>
          <cell r="F39">
            <v>41524</v>
          </cell>
          <cell r="G39">
            <v>41525</v>
          </cell>
          <cell r="H39">
            <v>41888</v>
          </cell>
          <cell r="I39">
            <v>41889</v>
          </cell>
          <cell r="J39">
            <v>42252</v>
          </cell>
          <cell r="K39">
            <v>42253</v>
          </cell>
        </row>
        <row r="40">
          <cell r="B40">
            <v>40796</v>
          </cell>
          <cell r="C40">
            <v>40797</v>
          </cell>
          <cell r="D40">
            <v>41160</v>
          </cell>
          <cell r="E40">
            <v>41161</v>
          </cell>
          <cell r="F40">
            <v>41531</v>
          </cell>
          <cell r="G40">
            <v>41532</v>
          </cell>
          <cell r="H40">
            <v>41895</v>
          </cell>
          <cell r="I40">
            <v>41896</v>
          </cell>
          <cell r="J40">
            <v>42259</v>
          </cell>
          <cell r="K40">
            <v>42260</v>
          </cell>
        </row>
        <row r="41">
          <cell r="B41">
            <v>40803</v>
          </cell>
          <cell r="C41">
            <v>40804</v>
          </cell>
          <cell r="D41">
            <v>41167</v>
          </cell>
          <cell r="E41">
            <v>41168</v>
          </cell>
          <cell r="F41">
            <v>41538</v>
          </cell>
          <cell r="G41">
            <v>41539</v>
          </cell>
          <cell r="H41">
            <v>41902</v>
          </cell>
          <cell r="I41">
            <v>41903</v>
          </cell>
          <cell r="J41">
            <v>42266</v>
          </cell>
          <cell r="K41">
            <v>42267</v>
          </cell>
        </row>
        <row r="42">
          <cell r="B42">
            <v>40810</v>
          </cell>
          <cell r="C42">
            <v>40811</v>
          </cell>
          <cell r="D42">
            <v>41174</v>
          </cell>
          <cell r="E42">
            <v>41175</v>
          </cell>
          <cell r="F42">
            <v>41545</v>
          </cell>
          <cell r="G42">
            <v>41546</v>
          </cell>
          <cell r="H42">
            <v>41909</v>
          </cell>
          <cell r="I42">
            <v>41910</v>
          </cell>
          <cell r="J42">
            <v>42273</v>
          </cell>
          <cell r="K42">
            <v>42274</v>
          </cell>
        </row>
        <row r="43">
          <cell r="B43">
            <v>40817</v>
          </cell>
          <cell r="C43">
            <v>40818</v>
          </cell>
          <cell r="D43">
            <v>41181</v>
          </cell>
          <cell r="E43">
            <v>41182</v>
          </cell>
          <cell r="F43">
            <v>41552</v>
          </cell>
          <cell r="G43">
            <v>41553</v>
          </cell>
          <cell r="H43">
            <v>41916</v>
          </cell>
          <cell r="I43">
            <v>41917</v>
          </cell>
          <cell r="J43">
            <v>42280</v>
          </cell>
          <cell r="K43">
            <v>42281</v>
          </cell>
        </row>
        <row r="44">
          <cell r="B44">
            <v>40824</v>
          </cell>
          <cell r="C44">
            <v>40825</v>
          </cell>
          <cell r="D44">
            <v>41188</v>
          </cell>
          <cell r="E44">
            <v>41189</v>
          </cell>
          <cell r="F44">
            <v>41559</v>
          </cell>
          <cell r="G44">
            <v>41560</v>
          </cell>
          <cell r="H44">
            <v>41923</v>
          </cell>
          <cell r="I44">
            <v>41924</v>
          </cell>
          <cell r="J44">
            <v>42287</v>
          </cell>
          <cell r="K44">
            <v>42288</v>
          </cell>
        </row>
        <row r="45">
          <cell r="B45">
            <v>40831</v>
          </cell>
          <cell r="C45">
            <v>40832</v>
          </cell>
          <cell r="D45">
            <v>41195</v>
          </cell>
          <cell r="E45">
            <v>41196</v>
          </cell>
          <cell r="F45">
            <v>41566</v>
          </cell>
          <cell r="G45">
            <v>41567</v>
          </cell>
          <cell r="H45">
            <v>41930</v>
          </cell>
          <cell r="I45">
            <v>41931</v>
          </cell>
          <cell r="J45">
            <v>42294</v>
          </cell>
          <cell r="K45">
            <v>42295</v>
          </cell>
        </row>
        <row r="46">
          <cell r="B46">
            <v>40838</v>
          </cell>
          <cell r="C46">
            <v>40839</v>
          </cell>
          <cell r="D46">
            <v>41202</v>
          </cell>
          <cell r="E46">
            <v>41203</v>
          </cell>
          <cell r="F46">
            <v>41573</v>
          </cell>
          <cell r="G46">
            <v>41574</v>
          </cell>
          <cell r="H46">
            <v>41937</v>
          </cell>
          <cell r="I46">
            <v>41938</v>
          </cell>
          <cell r="J46">
            <v>42301</v>
          </cell>
          <cell r="K46">
            <v>42302</v>
          </cell>
        </row>
        <row r="47">
          <cell r="B47">
            <v>40845</v>
          </cell>
          <cell r="C47">
            <v>40846</v>
          </cell>
          <cell r="D47">
            <v>41209</v>
          </cell>
          <cell r="E47">
            <v>41210</v>
          </cell>
          <cell r="F47">
            <v>41580</v>
          </cell>
          <cell r="G47">
            <v>41581</v>
          </cell>
          <cell r="H47">
            <v>41944</v>
          </cell>
          <cell r="I47">
            <v>41945</v>
          </cell>
          <cell r="J47">
            <v>42308</v>
          </cell>
          <cell r="K47">
            <v>42309</v>
          </cell>
        </row>
        <row r="48">
          <cell r="B48">
            <v>40852</v>
          </cell>
          <cell r="C48">
            <v>40853</v>
          </cell>
          <cell r="D48">
            <v>41216</v>
          </cell>
          <cell r="E48">
            <v>41217</v>
          </cell>
          <cell r="F48">
            <v>41587</v>
          </cell>
          <cell r="G48">
            <v>41588</v>
          </cell>
          <cell r="H48">
            <v>41951</v>
          </cell>
          <cell r="I48">
            <v>41952</v>
          </cell>
          <cell r="J48">
            <v>42315</v>
          </cell>
          <cell r="K48">
            <v>42316</v>
          </cell>
        </row>
        <row r="49">
          <cell r="B49">
            <v>40859</v>
          </cell>
          <cell r="C49">
            <v>40860</v>
          </cell>
          <cell r="D49">
            <v>41223</v>
          </cell>
          <cell r="E49">
            <v>41224</v>
          </cell>
          <cell r="F49">
            <v>41594</v>
          </cell>
          <cell r="G49">
            <v>41595</v>
          </cell>
          <cell r="H49">
            <v>41958</v>
          </cell>
          <cell r="I49">
            <v>41959</v>
          </cell>
          <cell r="J49">
            <v>42322</v>
          </cell>
          <cell r="K49">
            <v>42323</v>
          </cell>
        </row>
        <row r="50">
          <cell r="B50">
            <v>40866</v>
          </cell>
          <cell r="C50">
            <v>40867</v>
          </cell>
          <cell r="D50">
            <v>41230</v>
          </cell>
          <cell r="E50">
            <v>41231</v>
          </cell>
          <cell r="F50">
            <v>41601</v>
          </cell>
          <cell r="G50">
            <v>41602</v>
          </cell>
          <cell r="H50">
            <v>41965</v>
          </cell>
          <cell r="I50">
            <v>41966</v>
          </cell>
          <cell r="J50">
            <v>42329</v>
          </cell>
          <cell r="K50">
            <v>42330</v>
          </cell>
        </row>
        <row r="51">
          <cell r="B51">
            <v>40873</v>
          </cell>
          <cell r="C51">
            <v>40874</v>
          </cell>
          <cell r="D51">
            <v>41237</v>
          </cell>
          <cell r="E51">
            <v>41238</v>
          </cell>
          <cell r="F51">
            <v>41608</v>
          </cell>
          <cell r="G51">
            <v>41609</v>
          </cell>
          <cell r="H51">
            <v>41972</v>
          </cell>
          <cell r="I51">
            <v>41973</v>
          </cell>
          <cell r="J51">
            <v>42336</v>
          </cell>
          <cell r="K51">
            <v>42337</v>
          </cell>
        </row>
        <row r="52">
          <cell r="B52">
            <v>40880</v>
          </cell>
          <cell r="C52">
            <v>40881</v>
          </cell>
          <cell r="D52">
            <v>41244</v>
          </cell>
          <cell r="E52">
            <v>41245</v>
          </cell>
          <cell r="F52">
            <v>41615</v>
          </cell>
          <cell r="G52">
            <v>41616</v>
          </cell>
          <cell r="H52">
            <v>41979</v>
          </cell>
          <cell r="I52">
            <v>41980</v>
          </cell>
          <cell r="J52">
            <v>42343</v>
          </cell>
          <cell r="K52">
            <v>42344</v>
          </cell>
        </row>
        <row r="53">
          <cell r="B53">
            <v>40887</v>
          </cell>
          <cell r="C53">
            <v>40888</v>
          </cell>
          <cell r="D53">
            <v>41251</v>
          </cell>
          <cell r="E53">
            <v>41252</v>
          </cell>
          <cell r="F53">
            <v>41622</v>
          </cell>
          <cell r="G53">
            <v>41623</v>
          </cell>
          <cell r="H53">
            <v>41986</v>
          </cell>
          <cell r="I53">
            <v>41987</v>
          </cell>
          <cell r="J53">
            <v>42350</v>
          </cell>
          <cell r="K53">
            <v>42351</v>
          </cell>
        </row>
        <row r="54">
          <cell r="B54">
            <v>40894</v>
          </cell>
          <cell r="C54">
            <v>40895</v>
          </cell>
          <cell r="D54">
            <v>41258</v>
          </cell>
          <cell r="E54">
            <v>41259</v>
          </cell>
          <cell r="F54">
            <v>41629</v>
          </cell>
          <cell r="G54">
            <v>41630</v>
          </cell>
          <cell r="H54">
            <v>41993</v>
          </cell>
          <cell r="I54">
            <v>41994</v>
          </cell>
          <cell r="J54">
            <v>42357</v>
          </cell>
          <cell r="K54">
            <v>42358</v>
          </cell>
        </row>
        <row r="55">
          <cell r="B55">
            <v>40901</v>
          </cell>
          <cell r="C55">
            <v>40902</v>
          </cell>
          <cell r="D55">
            <v>41265</v>
          </cell>
          <cell r="E55">
            <v>41266</v>
          </cell>
          <cell r="F55">
            <v>41636</v>
          </cell>
          <cell r="G55">
            <v>41637</v>
          </cell>
          <cell r="H55">
            <v>42000</v>
          </cell>
          <cell r="I55">
            <v>42001</v>
          </cell>
          <cell r="J55">
            <v>42364</v>
          </cell>
          <cell r="K55">
            <v>42365</v>
          </cell>
        </row>
        <row r="56">
          <cell r="B56">
            <v>40908</v>
          </cell>
          <cell r="C56"/>
          <cell r="D56">
            <v>41272</v>
          </cell>
          <cell r="E56">
            <v>41273</v>
          </cell>
          <cell r="F56"/>
          <cell r="G56"/>
          <cell r="H56"/>
          <cell r="I56"/>
          <cell r="J56"/>
          <cell r="K56"/>
        </row>
        <row r="57">
          <cell r="B57">
            <v>40902</v>
          </cell>
          <cell r="C57">
            <v>40900</v>
          </cell>
          <cell r="D57">
            <v>41268</v>
          </cell>
          <cell r="E57">
            <v>40910</v>
          </cell>
          <cell r="F57">
            <v>41633</v>
          </cell>
          <cell r="G57">
            <v>41276</v>
          </cell>
          <cell r="H57">
            <v>41998</v>
          </cell>
          <cell r="I57">
            <v>41641</v>
          </cell>
          <cell r="J57">
            <v>42363</v>
          </cell>
          <cell r="K57">
            <v>42006</v>
          </cell>
        </row>
        <row r="58">
          <cell r="B58">
            <v>40904</v>
          </cell>
          <cell r="C58">
            <v>40901</v>
          </cell>
          <cell r="D58">
            <v>41269</v>
          </cell>
          <cell r="E58">
            <v>40911</v>
          </cell>
          <cell r="F58">
            <v>41634</v>
          </cell>
          <cell r="G58">
            <v>41277</v>
          </cell>
          <cell r="H58">
            <v>41999</v>
          </cell>
          <cell r="I58">
            <v>41642</v>
          </cell>
          <cell r="J58">
            <v>42364</v>
          </cell>
          <cell r="K58">
            <v>42009</v>
          </cell>
        </row>
        <row r="59">
          <cell r="B59">
            <v>40544</v>
          </cell>
          <cell r="C59">
            <v>40905</v>
          </cell>
          <cell r="D59">
            <v>40909</v>
          </cell>
          <cell r="E59">
            <v>40912</v>
          </cell>
          <cell r="F59">
            <v>41275</v>
          </cell>
          <cell r="G59">
            <v>41278</v>
          </cell>
          <cell r="H59">
            <v>41640</v>
          </cell>
          <cell r="I59">
            <v>41995</v>
          </cell>
          <cell r="J59">
            <v>42005</v>
          </cell>
          <cell r="K59">
            <v>42010</v>
          </cell>
        </row>
        <row r="60">
          <cell r="B60">
            <v>40569</v>
          </cell>
          <cell r="C60">
            <v>40906</v>
          </cell>
          <cell r="D60">
            <v>41300</v>
          </cell>
          <cell r="E60">
            <v>40913</v>
          </cell>
          <cell r="F60">
            <v>41302</v>
          </cell>
          <cell r="G60">
            <v>41631</v>
          </cell>
          <cell r="H60">
            <v>41666</v>
          </cell>
          <cell r="I60">
            <v>41996</v>
          </cell>
          <cell r="J60">
            <v>42030</v>
          </cell>
          <cell r="K60">
            <v>42011</v>
          </cell>
        </row>
        <row r="61">
          <cell r="B61">
            <v>40655</v>
          </cell>
          <cell r="C61">
            <v>40907</v>
          </cell>
          <cell r="D61">
            <v>41005</v>
          </cell>
          <cell r="E61">
            <v>40914</v>
          </cell>
          <cell r="F61">
            <v>41362</v>
          </cell>
          <cell r="G61">
            <v>41632</v>
          </cell>
          <cell r="H61">
            <v>41747</v>
          </cell>
          <cell r="I61">
            <v>41997</v>
          </cell>
          <cell r="J61">
            <v>42097</v>
          </cell>
          <cell r="K61">
            <v>42012</v>
          </cell>
        </row>
        <row r="62">
          <cell r="B62">
            <v>40658</v>
          </cell>
          <cell r="C62"/>
          <cell r="D62">
            <v>41008</v>
          </cell>
          <cell r="E62">
            <v>41267</v>
          </cell>
          <cell r="F62">
            <v>41365</v>
          </cell>
          <cell r="G62">
            <v>41635</v>
          </cell>
          <cell r="H62">
            <v>41750</v>
          </cell>
          <cell r="I62">
            <v>42002</v>
          </cell>
          <cell r="J62">
            <v>42100</v>
          </cell>
          <cell r="K62">
            <v>42013</v>
          </cell>
        </row>
        <row r="63">
          <cell r="B63">
            <v>40659</v>
          </cell>
          <cell r="C63"/>
          <cell r="D63">
            <v>41024</v>
          </cell>
          <cell r="E63">
            <v>41270</v>
          </cell>
          <cell r="F63">
            <v>41389</v>
          </cell>
          <cell r="G63">
            <v>41638</v>
          </cell>
          <cell r="H63">
            <v>41754</v>
          </cell>
          <cell r="I63">
            <v>42003</v>
          </cell>
          <cell r="J63">
            <v>42121</v>
          </cell>
          <cell r="K63">
            <v>42362</v>
          </cell>
        </row>
        <row r="64">
          <cell r="B64">
            <v>40665</v>
          </cell>
          <cell r="C64"/>
          <cell r="D64">
            <v>41036</v>
          </cell>
          <cell r="E64">
            <v>41271</v>
          </cell>
          <cell r="F64">
            <v>41435</v>
          </cell>
          <cell r="G64">
            <v>41639</v>
          </cell>
          <cell r="H64">
            <v>41918</v>
          </cell>
          <cell r="I64">
            <v>42004</v>
          </cell>
          <cell r="J64">
            <v>42282</v>
          </cell>
          <cell r="K64">
            <v>42365</v>
          </cell>
        </row>
        <row r="65">
          <cell r="B65">
            <v>40707</v>
          </cell>
          <cell r="C65"/>
          <cell r="D65">
            <v>41071</v>
          </cell>
          <cell r="E65">
            <v>41274</v>
          </cell>
          <cell r="F65">
            <v>41554</v>
          </cell>
          <cell r="G65"/>
          <cell r="H65">
            <v>41799</v>
          </cell>
          <cell r="I65"/>
          <cell r="J65">
            <v>42163</v>
          </cell>
          <cell r="K65">
            <v>42366</v>
          </cell>
        </row>
        <row r="66">
          <cell r="B66"/>
          <cell r="C66"/>
          <cell r="D66"/>
          <cell r="E66"/>
          <cell r="F66"/>
          <cell r="G66"/>
          <cell r="H66"/>
          <cell r="I66"/>
          <cell r="J66"/>
          <cell r="K66">
            <v>42367</v>
          </cell>
        </row>
        <row r="67">
          <cell r="B67"/>
          <cell r="C67"/>
          <cell r="D67"/>
          <cell r="E67"/>
          <cell r="F67"/>
          <cell r="G67"/>
          <cell r="H67"/>
          <cell r="I67"/>
          <cell r="J67"/>
          <cell r="K67">
            <v>42368</v>
          </cell>
        </row>
        <row r="68">
          <cell r="B68"/>
          <cell r="C68"/>
          <cell r="D68"/>
          <cell r="E68"/>
          <cell r="F68"/>
          <cell r="G68"/>
          <cell r="H68"/>
          <cell r="I68"/>
          <cell r="J68"/>
          <cell r="K68">
            <v>42369</v>
          </cell>
        </row>
      </sheetData>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06"/>
  <sheetViews>
    <sheetView zoomScaleNormal="100" workbookViewId="0">
      <pane ySplit="2" topLeftCell="A3" activePane="bottomLeft" state="frozen"/>
      <selection pane="bottomLeft" activeCell="T16" sqref="T16"/>
    </sheetView>
  </sheetViews>
  <sheetFormatPr defaultColWidth="8.85546875" defaultRowHeight="11.25" x14ac:dyDescent="0.2"/>
  <cols>
    <col min="1" max="1" width="5.85546875" style="38" bestFit="1" customWidth="1"/>
    <col min="2" max="2" width="15.140625" style="9" bestFit="1" customWidth="1"/>
    <col min="3" max="3" width="40.5703125" style="10" customWidth="1"/>
    <col min="4" max="4" width="12.7109375" style="9" customWidth="1"/>
    <col min="5" max="5" width="4.85546875" style="18" bestFit="1" customWidth="1"/>
    <col min="6" max="6" width="7.85546875" style="9" bestFit="1" customWidth="1"/>
    <col min="7" max="8" width="10" style="9" bestFit="1" customWidth="1"/>
    <col min="9" max="9" width="7.85546875" style="9" bestFit="1" customWidth="1"/>
    <col min="10" max="10" width="7.7109375" style="9" customWidth="1"/>
    <col min="11" max="11" width="7.85546875" style="32" bestFit="1" customWidth="1"/>
    <col min="12" max="12" width="7.85546875" style="154" bestFit="1" customWidth="1"/>
    <col min="13" max="13" width="8.5703125" style="9" bestFit="1" customWidth="1"/>
    <col min="14" max="14" width="6.85546875" style="9" bestFit="1" customWidth="1"/>
    <col min="15" max="15" width="8.7109375" style="9" bestFit="1" customWidth="1"/>
    <col min="16" max="16" width="10.7109375" style="9" bestFit="1" customWidth="1"/>
    <col min="17" max="17" width="9.28515625" style="9" bestFit="1" customWidth="1"/>
    <col min="18" max="18" width="9.28515625" style="18" customWidth="1"/>
    <col min="19" max="19" width="8.85546875" style="4"/>
    <col min="20" max="20" width="10.85546875" style="17" bestFit="1" customWidth="1"/>
    <col min="21" max="21" width="10.85546875" style="237" bestFit="1" customWidth="1"/>
    <col min="22" max="22" width="10.85546875" style="4" bestFit="1" customWidth="1"/>
    <col min="23" max="16384" width="8.85546875" style="4"/>
  </cols>
  <sheetData>
    <row r="1" spans="1:22" x14ac:dyDescent="0.2">
      <c r="J1" s="33">
        <f>SUBTOTAL(9,J5:J757)</f>
        <v>2344789.4933317248</v>
      </c>
      <c r="K1" s="34"/>
      <c r="M1" s="33">
        <f>SUBTOTAL(9,M5:M757)</f>
        <v>555246.31769437878</v>
      </c>
      <c r="N1" s="33">
        <f t="shared" ref="N1:Q1" si="0">SUBTOTAL(9,N5:N757)</f>
        <v>55772.398000000001</v>
      </c>
      <c r="O1" s="33">
        <f t="shared" si="0"/>
        <v>708161.03290096531</v>
      </c>
      <c r="P1" s="33">
        <f t="shared" si="0"/>
        <v>1025609.7447363799</v>
      </c>
      <c r="Q1" s="33">
        <f t="shared" si="0"/>
        <v>2344789.4933317248</v>
      </c>
      <c r="T1" s="172"/>
      <c r="V1" s="73"/>
    </row>
    <row r="2" spans="1:22" x14ac:dyDescent="0.2">
      <c r="A2" s="38" t="s">
        <v>509</v>
      </c>
      <c r="B2" s="1" t="s">
        <v>0</v>
      </c>
      <c r="C2" s="2" t="s">
        <v>254</v>
      </c>
      <c r="D2" s="1" t="s">
        <v>2</v>
      </c>
      <c r="E2" s="24" t="s">
        <v>255</v>
      </c>
      <c r="F2" s="3" t="s">
        <v>3</v>
      </c>
      <c r="G2" s="3" t="s">
        <v>4</v>
      </c>
      <c r="H2" s="3" t="s">
        <v>5</v>
      </c>
      <c r="I2" s="3" t="s">
        <v>6</v>
      </c>
      <c r="J2" s="3" t="s">
        <v>256</v>
      </c>
      <c r="K2" s="3" t="s">
        <v>257</v>
      </c>
      <c r="L2" s="155" t="s">
        <v>258</v>
      </c>
      <c r="M2" s="3" t="s">
        <v>7</v>
      </c>
      <c r="N2" s="3" t="s">
        <v>8</v>
      </c>
      <c r="O2" s="3" t="s">
        <v>9</v>
      </c>
      <c r="P2" s="3" t="s">
        <v>10</v>
      </c>
      <c r="Q2" s="3" t="s">
        <v>11</v>
      </c>
      <c r="R2" s="24" t="s">
        <v>453</v>
      </c>
      <c r="T2" s="173"/>
    </row>
    <row r="3" spans="1:22" ht="22.5" x14ac:dyDescent="0.2">
      <c r="A3" s="38">
        <v>1</v>
      </c>
      <c r="B3" s="5" t="s">
        <v>12</v>
      </c>
      <c r="C3" s="5" t="s">
        <v>13</v>
      </c>
      <c r="D3" s="6"/>
      <c r="E3" s="25"/>
      <c r="F3" s="7"/>
      <c r="G3" s="7"/>
      <c r="H3" s="7"/>
      <c r="I3" s="7"/>
      <c r="J3" s="7"/>
      <c r="K3" s="29"/>
      <c r="L3" s="156"/>
      <c r="M3" s="8"/>
      <c r="N3" s="8"/>
      <c r="O3" s="8"/>
      <c r="P3" s="8"/>
      <c r="Q3" s="8"/>
      <c r="R3" s="25"/>
    </row>
    <row r="4" spans="1:22" ht="22.5" x14ac:dyDescent="0.2">
      <c r="A4" s="38">
        <v>2</v>
      </c>
      <c r="B4" s="5" t="s">
        <v>14</v>
      </c>
      <c r="C4" s="5" t="s">
        <v>15</v>
      </c>
      <c r="D4" s="6"/>
      <c r="E4" s="25"/>
      <c r="F4" s="7"/>
      <c r="G4" s="7"/>
      <c r="H4" s="7"/>
      <c r="I4" s="7"/>
      <c r="J4" s="7"/>
      <c r="K4" s="29"/>
      <c r="L4" s="156"/>
      <c r="M4" s="8"/>
      <c r="N4" s="8"/>
      <c r="O4" s="8"/>
      <c r="P4" s="8"/>
      <c r="Q4" s="8"/>
      <c r="R4" s="25"/>
    </row>
    <row r="5" spans="1:22" ht="33.75" x14ac:dyDescent="0.2">
      <c r="A5" s="38">
        <v>3</v>
      </c>
      <c r="B5" s="5" t="s">
        <v>16</v>
      </c>
      <c r="C5" s="5" t="s">
        <v>17</v>
      </c>
      <c r="D5" s="6" t="s">
        <v>18</v>
      </c>
      <c r="E5" s="25"/>
      <c r="F5" s="7"/>
      <c r="G5" s="7"/>
      <c r="H5" s="36">
        <f>VLOOKUP($A5,'Model Inputs'!$A:$C,3,FALSE)</f>
        <v>1</v>
      </c>
      <c r="I5" s="7"/>
      <c r="J5" s="8">
        <f>SUBTOTAL(9,J7:J25)</f>
        <v>27679</v>
      </c>
      <c r="K5" s="29"/>
      <c r="L5" s="156">
        <v>5</v>
      </c>
      <c r="M5" s="8">
        <f>SUBTOTAL(9,M7:M25)</f>
        <v>5184</v>
      </c>
      <c r="N5" s="8">
        <f t="shared" ref="N5:Q5" si="1">SUBTOTAL(9,N7:N25)</f>
        <v>2650</v>
      </c>
      <c r="O5" s="8">
        <f t="shared" si="1"/>
        <v>12525</v>
      </c>
      <c r="P5" s="8">
        <f t="shared" si="1"/>
        <v>7320</v>
      </c>
      <c r="Q5" s="8">
        <f t="shared" si="1"/>
        <v>27679</v>
      </c>
      <c r="R5" s="25"/>
    </row>
    <row r="6" spans="1:22" x14ac:dyDescent="0.2">
      <c r="A6" s="38" t="s">
        <v>418</v>
      </c>
      <c r="B6" s="13">
        <v>1</v>
      </c>
      <c r="C6" s="14" t="s">
        <v>19</v>
      </c>
      <c r="D6" s="13"/>
      <c r="E6" s="26" t="str">
        <f>IFERROR(VLOOKUP(C6,Resources!B:G,3,FALSE)," ")</f>
        <v xml:space="preserve"> </v>
      </c>
      <c r="F6" s="15"/>
      <c r="G6" s="15"/>
      <c r="H6" s="15"/>
      <c r="I6" s="15"/>
      <c r="J6" s="15"/>
      <c r="K6" s="30"/>
      <c r="L6" s="157"/>
      <c r="M6" s="16"/>
      <c r="N6" s="16"/>
      <c r="O6" s="16"/>
      <c r="P6" s="16"/>
      <c r="Q6" s="16"/>
      <c r="R6" s="26"/>
    </row>
    <row r="7" spans="1:22" x14ac:dyDescent="0.2">
      <c r="A7" s="38" t="s">
        <v>418</v>
      </c>
      <c r="B7" s="13">
        <v>2</v>
      </c>
      <c r="C7" s="14" t="s">
        <v>20</v>
      </c>
      <c r="D7" s="13" t="s">
        <v>21</v>
      </c>
      <c r="E7" s="26" t="str">
        <f>IFERROR(VLOOKUP(C7,Resources!B:G,3,FALSE)," ")</f>
        <v>P</v>
      </c>
      <c r="F7" s="15">
        <v>1</v>
      </c>
      <c r="G7" s="15">
        <v>1</v>
      </c>
      <c r="H7" s="15">
        <f>H5*600</f>
        <v>600</v>
      </c>
      <c r="I7" s="15">
        <f>VLOOKUP(C7,Resources!B:G,6,FALSE)</f>
        <v>1</v>
      </c>
      <c r="J7" s="27">
        <f t="shared" ref="J7:J12" si="2">(H7/G7)*I7*F7</f>
        <v>600</v>
      </c>
      <c r="K7" s="27"/>
      <c r="L7" s="157"/>
      <c r="M7" s="28">
        <f t="shared" ref="M7:M12" si="3">IF($E7="L",$J7,0)</f>
        <v>0</v>
      </c>
      <c r="N7" s="28">
        <f t="shared" ref="N7:N12" si="4">IF($E7="M",$J7,0)</f>
        <v>0</v>
      </c>
      <c r="O7" s="28">
        <f t="shared" ref="O7:O12" si="5">IF($E7="P",$J7,0)</f>
        <v>600</v>
      </c>
      <c r="P7" s="28">
        <f t="shared" ref="P7:P12" si="6">IF($E7="S",$J7,0)</f>
        <v>0</v>
      </c>
      <c r="Q7" s="28">
        <f t="shared" ref="Q7:Q12" si="7">SUM(M7:P7)</f>
        <v>600</v>
      </c>
      <c r="R7" s="26">
        <v>907</v>
      </c>
    </row>
    <row r="8" spans="1:22" x14ac:dyDescent="0.2">
      <c r="A8" s="38" t="s">
        <v>418</v>
      </c>
      <c r="B8" s="13">
        <v>3</v>
      </c>
      <c r="C8" s="14" t="s">
        <v>20</v>
      </c>
      <c r="D8" s="13" t="s">
        <v>21</v>
      </c>
      <c r="E8" s="26" t="str">
        <f>IFERROR(VLOOKUP(C8,Resources!B:G,3,FALSE)," ")</f>
        <v>P</v>
      </c>
      <c r="F8" s="15">
        <v>1</v>
      </c>
      <c r="G8" s="15">
        <v>1</v>
      </c>
      <c r="H8" s="15">
        <f>H7</f>
        <v>600</v>
      </c>
      <c r="I8" s="15">
        <f>VLOOKUP(C8,Resources!B:G,6,FALSE)</f>
        <v>1</v>
      </c>
      <c r="J8" s="27">
        <f t="shared" si="2"/>
        <v>600</v>
      </c>
      <c r="K8" s="27"/>
      <c r="L8" s="157"/>
      <c r="M8" s="28">
        <f t="shared" si="3"/>
        <v>0</v>
      </c>
      <c r="N8" s="28">
        <f t="shared" si="4"/>
        <v>0</v>
      </c>
      <c r="O8" s="28">
        <f t="shared" si="5"/>
        <v>600</v>
      </c>
      <c r="P8" s="28">
        <f t="shared" si="6"/>
        <v>0</v>
      </c>
      <c r="Q8" s="28">
        <f t="shared" si="7"/>
        <v>600</v>
      </c>
      <c r="R8" s="26">
        <v>907</v>
      </c>
    </row>
    <row r="9" spans="1:22" x14ac:dyDescent="0.2">
      <c r="A9" s="38" t="s">
        <v>418</v>
      </c>
      <c r="B9" s="13">
        <v>4</v>
      </c>
      <c r="C9" s="14" t="s">
        <v>20</v>
      </c>
      <c r="D9" s="13" t="s">
        <v>21</v>
      </c>
      <c r="E9" s="26" t="str">
        <f>IFERROR(VLOOKUP(C9,Resources!B:G,3,FALSE)," ")</f>
        <v>P</v>
      </c>
      <c r="F9" s="15">
        <v>1</v>
      </c>
      <c r="G9" s="15">
        <v>1</v>
      </c>
      <c r="H9" s="15">
        <f>H7</f>
        <v>600</v>
      </c>
      <c r="I9" s="15">
        <f>VLOOKUP(C9,Resources!B:G,6,FALSE)</f>
        <v>1</v>
      </c>
      <c r="J9" s="27">
        <f t="shared" si="2"/>
        <v>600</v>
      </c>
      <c r="K9" s="27"/>
      <c r="L9" s="157"/>
      <c r="M9" s="28">
        <f t="shared" si="3"/>
        <v>0</v>
      </c>
      <c r="N9" s="28">
        <f t="shared" si="4"/>
        <v>0</v>
      </c>
      <c r="O9" s="28">
        <f t="shared" si="5"/>
        <v>600</v>
      </c>
      <c r="P9" s="28">
        <f t="shared" si="6"/>
        <v>0</v>
      </c>
      <c r="Q9" s="28">
        <f t="shared" si="7"/>
        <v>600</v>
      </c>
      <c r="R9" s="26">
        <v>907</v>
      </c>
    </row>
    <row r="10" spans="1:22" x14ac:dyDescent="0.2">
      <c r="A10" s="38" t="s">
        <v>418</v>
      </c>
      <c r="B10" s="13">
        <v>5</v>
      </c>
      <c r="C10" s="14" t="s">
        <v>20</v>
      </c>
      <c r="D10" s="13" t="s">
        <v>21</v>
      </c>
      <c r="E10" s="26" t="str">
        <f>IFERROR(VLOOKUP(C10,Resources!B:G,3,FALSE)," ")</f>
        <v>P</v>
      </c>
      <c r="F10" s="15">
        <v>1</v>
      </c>
      <c r="G10" s="15">
        <v>1</v>
      </c>
      <c r="H10" s="15">
        <f>H7</f>
        <v>600</v>
      </c>
      <c r="I10" s="15">
        <f>VLOOKUP(C10,Resources!B:G,6,FALSE)</f>
        <v>1</v>
      </c>
      <c r="J10" s="27">
        <f t="shared" si="2"/>
        <v>600</v>
      </c>
      <c r="K10" s="27"/>
      <c r="L10" s="157"/>
      <c r="M10" s="28">
        <f t="shared" si="3"/>
        <v>0</v>
      </c>
      <c r="N10" s="28">
        <f t="shared" si="4"/>
        <v>0</v>
      </c>
      <c r="O10" s="28">
        <f t="shared" si="5"/>
        <v>600</v>
      </c>
      <c r="P10" s="28">
        <f t="shared" si="6"/>
        <v>0</v>
      </c>
      <c r="Q10" s="28">
        <f t="shared" si="7"/>
        <v>600</v>
      </c>
      <c r="R10" s="26">
        <v>907</v>
      </c>
    </row>
    <row r="11" spans="1:22" x14ac:dyDescent="0.2">
      <c r="A11" s="38" t="s">
        <v>418</v>
      </c>
      <c r="B11" s="13">
        <v>6</v>
      </c>
      <c r="C11" s="14" t="s">
        <v>20</v>
      </c>
      <c r="D11" s="13" t="s">
        <v>21</v>
      </c>
      <c r="E11" s="26" t="str">
        <f>IFERROR(VLOOKUP(C11,Resources!B:G,3,FALSE)," ")</f>
        <v>P</v>
      </c>
      <c r="F11" s="15">
        <v>1</v>
      </c>
      <c r="G11" s="15">
        <v>1</v>
      </c>
      <c r="H11" s="15">
        <f>H7</f>
        <v>600</v>
      </c>
      <c r="I11" s="15">
        <f>VLOOKUP(C11,Resources!B:G,6,FALSE)</f>
        <v>1</v>
      </c>
      <c r="J11" s="27">
        <f t="shared" si="2"/>
        <v>600</v>
      </c>
      <c r="K11" s="27"/>
      <c r="L11" s="157"/>
      <c r="M11" s="28">
        <f t="shared" si="3"/>
        <v>0</v>
      </c>
      <c r="N11" s="28">
        <f t="shared" si="4"/>
        <v>0</v>
      </c>
      <c r="O11" s="28">
        <f t="shared" si="5"/>
        <v>600</v>
      </c>
      <c r="P11" s="28">
        <f t="shared" si="6"/>
        <v>0</v>
      </c>
      <c r="Q11" s="28">
        <f t="shared" si="7"/>
        <v>600</v>
      </c>
      <c r="R11" s="26">
        <v>907</v>
      </c>
    </row>
    <row r="12" spans="1:22" x14ac:dyDescent="0.2">
      <c r="A12" s="38" t="s">
        <v>418</v>
      </c>
      <c r="B12" s="13">
        <v>7</v>
      </c>
      <c r="C12" s="14" t="s">
        <v>22</v>
      </c>
      <c r="D12" s="13" t="s">
        <v>23</v>
      </c>
      <c r="E12" s="26" t="str">
        <f>IFERROR(VLOOKUP(C12,Resources!B:G,3,FALSE)," ")</f>
        <v>P</v>
      </c>
      <c r="F12" s="15">
        <v>1</v>
      </c>
      <c r="G12" s="15">
        <v>1</v>
      </c>
      <c r="H12" s="15">
        <f>H5*100</f>
        <v>100</v>
      </c>
      <c r="I12" s="15">
        <f>VLOOKUP(C12,Resources!B:G,6,FALSE)</f>
        <v>11.25</v>
      </c>
      <c r="J12" s="27">
        <f t="shared" si="2"/>
        <v>1125</v>
      </c>
      <c r="K12" s="27"/>
      <c r="L12" s="157"/>
      <c r="M12" s="28">
        <f t="shared" si="3"/>
        <v>0</v>
      </c>
      <c r="N12" s="28">
        <f t="shared" si="4"/>
        <v>0</v>
      </c>
      <c r="O12" s="28">
        <f t="shared" si="5"/>
        <v>1125</v>
      </c>
      <c r="P12" s="28">
        <f t="shared" si="6"/>
        <v>0</v>
      </c>
      <c r="Q12" s="28">
        <f t="shared" si="7"/>
        <v>1125</v>
      </c>
      <c r="R12" s="26">
        <v>903</v>
      </c>
    </row>
    <row r="13" spans="1:22" x14ac:dyDescent="0.2">
      <c r="A13" s="38" t="s">
        <v>418</v>
      </c>
      <c r="B13" s="13">
        <v>9</v>
      </c>
      <c r="C13" s="14" t="s">
        <v>24</v>
      </c>
      <c r="D13" s="13"/>
      <c r="E13" s="26" t="str">
        <f>IFERROR(VLOOKUP(C13,Resources!B:G,3,FALSE)," ")</f>
        <v xml:space="preserve"> </v>
      </c>
      <c r="F13" s="15"/>
      <c r="G13" s="15"/>
      <c r="H13" s="15"/>
      <c r="I13" s="15"/>
      <c r="J13" s="15"/>
      <c r="K13" s="30"/>
      <c r="L13" s="157"/>
      <c r="M13" s="16"/>
      <c r="N13" s="16"/>
      <c r="O13" s="16"/>
      <c r="P13" s="16"/>
      <c r="Q13" s="16"/>
      <c r="R13" s="26"/>
    </row>
    <row r="14" spans="1:22" x14ac:dyDescent="0.2">
      <c r="A14" s="38" t="s">
        <v>418</v>
      </c>
      <c r="B14" s="13">
        <v>10</v>
      </c>
      <c r="C14" s="14" t="s">
        <v>25</v>
      </c>
      <c r="D14" s="13" t="s">
        <v>26</v>
      </c>
      <c r="E14" s="26" t="str">
        <f>IFERROR(VLOOKUP(C14,Resources!B:G,3,FALSE)," ")</f>
        <v>M</v>
      </c>
      <c r="F14" s="15">
        <v>1</v>
      </c>
      <c r="G14" s="15">
        <v>1</v>
      </c>
      <c r="H14" s="15">
        <f>H5*100</f>
        <v>100</v>
      </c>
      <c r="I14" s="15">
        <f>VLOOKUP(C14,Resources!B:G,6,FALSE)</f>
        <v>26.5</v>
      </c>
      <c r="J14" s="27">
        <f>(H14/G14)*I14*F14</f>
        <v>2650</v>
      </c>
      <c r="K14" s="27" t="str">
        <f t="shared" ref="K14" si="8">IF(E14="M"," ",L14*F14)</f>
        <v xml:space="preserve"> </v>
      </c>
      <c r="L14" s="157" t="str">
        <f t="shared" ref="L14" si="9">IF(E14="M"," ",H14/G14)</f>
        <v xml:space="preserve"> </v>
      </c>
      <c r="M14" s="28">
        <f t="shared" ref="M14:M17" si="10">IF($E14="L",$J14,0)</f>
        <v>0</v>
      </c>
      <c r="N14" s="28">
        <f t="shared" ref="N14:N17" si="11">IF($E14="M",$J14,0)</f>
        <v>2650</v>
      </c>
      <c r="O14" s="28">
        <f t="shared" ref="O14:O17" si="12">IF($E14="P",$J14,0)</f>
        <v>0</v>
      </c>
      <c r="P14" s="28">
        <f t="shared" ref="P14:P17" si="13">IF($E14="S",$J14,0)</f>
        <v>0</v>
      </c>
      <c r="Q14" s="28">
        <f t="shared" ref="Q14:Q17" si="14">SUM(M14:P14)</f>
        <v>2650</v>
      </c>
      <c r="R14" s="26" t="s">
        <v>458</v>
      </c>
    </row>
    <row r="15" spans="1:22" x14ac:dyDescent="0.2">
      <c r="A15" s="38" t="s">
        <v>418</v>
      </c>
      <c r="B15" s="13">
        <v>11</v>
      </c>
      <c r="C15" s="14" t="s">
        <v>7</v>
      </c>
      <c r="D15" s="13" t="s">
        <v>27</v>
      </c>
      <c r="E15" s="26" t="str">
        <f>IFERROR(VLOOKUP(C15,Resources!B:G,3,FALSE)," ")</f>
        <v>L</v>
      </c>
      <c r="F15" s="15">
        <v>1</v>
      </c>
      <c r="G15" s="15">
        <v>1</v>
      </c>
      <c r="H15" s="15">
        <f>H5*108</f>
        <v>108</v>
      </c>
      <c r="I15" s="15">
        <f>VLOOKUP(C15,Resources!B:G,6,FALSE)</f>
        <v>48</v>
      </c>
      <c r="J15" s="27">
        <f>(H15/G15)*I15*F15</f>
        <v>5184</v>
      </c>
      <c r="K15" s="27">
        <f>H15</f>
        <v>108</v>
      </c>
      <c r="L15" s="157"/>
      <c r="M15" s="28">
        <f t="shared" si="10"/>
        <v>5184</v>
      </c>
      <c r="N15" s="28">
        <f t="shared" si="11"/>
        <v>0</v>
      </c>
      <c r="O15" s="28">
        <f t="shared" si="12"/>
        <v>0</v>
      </c>
      <c r="P15" s="28">
        <f t="shared" si="13"/>
        <v>0</v>
      </c>
      <c r="Q15" s="28">
        <f t="shared" si="14"/>
        <v>5184</v>
      </c>
      <c r="R15" s="26">
        <v>907</v>
      </c>
    </row>
    <row r="16" spans="1:22" x14ac:dyDescent="0.2">
      <c r="A16" s="38" t="s">
        <v>418</v>
      </c>
      <c r="B16" s="13">
        <v>12</v>
      </c>
      <c r="C16" s="14" t="s">
        <v>28</v>
      </c>
      <c r="D16" s="13" t="s">
        <v>27</v>
      </c>
      <c r="E16" s="26" t="str">
        <f>IFERROR(VLOOKUP(C16,Resources!B:G,3,FALSE)," ")</f>
        <v>P</v>
      </c>
      <c r="F16" s="15">
        <v>1</v>
      </c>
      <c r="G16" s="15">
        <v>1</v>
      </c>
      <c r="H16" s="15">
        <f>H5*36</f>
        <v>36</v>
      </c>
      <c r="I16" s="15">
        <f>VLOOKUP(C16,Resources!B:G,6,FALSE)</f>
        <v>100</v>
      </c>
      <c r="J16" s="27">
        <f>(H16/G16)*I16*F16</f>
        <v>3600</v>
      </c>
      <c r="K16" s="27">
        <f t="shared" ref="K16:K17" si="15">H16</f>
        <v>36</v>
      </c>
      <c r="L16" s="157"/>
      <c r="M16" s="28">
        <f t="shared" si="10"/>
        <v>0</v>
      </c>
      <c r="N16" s="28">
        <f t="shared" si="11"/>
        <v>0</v>
      </c>
      <c r="O16" s="28">
        <f t="shared" si="12"/>
        <v>3600</v>
      </c>
      <c r="P16" s="28">
        <f t="shared" si="13"/>
        <v>0</v>
      </c>
      <c r="Q16" s="28">
        <f t="shared" si="14"/>
        <v>3600</v>
      </c>
      <c r="R16" s="26">
        <v>907</v>
      </c>
    </row>
    <row r="17" spans="1:18" x14ac:dyDescent="0.2">
      <c r="A17" s="38" t="s">
        <v>418</v>
      </c>
      <c r="B17" s="13">
        <v>13</v>
      </c>
      <c r="C17" s="14" t="s">
        <v>29</v>
      </c>
      <c r="D17" s="13" t="s">
        <v>27</v>
      </c>
      <c r="E17" s="26" t="str">
        <f>IFERROR(VLOOKUP(C17,Resources!B:G,3,FALSE)," ")</f>
        <v>S</v>
      </c>
      <c r="F17" s="15">
        <v>1</v>
      </c>
      <c r="G17" s="15">
        <v>1</v>
      </c>
      <c r="H17" s="15">
        <f>H5*6</f>
        <v>6</v>
      </c>
      <c r="I17" s="15">
        <f>VLOOKUP(C17,Resources!B:G,6,FALSE)</f>
        <v>95</v>
      </c>
      <c r="J17" s="27">
        <f>(H17/G17)*I17*F17</f>
        <v>570</v>
      </c>
      <c r="K17" s="27">
        <f t="shared" si="15"/>
        <v>6</v>
      </c>
      <c r="L17" s="157"/>
      <c r="M17" s="28">
        <f t="shared" si="10"/>
        <v>0</v>
      </c>
      <c r="N17" s="28">
        <f t="shared" si="11"/>
        <v>0</v>
      </c>
      <c r="O17" s="28">
        <f t="shared" si="12"/>
        <v>0</v>
      </c>
      <c r="P17" s="28">
        <f t="shared" si="13"/>
        <v>570</v>
      </c>
      <c r="Q17" s="28">
        <f t="shared" si="14"/>
        <v>570</v>
      </c>
      <c r="R17" s="26">
        <v>907</v>
      </c>
    </row>
    <row r="18" spans="1:18" x14ac:dyDescent="0.2">
      <c r="A18" s="38" t="s">
        <v>418</v>
      </c>
      <c r="B18" s="13">
        <v>15</v>
      </c>
      <c r="C18" s="14" t="s">
        <v>30</v>
      </c>
      <c r="D18" s="13"/>
      <c r="E18" s="26" t="str">
        <f>IFERROR(VLOOKUP(C18,Resources!B:G,3,FALSE)," ")</f>
        <v xml:space="preserve"> </v>
      </c>
      <c r="F18" s="15"/>
      <c r="G18" s="15"/>
      <c r="H18" s="15"/>
      <c r="I18" s="15"/>
      <c r="J18" s="15"/>
      <c r="K18" s="30"/>
      <c r="L18" s="157"/>
      <c r="M18" s="16"/>
      <c r="N18" s="16"/>
      <c r="O18" s="16"/>
      <c r="P18" s="16"/>
      <c r="Q18" s="16"/>
      <c r="R18" s="26"/>
    </row>
    <row r="19" spans="1:18" x14ac:dyDescent="0.2">
      <c r="A19" s="38" t="s">
        <v>418</v>
      </c>
      <c r="B19" s="13">
        <v>16</v>
      </c>
      <c r="C19" s="14" t="s">
        <v>20</v>
      </c>
      <c r="D19" s="13" t="s">
        <v>21</v>
      </c>
      <c r="E19" s="26" t="str">
        <f>IFERROR(VLOOKUP(C19,Resources!B:G,3,FALSE)," ")</f>
        <v>P</v>
      </c>
      <c r="F19" s="15">
        <v>1</v>
      </c>
      <c r="G19" s="15">
        <v>1</v>
      </c>
      <c r="H19" s="15">
        <f>H5*1200</f>
        <v>1200</v>
      </c>
      <c r="I19" s="15">
        <f>VLOOKUP(C19,Resources!B:G,6,FALSE)</f>
        <v>1</v>
      </c>
      <c r="J19" s="27">
        <f>(H19/G19)*I19*F19</f>
        <v>1200</v>
      </c>
      <c r="K19" s="27"/>
      <c r="L19" s="157"/>
      <c r="M19" s="28">
        <f t="shared" ref="M19:M23" si="16">IF($E19="L",$J19,0)</f>
        <v>0</v>
      </c>
      <c r="N19" s="28">
        <f t="shared" ref="N19:N23" si="17">IF($E19="M",$J19,0)</f>
        <v>0</v>
      </c>
      <c r="O19" s="28">
        <f t="shared" ref="O19:O23" si="18">IF($E19="P",$J19,0)</f>
        <v>1200</v>
      </c>
      <c r="P19" s="28">
        <f t="shared" ref="P19:P23" si="19">IF($E19="S",$J19,0)</f>
        <v>0</v>
      </c>
      <c r="Q19" s="28">
        <f t="shared" ref="Q19:Q23" si="20">SUM(M19:P19)</f>
        <v>1200</v>
      </c>
      <c r="R19" s="26">
        <v>907</v>
      </c>
    </row>
    <row r="20" spans="1:18" x14ac:dyDescent="0.2">
      <c r="A20" s="38" t="s">
        <v>418</v>
      </c>
      <c r="B20" s="13">
        <v>17</v>
      </c>
      <c r="C20" s="14" t="s">
        <v>20</v>
      </c>
      <c r="D20" s="13" t="s">
        <v>21</v>
      </c>
      <c r="E20" s="26" t="str">
        <f>IFERROR(VLOOKUP(C20,Resources!B:G,3,FALSE)," ")</f>
        <v>P</v>
      </c>
      <c r="F20" s="15">
        <v>1</v>
      </c>
      <c r="G20" s="15">
        <v>1</v>
      </c>
      <c r="H20" s="15">
        <f>H19</f>
        <v>1200</v>
      </c>
      <c r="I20" s="15">
        <f>VLOOKUP(C20,Resources!B:G,6,FALSE)</f>
        <v>1</v>
      </c>
      <c r="J20" s="27">
        <f>(H20/G20)*I20*F20</f>
        <v>1200</v>
      </c>
      <c r="K20" s="27"/>
      <c r="L20" s="157"/>
      <c r="M20" s="28">
        <f t="shared" si="16"/>
        <v>0</v>
      </c>
      <c r="N20" s="28">
        <f t="shared" si="17"/>
        <v>0</v>
      </c>
      <c r="O20" s="28">
        <f t="shared" si="18"/>
        <v>1200</v>
      </c>
      <c r="P20" s="28">
        <f t="shared" si="19"/>
        <v>0</v>
      </c>
      <c r="Q20" s="28">
        <f t="shared" si="20"/>
        <v>1200</v>
      </c>
      <c r="R20" s="26">
        <v>907</v>
      </c>
    </row>
    <row r="21" spans="1:18" x14ac:dyDescent="0.2">
      <c r="A21" s="38" t="s">
        <v>418</v>
      </c>
      <c r="B21" s="13">
        <v>18</v>
      </c>
      <c r="C21" s="14" t="s">
        <v>20</v>
      </c>
      <c r="D21" s="13" t="s">
        <v>21</v>
      </c>
      <c r="E21" s="26" t="str">
        <f>IFERROR(VLOOKUP(C21,Resources!B:G,3,FALSE)," ")</f>
        <v>P</v>
      </c>
      <c r="F21" s="15">
        <v>1</v>
      </c>
      <c r="G21" s="15">
        <v>1</v>
      </c>
      <c r="H21" s="15">
        <f>H19</f>
        <v>1200</v>
      </c>
      <c r="I21" s="15">
        <f>VLOOKUP(C21,Resources!B:G,6,FALSE)</f>
        <v>1</v>
      </c>
      <c r="J21" s="27">
        <f>(H21/G21)*I21*F21</f>
        <v>1200</v>
      </c>
      <c r="K21" s="27"/>
      <c r="L21" s="157"/>
      <c r="M21" s="28">
        <f t="shared" si="16"/>
        <v>0</v>
      </c>
      <c r="N21" s="28">
        <f t="shared" si="17"/>
        <v>0</v>
      </c>
      <c r="O21" s="28">
        <f t="shared" si="18"/>
        <v>1200</v>
      </c>
      <c r="P21" s="28">
        <f t="shared" si="19"/>
        <v>0</v>
      </c>
      <c r="Q21" s="28">
        <f t="shared" si="20"/>
        <v>1200</v>
      </c>
      <c r="R21" s="26">
        <v>907</v>
      </c>
    </row>
    <row r="22" spans="1:18" x14ac:dyDescent="0.2">
      <c r="A22" s="38" t="s">
        <v>418</v>
      </c>
      <c r="B22" s="13">
        <v>19</v>
      </c>
      <c r="C22" s="14" t="s">
        <v>20</v>
      </c>
      <c r="D22" s="13" t="s">
        <v>21</v>
      </c>
      <c r="E22" s="26" t="str">
        <f>IFERROR(VLOOKUP(C22,Resources!B:G,3,FALSE)," ")</f>
        <v>P</v>
      </c>
      <c r="F22" s="15">
        <v>1</v>
      </c>
      <c r="G22" s="15">
        <v>1</v>
      </c>
      <c r="H22" s="15">
        <f>H7</f>
        <v>600</v>
      </c>
      <c r="I22" s="15">
        <f>VLOOKUP(C22,Resources!B:G,6,FALSE)</f>
        <v>1</v>
      </c>
      <c r="J22" s="27">
        <f>(H22/G22)*I22*F22</f>
        <v>600</v>
      </c>
      <c r="K22" s="27"/>
      <c r="L22" s="157"/>
      <c r="M22" s="28">
        <f t="shared" si="16"/>
        <v>0</v>
      </c>
      <c r="N22" s="28">
        <f t="shared" si="17"/>
        <v>0</v>
      </c>
      <c r="O22" s="28">
        <f t="shared" si="18"/>
        <v>600</v>
      </c>
      <c r="P22" s="28">
        <f t="shared" si="19"/>
        <v>0</v>
      </c>
      <c r="Q22" s="28">
        <f t="shared" si="20"/>
        <v>600</v>
      </c>
      <c r="R22" s="26">
        <v>907</v>
      </c>
    </row>
    <row r="23" spans="1:18" x14ac:dyDescent="0.2">
      <c r="A23" s="38" t="s">
        <v>418</v>
      </c>
      <c r="B23" s="13">
        <v>20</v>
      </c>
      <c r="C23" s="14" t="s">
        <v>20</v>
      </c>
      <c r="D23" s="13" t="s">
        <v>21</v>
      </c>
      <c r="E23" s="26" t="str">
        <f>IFERROR(VLOOKUP(C23,Resources!B:G,3,FALSE)," ")</f>
        <v>P</v>
      </c>
      <c r="F23" s="15">
        <v>1</v>
      </c>
      <c r="G23" s="15">
        <v>1</v>
      </c>
      <c r="H23" s="15">
        <f>H7</f>
        <v>600</v>
      </c>
      <c r="I23" s="15">
        <f>VLOOKUP(C23,Resources!B:G,6,FALSE)</f>
        <v>1</v>
      </c>
      <c r="J23" s="27">
        <f>(H23/G23)*I23*F23</f>
        <v>600</v>
      </c>
      <c r="K23" s="27"/>
      <c r="L23" s="157"/>
      <c r="M23" s="28">
        <f t="shared" si="16"/>
        <v>0</v>
      </c>
      <c r="N23" s="28">
        <f t="shared" si="17"/>
        <v>0</v>
      </c>
      <c r="O23" s="28">
        <f t="shared" si="18"/>
        <v>600</v>
      </c>
      <c r="P23" s="28">
        <f t="shared" si="19"/>
        <v>0</v>
      </c>
      <c r="Q23" s="28">
        <f t="shared" si="20"/>
        <v>600</v>
      </c>
      <c r="R23" s="26">
        <v>907</v>
      </c>
    </row>
    <row r="24" spans="1:18" x14ac:dyDescent="0.2">
      <c r="A24" s="38" t="s">
        <v>418</v>
      </c>
      <c r="B24" s="13">
        <v>22</v>
      </c>
      <c r="C24" s="14" t="s">
        <v>33</v>
      </c>
      <c r="D24" s="13"/>
      <c r="E24" s="26" t="str">
        <f>IFERROR(VLOOKUP(C24,Resources!B:G,3,FALSE)," ")</f>
        <v xml:space="preserve"> </v>
      </c>
      <c r="F24" s="15"/>
      <c r="G24" s="15"/>
      <c r="H24" s="15"/>
      <c r="I24" s="15"/>
      <c r="J24" s="15"/>
      <c r="K24" s="30"/>
      <c r="L24" s="157"/>
      <c r="M24" s="16"/>
      <c r="N24" s="16"/>
      <c r="O24" s="16"/>
      <c r="P24" s="16"/>
      <c r="Q24" s="16"/>
      <c r="R24" s="26"/>
    </row>
    <row r="25" spans="1:18" x14ac:dyDescent="0.2">
      <c r="A25" s="38" t="s">
        <v>418</v>
      </c>
      <c r="B25" s="13">
        <v>23</v>
      </c>
      <c r="C25" s="14" t="s">
        <v>296</v>
      </c>
      <c r="D25" s="13" t="s">
        <v>34</v>
      </c>
      <c r="E25" s="26" t="str">
        <f>IFERROR(VLOOKUP(C25,Resources!B:G,3,FALSE)," ")</f>
        <v>S</v>
      </c>
      <c r="F25" s="15">
        <v>1</v>
      </c>
      <c r="G25" s="15">
        <v>1</v>
      </c>
      <c r="H25" s="15">
        <v>6750</v>
      </c>
      <c r="I25" s="15">
        <f>VLOOKUP(C25,Resources!B:G,6,FALSE)</f>
        <v>1</v>
      </c>
      <c r="J25" s="27">
        <f>(H25/G25)*I25*F25</f>
        <v>6750</v>
      </c>
      <c r="K25" s="27"/>
      <c r="L25" s="157"/>
      <c r="M25" s="28">
        <f t="shared" ref="M25" si="21">IF($E25="L",$J25,0)</f>
        <v>0</v>
      </c>
      <c r="N25" s="28">
        <f t="shared" ref="N25" si="22">IF($E25="M",$J25,0)</f>
        <v>0</v>
      </c>
      <c r="O25" s="28">
        <f t="shared" ref="O25" si="23">IF($E25="P",$J25,0)</f>
        <v>0</v>
      </c>
      <c r="P25" s="28">
        <f t="shared" ref="P25" si="24">IF($E25="S",$J25,0)</f>
        <v>6750</v>
      </c>
      <c r="Q25" s="28">
        <f t="shared" ref="Q25" si="25">SUM(M25:P25)</f>
        <v>6750</v>
      </c>
      <c r="R25" s="26">
        <v>904</v>
      </c>
    </row>
    <row r="26" spans="1:18" x14ac:dyDescent="0.2">
      <c r="A26" s="38" t="s">
        <v>418</v>
      </c>
      <c r="F26" s="11"/>
      <c r="G26" s="11"/>
      <c r="H26" s="11"/>
      <c r="I26" s="11"/>
      <c r="J26" s="11"/>
      <c r="K26" s="31"/>
      <c r="M26" s="12"/>
      <c r="N26" s="12"/>
      <c r="O26" s="12"/>
      <c r="P26" s="12"/>
      <c r="Q26" s="12"/>
    </row>
    <row r="27" spans="1:18" ht="33.75" x14ac:dyDescent="0.2">
      <c r="A27" s="38">
        <v>4</v>
      </c>
      <c r="B27" s="5" t="s">
        <v>35</v>
      </c>
      <c r="C27" s="5" t="s">
        <v>36</v>
      </c>
      <c r="D27" s="6" t="s">
        <v>37</v>
      </c>
      <c r="E27" s="25"/>
      <c r="F27" s="7"/>
      <c r="G27" s="7"/>
      <c r="H27" s="36">
        <f>VLOOKUP($A27,'Model Inputs'!$A:$C,3,FALSE)</f>
        <v>12</v>
      </c>
      <c r="I27" s="7"/>
      <c r="J27" s="8">
        <f>SUBTOTAL(9,J28)</f>
        <v>18000</v>
      </c>
      <c r="K27" s="29"/>
      <c r="L27" s="156">
        <f>ROUNDUP(MAX(L28)/Work,0)</f>
        <v>2</v>
      </c>
      <c r="M27" s="8">
        <f>SUBTOTAL(9,M28)</f>
        <v>18000</v>
      </c>
      <c r="N27" s="8">
        <f t="shared" ref="N27:Q27" si="26">SUBTOTAL(9,N28)</f>
        <v>0</v>
      </c>
      <c r="O27" s="8">
        <f t="shared" si="26"/>
        <v>0</v>
      </c>
      <c r="P27" s="8">
        <f t="shared" si="26"/>
        <v>0</v>
      </c>
      <c r="Q27" s="8">
        <f t="shared" si="26"/>
        <v>18000</v>
      </c>
      <c r="R27" s="25"/>
    </row>
    <row r="28" spans="1:18" x14ac:dyDescent="0.2">
      <c r="A28" s="38" t="s">
        <v>418</v>
      </c>
      <c r="B28" s="13">
        <v>1</v>
      </c>
      <c r="C28" s="14" t="s">
        <v>268</v>
      </c>
      <c r="D28" s="13" t="s">
        <v>38</v>
      </c>
      <c r="E28" s="26" t="str">
        <f>VLOOKUP(C28,Resources!B:G,3,FALSE)</f>
        <v>L</v>
      </c>
      <c r="F28" s="15">
        <v>1</v>
      </c>
      <c r="G28" s="15">
        <v>1</v>
      </c>
      <c r="H28" s="15">
        <f>H27</f>
        <v>12</v>
      </c>
      <c r="I28" s="15">
        <f>VLOOKUP(C28,Resources!B:G,6,FALSE)</f>
        <v>1500</v>
      </c>
      <c r="J28" s="27">
        <f>(H28/G28)*I28*F28</f>
        <v>18000</v>
      </c>
      <c r="K28" s="27">
        <f t="shared" ref="K28" si="27">IF(E28="M"," ",L28*F28)</f>
        <v>12</v>
      </c>
      <c r="L28" s="157">
        <f t="shared" ref="L28" si="28">IF(E28="M"," ",H28/G28)</f>
        <v>12</v>
      </c>
      <c r="M28" s="28">
        <f t="shared" ref="M28" si="29">IF($E28="L",$J28,0)</f>
        <v>18000</v>
      </c>
      <c r="N28" s="28">
        <f t="shared" ref="N28" si="30">IF($E28="M",$J28,0)</f>
        <v>0</v>
      </c>
      <c r="O28" s="28">
        <f t="shared" ref="O28" si="31">IF($E28="P",$J28,0)</f>
        <v>0</v>
      </c>
      <c r="P28" s="28">
        <f t="shared" ref="P28" si="32">IF($E28="S",$J28,0)</f>
        <v>0</v>
      </c>
      <c r="Q28" s="28">
        <f t="shared" ref="Q28" si="33">SUM(M28:P28)</f>
        <v>18000</v>
      </c>
      <c r="R28" s="26">
        <v>910</v>
      </c>
    </row>
    <row r="29" spans="1:18" x14ac:dyDescent="0.2">
      <c r="A29" s="38" t="s">
        <v>418</v>
      </c>
      <c r="F29" s="11"/>
      <c r="G29" s="11"/>
      <c r="H29" s="11"/>
      <c r="I29" s="11"/>
      <c r="J29" s="11"/>
      <c r="K29" s="31"/>
      <c r="M29" s="12"/>
      <c r="N29" s="12"/>
      <c r="O29" s="12"/>
      <c r="P29" s="12"/>
      <c r="Q29" s="12"/>
    </row>
    <row r="30" spans="1:18" ht="33.75" x14ac:dyDescent="0.2">
      <c r="A30" s="38">
        <v>5</v>
      </c>
      <c r="B30" s="5" t="s">
        <v>39</v>
      </c>
      <c r="C30" s="5" t="s">
        <v>40</v>
      </c>
      <c r="D30" s="6" t="s">
        <v>18</v>
      </c>
      <c r="E30" s="25"/>
      <c r="F30" s="7"/>
      <c r="G30" s="7"/>
      <c r="H30" s="7">
        <v>1</v>
      </c>
      <c r="I30" s="7"/>
      <c r="J30" s="7"/>
      <c r="K30" s="29"/>
      <c r="L30" s="156">
        <v>5</v>
      </c>
      <c r="M30" s="8">
        <f>SUBTOTAL(9,M31)</f>
        <v>4000</v>
      </c>
      <c r="N30" s="8">
        <f t="shared" ref="N30:Q30" si="34">SUBTOTAL(9,N31)</f>
        <v>0</v>
      </c>
      <c r="O30" s="8">
        <f t="shared" si="34"/>
        <v>0</v>
      </c>
      <c r="P30" s="8">
        <f t="shared" si="34"/>
        <v>0</v>
      </c>
      <c r="Q30" s="8">
        <f t="shared" si="34"/>
        <v>4000</v>
      </c>
      <c r="R30" s="25"/>
    </row>
    <row r="31" spans="1:18" x14ac:dyDescent="0.2">
      <c r="A31" s="38" t="s">
        <v>418</v>
      </c>
      <c r="B31" s="13">
        <v>1</v>
      </c>
      <c r="C31" s="14" t="s">
        <v>41</v>
      </c>
      <c r="D31" s="13" t="s">
        <v>42</v>
      </c>
      <c r="E31" s="26" t="str">
        <f>VLOOKUP(C31,Resources!B:G,3,FALSE)</f>
        <v>L</v>
      </c>
      <c r="F31" s="15">
        <v>1</v>
      </c>
      <c r="G31" s="15">
        <v>1</v>
      </c>
      <c r="H31" s="15">
        <v>1</v>
      </c>
      <c r="I31" s="15">
        <f>VLOOKUP(C31,Resources!B:G,6,FALSE)</f>
        <v>4000</v>
      </c>
      <c r="J31" s="27">
        <f>(H31/G31)*I31*F31</f>
        <v>4000</v>
      </c>
      <c r="K31" s="27">
        <f t="shared" ref="K31" si="35">IF(E31="M"," ",L31*F31)</f>
        <v>1</v>
      </c>
      <c r="L31" s="157">
        <f t="shared" ref="L31" si="36">IF(E31="M"," ",H31/G31)</f>
        <v>1</v>
      </c>
      <c r="M31" s="28">
        <f t="shared" ref="M31" si="37">IF($E31="L",$J31,0)</f>
        <v>4000</v>
      </c>
      <c r="N31" s="28">
        <f t="shared" ref="N31" si="38">IF($E31="M",$J31,0)</f>
        <v>0</v>
      </c>
      <c r="O31" s="28">
        <f t="shared" ref="O31" si="39">IF($E31="P",$J31,0)</f>
        <v>0</v>
      </c>
      <c r="P31" s="28">
        <f t="shared" ref="P31" si="40">IF($E31="S",$J31,0)</f>
        <v>0</v>
      </c>
      <c r="Q31" s="28">
        <f t="shared" ref="Q31" si="41">SUM(M31:P31)</f>
        <v>4000</v>
      </c>
      <c r="R31" s="26">
        <v>901</v>
      </c>
    </row>
    <row r="32" spans="1:18" x14ac:dyDescent="0.2">
      <c r="A32" s="38" t="s">
        <v>418</v>
      </c>
      <c r="F32" s="11"/>
      <c r="G32" s="11"/>
      <c r="H32" s="11"/>
      <c r="I32" s="11"/>
      <c r="J32" s="11"/>
      <c r="K32" s="31"/>
      <c r="M32" s="12"/>
      <c r="N32" s="12"/>
      <c r="O32" s="12"/>
      <c r="P32" s="12"/>
      <c r="Q32" s="12"/>
    </row>
    <row r="33" spans="1:21" ht="33.75" x14ac:dyDescent="0.2">
      <c r="A33" s="38">
        <v>6</v>
      </c>
      <c r="B33" s="5" t="s">
        <v>43</v>
      </c>
      <c r="C33" s="5" t="s">
        <v>44</v>
      </c>
      <c r="D33" s="6" t="s">
        <v>18</v>
      </c>
      <c r="E33" s="25"/>
      <c r="F33" s="7"/>
      <c r="G33" s="7"/>
      <c r="H33" s="7">
        <v>1</v>
      </c>
      <c r="I33" s="7"/>
      <c r="J33" s="8">
        <f>SUBTOTAL(9,J34:J36)</f>
        <v>14800</v>
      </c>
      <c r="K33" s="29"/>
      <c r="L33" s="156">
        <f>ROUNDUP(MAX(L34:L36)/Work,0)</f>
        <v>6</v>
      </c>
      <c r="M33" s="8">
        <f>SUBTOTAL(9,M34:M36)</f>
        <v>4800</v>
      </c>
      <c r="N33" s="8">
        <f t="shared" ref="N33:Q33" si="42">SUBTOTAL(9,N34:N36)</f>
        <v>0</v>
      </c>
      <c r="O33" s="8">
        <f t="shared" si="42"/>
        <v>10000</v>
      </c>
      <c r="P33" s="8">
        <f t="shared" si="42"/>
        <v>0</v>
      </c>
      <c r="Q33" s="8">
        <f t="shared" si="42"/>
        <v>14800</v>
      </c>
      <c r="R33" s="25"/>
    </row>
    <row r="34" spans="1:21" x14ac:dyDescent="0.2">
      <c r="A34" s="38" t="s">
        <v>418</v>
      </c>
      <c r="B34" s="13">
        <v>1</v>
      </c>
      <c r="C34" s="14" t="s">
        <v>28</v>
      </c>
      <c r="D34" s="13" t="s">
        <v>27</v>
      </c>
      <c r="E34" s="26" t="str">
        <f>VLOOKUP(C34,Resources!B:G,3,FALSE)</f>
        <v>P</v>
      </c>
      <c r="F34" s="15">
        <v>1</v>
      </c>
      <c r="G34" s="15">
        <v>1</v>
      </c>
      <c r="H34" s="15">
        <v>50</v>
      </c>
      <c r="I34" s="15">
        <f>VLOOKUP(C34,Resources!B:G,6,FALSE)</f>
        <v>100</v>
      </c>
      <c r="J34" s="27">
        <f>(H34/G34)*I34*F34</f>
        <v>5000</v>
      </c>
      <c r="K34" s="27">
        <f t="shared" ref="K34:K36" si="43">IF(E34="M"," ",L34*F34)</f>
        <v>50</v>
      </c>
      <c r="L34" s="157">
        <f t="shared" ref="L34:L36" si="44">IF(E34="M"," ",H34/G34)</f>
        <v>50</v>
      </c>
      <c r="M34" s="28">
        <f t="shared" ref="M34:M36" si="45">IF($E34="L",$J34,0)</f>
        <v>0</v>
      </c>
      <c r="N34" s="28">
        <f t="shared" ref="N34:N36" si="46">IF($E34="M",$J34,0)</f>
        <v>0</v>
      </c>
      <c r="O34" s="28">
        <f t="shared" ref="O34:O36" si="47">IF($E34="P",$J34,0)</f>
        <v>5000</v>
      </c>
      <c r="P34" s="28">
        <f t="shared" ref="P34:P36" si="48">IF($E34="S",$J34,0)</f>
        <v>0</v>
      </c>
      <c r="Q34" s="28">
        <f t="shared" ref="Q34:Q36" si="49">SUM(M34:P34)</f>
        <v>5000</v>
      </c>
      <c r="R34" s="26">
        <v>151</v>
      </c>
    </row>
    <row r="35" spans="1:21" x14ac:dyDescent="0.2">
      <c r="A35" s="38" t="s">
        <v>418</v>
      </c>
      <c r="B35" s="13">
        <v>2</v>
      </c>
      <c r="C35" s="14" t="s">
        <v>7</v>
      </c>
      <c r="D35" s="13" t="s">
        <v>27</v>
      </c>
      <c r="E35" s="26" t="str">
        <f>VLOOKUP(C35,Resources!B:G,3,FALSE)</f>
        <v>L</v>
      </c>
      <c r="F35" s="15">
        <v>2</v>
      </c>
      <c r="G35" s="15">
        <v>1</v>
      </c>
      <c r="H35" s="15">
        <v>50</v>
      </c>
      <c r="I35" s="15">
        <f>VLOOKUP(C35,Resources!B:G,6,FALSE)</f>
        <v>48</v>
      </c>
      <c r="J35" s="27">
        <f>(H35/G35)*I35*F35</f>
        <v>4800</v>
      </c>
      <c r="K35" s="27">
        <f t="shared" si="43"/>
        <v>100</v>
      </c>
      <c r="L35" s="157">
        <f t="shared" si="44"/>
        <v>50</v>
      </c>
      <c r="M35" s="28">
        <f t="shared" si="45"/>
        <v>4800</v>
      </c>
      <c r="N35" s="28">
        <f t="shared" si="46"/>
        <v>0</v>
      </c>
      <c r="O35" s="28">
        <f t="shared" si="47"/>
        <v>0</v>
      </c>
      <c r="P35" s="28">
        <f t="shared" si="48"/>
        <v>0</v>
      </c>
      <c r="Q35" s="28">
        <f t="shared" si="49"/>
        <v>4800</v>
      </c>
      <c r="R35" s="26">
        <v>151</v>
      </c>
    </row>
    <row r="36" spans="1:21" x14ac:dyDescent="0.2">
      <c r="A36" s="38" t="s">
        <v>418</v>
      </c>
      <c r="B36" s="13">
        <v>3</v>
      </c>
      <c r="C36" s="14" t="s">
        <v>45</v>
      </c>
      <c r="D36" s="13" t="s">
        <v>27</v>
      </c>
      <c r="E36" s="26" t="str">
        <f>VLOOKUP(C36,Resources!B:G,3,FALSE)</f>
        <v>P</v>
      </c>
      <c r="F36" s="15">
        <v>1</v>
      </c>
      <c r="G36" s="15">
        <v>1</v>
      </c>
      <c r="H36" s="15">
        <v>50</v>
      </c>
      <c r="I36" s="15">
        <f>VLOOKUP(C36,Resources!B:G,6,FALSE)</f>
        <v>100</v>
      </c>
      <c r="J36" s="27">
        <f>(H36/G36)*I36*F36</f>
        <v>5000</v>
      </c>
      <c r="K36" s="27">
        <f t="shared" si="43"/>
        <v>50</v>
      </c>
      <c r="L36" s="157">
        <f t="shared" si="44"/>
        <v>50</v>
      </c>
      <c r="M36" s="28">
        <f t="shared" si="45"/>
        <v>0</v>
      </c>
      <c r="N36" s="28">
        <f t="shared" si="46"/>
        <v>0</v>
      </c>
      <c r="O36" s="28">
        <f t="shared" si="47"/>
        <v>5000</v>
      </c>
      <c r="P36" s="28">
        <f t="shared" si="48"/>
        <v>0</v>
      </c>
      <c r="Q36" s="28">
        <f t="shared" si="49"/>
        <v>5000</v>
      </c>
      <c r="R36" s="26">
        <v>151</v>
      </c>
    </row>
    <row r="37" spans="1:21" ht="15" x14ac:dyDescent="0.25">
      <c r="A37" s="38" t="s">
        <v>418</v>
      </c>
      <c r="F37" s="11"/>
      <c r="G37" s="11"/>
      <c r="H37" s="11"/>
      <c r="I37" s="11"/>
      <c r="J37" s="11"/>
      <c r="K37" s="31"/>
      <c r="M37" s="12"/>
      <c r="N37" s="12"/>
      <c r="O37" s="12"/>
      <c r="P37" s="12"/>
      <c r="Q37" s="12"/>
      <c r="U37"/>
    </row>
    <row r="38" spans="1:21" ht="22.5" x14ac:dyDescent="0.25">
      <c r="A38" s="38">
        <v>7</v>
      </c>
      <c r="B38" s="5" t="s">
        <v>46</v>
      </c>
      <c r="C38" s="5" t="s">
        <v>47</v>
      </c>
      <c r="D38" s="6" t="s">
        <v>18</v>
      </c>
      <c r="E38" s="25"/>
      <c r="F38" s="7"/>
      <c r="G38" s="7"/>
      <c r="H38" s="7">
        <v>1</v>
      </c>
      <c r="I38" s="7"/>
      <c r="J38" s="8">
        <f>SUBTOTAL(9,J39)</f>
        <v>12000</v>
      </c>
      <c r="K38" s="29"/>
      <c r="L38" s="156">
        <f>MAX(L39)</f>
        <v>1</v>
      </c>
      <c r="M38" s="8">
        <f>SUBTOTAL(9,M39)</f>
        <v>0</v>
      </c>
      <c r="N38" s="8">
        <f t="shared" ref="N38:Q38" si="50">SUBTOTAL(9,N39)</f>
        <v>0</v>
      </c>
      <c r="O38" s="8">
        <f t="shared" si="50"/>
        <v>0</v>
      </c>
      <c r="P38" s="8">
        <f t="shared" si="50"/>
        <v>12000</v>
      </c>
      <c r="Q38" s="8">
        <f t="shared" si="50"/>
        <v>12000</v>
      </c>
      <c r="R38" s="25"/>
      <c r="U38"/>
    </row>
    <row r="39" spans="1:21" ht="15" x14ac:dyDescent="0.25">
      <c r="A39" s="38" t="s">
        <v>418</v>
      </c>
      <c r="B39" s="13">
        <v>1</v>
      </c>
      <c r="C39" s="14" t="s">
        <v>48</v>
      </c>
      <c r="D39" s="13" t="s">
        <v>49</v>
      </c>
      <c r="E39" s="26" t="str">
        <f>VLOOKUP(C39,Resources!B:G,3,FALSE)</f>
        <v>S</v>
      </c>
      <c r="F39" s="15">
        <v>12000</v>
      </c>
      <c r="G39" s="15">
        <v>1</v>
      </c>
      <c r="H39" s="15">
        <v>1</v>
      </c>
      <c r="I39" s="15">
        <f>VLOOKUP(C39,Resources!B:G,6,FALSE)</f>
        <v>1</v>
      </c>
      <c r="J39" s="27">
        <f>(H39/G39)*I39*F39</f>
        <v>12000</v>
      </c>
      <c r="K39" s="27">
        <f t="shared" ref="K39" si="51">IF(E39="M"," ",L39*F39)</f>
        <v>12000</v>
      </c>
      <c r="L39" s="157">
        <f t="shared" ref="L39" si="52">IF(E39="M"," ",H39/G39)</f>
        <v>1</v>
      </c>
      <c r="M39" s="28">
        <f t="shared" ref="M39" si="53">IF($E39="L",$J39,0)</f>
        <v>0</v>
      </c>
      <c r="N39" s="28">
        <f t="shared" ref="N39" si="54">IF($E39="M",$J39,0)</f>
        <v>0</v>
      </c>
      <c r="O39" s="28">
        <f t="shared" ref="O39" si="55">IF($E39="P",$J39,0)</f>
        <v>0</v>
      </c>
      <c r="P39" s="28">
        <f t="shared" ref="P39" si="56">IF($E39="S",$J39,0)</f>
        <v>12000</v>
      </c>
      <c r="Q39" s="28">
        <f t="shared" ref="Q39" si="57">SUM(M39:P39)</f>
        <v>12000</v>
      </c>
      <c r="R39" s="26">
        <v>904</v>
      </c>
      <c r="U39"/>
    </row>
    <row r="40" spans="1:21" ht="15" x14ac:dyDescent="0.25">
      <c r="A40" s="38" t="s">
        <v>418</v>
      </c>
      <c r="F40" s="11"/>
      <c r="G40" s="11"/>
      <c r="H40" s="11"/>
      <c r="I40" s="11"/>
      <c r="J40" s="11"/>
      <c r="K40" s="31"/>
      <c r="M40" s="12"/>
      <c r="N40" s="12"/>
      <c r="O40" s="12"/>
      <c r="P40" s="12"/>
      <c r="Q40" s="12"/>
      <c r="U40"/>
    </row>
    <row r="41" spans="1:21" ht="33.75" x14ac:dyDescent="0.25">
      <c r="A41" s="38">
        <v>8</v>
      </c>
      <c r="B41" s="5" t="s">
        <v>50</v>
      </c>
      <c r="C41" s="5" t="s">
        <v>51</v>
      </c>
      <c r="D41" s="6" t="s">
        <v>18</v>
      </c>
      <c r="E41" s="25"/>
      <c r="F41" s="7"/>
      <c r="G41" s="7"/>
      <c r="H41" s="7">
        <v>1</v>
      </c>
      <c r="I41" s="7"/>
      <c r="J41" s="8">
        <f>SUBTOTAL(9,J42:J44)</f>
        <v>117220.26700172765</v>
      </c>
      <c r="K41" s="29"/>
      <c r="L41" s="156">
        <f>ROUNDUP(MAX(L42:L44),0)</f>
        <v>99</v>
      </c>
      <c r="M41" s="8">
        <f>SUBTOTAL(9,M42:M44)</f>
        <v>112320</v>
      </c>
      <c r="N41" s="8">
        <f t="shared" ref="N41:Q41" si="58">SUBTOTAL(9,N42:N44)</f>
        <v>0</v>
      </c>
      <c r="O41" s="8">
        <f t="shared" si="58"/>
        <v>4900.2670017276587</v>
      </c>
      <c r="P41" s="8">
        <f t="shared" si="58"/>
        <v>0</v>
      </c>
      <c r="Q41" s="8">
        <f t="shared" si="58"/>
        <v>117220.26700172765</v>
      </c>
      <c r="R41" s="25"/>
      <c r="T41" s="67"/>
      <c r="U41"/>
    </row>
    <row r="42" spans="1:21" ht="15" x14ac:dyDescent="0.25">
      <c r="A42" s="38">
        <v>8.1</v>
      </c>
      <c r="B42" s="13">
        <v>1</v>
      </c>
      <c r="C42" s="14" t="s">
        <v>232</v>
      </c>
      <c r="D42" s="13"/>
      <c r="E42" s="26"/>
      <c r="F42" s="15"/>
      <c r="G42" s="15"/>
      <c r="H42" s="36">
        <f>VLOOKUP($A42,'Model Inputs'!$A:$C,3,FALSE)</f>
        <v>624</v>
      </c>
      <c r="I42" s="15"/>
      <c r="J42" s="15"/>
      <c r="K42" s="30"/>
      <c r="L42" s="157"/>
      <c r="M42" s="16"/>
      <c r="N42" s="16"/>
      <c r="O42" s="16"/>
      <c r="P42" s="16"/>
      <c r="Q42" s="16"/>
      <c r="R42" s="26"/>
      <c r="T42" s="67"/>
      <c r="U42"/>
    </row>
    <row r="43" spans="1:21" ht="15" x14ac:dyDescent="0.25">
      <c r="A43" s="38" t="s">
        <v>418</v>
      </c>
      <c r="B43" s="13">
        <v>2</v>
      </c>
      <c r="C43" s="14" t="s">
        <v>52</v>
      </c>
      <c r="D43" s="13" t="s">
        <v>34</v>
      </c>
      <c r="E43" s="26" t="str">
        <f>VLOOKUP(C43,Resources!B:G,3,FALSE)</f>
        <v>L</v>
      </c>
      <c r="F43" s="15">
        <v>4</v>
      </c>
      <c r="G43" s="15">
        <v>1</v>
      </c>
      <c r="H43" s="15">
        <f>H42</f>
        <v>624</v>
      </c>
      <c r="I43" s="15">
        <f>VLOOKUP(C43,Resources!B:G,6,FALSE)</f>
        <v>45</v>
      </c>
      <c r="J43" s="27">
        <f>(H43/G43)*I43*F43</f>
        <v>112320</v>
      </c>
      <c r="K43" s="27">
        <f t="shared" ref="K43:K44" si="59">IF(E43="M"," ",L43*F43)</f>
        <v>277.33333333333331</v>
      </c>
      <c r="L43" s="157">
        <f>H43/9</f>
        <v>69.333333333333329</v>
      </c>
      <c r="M43" s="28">
        <f t="shared" ref="M43:M44" si="60">IF($E43="L",$J43,0)</f>
        <v>112320</v>
      </c>
      <c r="N43" s="28">
        <f t="shared" ref="N43:N44" si="61">IF($E43="M",$J43,0)</f>
        <v>0</v>
      </c>
      <c r="O43" s="28">
        <f t="shared" ref="O43:O44" si="62">IF($E43="P",$J43,0)</f>
        <v>0</v>
      </c>
      <c r="P43" s="28">
        <f t="shared" ref="P43:P44" si="63">IF($E43="S",$J43,0)</f>
        <v>0</v>
      </c>
      <c r="Q43" s="28">
        <f t="shared" ref="Q43:Q44" si="64">SUM(M43:P43)</f>
        <v>112320</v>
      </c>
      <c r="R43" s="26">
        <v>141</v>
      </c>
      <c r="T43" s="67"/>
      <c r="U43"/>
    </row>
    <row r="44" spans="1:21" ht="15" x14ac:dyDescent="0.25">
      <c r="A44" s="38" t="s">
        <v>418</v>
      </c>
      <c r="B44" s="13">
        <v>3</v>
      </c>
      <c r="C44" s="14" t="s">
        <v>53</v>
      </c>
      <c r="D44" s="13" t="s">
        <v>54</v>
      </c>
      <c r="E44" s="26" t="str">
        <f>VLOOKUP(C44,Resources!B:G,3,FALSE)</f>
        <v>P</v>
      </c>
      <c r="F44" s="15">
        <v>2</v>
      </c>
      <c r="G44" s="15">
        <v>1</v>
      </c>
      <c r="H44" s="15">
        <f>H42/6.367</f>
        <v>98.005340034553171</v>
      </c>
      <c r="I44" s="15">
        <f>VLOOKUP(C44,Resources!B:G,6,FALSE)</f>
        <v>25</v>
      </c>
      <c r="J44" s="27">
        <f>(H44/G44)*I44*F44</f>
        <v>4900.2670017276587</v>
      </c>
      <c r="K44" s="27">
        <f t="shared" si="59"/>
        <v>196.01068006910634</v>
      </c>
      <c r="L44" s="157">
        <f t="shared" ref="L44" si="65">IF(E44="M"," ",H44/G44)</f>
        <v>98.005340034553171</v>
      </c>
      <c r="M44" s="28">
        <f t="shared" si="60"/>
        <v>0</v>
      </c>
      <c r="N44" s="28">
        <f t="shared" si="61"/>
        <v>0</v>
      </c>
      <c r="O44" s="28">
        <f t="shared" si="62"/>
        <v>4900.2670017276587</v>
      </c>
      <c r="P44" s="28">
        <f t="shared" si="63"/>
        <v>0</v>
      </c>
      <c r="Q44" s="28">
        <f t="shared" si="64"/>
        <v>4900.2670017276587</v>
      </c>
      <c r="R44" s="26">
        <v>141</v>
      </c>
      <c r="T44" s="67"/>
      <c r="U44"/>
    </row>
    <row r="45" spans="1:21" ht="15" x14ac:dyDescent="0.25">
      <c r="A45" s="38" t="s">
        <v>418</v>
      </c>
      <c r="F45" s="11"/>
      <c r="G45" s="11"/>
      <c r="H45" s="11"/>
      <c r="I45" s="11"/>
      <c r="J45" s="11"/>
      <c r="K45" s="31"/>
      <c r="M45" s="12"/>
      <c r="N45" s="12"/>
      <c r="O45" s="12"/>
      <c r="P45" s="12"/>
      <c r="Q45" s="12"/>
      <c r="T45" s="67"/>
      <c r="U45"/>
    </row>
    <row r="46" spans="1:21" ht="33.75" x14ac:dyDescent="0.25">
      <c r="A46" s="38">
        <v>9</v>
      </c>
      <c r="B46" s="5" t="s">
        <v>55</v>
      </c>
      <c r="C46" s="5" t="s">
        <v>56</v>
      </c>
      <c r="D46" s="6" t="s">
        <v>18</v>
      </c>
      <c r="E46" s="25"/>
      <c r="F46" s="7"/>
      <c r="G46" s="7"/>
      <c r="H46" s="7">
        <v>1</v>
      </c>
      <c r="I46" s="7"/>
      <c r="J46" s="8">
        <f>SUBTOTAL(9,J47)</f>
        <v>4000</v>
      </c>
      <c r="K46" s="29"/>
      <c r="L46" s="156">
        <f>MAX(L47)</f>
        <v>1</v>
      </c>
      <c r="M46" s="8">
        <f>SUBTOTAL(9,M47)</f>
        <v>4000</v>
      </c>
      <c r="N46" s="8">
        <f t="shared" ref="N46:Q46" si="66">SUBTOTAL(9,N47)</f>
        <v>0</v>
      </c>
      <c r="O46" s="8">
        <f t="shared" si="66"/>
        <v>0</v>
      </c>
      <c r="P46" s="8">
        <f t="shared" si="66"/>
        <v>0</v>
      </c>
      <c r="Q46" s="8">
        <f t="shared" si="66"/>
        <v>4000</v>
      </c>
      <c r="R46" s="25"/>
      <c r="T46" s="67"/>
      <c r="U46"/>
    </row>
    <row r="47" spans="1:21" ht="15" x14ac:dyDescent="0.25">
      <c r="A47" s="38" t="s">
        <v>418</v>
      </c>
      <c r="B47" s="13">
        <v>1</v>
      </c>
      <c r="C47" s="14" t="s">
        <v>41</v>
      </c>
      <c r="D47" s="13" t="s">
        <v>42</v>
      </c>
      <c r="E47" s="26" t="str">
        <f>VLOOKUP(C47,Resources!B:G,3,FALSE)</f>
        <v>L</v>
      </c>
      <c r="F47" s="15">
        <v>1</v>
      </c>
      <c r="G47" s="15">
        <v>1</v>
      </c>
      <c r="H47" s="15">
        <v>1</v>
      </c>
      <c r="I47" s="15">
        <f>VLOOKUP(C47,Resources!B:G,6,FALSE)</f>
        <v>4000</v>
      </c>
      <c r="J47" s="27">
        <f>(H47/G47)*I47*F47</f>
        <v>4000</v>
      </c>
      <c r="K47" s="27">
        <f t="shared" ref="K47" si="67">IF(E47="M"," ",L47*F47)</f>
        <v>1</v>
      </c>
      <c r="L47" s="157">
        <f t="shared" ref="L47" si="68">IF(E47="M"," ",H47/G47)</f>
        <v>1</v>
      </c>
      <c r="M47" s="28">
        <f t="shared" ref="M47" si="69">IF($E47="L",$J47,0)</f>
        <v>4000</v>
      </c>
      <c r="N47" s="28">
        <f t="shared" ref="N47" si="70">IF($E47="M",$J47,0)</f>
        <v>0</v>
      </c>
      <c r="O47" s="28">
        <f t="shared" ref="O47" si="71">IF($E47="P",$J47,0)</f>
        <v>0</v>
      </c>
      <c r="P47" s="28">
        <f t="shared" ref="P47" si="72">IF($E47="S",$J47,0)</f>
        <v>0</v>
      </c>
      <c r="Q47" s="28">
        <f t="shared" ref="Q47" si="73">SUM(M47:P47)</f>
        <v>4000</v>
      </c>
      <c r="R47" s="26">
        <v>901</v>
      </c>
      <c r="T47" s="67"/>
      <c r="U47"/>
    </row>
    <row r="48" spans="1:21" ht="15" x14ac:dyDescent="0.25">
      <c r="A48" s="38" t="s">
        <v>418</v>
      </c>
      <c r="F48" s="11"/>
      <c r="G48" s="11"/>
      <c r="H48" s="11"/>
      <c r="I48" s="11"/>
      <c r="J48" s="11"/>
      <c r="K48" s="31"/>
      <c r="M48" s="12"/>
      <c r="N48" s="12"/>
      <c r="O48" s="12"/>
      <c r="P48" s="12"/>
      <c r="Q48" s="12"/>
      <c r="T48" s="67"/>
      <c r="U48"/>
    </row>
    <row r="49" spans="1:21" ht="22.5" x14ac:dyDescent="0.25">
      <c r="A49" s="38">
        <v>10</v>
      </c>
      <c r="B49" s="5" t="s">
        <v>57</v>
      </c>
      <c r="C49" s="5" t="s">
        <v>58</v>
      </c>
      <c r="D49" s="6" t="s">
        <v>18</v>
      </c>
      <c r="E49" s="25"/>
      <c r="F49" s="7"/>
      <c r="G49" s="7"/>
      <c r="H49" s="7">
        <v>1</v>
      </c>
      <c r="I49" s="7"/>
      <c r="J49" s="8">
        <f>SUBTOTAL(9,J50)</f>
        <v>4000</v>
      </c>
      <c r="K49" s="29"/>
      <c r="L49" s="156">
        <f>MAX(L50)</f>
        <v>1</v>
      </c>
      <c r="M49" s="8">
        <f>SUBTOTAL(9,M50)</f>
        <v>4000</v>
      </c>
      <c r="N49" s="8">
        <f t="shared" ref="N49:Q49" si="74">SUBTOTAL(9,N50)</f>
        <v>0</v>
      </c>
      <c r="O49" s="8">
        <f t="shared" si="74"/>
        <v>0</v>
      </c>
      <c r="P49" s="8">
        <f t="shared" si="74"/>
        <v>0</v>
      </c>
      <c r="Q49" s="8">
        <f t="shared" si="74"/>
        <v>4000</v>
      </c>
      <c r="R49" s="25"/>
      <c r="T49" s="67"/>
      <c r="U49"/>
    </row>
    <row r="50" spans="1:21" ht="15" x14ac:dyDescent="0.25">
      <c r="A50" s="38" t="s">
        <v>418</v>
      </c>
      <c r="B50" s="13">
        <v>1</v>
      </c>
      <c r="C50" s="14" t="s">
        <v>41</v>
      </c>
      <c r="D50" s="13" t="s">
        <v>42</v>
      </c>
      <c r="E50" s="26" t="str">
        <f>VLOOKUP(C50,Resources!B:G,3,FALSE)</f>
        <v>L</v>
      </c>
      <c r="F50" s="15">
        <v>1</v>
      </c>
      <c r="G50" s="15">
        <v>1</v>
      </c>
      <c r="H50" s="15">
        <v>1</v>
      </c>
      <c r="I50" s="15">
        <f>VLOOKUP(C50,Resources!B:G,6,FALSE)</f>
        <v>4000</v>
      </c>
      <c r="J50" s="27">
        <f>(H50/G50)*I50*F50</f>
        <v>4000</v>
      </c>
      <c r="K50" s="27">
        <f t="shared" ref="K50" si="75">IF(E50="M"," ",L50*F50)</f>
        <v>1</v>
      </c>
      <c r="L50" s="157">
        <f t="shared" ref="L50" si="76">IF(E50="M"," ",H50/G50)</f>
        <v>1</v>
      </c>
      <c r="M50" s="28">
        <f t="shared" ref="M50" si="77">IF($E50="L",$J50,0)</f>
        <v>4000</v>
      </c>
      <c r="N50" s="28">
        <f t="shared" ref="N50" si="78">IF($E50="M",$J50,0)</f>
        <v>0</v>
      </c>
      <c r="O50" s="28">
        <f t="shared" ref="O50" si="79">IF($E50="P",$J50,0)</f>
        <v>0</v>
      </c>
      <c r="P50" s="28">
        <f t="shared" ref="P50" si="80">IF($E50="S",$J50,0)</f>
        <v>0</v>
      </c>
      <c r="Q50" s="28">
        <f t="shared" ref="Q50" si="81">SUM(M50:P50)</f>
        <v>4000</v>
      </c>
      <c r="R50" s="26">
        <v>901</v>
      </c>
      <c r="T50" s="67"/>
      <c r="U50"/>
    </row>
    <row r="51" spans="1:21" ht="15" x14ac:dyDescent="0.25">
      <c r="A51" s="38" t="s">
        <v>418</v>
      </c>
      <c r="F51" s="11"/>
      <c r="G51" s="11"/>
      <c r="H51" s="11"/>
      <c r="I51" s="11"/>
      <c r="J51" s="11"/>
      <c r="K51" s="31"/>
      <c r="M51" s="12"/>
      <c r="N51" s="12"/>
      <c r="O51" s="12"/>
      <c r="P51" s="12"/>
      <c r="Q51" s="12"/>
      <c r="T51" s="67"/>
      <c r="U51"/>
    </row>
    <row r="52" spans="1:21" ht="33.75" x14ac:dyDescent="0.25">
      <c r="A52" s="38">
        <v>11</v>
      </c>
      <c r="B52" s="5" t="s">
        <v>59</v>
      </c>
      <c r="C52" s="5" t="s">
        <v>60</v>
      </c>
      <c r="D52" s="6" t="s">
        <v>61</v>
      </c>
      <c r="E52" s="25"/>
      <c r="F52" s="7"/>
      <c r="G52" s="7"/>
      <c r="H52" s="36">
        <f>VLOOKUP($A52,'Model Inputs'!$A:$C,3,FALSE)</f>
        <v>5645</v>
      </c>
      <c r="I52" s="7"/>
      <c r="J52" s="8">
        <f>SUBTOTAL(9,J53)</f>
        <v>33305.5</v>
      </c>
      <c r="K52" s="29"/>
      <c r="L52" s="156">
        <f>MAX(L53)</f>
        <v>15</v>
      </c>
      <c r="M52" s="8">
        <f>SUBTOTAL(9,M53)</f>
        <v>0</v>
      </c>
      <c r="N52" s="8">
        <f t="shared" ref="N52:Q52" si="82">SUBTOTAL(9,N53)</f>
        <v>0</v>
      </c>
      <c r="O52" s="8">
        <f t="shared" si="82"/>
        <v>0</v>
      </c>
      <c r="P52" s="8">
        <f t="shared" si="82"/>
        <v>33305.5</v>
      </c>
      <c r="Q52" s="8">
        <f t="shared" si="82"/>
        <v>33305.5</v>
      </c>
      <c r="R52" s="25"/>
      <c r="T52" s="67"/>
      <c r="U52"/>
    </row>
    <row r="53" spans="1:21" ht="15" x14ac:dyDescent="0.25">
      <c r="A53" s="38" t="s">
        <v>418</v>
      </c>
      <c r="B53" s="13">
        <v>1</v>
      </c>
      <c r="C53" s="14" t="s">
        <v>62</v>
      </c>
      <c r="D53" s="13" t="s">
        <v>54</v>
      </c>
      <c r="E53" s="26" t="str">
        <f>VLOOKUP(C53,Resources!B:G,3,FALSE)</f>
        <v>S</v>
      </c>
      <c r="F53" s="15">
        <v>1</v>
      </c>
      <c r="G53" s="15">
        <v>1</v>
      </c>
      <c r="H53" s="15">
        <f>H52</f>
        <v>5645</v>
      </c>
      <c r="I53" s="15">
        <f>VLOOKUP(C53,Resources!B:G,6,FALSE)</f>
        <v>5.9</v>
      </c>
      <c r="J53" s="27">
        <f>(H53/G53)*I53*F53</f>
        <v>33305.5</v>
      </c>
      <c r="K53" s="27">
        <f t="shared" ref="K53" si="83">IF(E53="M"," ",L53*F53)</f>
        <v>15</v>
      </c>
      <c r="L53" s="157">
        <v>15</v>
      </c>
      <c r="M53" s="28">
        <f t="shared" ref="M53" si="84">IF($E53="L",$J53,0)</f>
        <v>0</v>
      </c>
      <c r="N53" s="28">
        <f t="shared" ref="N53" si="85">IF($E53="M",$J53,0)</f>
        <v>0</v>
      </c>
      <c r="O53" s="28">
        <f t="shared" ref="O53" si="86">IF($E53="P",$J53,0)</f>
        <v>0</v>
      </c>
      <c r="P53" s="28">
        <f t="shared" ref="P53" si="87">IF($E53="S",$J53,0)</f>
        <v>33305.5</v>
      </c>
      <c r="Q53" s="28">
        <f t="shared" ref="Q53" si="88">SUM(M53:P53)</f>
        <v>33305.5</v>
      </c>
      <c r="R53" s="26">
        <v>11</v>
      </c>
      <c r="T53" s="67"/>
      <c r="U53"/>
    </row>
    <row r="54" spans="1:21" ht="15" x14ac:dyDescent="0.25">
      <c r="A54" s="38" t="s">
        <v>418</v>
      </c>
      <c r="F54" s="11"/>
      <c r="G54" s="11"/>
      <c r="H54" s="11"/>
      <c r="I54" s="11"/>
      <c r="J54" s="11"/>
      <c r="K54" s="31"/>
      <c r="M54" s="12"/>
      <c r="N54" s="12"/>
      <c r="O54" s="12"/>
      <c r="P54" s="12"/>
      <c r="Q54" s="12"/>
      <c r="T54" s="67"/>
      <c r="U54"/>
    </row>
    <row r="55" spans="1:21" ht="22.5" x14ac:dyDescent="0.25">
      <c r="A55" s="38">
        <v>12</v>
      </c>
      <c r="B55" s="5" t="s">
        <v>63</v>
      </c>
      <c r="C55" s="5" t="s">
        <v>64</v>
      </c>
      <c r="D55" s="6"/>
      <c r="E55" s="25"/>
      <c r="F55" s="7"/>
      <c r="G55" s="7"/>
      <c r="H55" s="7"/>
      <c r="I55" s="7"/>
      <c r="J55" s="7"/>
      <c r="K55" s="29"/>
      <c r="L55" s="156"/>
      <c r="M55" s="8"/>
      <c r="N55" s="8"/>
      <c r="O55" s="8"/>
      <c r="P55" s="8"/>
      <c r="Q55" s="8"/>
      <c r="R55" s="25"/>
      <c r="T55" s="67"/>
      <c r="U55"/>
    </row>
    <row r="56" spans="1:21" ht="45" x14ac:dyDescent="0.25">
      <c r="A56" s="38">
        <v>13</v>
      </c>
      <c r="B56" s="5" t="s">
        <v>65</v>
      </c>
      <c r="C56" s="5" t="s">
        <v>66</v>
      </c>
      <c r="D56" s="6" t="s">
        <v>67</v>
      </c>
      <c r="E56" s="25"/>
      <c r="F56" s="7"/>
      <c r="G56" s="7"/>
      <c r="H56" s="36">
        <f>VLOOKUP($A56,'Model Inputs'!$A:$C,3,FALSE)</f>
        <v>769</v>
      </c>
      <c r="I56" s="7"/>
      <c r="J56" s="8">
        <f>SUBTOTAL(9,J60)</f>
        <v>8544.4444444444453</v>
      </c>
      <c r="K56" s="29"/>
      <c r="L56" s="156">
        <f>ROUNDUP(MAX(L60),0)</f>
        <v>9</v>
      </c>
      <c r="M56" s="8">
        <f>SUBTOTAL(9,M60)</f>
        <v>0</v>
      </c>
      <c r="N56" s="8">
        <f t="shared" ref="N56:Q56" si="89">SUBTOTAL(9,N60)</f>
        <v>0</v>
      </c>
      <c r="O56" s="8">
        <f t="shared" si="89"/>
        <v>8544.4444444444453</v>
      </c>
      <c r="P56" s="8">
        <f t="shared" si="89"/>
        <v>0</v>
      </c>
      <c r="Q56" s="8">
        <f t="shared" si="89"/>
        <v>8544.4444444444453</v>
      </c>
      <c r="R56" s="25"/>
      <c r="T56" s="67"/>
      <c r="U56"/>
    </row>
    <row r="57" spans="1:21" ht="15" x14ac:dyDescent="0.25">
      <c r="A57" s="38" t="s">
        <v>418</v>
      </c>
      <c r="B57" s="13">
        <v>1</v>
      </c>
      <c r="C57" s="14" t="s">
        <v>68</v>
      </c>
      <c r="D57" s="13"/>
      <c r="E57" s="26"/>
      <c r="F57" s="15"/>
      <c r="G57" s="15"/>
      <c r="H57" s="15"/>
      <c r="I57" s="15"/>
      <c r="J57" s="15"/>
      <c r="K57" s="30"/>
      <c r="L57" s="157"/>
      <c r="M57" s="16"/>
      <c r="N57" s="16"/>
      <c r="O57" s="16"/>
      <c r="P57" s="16"/>
      <c r="Q57" s="16"/>
      <c r="R57" s="26"/>
      <c r="T57" s="67"/>
      <c r="U57"/>
    </row>
    <row r="58" spans="1:21" ht="15" x14ac:dyDescent="0.25">
      <c r="A58" s="38">
        <v>13.05</v>
      </c>
      <c r="B58" s="13">
        <v>2</v>
      </c>
      <c r="C58" s="14" t="s">
        <v>233</v>
      </c>
      <c r="D58" s="13"/>
      <c r="E58" s="26"/>
      <c r="F58" s="15"/>
      <c r="G58" s="15"/>
      <c r="H58" s="36">
        <f>VLOOKUP($A58,'Model Inputs'!$A:$C,3,FALSE)</f>
        <v>0.03</v>
      </c>
      <c r="I58" s="15"/>
      <c r="J58" s="15"/>
      <c r="K58" s="30"/>
      <c r="L58" s="157"/>
      <c r="M58" s="16"/>
      <c r="N58" s="16"/>
      <c r="O58" s="16"/>
      <c r="P58" s="16"/>
      <c r="Q58" s="16"/>
      <c r="R58" s="26"/>
      <c r="T58" s="67"/>
      <c r="U58"/>
    </row>
    <row r="59" spans="1:21" ht="15" x14ac:dyDescent="0.25">
      <c r="A59" s="38" t="s">
        <v>418</v>
      </c>
      <c r="B59" s="13">
        <v>3</v>
      </c>
      <c r="C59" s="14" t="s">
        <v>234</v>
      </c>
      <c r="D59" s="13"/>
      <c r="E59" s="26"/>
      <c r="F59" s="15"/>
      <c r="G59" s="15"/>
      <c r="H59" s="15">
        <f>H56/H58</f>
        <v>25633.333333333336</v>
      </c>
      <c r="I59" s="15"/>
      <c r="J59" s="15"/>
      <c r="K59" s="30"/>
      <c r="L59" s="157"/>
      <c r="M59" s="16"/>
      <c r="N59" s="16"/>
      <c r="O59" s="16"/>
      <c r="P59" s="16"/>
      <c r="Q59" s="16"/>
      <c r="R59" s="26"/>
      <c r="T59" s="67"/>
      <c r="U59"/>
    </row>
    <row r="60" spans="1:21" ht="15" x14ac:dyDescent="0.25">
      <c r="A60" s="38">
        <v>13.1</v>
      </c>
      <c r="B60" s="13">
        <v>4</v>
      </c>
      <c r="C60" s="14" t="s">
        <v>69</v>
      </c>
      <c r="D60" s="13" t="s">
        <v>54</v>
      </c>
      <c r="E60" s="26" t="str">
        <f>VLOOKUP(C60,Resources!B:G,3,FALSE)</f>
        <v>P</v>
      </c>
      <c r="F60" s="15">
        <v>1</v>
      </c>
      <c r="G60" s="36">
        <f>VLOOKUP($A60,'Model Inputs'!$A:$C,3,FALSE)</f>
        <v>3000</v>
      </c>
      <c r="H60" s="15">
        <f>H59</f>
        <v>25633.333333333336</v>
      </c>
      <c r="I60" s="15">
        <f>VLOOKUP(C60,Resources!B:G,6,FALSE)</f>
        <v>1000</v>
      </c>
      <c r="J60" s="27">
        <f>(H60/G60)*I60*F60</f>
        <v>8544.4444444444453</v>
      </c>
      <c r="K60" s="27">
        <f t="shared" ref="K60" si="90">IF(E60="M"," ",L60*F60)</f>
        <v>8.5444444444444461</v>
      </c>
      <c r="L60" s="157">
        <f t="shared" ref="L60" si="91">IF(E60="M"," ",H60/G60)</f>
        <v>8.5444444444444461</v>
      </c>
      <c r="M60" s="28">
        <f t="shared" ref="M60" si="92">IF($E60="L",$J60,0)</f>
        <v>0</v>
      </c>
      <c r="N60" s="28">
        <f t="shared" ref="N60" si="93">IF($E60="M",$J60,0)</f>
        <v>0</v>
      </c>
      <c r="O60" s="28">
        <f t="shared" ref="O60" si="94">IF($E60="P",$J60,0)</f>
        <v>8544.4444444444453</v>
      </c>
      <c r="P60" s="28">
        <f t="shared" ref="P60" si="95">IF($E60="S",$J60,0)</f>
        <v>0</v>
      </c>
      <c r="Q60" s="28">
        <f t="shared" ref="Q60" si="96">SUM(M60:P60)</f>
        <v>8544.4444444444453</v>
      </c>
      <c r="R60" s="26">
        <v>53</v>
      </c>
      <c r="T60" s="67"/>
      <c r="U60"/>
    </row>
    <row r="61" spans="1:21" ht="15" x14ac:dyDescent="0.25">
      <c r="A61" s="38" t="s">
        <v>418</v>
      </c>
      <c r="F61" s="11"/>
      <c r="G61" s="11"/>
      <c r="H61" s="11"/>
      <c r="I61" s="11"/>
      <c r="J61" s="11"/>
      <c r="K61" s="31"/>
      <c r="M61" s="12"/>
      <c r="N61" s="12"/>
      <c r="O61" s="12"/>
      <c r="P61" s="12"/>
      <c r="Q61" s="12"/>
      <c r="T61" s="67"/>
      <c r="U61"/>
    </row>
    <row r="62" spans="1:21" ht="33.75" x14ac:dyDescent="0.25">
      <c r="A62" s="38">
        <v>14</v>
      </c>
      <c r="B62" s="5" t="s">
        <v>70</v>
      </c>
      <c r="C62" s="5" t="s">
        <v>71</v>
      </c>
      <c r="D62" s="6" t="s">
        <v>299</v>
      </c>
      <c r="E62" s="25"/>
      <c r="F62" s="7"/>
      <c r="G62" s="7"/>
      <c r="H62" s="7"/>
      <c r="I62" s="7"/>
      <c r="J62" s="8">
        <f>SUBTOTAL(9,J65:J155)</f>
        <v>173481.04666666669</v>
      </c>
      <c r="K62" s="29"/>
      <c r="L62" s="156"/>
      <c r="M62" s="8">
        <f>SUBTOTAL(9,M65:M155)</f>
        <v>47912.63</v>
      </c>
      <c r="N62" s="8">
        <f t="shared" ref="N62:Q62" si="97">SUBTOTAL(9,N65:N155)</f>
        <v>0</v>
      </c>
      <c r="O62" s="8">
        <f t="shared" si="97"/>
        <v>125568.41666666673</v>
      </c>
      <c r="P62" s="8">
        <f t="shared" si="97"/>
        <v>0</v>
      </c>
      <c r="Q62" s="8">
        <f t="shared" si="97"/>
        <v>173481.04666666669</v>
      </c>
      <c r="R62" s="25"/>
      <c r="T62" s="67"/>
      <c r="U62"/>
    </row>
    <row r="63" spans="1:21" ht="15" x14ac:dyDescent="0.25">
      <c r="A63" s="38" t="s">
        <v>418</v>
      </c>
      <c r="B63" s="13">
        <v>1</v>
      </c>
      <c r="C63" s="14" t="s">
        <v>72</v>
      </c>
      <c r="D63" s="13"/>
      <c r="E63" s="26"/>
      <c r="F63" s="15"/>
      <c r="G63" s="15"/>
      <c r="H63" s="15"/>
      <c r="I63" s="15"/>
      <c r="J63" s="15"/>
      <c r="K63" s="30"/>
      <c r="L63" s="157"/>
      <c r="M63" s="16"/>
      <c r="N63" s="16"/>
      <c r="O63" s="16"/>
      <c r="P63" s="16"/>
      <c r="Q63" s="16"/>
      <c r="R63" s="26"/>
      <c r="T63" s="67"/>
      <c r="U63"/>
    </row>
    <row r="64" spans="1:21" ht="15" x14ac:dyDescent="0.25">
      <c r="A64" s="38" t="s">
        <v>418</v>
      </c>
      <c r="B64" s="13">
        <v>2</v>
      </c>
      <c r="C64" s="14" t="s">
        <v>235</v>
      </c>
      <c r="D64" s="13"/>
      <c r="E64" s="26"/>
      <c r="F64" s="15"/>
      <c r="G64" s="15"/>
      <c r="H64" s="37">
        <v>0.36249999999999999</v>
      </c>
      <c r="I64" s="15"/>
      <c r="J64" s="15"/>
      <c r="K64" s="30"/>
      <c r="L64" s="157"/>
      <c r="M64" s="16"/>
      <c r="N64" s="16"/>
      <c r="O64" s="16"/>
      <c r="P64" s="16"/>
      <c r="Q64" s="16"/>
      <c r="R64" s="26"/>
      <c r="T64" s="67"/>
      <c r="U64"/>
    </row>
    <row r="65" spans="1:21" ht="15" x14ac:dyDescent="0.25">
      <c r="A65" s="38">
        <v>15</v>
      </c>
      <c r="B65" s="5">
        <v>4</v>
      </c>
      <c r="C65" s="5" t="s">
        <v>237</v>
      </c>
      <c r="D65" s="6" t="s">
        <v>299</v>
      </c>
      <c r="E65" s="25"/>
      <c r="F65" s="7"/>
      <c r="G65" s="7"/>
      <c r="H65" s="36">
        <f>VLOOKUP($A65,'Model Inputs'!$A:$C,3,FALSE)</f>
        <v>214</v>
      </c>
      <c r="I65" s="7"/>
      <c r="J65" s="8">
        <f>SUBTOTAL(9,J67:J71)</f>
        <v>4130.4444444444443</v>
      </c>
      <c r="K65" s="29"/>
      <c r="L65" s="156">
        <f>MAX(L67:L71)/Work</f>
        <v>1</v>
      </c>
      <c r="M65" s="8">
        <f>SUBTOTAL(9,M67:M71)</f>
        <v>1296</v>
      </c>
      <c r="N65" s="8">
        <f t="shared" ref="N65:Q65" si="98">SUBTOTAL(9,N67:N71)</f>
        <v>0</v>
      </c>
      <c r="O65" s="8">
        <f t="shared" si="98"/>
        <v>2834.4444444444443</v>
      </c>
      <c r="P65" s="8">
        <f t="shared" si="98"/>
        <v>0</v>
      </c>
      <c r="Q65" s="8">
        <f t="shared" si="98"/>
        <v>4130.4444444444443</v>
      </c>
      <c r="R65" s="25"/>
      <c r="T65" s="67"/>
      <c r="U65"/>
    </row>
    <row r="66" spans="1:21" ht="15" x14ac:dyDescent="0.25">
      <c r="A66" s="38" t="s">
        <v>418</v>
      </c>
      <c r="B66" s="13">
        <v>5</v>
      </c>
      <c r="C66" s="14" t="s">
        <v>5</v>
      </c>
      <c r="D66" s="13"/>
      <c r="E66" s="26"/>
      <c r="F66" s="15"/>
      <c r="G66" s="15"/>
      <c r="H66" s="15">
        <f>H65</f>
        <v>214</v>
      </c>
      <c r="I66" s="15"/>
      <c r="J66" s="15"/>
      <c r="K66" s="30"/>
      <c r="L66" s="157"/>
      <c r="M66" s="16"/>
      <c r="N66" s="16"/>
      <c r="O66" s="16"/>
      <c r="P66" s="16"/>
      <c r="Q66" s="16"/>
      <c r="R66" s="26"/>
      <c r="T66" s="67"/>
      <c r="U66"/>
    </row>
    <row r="67" spans="1:21" ht="15" x14ac:dyDescent="0.25">
      <c r="A67" s="38">
        <v>15.1</v>
      </c>
      <c r="B67" s="13">
        <v>6</v>
      </c>
      <c r="C67" s="14" t="s">
        <v>73</v>
      </c>
      <c r="D67" s="13" t="s">
        <v>27</v>
      </c>
      <c r="E67" s="26" t="str">
        <f>VLOOKUP(C67,Resources!B:G,3,FALSE)</f>
        <v>P</v>
      </c>
      <c r="F67" s="15">
        <v>1</v>
      </c>
      <c r="G67" s="36">
        <f>VLOOKUP($A67,'Model Inputs'!$A:$C,3,FALSE)</f>
        <v>23.777777777777779</v>
      </c>
      <c r="H67" s="15">
        <f>H65</f>
        <v>214</v>
      </c>
      <c r="I67" s="15">
        <f>VLOOKUP(C67,Resources!B:G,6,FALSE)</f>
        <v>130</v>
      </c>
      <c r="J67" s="27">
        <f>(H67/G67)*I67*F67</f>
        <v>1170</v>
      </c>
      <c r="K67" s="27">
        <f t="shared" ref="K67:K71" si="99">IF(E67="M"," ",L67*F67)</f>
        <v>9</v>
      </c>
      <c r="L67" s="157">
        <f t="shared" ref="L67:L71" si="100">IF(E67="M"," ",H67/G67)</f>
        <v>9</v>
      </c>
      <c r="M67" s="28">
        <f t="shared" ref="M67:M71" si="101">IF($E67="L",$J67,0)</f>
        <v>0</v>
      </c>
      <c r="N67" s="28">
        <f t="shared" ref="N67:N71" si="102">IF($E67="M",$J67,0)</f>
        <v>0</v>
      </c>
      <c r="O67" s="28">
        <f t="shared" ref="O67:O71" si="103">IF($E67="P",$J67,0)</f>
        <v>1170</v>
      </c>
      <c r="P67" s="28">
        <f t="shared" ref="P67:P71" si="104">IF($E67="S",$J67,0)</f>
        <v>0</v>
      </c>
      <c r="Q67" s="28">
        <f t="shared" ref="Q67:Q71" si="105">SUM(M67:P67)</f>
        <v>1170</v>
      </c>
      <c r="R67" s="26">
        <v>53</v>
      </c>
      <c r="T67" s="67"/>
      <c r="U67"/>
    </row>
    <row r="68" spans="1:21" ht="15" x14ac:dyDescent="0.25">
      <c r="A68" s="38" t="s">
        <v>418</v>
      </c>
      <c r="B68" s="13">
        <v>7</v>
      </c>
      <c r="C68" s="14" t="s">
        <v>74</v>
      </c>
      <c r="D68" s="13" t="s">
        <v>27</v>
      </c>
      <c r="E68" s="26" t="str">
        <f>VLOOKUP(C68,Resources!B:G,3,FALSE)</f>
        <v>P</v>
      </c>
      <c r="F68" s="15">
        <v>2</v>
      </c>
      <c r="G68" s="15">
        <f>G67</f>
        <v>23.777777777777779</v>
      </c>
      <c r="H68" s="15">
        <f>H65</f>
        <v>214</v>
      </c>
      <c r="I68" s="15">
        <f>VLOOKUP(C68,Resources!B:G,6,FALSE)</f>
        <v>90</v>
      </c>
      <c r="J68" s="27">
        <f>(H68/G68)*I68*F68</f>
        <v>1620</v>
      </c>
      <c r="K68" s="27">
        <f t="shared" si="99"/>
        <v>18</v>
      </c>
      <c r="L68" s="157">
        <f t="shared" si="100"/>
        <v>9</v>
      </c>
      <c r="M68" s="28">
        <f t="shared" si="101"/>
        <v>0</v>
      </c>
      <c r="N68" s="28">
        <f t="shared" si="102"/>
        <v>0</v>
      </c>
      <c r="O68" s="28">
        <f t="shared" si="103"/>
        <v>1620</v>
      </c>
      <c r="P68" s="28">
        <f t="shared" si="104"/>
        <v>0</v>
      </c>
      <c r="Q68" s="28">
        <f t="shared" si="105"/>
        <v>1620</v>
      </c>
      <c r="R68" s="26">
        <v>53</v>
      </c>
      <c r="T68" s="67"/>
      <c r="U68"/>
    </row>
    <row r="69" spans="1:21" ht="15" x14ac:dyDescent="0.25">
      <c r="A69" s="38" t="s">
        <v>418</v>
      </c>
      <c r="B69" s="13">
        <v>8</v>
      </c>
      <c r="C69" s="14" t="s">
        <v>7</v>
      </c>
      <c r="D69" s="13" t="s">
        <v>27</v>
      </c>
      <c r="E69" s="26" t="str">
        <f>VLOOKUP(C69,Resources!B:G,3,FALSE)</f>
        <v>L</v>
      </c>
      <c r="F69" s="15">
        <v>3</v>
      </c>
      <c r="G69" s="15">
        <f>G68</f>
        <v>23.777777777777779</v>
      </c>
      <c r="H69" s="15">
        <f>H65</f>
        <v>214</v>
      </c>
      <c r="I69" s="15">
        <f>VLOOKUP(C69,Resources!B:G,6,FALSE)</f>
        <v>48</v>
      </c>
      <c r="J69" s="27">
        <f>(H69/G69)*I69*F69</f>
        <v>1296</v>
      </c>
      <c r="K69" s="27">
        <f t="shared" si="99"/>
        <v>27</v>
      </c>
      <c r="L69" s="157">
        <f t="shared" si="100"/>
        <v>9</v>
      </c>
      <c r="M69" s="28">
        <f t="shared" si="101"/>
        <v>1296</v>
      </c>
      <c r="N69" s="28">
        <f t="shared" si="102"/>
        <v>0</v>
      </c>
      <c r="O69" s="28">
        <f t="shared" si="103"/>
        <v>0</v>
      </c>
      <c r="P69" s="28">
        <f t="shared" si="104"/>
        <v>0</v>
      </c>
      <c r="Q69" s="28">
        <f t="shared" si="105"/>
        <v>1296</v>
      </c>
      <c r="R69" s="26">
        <v>53</v>
      </c>
      <c r="T69" s="67"/>
      <c r="U69"/>
    </row>
    <row r="70" spans="1:21" ht="15" x14ac:dyDescent="0.25">
      <c r="A70" s="38" t="s">
        <v>418</v>
      </c>
      <c r="B70" s="13">
        <v>9</v>
      </c>
      <c r="C70" s="14" t="s">
        <v>75</v>
      </c>
      <c r="D70" s="13" t="s">
        <v>54</v>
      </c>
      <c r="E70" s="26" t="str">
        <f>VLOOKUP(C70,Resources!B:G,3,FALSE)</f>
        <v>P</v>
      </c>
      <c r="F70" s="15">
        <v>1</v>
      </c>
      <c r="G70" s="15">
        <f>G67*9</f>
        <v>214</v>
      </c>
      <c r="H70" s="15">
        <f>H65/9</f>
        <v>23.777777777777779</v>
      </c>
      <c r="I70" s="15">
        <f>VLOOKUP(C70,Resources!B:G,6,FALSE)</f>
        <v>365</v>
      </c>
      <c r="J70" s="27">
        <f>(H70/G70)*I70*F70</f>
        <v>40.555555555555557</v>
      </c>
      <c r="K70" s="27">
        <f t="shared" si="99"/>
        <v>0.11111111111111112</v>
      </c>
      <c r="L70" s="157">
        <f t="shared" si="100"/>
        <v>0.11111111111111112</v>
      </c>
      <c r="M70" s="28">
        <f t="shared" si="101"/>
        <v>0</v>
      </c>
      <c r="N70" s="28">
        <f t="shared" si="102"/>
        <v>0</v>
      </c>
      <c r="O70" s="28">
        <f t="shared" si="103"/>
        <v>40.555555555555557</v>
      </c>
      <c r="P70" s="28">
        <f t="shared" si="104"/>
        <v>0</v>
      </c>
      <c r="Q70" s="28">
        <f t="shared" si="105"/>
        <v>40.555555555555557</v>
      </c>
      <c r="R70" s="26">
        <v>53</v>
      </c>
      <c r="T70" s="67"/>
      <c r="U70"/>
    </row>
    <row r="71" spans="1:21" ht="15" x14ac:dyDescent="0.25">
      <c r="A71" s="38" t="s">
        <v>418</v>
      </c>
      <c r="B71" s="13">
        <v>10</v>
      </c>
      <c r="C71" s="14" t="s">
        <v>32</v>
      </c>
      <c r="D71" s="13" t="s">
        <v>27</v>
      </c>
      <c r="E71" s="26" t="str">
        <f>VLOOKUP(C71,Resources!B:G,3,FALSE)</f>
        <v>P</v>
      </c>
      <c r="F71" s="15">
        <v>1</v>
      </c>
      <c r="G71" s="15">
        <f>G67*9</f>
        <v>214</v>
      </c>
      <c r="H71" s="15">
        <f>H65/9</f>
        <v>23.777777777777779</v>
      </c>
      <c r="I71" s="15">
        <f>VLOOKUP(C71,Resources!B:G,6,FALSE)</f>
        <v>35</v>
      </c>
      <c r="J71" s="27">
        <f>(H71/G71)*I71*F71</f>
        <v>3.8888888888888893</v>
      </c>
      <c r="K71" s="27">
        <f t="shared" si="99"/>
        <v>0.11111111111111112</v>
      </c>
      <c r="L71" s="157">
        <f t="shared" si="100"/>
        <v>0.11111111111111112</v>
      </c>
      <c r="M71" s="28">
        <f t="shared" si="101"/>
        <v>0</v>
      </c>
      <c r="N71" s="28">
        <f t="shared" si="102"/>
        <v>0</v>
      </c>
      <c r="O71" s="28">
        <f t="shared" si="103"/>
        <v>3.8888888888888893</v>
      </c>
      <c r="P71" s="28">
        <f t="shared" si="104"/>
        <v>0</v>
      </c>
      <c r="Q71" s="28">
        <f t="shared" si="105"/>
        <v>3.8888888888888893</v>
      </c>
      <c r="R71" s="26">
        <v>53</v>
      </c>
      <c r="T71" s="67"/>
      <c r="U71"/>
    </row>
    <row r="72" spans="1:21" ht="15" x14ac:dyDescent="0.25">
      <c r="A72" s="38">
        <v>16</v>
      </c>
      <c r="B72" s="5">
        <v>11</v>
      </c>
      <c r="C72" s="5" t="s">
        <v>236</v>
      </c>
      <c r="D72" s="6" t="s">
        <v>299</v>
      </c>
      <c r="E72" s="25"/>
      <c r="F72" s="7"/>
      <c r="G72" s="7"/>
      <c r="H72" s="36">
        <f>VLOOKUP($A72,'Model Inputs'!$A:$C,3,FALSE)</f>
        <v>195</v>
      </c>
      <c r="I72" s="7"/>
      <c r="J72" s="8">
        <f>SUBTOTAL(9,J74:J78)</f>
        <v>4130.4444444444443</v>
      </c>
      <c r="K72" s="29"/>
      <c r="L72" s="156">
        <f>MAX(L74:L78)/Work</f>
        <v>1</v>
      </c>
      <c r="M72" s="8">
        <f>SUBTOTAL(9,M74:M78)</f>
        <v>1296</v>
      </c>
      <c r="N72" s="8">
        <f t="shared" ref="N72:Q72" si="106">SUBTOTAL(9,N74:N78)</f>
        <v>0</v>
      </c>
      <c r="O72" s="8">
        <f t="shared" si="106"/>
        <v>2834.4444444444443</v>
      </c>
      <c r="P72" s="8">
        <f t="shared" si="106"/>
        <v>0</v>
      </c>
      <c r="Q72" s="8">
        <f t="shared" si="106"/>
        <v>4130.4444444444443</v>
      </c>
      <c r="R72" s="25"/>
      <c r="T72" s="67"/>
      <c r="U72"/>
    </row>
    <row r="73" spans="1:21" ht="15" x14ac:dyDescent="0.25">
      <c r="A73" s="38" t="s">
        <v>418</v>
      </c>
      <c r="B73" s="13">
        <v>12</v>
      </c>
      <c r="C73" s="14" t="s">
        <v>5</v>
      </c>
      <c r="D73" s="13"/>
      <c r="E73" s="26"/>
      <c r="F73" s="15"/>
      <c r="G73" s="15"/>
      <c r="H73" s="15">
        <f>H72</f>
        <v>195</v>
      </c>
      <c r="I73" s="15"/>
      <c r="J73" s="15"/>
      <c r="K73" s="30"/>
      <c r="L73" s="157"/>
      <c r="M73" s="16"/>
      <c r="N73" s="16"/>
      <c r="O73" s="16"/>
      <c r="P73" s="16"/>
      <c r="Q73" s="16"/>
      <c r="R73" s="26"/>
      <c r="T73" s="67"/>
      <c r="U73"/>
    </row>
    <row r="74" spans="1:21" ht="15" x14ac:dyDescent="0.25">
      <c r="A74" s="38">
        <v>16.100000000000001</v>
      </c>
      <c r="B74" s="13">
        <v>13</v>
      </c>
      <c r="C74" s="14" t="s">
        <v>73</v>
      </c>
      <c r="D74" s="13" t="s">
        <v>27</v>
      </c>
      <c r="E74" s="26" t="str">
        <f>VLOOKUP(C74,Resources!B:G,3,FALSE)</f>
        <v>P</v>
      </c>
      <c r="F74" s="15">
        <v>1</v>
      </c>
      <c r="G74" s="36">
        <f>VLOOKUP($A74,'Model Inputs'!$A:$C,3,FALSE)</f>
        <v>21.666666666666668</v>
      </c>
      <c r="H74" s="15">
        <f>H72</f>
        <v>195</v>
      </c>
      <c r="I74" s="15">
        <f>VLOOKUP(C74,Resources!B:G,6,FALSE)</f>
        <v>130</v>
      </c>
      <c r="J74" s="27">
        <f>(H74/G74)*I74*F74</f>
        <v>1170</v>
      </c>
      <c r="K74" s="27">
        <f t="shared" ref="K74:K78" si="107">IF(E74="M"," ",L74*F74)</f>
        <v>9</v>
      </c>
      <c r="L74" s="157">
        <f t="shared" ref="L74:L78" si="108">IF(E74="M"," ",H74/G74)</f>
        <v>9</v>
      </c>
      <c r="M74" s="28">
        <f t="shared" ref="M74:M78" si="109">IF($E74="L",$J74,0)</f>
        <v>0</v>
      </c>
      <c r="N74" s="28">
        <f t="shared" ref="N74:N78" si="110">IF($E74="M",$J74,0)</f>
        <v>0</v>
      </c>
      <c r="O74" s="28">
        <f t="shared" ref="O74:O78" si="111">IF($E74="P",$J74,0)</f>
        <v>1170</v>
      </c>
      <c r="P74" s="28">
        <f t="shared" ref="P74:P78" si="112">IF($E74="S",$J74,0)</f>
        <v>0</v>
      </c>
      <c r="Q74" s="28">
        <f t="shared" ref="Q74:Q78" si="113">SUM(M74:P74)</f>
        <v>1170</v>
      </c>
      <c r="R74" s="26">
        <v>53</v>
      </c>
      <c r="T74" s="67"/>
      <c r="U74"/>
    </row>
    <row r="75" spans="1:21" ht="15" x14ac:dyDescent="0.25">
      <c r="A75" s="38" t="s">
        <v>418</v>
      </c>
      <c r="B75" s="13">
        <v>14</v>
      </c>
      <c r="C75" s="14" t="s">
        <v>74</v>
      </c>
      <c r="D75" s="13" t="s">
        <v>27</v>
      </c>
      <c r="E75" s="26" t="str">
        <f>VLOOKUP(C75,Resources!B:G,3,FALSE)</f>
        <v>P</v>
      </c>
      <c r="F75" s="15">
        <v>2</v>
      </c>
      <c r="G75" s="15">
        <f>G74</f>
        <v>21.666666666666668</v>
      </c>
      <c r="H75" s="15">
        <f>H72</f>
        <v>195</v>
      </c>
      <c r="I75" s="15">
        <f>VLOOKUP(C75,Resources!B:G,6,FALSE)</f>
        <v>90</v>
      </c>
      <c r="J75" s="27">
        <f>(H75/G75)*I75*F75</f>
        <v>1620</v>
      </c>
      <c r="K75" s="27">
        <f t="shared" si="107"/>
        <v>18</v>
      </c>
      <c r="L75" s="157">
        <f t="shared" si="108"/>
        <v>9</v>
      </c>
      <c r="M75" s="28">
        <f t="shared" si="109"/>
        <v>0</v>
      </c>
      <c r="N75" s="28">
        <f t="shared" si="110"/>
        <v>0</v>
      </c>
      <c r="O75" s="28">
        <f t="shared" si="111"/>
        <v>1620</v>
      </c>
      <c r="P75" s="28">
        <f t="shared" si="112"/>
        <v>0</v>
      </c>
      <c r="Q75" s="28">
        <f t="shared" si="113"/>
        <v>1620</v>
      </c>
      <c r="R75" s="26">
        <v>53</v>
      </c>
      <c r="T75" s="67"/>
      <c r="U75"/>
    </row>
    <row r="76" spans="1:21" ht="15" x14ac:dyDescent="0.25">
      <c r="A76" s="38" t="s">
        <v>418</v>
      </c>
      <c r="B76" s="13">
        <v>15</v>
      </c>
      <c r="C76" s="14" t="s">
        <v>7</v>
      </c>
      <c r="D76" s="13" t="s">
        <v>27</v>
      </c>
      <c r="E76" s="26" t="str">
        <f>VLOOKUP(C76,Resources!B:G,3,FALSE)</f>
        <v>L</v>
      </c>
      <c r="F76" s="15">
        <v>3</v>
      </c>
      <c r="G76" s="15">
        <f>G75</f>
        <v>21.666666666666668</v>
      </c>
      <c r="H76" s="15">
        <f>H72</f>
        <v>195</v>
      </c>
      <c r="I76" s="15">
        <f>VLOOKUP(C76,Resources!B:G,6,FALSE)</f>
        <v>48</v>
      </c>
      <c r="J76" s="27">
        <f>(H76/G76)*I76*F76</f>
        <v>1296</v>
      </c>
      <c r="K76" s="27">
        <f t="shared" si="107"/>
        <v>27</v>
      </c>
      <c r="L76" s="157">
        <f t="shared" si="108"/>
        <v>9</v>
      </c>
      <c r="M76" s="28">
        <f t="shared" si="109"/>
        <v>1296</v>
      </c>
      <c r="N76" s="28">
        <f t="shared" si="110"/>
        <v>0</v>
      </c>
      <c r="O76" s="28">
        <f t="shared" si="111"/>
        <v>0</v>
      </c>
      <c r="P76" s="28">
        <f t="shared" si="112"/>
        <v>0</v>
      </c>
      <c r="Q76" s="28">
        <f t="shared" si="113"/>
        <v>1296</v>
      </c>
      <c r="R76" s="26">
        <v>53</v>
      </c>
      <c r="T76" s="67"/>
      <c r="U76"/>
    </row>
    <row r="77" spans="1:21" ht="15" x14ac:dyDescent="0.25">
      <c r="A77" s="38" t="s">
        <v>418</v>
      </c>
      <c r="B77" s="13">
        <v>16</v>
      </c>
      <c r="C77" s="14" t="s">
        <v>75</v>
      </c>
      <c r="D77" s="13" t="s">
        <v>54</v>
      </c>
      <c r="E77" s="26" t="str">
        <f>VLOOKUP(C77,Resources!B:G,3,FALSE)</f>
        <v>P</v>
      </c>
      <c r="F77" s="15">
        <v>1</v>
      </c>
      <c r="G77" s="15">
        <f>G74*9</f>
        <v>195</v>
      </c>
      <c r="H77" s="15">
        <f>H72/9</f>
        <v>21.666666666666668</v>
      </c>
      <c r="I77" s="15">
        <f>VLOOKUP(C77,Resources!B:G,6,FALSE)</f>
        <v>365</v>
      </c>
      <c r="J77" s="27">
        <f>(H77/G77)*I77*F77</f>
        <v>40.555555555555557</v>
      </c>
      <c r="K77" s="27">
        <f t="shared" si="107"/>
        <v>0.11111111111111112</v>
      </c>
      <c r="L77" s="157">
        <f t="shared" si="108"/>
        <v>0.11111111111111112</v>
      </c>
      <c r="M77" s="28">
        <f t="shared" si="109"/>
        <v>0</v>
      </c>
      <c r="N77" s="28">
        <f t="shared" si="110"/>
        <v>0</v>
      </c>
      <c r="O77" s="28">
        <f t="shared" si="111"/>
        <v>40.555555555555557</v>
      </c>
      <c r="P77" s="28">
        <f t="shared" si="112"/>
        <v>0</v>
      </c>
      <c r="Q77" s="28">
        <f t="shared" si="113"/>
        <v>40.555555555555557</v>
      </c>
      <c r="R77" s="26">
        <v>53</v>
      </c>
      <c r="T77" s="67"/>
      <c r="U77"/>
    </row>
    <row r="78" spans="1:21" ht="15" x14ac:dyDescent="0.25">
      <c r="A78" s="38" t="s">
        <v>418</v>
      </c>
      <c r="B78" s="13">
        <v>17</v>
      </c>
      <c r="C78" s="14" t="s">
        <v>32</v>
      </c>
      <c r="D78" s="13" t="s">
        <v>27</v>
      </c>
      <c r="E78" s="26" t="str">
        <f>VLOOKUP(C78,Resources!B:G,3,FALSE)</f>
        <v>P</v>
      </c>
      <c r="F78" s="15">
        <v>1</v>
      </c>
      <c r="G78" s="15">
        <f>G74*9</f>
        <v>195</v>
      </c>
      <c r="H78" s="15">
        <f>H72/9</f>
        <v>21.666666666666668</v>
      </c>
      <c r="I78" s="15">
        <f>VLOOKUP(C78,Resources!B:G,6,FALSE)</f>
        <v>35</v>
      </c>
      <c r="J78" s="27">
        <f>(H78/G78)*I78*F78</f>
        <v>3.8888888888888893</v>
      </c>
      <c r="K78" s="27">
        <f t="shared" si="107"/>
        <v>0.11111111111111112</v>
      </c>
      <c r="L78" s="157">
        <f t="shared" si="108"/>
        <v>0.11111111111111112</v>
      </c>
      <c r="M78" s="28">
        <f t="shared" si="109"/>
        <v>0</v>
      </c>
      <c r="N78" s="28">
        <f t="shared" si="110"/>
        <v>0</v>
      </c>
      <c r="O78" s="28">
        <f t="shared" si="111"/>
        <v>3.8888888888888893</v>
      </c>
      <c r="P78" s="28">
        <f t="shared" si="112"/>
        <v>0</v>
      </c>
      <c r="Q78" s="28">
        <f t="shared" si="113"/>
        <v>3.8888888888888893</v>
      </c>
      <c r="R78" s="26">
        <v>53</v>
      </c>
      <c r="T78" s="67"/>
      <c r="U78"/>
    </row>
    <row r="79" spans="1:21" ht="15" x14ac:dyDescent="0.25">
      <c r="A79" s="38">
        <v>17</v>
      </c>
      <c r="B79" s="5">
        <v>18</v>
      </c>
      <c r="C79" s="5" t="s">
        <v>239</v>
      </c>
      <c r="D79" s="6" t="s">
        <v>299</v>
      </c>
      <c r="E79" s="25"/>
      <c r="F79" s="7"/>
      <c r="G79" s="7"/>
      <c r="H79" s="36">
        <f>VLOOKUP($A79,'Model Inputs'!$A:$C,3,FALSE)</f>
        <v>261</v>
      </c>
      <c r="I79" s="7"/>
      <c r="J79" s="8">
        <f>SUBTOTAL(9,J81:J85)</f>
        <v>4130.4444444444443</v>
      </c>
      <c r="K79" s="29"/>
      <c r="L79" s="156">
        <f>MAX(L81:L85)/Work</f>
        <v>1</v>
      </c>
      <c r="M79" s="8">
        <f>SUBTOTAL(9,M81:M85)</f>
        <v>1296</v>
      </c>
      <c r="N79" s="8">
        <f t="shared" ref="N79:Q79" si="114">SUBTOTAL(9,N81:N85)</f>
        <v>0</v>
      </c>
      <c r="O79" s="8">
        <f t="shared" si="114"/>
        <v>2834.4444444444443</v>
      </c>
      <c r="P79" s="8">
        <f t="shared" si="114"/>
        <v>0</v>
      </c>
      <c r="Q79" s="8">
        <f t="shared" si="114"/>
        <v>4130.4444444444443</v>
      </c>
      <c r="R79" s="25"/>
      <c r="T79" s="67"/>
      <c r="U79"/>
    </row>
    <row r="80" spans="1:21" ht="15" x14ac:dyDescent="0.25">
      <c r="A80" s="38" t="s">
        <v>418</v>
      </c>
      <c r="B80" s="13">
        <v>19</v>
      </c>
      <c r="C80" s="14" t="s">
        <v>5</v>
      </c>
      <c r="D80" s="13"/>
      <c r="E80" s="26"/>
      <c r="F80" s="15"/>
      <c r="G80" s="15"/>
      <c r="H80" s="15">
        <f>H79</f>
        <v>261</v>
      </c>
      <c r="I80" s="15"/>
      <c r="J80" s="15"/>
      <c r="K80" s="30"/>
      <c r="L80" s="157"/>
      <c r="M80" s="16"/>
      <c r="N80" s="16"/>
      <c r="O80" s="16"/>
      <c r="P80" s="16"/>
      <c r="Q80" s="16"/>
      <c r="R80" s="26"/>
      <c r="T80" s="67"/>
      <c r="U80"/>
    </row>
    <row r="81" spans="1:21" ht="15" x14ac:dyDescent="0.25">
      <c r="A81" s="38">
        <v>17.100000000000001</v>
      </c>
      <c r="B81" s="13">
        <v>20</v>
      </c>
      <c r="C81" s="14" t="s">
        <v>73</v>
      </c>
      <c r="D81" s="13" t="s">
        <v>27</v>
      </c>
      <c r="E81" s="26" t="str">
        <f>VLOOKUP(C81,Resources!B:G,3,FALSE)</f>
        <v>P</v>
      </c>
      <c r="F81" s="15">
        <v>1</v>
      </c>
      <c r="G81" s="36">
        <f>VLOOKUP($A81,'Model Inputs'!$A:$C,3,FALSE)</f>
        <v>29</v>
      </c>
      <c r="H81" s="15">
        <f>H79</f>
        <v>261</v>
      </c>
      <c r="I81" s="15">
        <f>VLOOKUP(C81,Resources!B:G,6,FALSE)</f>
        <v>130</v>
      </c>
      <c r="J81" s="27">
        <f>(H81/G81)*I81*F81</f>
        <v>1170</v>
      </c>
      <c r="K81" s="27">
        <f t="shared" ref="K81:K85" si="115">IF(E81="M"," ",L81*F81)</f>
        <v>9</v>
      </c>
      <c r="L81" s="157">
        <f t="shared" ref="L81:L85" si="116">IF(E81="M"," ",H81/G81)</f>
        <v>9</v>
      </c>
      <c r="M81" s="28">
        <f t="shared" ref="M81:M85" si="117">IF($E81="L",$J81,0)</f>
        <v>0</v>
      </c>
      <c r="N81" s="28">
        <f t="shared" ref="N81:N85" si="118">IF($E81="M",$J81,0)</f>
        <v>0</v>
      </c>
      <c r="O81" s="28">
        <f t="shared" ref="O81:O85" si="119">IF($E81="P",$J81,0)</f>
        <v>1170</v>
      </c>
      <c r="P81" s="28">
        <f t="shared" ref="P81:P85" si="120">IF($E81="S",$J81,0)</f>
        <v>0</v>
      </c>
      <c r="Q81" s="28">
        <f t="shared" ref="Q81:Q85" si="121">SUM(M81:P81)</f>
        <v>1170</v>
      </c>
      <c r="R81" s="26">
        <v>53</v>
      </c>
      <c r="T81" s="67"/>
      <c r="U81"/>
    </row>
    <row r="82" spans="1:21" ht="15" x14ac:dyDescent="0.25">
      <c r="A82" s="38" t="s">
        <v>418</v>
      </c>
      <c r="B82" s="13">
        <v>21</v>
      </c>
      <c r="C82" s="14" t="s">
        <v>74</v>
      </c>
      <c r="D82" s="13" t="s">
        <v>27</v>
      </c>
      <c r="E82" s="26" t="str">
        <f>VLOOKUP(C82,Resources!B:G,3,FALSE)</f>
        <v>P</v>
      </c>
      <c r="F82" s="15">
        <v>2</v>
      </c>
      <c r="G82" s="15">
        <f>G81</f>
        <v>29</v>
      </c>
      <c r="H82" s="15">
        <f>H79</f>
        <v>261</v>
      </c>
      <c r="I82" s="15">
        <f>VLOOKUP(C82,Resources!B:G,6,FALSE)</f>
        <v>90</v>
      </c>
      <c r="J82" s="27">
        <f>(H82/G82)*I82*F82</f>
        <v>1620</v>
      </c>
      <c r="K82" s="27">
        <f t="shared" si="115"/>
        <v>18</v>
      </c>
      <c r="L82" s="157">
        <f t="shared" si="116"/>
        <v>9</v>
      </c>
      <c r="M82" s="28">
        <f t="shared" si="117"/>
        <v>0</v>
      </c>
      <c r="N82" s="28">
        <f t="shared" si="118"/>
        <v>0</v>
      </c>
      <c r="O82" s="28">
        <f t="shared" si="119"/>
        <v>1620</v>
      </c>
      <c r="P82" s="28">
        <f t="shared" si="120"/>
        <v>0</v>
      </c>
      <c r="Q82" s="28">
        <f t="shared" si="121"/>
        <v>1620</v>
      </c>
      <c r="R82" s="26">
        <v>53</v>
      </c>
      <c r="T82" s="67"/>
      <c r="U82"/>
    </row>
    <row r="83" spans="1:21" ht="15" x14ac:dyDescent="0.25">
      <c r="A83" s="38" t="s">
        <v>418</v>
      </c>
      <c r="B83" s="13">
        <v>22</v>
      </c>
      <c r="C83" s="14" t="s">
        <v>7</v>
      </c>
      <c r="D83" s="13" t="s">
        <v>27</v>
      </c>
      <c r="E83" s="26" t="str">
        <f>VLOOKUP(C83,Resources!B:G,3,FALSE)</f>
        <v>L</v>
      </c>
      <c r="F83" s="15">
        <v>3</v>
      </c>
      <c r="G83" s="15">
        <f>G82</f>
        <v>29</v>
      </c>
      <c r="H83" s="15">
        <f>H79</f>
        <v>261</v>
      </c>
      <c r="I83" s="15">
        <f>VLOOKUP(C83,Resources!B:G,6,FALSE)</f>
        <v>48</v>
      </c>
      <c r="J83" s="27">
        <f>(H83/G83)*I83*F83</f>
        <v>1296</v>
      </c>
      <c r="K83" s="27">
        <f t="shared" si="115"/>
        <v>27</v>
      </c>
      <c r="L83" s="157">
        <f t="shared" si="116"/>
        <v>9</v>
      </c>
      <c r="M83" s="28">
        <f t="shared" si="117"/>
        <v>1296</v>
      </c>
      <c r="N83" s="28">
        <f t="shared" si="118"/>
        <v>0</v>
      </c>
      <c r="O83" s="28">
        <f t="shared" si="119"/>
        <v>0</v>
      </c>
      <c r="P83" s="28">
        <f t="shared" si="120"/>
        <v>0</v>
      </c>
      <c r="Q83" s="28">
        <f t="shared" si="121"/>
        <v>1296</v>
      </c>
      <c r="R83" s="26">
        <v>53</v>
      </c>
      <c r="T83" s="67"/>
      <c r="U83"/>
    </row>
    <row r="84" spans="1:21" ht="15" x14ac:dyDescent="0.25">
      <c r="A84" s="38" t="s">
        <v>418</v>
      </c>
      <c r="B84" s="13">
        <v>23</v>
      </c>
      <c r="C84" s="14" t="s">
        <v>75</v>
      </c>
      <c r="D84" s="13" t="s">
        <v>54</v>
      </c>
      <c r="E84" s="26" t="str">
        <f>VLOOKUP(C84,Resources!B:G,3,FALSE)</f>
        <v>P</v>
      </c>
      <c r="F84" s="15">
        <v>1</v>
      </c>
      <c r="G84" s="15">
        <f>G81*9</f>
        <v>261</v>
      </c>
      <c r="H84" s="15">
        <f>H79/9</f>
        <v>29</v>
      </c>
      <c r="I84" s="15">
        <f>VLOOKUP(C84,Resources!B:G,6,FALSE)</f>
        <v>365</v>
      </c>
      <c r="J84" s="27">
        <f>(H84/G84)*I84*F84</f>
        <v>40.55555555555555</v>
      </c>
      <c r="K84" s="27">
        <f t="shared" si="115"/>
        <v>0.1111111111111111</v>
      </c>
      <c r="L84" s="157">
        <f t="shared" si="116"/>
        <v>0.1111111111111111</v>
      </c>
      <c r="M84" s="28">
        <f t="shared" si="117"/>
        <v>0</v>
      </c>
      <c r="N84" s="28">
        <f t="shared" si="118"/>
        <v>0</v>
      </c>
      <c r="O84" s="28">
        <f t="shared" si="119"/>
        <v>40.55555555555555</v>
      </c>
      <c r="P84" s="28">
        <f t="shared" si="120"/>
        <v>0</v>
      </c>
      <c r="Q84" s="28">
        <f t="shared" si="121"/>
        <v>40.55555555555555</v>
      </c>
      <c r="R84" s="26">
        <v>53</v>
      </c>
      <c r="T84" s="67"/>
      <c r="U84"/>
    </row>
    <row r="85" spans="1:21" ht="15" x14ac:dyDescent="0.25">
      <c r="A85" s="38" t="s">
        <v>418</v>
      </c>
      <c r="B85" s="13">
        <v>24</v>
      </c>
      <c r="C85" s="14" t="s">
        <v>32</v>
      </c>
      <c r="D85" s="13" t="s">
        <v>27</v>
      </c>
      <c r="E85" s="26" t="str">
        <f>VLOOKUP(C85,Resources!B:G,3,FALSE)</f>
        <v>P</v>
      </c>
      <c r="F85" s="15">
        <v>1</v>
      </c>
      <c r="G85" s="15">
        <f>G81*9</f>
        <v>261</v>
      </c>
      <c r="H85" s="15">
        <f>H79/9</f>
        <v>29</v>
      </c>
      <c r="I85" s="15">
        <f>VLOOKUP(C85,Resources!B:G,6,FALSE)</f>
        <v>35</v>
      </c>
      <c r="J85" s="27">
        <f>(H85/G85)*I85*F85</f>
        <v>3.8888888888888888</v>
      </c>
      <c r="K85" s="27">
        <f t="shared" si="115"/>
        <v>0.1111111111111111</v>
      </c>
      <c r="L85" s="157">
        <f t="shared" si="116"/>
        <v>0.1111111111111111</v>
      </c>
      <c r="M85" s="28">
        <f t="shared" si="117"/>
        <v>0</v>
      </c>
      <c r="N85" s="28">
        <f t="shared" si="118"/>
        <v>0</v>
      </c>
      <c r="O85" s="28">
        <f t="shared" si="119"/>
        <v>3.8888888888888888</v>
      </c>
      <c r="P85" s="28">
        <f t="shared" si="120"/>
        <v>0</v>
      </c>
      <c r="Q85" s="28">
        <f t="shared" si="121"/>
        <v>3.8888888888888888</v>
      </c>
      <c r="R85" s="26">
        <v>53</v>
      </c>
      <c r="T85" s="67"/>
      <c r="U85"/>
    </row>
    <row r="86" spans="1:21" ht="15" x14ac:dyDescent="0.25">
      <c r="A86" s="38">
        <v>18</v>
      </c>
      <c r="B86" s="5">
        <v>25</v>
      </c>
      <c r="C86" s="5" t="s">
        <v>238</v>
      </c>
      <c r="D86" s="6" t="s">
        <v>299</v>
      </c>
      <c r="E86" s="25"/>
      <c r="F86" s="7"/>
      <c r="G86" s="7"/>
      <c r="H86" s="36">
        <f>VLOOKUP($A86,'Model Inputs'!$A:$C,3,FALSE)</f>
        <v>420</v>
      </c>
      <c r="I86" s="7"/>
      <c r="J86" s="8">
        <f>SUBTOTAL(9,J88:J92)</f>
        <v>4130.4444444444443</v>
      </c>
      <c r="K86" s="29"/>
      <c r="L86" s="156">
        <f>MAX(L88:L92)/Work</f>
        <v>1</v>
      </c>
      <c r="M86" s="8">
        <f>SUBTOTAL(9,M88:M92)</f>
        <v>1296</v>
      </c>
      <c r="N86" s="8">
        <f t="shared" ref="N86:Q86" si="122">SUBTOTAL(9,N88:N92)</f>
        <v>0</v>
      </c>
      <c r="O86" s="8">
        <f t="shared" si="122"/>
        <v>2834.4444444444443</v>
      </c>
      <c r="P86" s="8">
        <f t="shared" si="122"/>
        <v>0</v>
      </c>
      <c r="Q86" s="8">
        <f t="shared" si="122"/>
        <v>4130.4444444444443</v>
      </c>
      <c r="R86" s="25"/>
      <c r="T86" s="67"/>
      <c r="U86"/>
    </row>
    <row r="87" spans="1:21" ht="15" x14ac:dyDescent="0.25">
      <c r="A87" s="38" t="s">
        <v>418</v>
      </c>
      <c r="B87" s="13">
        <v>26</v>
      </c>
      <c r="C87" s="14" t="s">
        <v>5</v>
      </c>
      <c r="D87" s="13"/>
      <c r="E87" s="26"/>
      <c r="F87" s="15"/>
      <c r="G87" s="15"/>
      <c r="H87" s="15">
        <f>H86</f>
        <v>420</v>
      </c>
      <c r="I87" s="15"/>
      <c r="J87" s="15"/>
      <c r="K87" s="30"/>
      <c r="L87" s="157"/>
      <c r="M87" s="16"/>
      <c r="N87" s="16"/>
      <c r="O87" s="16"/>
      <c r="P87" s="16"/>
      <c r="Q87" s="16"/>
      <c r="R87" s="26"/>
      <c r="T87" s="67"/>
      <c r="U87"/>
    </row>
    <row r="88" spans="1:21" ht="15" x14ac:dyDescent="0.25">
      <c r="A88" s="38">
        <v>18.100000000000001</v>
      </c>
      <c r="B88" s="13">
        <v>27</v>
      </c>
      <c r="C88" s="14" t="s">
        <v>73</v>
      </c>
      <c r="D88" s="13" t="s">
        <v>27</v>
      </c>
      <c r="E88" s="26" t="str">
        <f>VLOOKUP(C88,Resources!B:G,3,FALSE)</f>
        <v>P</v>
      </c>
      <c r="F88" s="15">
        <v>1</v>
      </c>
      <c r="G88" s="36">
        <f>VLOOKUP($A88,'Model Inputs'!$A:$C,3,FALSE)</f>
        <v>46.666666666666664</v>
      </c>
      <c r="H88" s="15">
        <f>H86</f>
        <v>420</v>
      </c>
      <c r="I88" s="15">
        <f>VLOOKUP(C88,Resources!B:G,6,FALSE)</f>
        <v>130</v>
      </c>
      <c r="J88" s="27">
        <f>(H88/G88)*I88*F88</f>
        <v>1170</v>
      </c>
      <c r="K88" s="27">
        <f t="shared" ref="K88:K92" si="123">IF(E88="M"," ",L88*F88)</f>
        <v>9</v>
      </c>
      <c r="L88" s="157">
        <f t="shared" ref="L88:L92" si="124">IF(E88="M"," ",H88/G88)</f>
        <v>9</v>
      </c>
      <c r="M88" s="28">
        <f t="shared" ref="M88:M92" si="125">IF($E88="L",$J88,0)</f>
        <v>0</v>
      </c>
      <c r="N88" s="28">
        <f t="shared" ref="N88:N92" si="126">IF($E88="M",$J88,0)</f>
        <v>0</v>
      </c>
      <c r="O88" s="28">
        <f t="shared" ref="O88:O92" si="127">IF($E88="P",$J88,0)</f>
        <v>1170</v>
      </c>
      <c r="P88" s="28">
        <f t="shared" ref="P88:P92" si="128">IF($E88="S",$J88,0)</f>
        <v>0</v>
      </c>
      <c r="Q88" s="28">
        <f t="shared" ref="Q88:Q92" si="129">SUM(M88:P88)</f>
        <v>1170</v>
      </c>
      <c r="R88" s="26">
        <v>53</v>
      </c>
      <c r="T88" s="67"/>
      <c r="U88"/>
    </row>
    <row r="89" spans="1:21" ht="15" x14ac:dyDescent="0.25">
      <c r="A89" s="38" t="s">
        <v>418</v>
      </c>
      <c r="B89" s="13">
        <v>28</v>
      </c>
      <c r="C89" s="14" t="s">
        <v>74</v>
      </c>
      <c r="D89" s="13" t="s">
        <v>27</v>
      </c>
      <c r="E89" s="26" t="str">
        <f>VLOOKUP(C89,Resources!B:G,3,FALSE)</f>
        <v>P</v>
      </c>
      <c r="F89" s="15">
        <v>2</v>
      </c>
      <c r="G89" s="15">
        <f>G88</f>
        <v>46.666666666666664</v>
      </c>
      <c r="H89" s="15">
        <f>H86</f>
        <v>420</v>
      </c>
      <c r="I89" s="15">
        <f>VLOOKUP(C89,Resources!B:G,6,FALSE)</f>
        <v>90</v>
      </c>
      <c r="J89" s="27">
        <f>(H89/G89)*I89*F89</f>
        <v>1620</v>
      </c>
      <c r="K89" s="27">
        <f t="shared" si="123"/>
        <v>18</v>
      </c>
      <c r="L89" s="157">
        <f t="shared" si="124"/>
        <v>9</v>
      </c>
      <c r="M89" s="28">
        <f t="shared" si="125"/>
        <v>0</v>
      </c>
      <c r="N89" s="28">
        <f t="shared" si="126"/>
        <v>0</v>
      </c>
      <c r="O89" s="28">
        <f t="shared" si="127"/>
        <v>1620</v>
      </c>
      <c r="P89" s="28">
        <f t="shared" si="128"/>
        <v>0</v>
      </c>
      <c r="Q89" s="28">
        <f t="shared" si="129"/>
        <v>1620</v>
      </c>
      <c r="R89" s="26">
        <v>53</v>
      </c>
      <c r="T89" s="67"/>
      <c r="U89"/>
    </row>
    <row r="90" spans="1:21" ht="15" x14ac:dyDescent="0.25">
      <c r="A90" s="38" t="s">
        <v>418</v>
      </c>
      <c r="B90" s="13">
        <v>29</v>
      </c>
      <c r="C90" s="14" t="s">
        <v>7</v>
      </c>
      <c r="D90" s="13" t="s">
        <v>27</v>
      </c>
      <c r="E90" s="26" t="str">
        <f>VLOOKUP(C90,Resources!B:G,3,FALSE)</f>
        <v>L</v>
      </c>
      <c r="F90" s="15">
        <v>3</v>
      </c>
      <c r="G90" s="15">
        <f>G89</f>
        <v>46.666666666666664</v>
      </c>
      <c r="H90" s="15">
        <f>H86</f>
        <v>420</v>
      </c>
      <c r="I90" s="15">
        <f>VLOOKUP(C90,Resources!B:G,6,FALSE)</f>
        <v>48</v>
      </c>
      <c r="J90" s="27">
        <f>(H90/G90)*I90*F90</f>
        <v>1296</v>
      </c>
      <c r="K90" s="27">
        <f t="shared" si="123"/>
        <v>27</v>
      </c>
      <c r="L90" s="157">
        <f t="shared" si="124"/>
        <v>9</v>
      </c>
      <c r="M90" s="28">
        <f t="shared" si="125"/>
        <v>1296</v>
      </c>
      <c r="N90" s="28">
        <f t="shared" si="126"/>
        <v>0</v>
      </c>
      <c r="O90" s="28">
        <f t="shared" si="127"/>
        <v>0</v>
      </c>
      <c r="P90" s="28">
        <f t="shared" si="128"/>
        <v>0</v>
      </c>
      <c r="Q90" s="28">
        <f t="shared" si="129"/>
        <v>1296</v>
      </c>
      <c r="R90" s="26">
        <v>53</v>
      </c>
      <c r="T90" s="67"/>
      <c r="U90"/>
    </row>
    <row r="91" spans="1:21" ht="15" x14ac:dyDescent="0.25">
      <c r="A91" s="38" t="s">
        <v>418</v>
      </c>
      <c r="B91" s="13">
        <v>30</v>
      </c>
      <c r="C91" s="14" t="s">
        <v>75</v>
      </c>
      <c r="D91" s="13" t="s">
        <v>54</v>
      </c>
      <c r="E91" s="26" t="str">
        <f>VLOOKUP(C91,Resources!B:G,3,FALSE)</f>
        <v>P</v>
      </c>
      <c r="F91" s="15">
        <v>1</v>
      </c>
      <c r="G91" s="15">
        <f>G88*9</f>
        <v>420</v>
      </c>
      <c r="H91" s="15">
        <f>H86/9</f>
        <v>46.666666666666664</v>
      </c>
      <c r="I91" s="15">
        <f>VLOOKUP(C91,Resources!B:G,6,FALSE)</f>
        <v>365</v>
      </c>
      <c r="J91" s="27">
        <f>(H91/G91)*I91*F91</f>
        <v>40.55555555555555</v>
      </c>
      <c r="K91" s="27">
        <f t="shared" si="123"/>
        <v>0.1111111111111111</v>
      </c>
      <c r="L91" s="157">
        <f t="shared" si="124"/>
        <v>0.1111111111111111</v>
      </c>
      <c r="M91" s="28">
        <f t="shared" si="125"/>
        <v>0</v>
      </c>
      <c r="N91" s="28">
        <f t="shared" si="126"/>
        <v>0</v>
      </c>
      <c r="O91" s="28">
        <f t="shared" si="127"/>
        <v>40.55555555555555</v>
      </c>
      <c r="P91" s="28">
        <f t="shared" si="128"/>
        <v>0</v>
      </c>
      <c r="Q91" s="28">
        <f t="shared" si="129"/>
        <v>40.55555555555555</v>
      </c>
      <c r="R91" s="26">
        <v>53</v>
      </c>
      <c r="T91" s="67"/>
      <c r="U91"/>
    </row>
    <row r="92" spans="1:21" ht="15" x14ac:dyDescent="0.25">
      <c r="A92" s="38" t="s">
        <v>418</v>
      </c>
      <c r="B92" s="13">
        <v>31</v>
      </c>
      <c r="C92" s="14" t="s">
        <v>32</v>
      </c>
      <c r="D92" s="13" t="s">
        <v>27</v>
      </c>
      <c r="E92" s="26" t="str">
        <f>VLOOKUP(C92,Resources!B:G,3,FALSE)</f>
        <v>P</v>
      </c>
      <c r="F92" s="15">
        <v>1</v>
      </c>
      <c r="G92" s="15">
        <f>G88*9</f>
        <v>420</v>
      </c>
      <c r="H92" s="15">
        <f>H86/9</f>
        <v>46.666666666666664</v>
      </c>
      <c r="I92" s="15">
        <f>VLOOKUP(C92,Resources!B:G,6,FALSE)</f>
        <v>35</v>
      </c>
      <c r="J92" s="27">
        <f>(H92/G92)*I92*F92</f>
        <v>3.8888888888888888</v>
      </c>
      <c r="K92" s="27">
        <f t="shared" si="123"/>
        <v>0.1111111111111111</v>
      </c>
      <c r="L92" s="157">
        <f t="shared" si="124"/>
        <v>0.1111111111111111</v>
      </c>
      <c r="M92" s="28">
        <f t="shared" si="125"/>
        <v>0</v>
      </c>
      <c r="N92" s="28">
        <f t="shared" si="126"/>
        <v>0</v>
      </c>
      <c r="O92" s="28">
        <f t="shared" si="127"/>
        <v>3.8888888888888888</v>
      </c>
      <c r="P92" s="28">
        <f t="shared" si="128"/>
        <v>0</v>
      </c>
      <c r="Q92" s="28">
        <f t="shared" si="129"/>
        <v>3.8888888888888888</v>
      </c>
      <c r="R92" s="26">
        <v>53</v>
      </c>
      <c r="T92" s="67"/>
      <c r="U92"/>
    </row>
    <row r="93" spans="1:21" ht="15" x14ac:dyDescent="0.25">
      <c r="A93" s="38">
        <v>19</v>
      </c>
      <c r="B93" s="5">
        <v>32</v>
      </c>
      <c r="C93" s="5" t="s">
        <v>240</v>
      </c>
      <c r="D93" s="6" t="s">
        <v>299</v>
      </c>
      <c r="E93" s="25"/>
      <c r="F93" s="7"/>
      <c r="G93" s="7"/>
      <c r="H93" s="36">
        <f>VLOOKUP($A93,'Model Inputs'!$A:$C,3,FALSE)</f>
        <v>40</v>
      </c>
      <c r="I93" s="7"/>
      <c r="J93" s="8">
        <f>SUBTOTAL(9,J95:J99)</f>
        <v>4130.4444444444443</v>
      </c>
      <c r="K93" s="29"/>
      <c r="L93" s="156">
        <f>MAX(L95:L99)/Work</f>
        <v>1</v>
      </c>
      <c r="M93" s="8">
        <f>SUBTOTAL(9,M95:M99)</f>
        <v>1296</v>
      </c>
      <c r="N93" s="8">
        <f t="shared" ref="N93:Q93" si="130">SUBTOTAL(9,N95:N99)</f>
        <v>0</v>
      </c>
      <c r="O93" s="8">
        <f t="shared" si="130"/>
        <v>2834.4444444444443</v>
      </c>
      <c r="P93" s="8">
        <f t="shared" si="130"/>
        <v>0</v>
      </c>
      <c r="Q93" s="8">
        <f t="shared" si="130"/>
        <v>4130.4444444444443</v>
      </c>
      <c r="R93" s="25"/>
      <c r="T93" s="67"/>
      <c r="U93"/>
    </row>
    <row r="94" spans="1:21" ht="15" x14ac:dyDescent="0.25">
      <c r="A94" s="38" t="s">
        <v>418</v>
      </c>
      <c r="B94" s="13">
        <v>33</v>
      </c>
      <c r="C94" s="14" t="s">
        <v>5</v>
      </c>
      <c r="D94" s="13"/>
      <c r="E94" s="26"/>
      <c r="F94" s="15"/>
      <c r="G94" s="15"/>
      <c r="H94" s="15">
        <f>H93</f>
        <v>40</v>
      </c>
      <c r="I94" s="15"/>
      <c r="J94" s="15"/>
      <c r="K94" s="30"/>
      <c r="L94" s="157"/>
      <c r="M94" s="16"/>
      <c r="N94" s="16"/>
      <c r="O94" s="16"/>
      <c r="P94" s="16"/>
      <c r="Q94" s="16"/>
      <c r="R94" s="26"/>
      <c r="T94" s="67"/>
      <c r="U94"/>
    </row>
    <row r="95" spans="1:21" ht="15" x14ac:dyDescent="0.25">
      <c r="A95" s="38">
        <v>19.100000000000001</v>
      </c>
      <c r="B95" s="13">
        <v>34</v>
      </c>
      <c r="C95" s="14" t="s">
        <v>73</v>
      </c>
      <c r="D95" s="13" t="s">
        <v>27</v>
      </c>
      <c r="E95" s="26" t="str">
        <f>VLOOKUP(C95,Resources!B:G,3,FALSE)</f>
        <v>P</v>
      </c>
      <c r="F95" s="15">
        <v>1</v>
      </c>
      <c r="G95" s="36">
        <f>VLOOKUP($A95,'Model Inputs'!$A:$C,3,FALSE)</f>
        <v>4.4444444444444446</v>
      </c>
      <c r="H95" s="15">
        <f>H93</f>
        <v>40</v>
      </c>
      <c r="I95" s="15">
        <f>VLOOKUP(C95,Resources!B:G,6,FALSE)</f>
        <v>130</v>
      </c>
      <c r="J95" s="27">
        <f>(H95/G95)*I95*F95</f>
        <v>1170</v>
      </c>
      <c r="K95" s="27">
        <f t="shared" ref="K95:K99" si="131">IF(E95="M"," ",L95*F95)</f>
        <v>9</v>
      </c>
      <c r="L95" s="157">
        <f t="shared" ref="L95:L99" si="132">IF(E95="M"," ",H95/G95)</f>
        <v>9</v>
      </c>
      <c r="M95" s="28">
        <f t="shared" ref="M95:M99" si="133">IF($E95="L",$J95,0)</f>
        <v>0</v>
      </c>
      <c r="N95" s="28">
        <f t="shared" ref="N95:N99" si="134">IF($E95="M",$J95,0)</f>
        <v>0</v>
      </c>
      <c r="O95" s="28">
        <f t="shared" ref="O95:O99" si="135">IF($E95="P",$J95,0)</f>
        <v>1170</v>
      </c>
      <c r="P95" s="28">
        <f t="shared" ref="P95:P99" si="136">IF($E95="S",$J95,0)</f>
        <v>0</v>
      </c>
      <c r="Q95" s="28">
        <f t="shared" ref="Q95:Q99" si="137">SUM(M95:P95)</f>
        <v>1170</v>
      </c>
      <c r="R95" s="26">
        <v>53</v>
      </c>
      <c r="T95" s="67"/>
      <c r="U95"/>
    </row>
    <row r="96" spans="1:21" ht="15" x14ac:dyDescent="0.25">
      <c r="A96" s="38" t="s">
        <v>418</v>
      </c>
      <c r="B96" s="13">
        <v>35</v>
      </c>
      <c r="C96" s="14" t="s">
        <v>74</v>
      </c>
      <c r="D96" s="13" t="s">
        <v>27</v>
      </c>
      <c r="E96" s="26" t="str">
        <f>VLOOKUP(C96,Resources!B:G,3,FALSE)</f>
        <v>P</v>
      </c>
      <c r="F96" s="15">
        <v>2</v>
      </c>
      <c r="G96" s="15">
        <f>G95</f>
        <v>4.4444444444444446</v>
      </c>
      <c r="H96" s="15">
        <f>H93</f>
        <v>40</v>
      </c>
      <c r="I96" s="15">
        <f>VLOOKUP(C96,Resources!B:G,6,FALSE)</f>
        <v>90</v>
      </c>
      <c r="J96" s="27">
        <f>(H96/G96)*I96*F96</f>
        <v>1620</v>
      </c>
      <c r="K96" s="27">
        <f t="shared" si="131"/>
        <v>18</v>
      </c>
      <c r="L96" s="157">
        <f t="shared" si="132"/>
        <v>9</v>
      </c>
      <c r="M96" s="28">
        <f t="shared" si="133"/>
        <v>0</v>
      </c>
      <c r="N96" s="28">
        <f t="shared" si="134"/>
        <v>0</v>
      </c>
      <c r="O96" s="28">
        <f t="shared" si="135"/>
        <v>1620</v>
      </c>
      <c r="P96" s="28">
        <f t="shared" si="136"/>
        <v>0</v>
      </c>
      <c r="Q96" s="28">
        <f t="shared" si="137"/>
        <v>1620</v>
      </c>
      <c r="R96" s="26">
        <v>53</v>
      </c>
      <c r="T96" s="67"/>
      <c r="U96"/>
    </row>
    <row r="97" spans="1:21" ht="15" x14ac:dyDescent="0.25">
      <c r="A97" s="38" t="s">
        <v>418</v>
      </c>
      <c r="B97" s="13">
        <v>36</v>
      </c>
      <c r="C97" s="14" t="s">
        <v>7</v>
      </c>
      <c r="D97" s="13" t="s">
        <v>27</v>
      </c>
      <c r="E97" s="26" t="str">
        <f>VLOOKUP(C97,Resources!B:G,3,FALSE)</f>
        <v>L</v>
      </c>
      <c r="F97" s="15">
        <v>3</v>
      </c>
      <c r="G97" s="15">
        <f>G96</f>
        <v>4.4444444444444446</v>
      </c>
      <c r="H97" s="15">
        <f>H93</f>
        <v>40</v>
      </c>
      <c r="I97" s="15">
        <f>VLOOKUP(C97,Resources!B:G,6,FALSE)</f>
        <v>48</v>
      </c>
      <c r="J97" s="27">
        <f>(H97/G97)*I97*F97</f>
        <v>1296</v>
      </c>
      <c r="K97" s="27">
        <f t="shared" si="131"/>
        <v>27</v>
      </c>
      <c r="L97" s="157">
        <f t="shared" si="132"/>
        <v>9</v>
      </c>
      <c r="M97" s="28">
        <f t="shared" si="133"/>
        <v>1296</v>
      </c>
      <c r="N97" s="28">
        <f t="shared" si="134"/>
        <v>0</v>
      </c>
      <c r="O97" s="28">
        <f t="shared" si="135"/>
        <v>0</v>
      </c>
      <c r="P97" s="28">
        <f t="shared" si="136"/>
        <v>0</v>
      </c>
      <c r="Q97" s="28">
        <f t="shared" si="137"/>
        <v>1296</v>
      </c>
      <c r="R97" s="26">
        <v>53</v>
      </c>
      <c r="T97" s="67"/>
      <c r="U97"/>
    </row>
    <row r="98" spans="1:21" ht="15" x14ac:dyDescent="0.25">
      <c r="A98" s="38" t="s">
        <v>418</v>
      </c>
      <c r="B98" s="13">
        <v>37</v>
      </c>
      <c r="C98" s="14" t="s">
        <v>75</v>
      </c>
      <c r="D98" s="13" t="s">
        <v>54</v>
      </c>
      <c r="E98" s="26" t="str">
        <f>VLOOKUP(C98,Resources!B:G,3,FALSE)</f>
        <v>P</v>
      </c>
      <c r="F98" s="15">
        <v>1</v>
      </c>
      <c r="G98" s="15">
        <f>G95*9</f>
        <v>40</v>
      </c>
      <c r="H98" s="15">
        <f>H93/9</f>
        <v>4.4444444444444446</v>
      </c>
      <c r="I98" s="15">
        <f>VLOOKUP(C98,Resources!B:G,6,FALSE)</f>
        <v>365</v>
      </c>
      <c r="J98" s="27">
        <f>(H98/G98)*I98*F98</f>
        <v>40.555555555555557</v>
      </c>
      <c r="K98" s="27">
        <f t="shared" si="131"/>
        <v>0.11111111111111112</v>
      </c>
      <c r="L98" s="157">
        <f t="shared" si="132"/>
        <v>0.11111111111111112</v>
      </c>
      <c r="M98" s="28">
        <f t="shared" si="133"/>
        <v>0</v>
      </c>
      <c r="N98" s="28">
        <f t="shared" si="134"/>
        <v>0</v>
      </c>
      <c r="O98" s="28">
        <f t="shared" si="135"/>
        <v>40.555555555555557</v>
      </c>
      <c r="P98" s="28">
        <f t="shared" si="136"/>
        <v>0</v>
      </c>
      <c r="Q98" s="28">
        <f t="shared" si="137"/>
        <v>40.555555555555557</v>
      </c>
      <c r="R98" s="26">
        <v>53</v>
      </c>
      <c r="T98" s="67"/>
      <c r="U98"/>
    </row>
    <row r="99" spans="1:21" ht="15" x14ac:dyDescent="0.25">
      <c r="A99" s="38" t="s">
        <v>418</v>
      </c>
      <c r="B99" s="13">
        <v>38</v>
      </c>
      <c r="C99" s="14" t="s">
        <v>32</v>
      </c>
      <c r="D99" s="13" t="s">
        <v>27</v>
      </c>
      <c r="E99" s="26" t="str">
        <f>VLOOKUP(C99,Resources!B:G,3,FALSE)</f>
        <v>P</v>
      </c>
      <c r="F99" s="15">
        <v>1</v>
      </c>
      <c r="G99" s="15">
        <f>G95*9</f>
        <v>40</v>
      </c>
      <c r="H99" s="15">
        <f>H93/9</f>
        <v>4.4444444444444446</v>
      </c>
      <c r="I99" s="15">
        <f>VLOOKUP(C99,Resources!B:G,6,FALSE)</f>
        <v>35</v>
      </c>
      <c r="J99" s="27">
        <f>(H99/G99)*I99*F99</f>
        <v>3.8888888888888893</v>
      </c>
      <c r="K99" s="27">
        <f t="shared" si="131"/>
        <v>0.11111111111111112</v>
      </c>
      <c r="L99" s="157">
        <f t="shared" si="132"/>
        <v>0.11111111111111112</v>
      </c>
      <c r="M99" s="28">
        <f t="shared" si="133"/>
        <v>0</v>
      </c>
      <c r="N99" s="28">
        <f t="shared" si="134"/>
        <v>0</v>
      </c>
      <c r="O99" s="28">
        <f t="shared" si="135"/>
        <v>3.8888888888888893</v>
      </c>
      <c r="P99" s="28">
        <f t="shared" si="136"/>
        <v>0</v>
      </c>
      <c r="Q99" s="28">
        <f t="shared" si="137"/>
        <v>3.8888888888888893</v>
      </c>
      <c r="R99" s="26">
        <v>53</v>
      </c>
      <c r="T99" s="67"/>
      <c r="U99"/>
    </row>
    <row r="100" spans="1:21" ht="15" x14ac:dyDescent="0.25">
      <c r="A100" s="38">
        <v>20</v>
      </c>
      <c r="B100" s="5">
        <v>39</v>
      </c>
      <c r="C100" s="5" t="s">
        <v>241</v>
      </c>
      <c r="D100" s="6" t="s">
        <v>299</v>
      </c>
      <c r="E100" s="25"/>
      <c r="F100" s="7"/>
      <c r="G100" s="7"/>
      <c r="H100" s="36">
        <f>VLOOKUP($A100,'Model Inputs'!$A:$C,3,FALSE)</f>
        <v>160</v>
      </c>
      <c r="I100" s="7"/>
      <c r="J100" s="8">
        <f>SUBTOTAL(9,J102:J106)</f>
        <v>4130.4444444444443</v>
      </c>
      <c r="K100" s="29"/>
      <c r="L100" s="156">
        <f>MAX(L102:L106)/Work</f>
        <v>1</v>
      </c>
      <c r="M100" s="8">
        <f>SUBTOTAL(9,M102:M106)</f>
        <v>1296</v>
      </c>
      <c r="N100" s="8">
        <f t="shared" ref="N100:Q100" si="138">SUBTOTAL(9,N102:N106)</f>
        <v>0</v>
      </c>
      <c r="O100" s="8">
        <f t="shared" si="138"/>
        <v>2834.4444444444443</v>
      </c>
      <c r="P100" s="8">
        <f t="shared" si="138"/>
        <v>0</v>
      </c>
      <c r="Q100" s="8">
        <f t="shared" si="138"/>
        <v>4130.4444444444443</v>
      </c>
      <c r="R100" s="25"/>
      <c r="T100" s="67"/>
      <c r="U100"/>
    </row>
    <row r="101" spans="1:21" ht="15" x14ac:dyDescent="0.25">
      <c r="A101" s="38" t="s">
        <v>418</v>
      </c>
      <c r="B101" s="13">
        <v>40</v>
      </c>
      <c r="C101" s="14" t="s">
        <v>5</v>
      </c>
      <c r="D101" s="13"/>
      <c r="E101" s="26"/>
      <c r="F101" s="15"/>
      <c r="G101" s="15"/>
      <c r="H101" s="15">
        <f>H100</f>
        <v>160</v>
      </c>
      <c r="I101" s="15"/>
      <c r="J101" s="15"/>
      <c r="K101" s="30"/>
      <c r="L101" s="157"/>
      <c r="M101" s="16"/>
      <c r="N101" s="16"/>
      <c r="O101" s="16"/>
      <c r="P101" s="16"/>
      <c r="Q101" s="16"/>
      <c r="R101" s="26"/>
      <c r="T101" s="67"/>
      <c r="U101"/>
    </row>
    <row r="102" spans="1:21" ht="15" x14ac:dyDescent="0.25">
      <c r="A102" s="38">
        <v>20.100000000000001</v>
      </c>
      <c r="B102" s="13">
        <v>41</v>
      </c>
      <c r="C102" s="14" t="s">
        <v>73</v>
      </c>
      <c r="D102" s="13" t="s">
        <v>27</v>
      </c>
      <c r="E102" s="26" t="str">
        <f>VLOOKUP(C102,Resources!B:G,3,FALSE)</f>
        <v>P</v>
      </c>
      <c r="F102" s="15">
        <v>1</v>
      </c>
      <c r="G102" s="36">
        <f>VLOOKUP($A102,'Model Inputs'!$A:$C,3,FALSE)</f>
        <v>17.777777777777779</v>
      </c>
      <c r="H102" s="15">
        <f>H100</f>
        <v>160</v>
      </c>
      <c r="I102" s="15">
        <f>VLOOKUP(C102,Resources!B:G,6,FALSE)</f>
        <v>130</v>
      </c>
      <c r="J102" s="27">
        <f>(H102/G102)*I102*F102</f>
        <v>1170</v>
      </c>
      <c r="K102" s="27">
        <f t="shared" ref="K102:K106" si="139">IF(E102="M"," ",L102*F102)</f>
        <v>9</v>
      </c>
      <c r="L102" s="157">
        <f t="shared" ref="L102:L106" si="140">IF(E102="M"," ",H102/G102)</f>
        <v>9</v>
      </c>
      <c r="M102" s="28">
        <f t="shared" ref="M102:M106" si="141">IF($E102="L",$J102,0)</f>
        <v>0</v>
      </c>
      <c r="N102" s="28">
        <f t="shared" ref="N102:N106" si="142">IF($E102="M",$J102,0)</f>
        <v>0</v>
      </c>
      <c r="O102" s="28">
        <f t="shared" ref="O102:O106" si="143">IF($E102="P",$J102,0)</f>
        <v>1170</v>
      </c>
      <c r="P102" s="28">
        <f t="shared" ref="P102:P106" si="144">IF($E102="S",$J102,0)</f>
        <v>0</v>
      </c>
      <c r="Q102" s="28">
        <f t="shared" ref="Q102:Q106" si="145">SUM(M102:P102)</f>
        <v>1170</v>
      </c>
      <c r="R102" s="26">
        <v>53</v>
      </c>
      <c r="T102" s="67"/>
      <c r="U102"/>
    </row>
    <row r="103" spans="1:21" ht="15" x14ac:dyDescent="0.25">
      <c r="A103" s="38" t="s">
        <v>418</v>
      </c>
      <c r="B103" s="13">
        <v>42</v>
      </c>
      <c r="C103" s="14" t="s">
        <v>74</v>
      </c>
      <c r="D103" s="13" t="s">
        <v>27</v>
      </c>
      <c r="E103" s="26" t="str">
        <f>VLOOKUP(C103,Resources!B:G,3,FALSE)</f>
        <v>P</v>
      </c>
      <c r="F103" s="15">
        <v>2</v>
      </c>
      <c r="G103" s="15">
        <f>G102</f>
        <v>17.777777777777779</v>
      </c>
      <c r="H103" s="15">
        <f>H100</f>
        <v>160</v>
      </c>
      <c r="I103" s="15">
        <f>VLOOKUP(C103,Resources!B:G,6,FALSE)</f>
        <v>90</v>
      </c>
      <c r="J103" s="27">
        <f>(H103/G103)*I103*F103</f>
        <v>1620</v>
      </c>
      <c r="K103" s="27">
        <f t="shared" si="139"/>
        <v>18</v>
      </c>
      <c r="L103" s="157">
        <f t="shared" si="140"/>
        <v>9</v>
      </c>
      <c r="M103" s="28">
        <f t="shared" si="141"/>
        <v>0</v>
      </c>
      <c r="N103" s="28">
        <f t="shared" si="142"/>
        <v>0</v>
      </c>
      <c r="O103" s="28">
        <f t="shared" si="143"/>
        <v>1620</v>
      </c>
      <c r="P103" s="28">
        <f t="shared" si="144"/>
        <v>0</v>
      </c>
      <c r="Q103" s="28">
        <f t="shared" si="145"/>
        <v>1620</v>
      </c>
      <c r="R103" s="26">
        <v>53</v>
      </c>
      <c r="T103" s="67"/>
      <c r="U103"/>
    </row>
    <row r="104" spans="1:21" ht="15" x14ac:dyDescent="0.25">
      <c r="A104" s="38" t="s">
        <v>418</v>
      </c>
      <c r="B104" s="13">
        <v>43</v>
      </c>
      <c r="C104" s="14" t="s">
        <v>7</v>
      </c>
      <c r="D104" s="13" t="s">
        <v>27</v>
      </c>
      <c r="E104" s="26" t="str">
        <f>VLOOKUP(C104,Resources!B:G,3,FALSE)</f>
        <v>L</v>
      </c>
      <c r="F104" s="15">
        <v>3</v>
      </c>
      <c r="G104" s="15">
        <f>G103</f>
        <v>17.777777777777779</v>
      </c>
      <c r="H104" s="15">
        <f>H100</f>
        <v>160</v>
      </c>
      <c r="I104" s="15">
        <f>VLOOKUP(C104,Resources!B:G,6,FALSE)</f>
        <v>48</v>
      </c>
      <c r="J104" s="27">
        <f>(H104/G104)*I104*F104</f>
        <v>1296</v>
      </c>
      <c r="K104" s="27">
        <f t="shared" si="139"/>
        <v>27</v>
      </c>
      <c r="L104" s="157">
        <f t="shared" si="140"/>
        <v>9</v>
      </c>
      <c r="M104" s="28">
        <f t="shared" si="141"/>
        <v>1296</v>
      </c>
      <c r="N104" s="28">
        <f t="shared" si="142"/>
        <v>0</v>
      </c>
      <c r="O104" s="28">
        <f t="shared" si="143"/>
        <v>0</v>
      </c>
      <c r="P104" s="28">
        <f t="shared" si="144"/>
        <v>0</v>
      </c>
      <c r="Q104" s="28">
        <f t="shared" si="145"/>
        <v>1296</v>
      </c>
      <c r="R104" s="26">
        <v>53</v>
      </c>
      <c r="T104" s="67"/>
      <c r="U104"/>
    </row>
    <row r="105" spans="1:21" ht="15" x14ac:dyDescent="0.25">
      <c r="A105" s="38" t="s">
        <v>418</v>
      </c>
      <c r="B105" s="13">
        <v>44</v>
      </c>
      <c r="C105" s="14" t="s">
        <v>75</v>
      </c>
      <c r="D105" s="13" t="s">
        <v>54</v>
      </c>
      <c r="E105" s="26" t="str">
        <f>VLOOKUP(C105,Resources!B:G,3,FALSE)</f>
        <v>P</v>
      </c>
      <c r="F105" s="15">
        <v>1</v>
      </c>
      <c r="G105" s="15">
        <f>G102*9</f>
        <v>160</v>
      </c>
      <c r="H105" s="15">
        <f>H100/9</f>
        <v>17.777777777777779</v>
      </c>
      <c r="I105" s="15">
        <f>VLOOKUP(C105,Resources!B:G,6,FALSE)</f>
        <v>365</v>
      </c>
      <c r="J105" s="27">
        <f>(H105/G105)*I105*F105</f>
        <v>40.555555555555557</v>
      </c>
      <c r="K105" s="27">
        <f t="shared" si="139"/>
        <v>0.11111111111111112</v>
      </c>
      <c r="L105" s="157">
        <f t="shared" si="140"/>
        <v>0.11111111111111112</v>
      </c>
      <c r="M105" s="28">
        <f t="shared" si="141"/>
        <v>0</v>
      </c>
      <c r="N105" s="28">
        <f t="shared" si="142"/>
        <v>0</v>
      </c>
      <c r="O105" s="28">
        <f t="shared" si="143"/>
        <v>40.555555555555557</v>
      </c>
      <c r="P105" s="28">
        <f t="shared" si="144"/>
        <v>0</v>
      </c>
      <c r="Q105" s="28">
        <f t="shared" si="145"/>
        <v>40.555555555555557</v>
      </c>
      <c r="R105" s="26">
        <v>53</v>
      </c>
      <c r="T105" s="67"/>
      <c r="U105"/>
    </row>
    <row r="106" spans="1:21" ht="15" x14ac:dyDescent="0.25">
      <c r="A106" s="38" t="s">
        <v>418</v>
      </c>
      <c r="B106" s="13">
        <v>45</v>
      </c>
      <c r="C106" s="14" t="s">
        <v>32</v>
      </c>
      <c r="D106" s="13" t="s">
        <v>27</v>
      </c>
      <c r="E106" s="26" t="str">
        <f>VLOOKUP(C106,Resources!B:G,3,FALSE)</f>
        <v>P</v>
      </c>
      <c r="F106" s="15">
        <v>1</v>
      </c>
      <c r="G106" s="15">
        <f>G102*9</f>
        <v>160</v>
      </c>
      <c r="H106" s="15">
        <f>H100/9</f>
        <v>17.777777777777779</v>
      </c>
      <c r="I106" s="15">
        <f>VLOOKUP(C106,Resources!B:G,6,FALSE)</f>
        <v>35</v>
      </c>
      <c r="J106" s="27">
        <f>(H106/G106)*I106*F106</f>
        <v>3.8888888888888893</v>
      </c>
      <c r="K106" s="27">
        <f t="shared" si="139"/>
        <v>0.11111111111111112</v>
      </c>
      <c r="L106" s="157">
        <f t="shared" si="140"/>
        <v>0.11111111111111112</v>
      </c>
      <c r="M106" s="28">
        <f t="shared" si="141"/>
        <v>0</v>
      </c>
      <c r="N106" s="28">
        <f t="shared" si="142"/>
        <v>0</v>
      </c>
      <c r="O106" s="28">
        <f t="shared" si="143"/>
        <v>3.8888888888888893</v>
      </c>
      <c r="P106" s="28">
        <f t="shared" si="144"/>
        <v>0</v>
      </c>
      <c r="Q106" s="28">
        <f t="shared" si="145"/>
        <v>3.8888888888888893</v>
      </c>
      <c r="R106" s="26">
        <v>53</v>
      </c>
      <c r="T106" s="67"/>
      <c r="U106"/>
    </row>
    <row r="107" spans="1:21" ht="15" x14ac:dyDescent="0.25">
      <c r="A107" s="38">
        <v>21</v>
      </c>
      <c r="B107" s="5">
        <v>46</v>
      </c>
      <c r="C107" s="5" t="s">
        <v>242</v>
      </c>
      <c r="D107" s="6" t="s">
        <v>299</v>
      </c>
      <c r="E107" s="25"/>
      <c r="F107" s="7"/>
      <c r="G107" s="7"/>
      <c r="H107" s="36">
        <f>VLOOKUP($A107,'Model Inputs'!$A:$C,3,FALSE)</f>
        <v>6</v>
      </c>
      <c r="I107" s="7"/>
      <c r="J107" s="8">
        <f>SUBTOTAL(9,J109:J113)</f>
        <v>4130.4444444444443</v>
      </c>
      <c r="K107" s="29"/>
      <c r="L107" s="156">
        <f>MAX(L109:L113)/Work</f>
        <v>1</v>
      </c>
      <c r="M107" s="8">
        <f>SUBTOTAL(9,M109:M113)</f>
        <v>1296</v>
      </c>
      <c r="N107" s="8">
        <f t="shared" ref="N107:Q107" si="146">SUBTOTAL(9,N109:N113)</f>
        <v>0</v>
      </c>
      <c r="O107" s="8">
        <f t="shared" si="146"/>
        <v>2834.4444444444443</v>
      </c>
      <c r="P107" s="8">
        <f t="shared" si="146"/>
        <v>0</v>
      </c>
      <c r="Q107" s="8">
        <f t="shared" si="146"/>
        <v>4130.4444444444443</v>
      </c>
      <c r="R107" s="25"/>
      <c r="T107" s="67"/>
      <c r="U107"/>
    </row>
    <row r="108" spans="1:21" ht="15" x14ac:dyDescent="0.25">
      <c r="A108" s="38" t="s">
        <v>418</v>
      </c>
      <c r="B108" s="13">
        <v>47</v>
      </c>
      <c r="C108" s="14" t="s">
        <v>5</v>
      </c>
      <c r="D108" s="13"/>
      <c r="E108" s="26"/>
      <c r="F108" s="15"/>
      <c r="G108" s="15"/>
      <c r="H108" s="15">
        <f>H107</f>
        <v>6</v>
      </c>
      <c r="I108" s="15"/>
      <c r="J108" s="15"/>
      <c r="K108" s="30"/>
      <c r="L108" s="157"/>
      <c r="M108" s="16"/>
      <c r="N108" s="16"/>
      <c r="O108" s="16"/>
      <c r="P108" s="16"/>
      <c r="Q108" s="16"/>
      <c r="R108" s="26"/>
      <c r="T108" s="67"/>
      <c r="U108"/>
    </row>
    <row r="109" spans="1:21" ht="15" x14ac:dyDescent="0.25">
      <c r="A109" s="38">
        <v>21.1</v>
      </c>
      <c r="B109" s="13">
        <v>48</v>
      </c>
      <c r="C109" s="14" t="s">
        <v>73</v>
      </c>
      <c r="D109" s="13" t="s">
        <v>27</v>
      </c>
      <c r="E109" s="26" t="str">
        <f>VLOOKUP(C109,Resources!B:G,3,FALSE)</f>
        <v>P</v>
      </c>
      <c r="F109" s="15">
        <v>1</v>
      </c>
      <c r="G109" s="36">
        <f>VLOOKUP($A109,'Model Inputs'!$A:$C,3,FALSE)</f>
        <v>0.66666666666666663</v>
      </c>
      <c r="H109" s="15">
        <f>H107</f>
        <v>6</v>
      </c>
      <c r="I109" s="15">
        <f>VLOOKUP(C109,Resources!B:G,6,FALSE)</f>
        <v>130</v>
      </c>
      <c r="J109" s="27">
        <f>(H109/G109)*I109*F109</f>
        <v>1170</v>
      </c>
      <c r="K109" s="27">
        <f t="shared" ref="K109:K113" si="147">IF(E109="M"," ",L109*F109)</f>
        <v>9</v>
      </c>
      <c r="L109" s="157">
        <f t="shared" ref="L109:L113" si="148">IF(E109="M"," ",H109/G109)</f>
        <v>9</v>
      </c>
      <c r="M109" s="28">
        <f t="shared" ref="M109:M113" si="149">IF($E109="L",$J109,0)</f>
        <v>0</v>
      </c>
      <c r="N109" s="28">
        <f t="shared" ref="N109:N113" si="150">IF($E109="M",$J109,0)</f>
        <v>0</v>
      </c>
      <c r="O109" s="28">
        <f t="shared" ref="O109:O113" si="151">IF($E109="P",$J109,0)</f>
        <v>1170</v>
      </c>
      <c r="P109" s="28">
        <f t="shared" ref="P109:P113" si="152">IF($E109="S",$J109,0)</f>
        <v>0</v>
      </c>
      <c r="Q109" s="28">
        <f t="shared" ref="Q109:Q113" si="153">SUM(M109:P109)</f>
        <v>1170</v>
      </c>
      <c r="R109" s="26">
        <v>53</v>
      </c>
      <c r="T109" s="67"/>
      <c r="U109"/>
    </row>
    <row r="110" spans="1:21" ht="15" x14ac:dyDescent="0.25">
      <c r="A110" s="38" t="s">
        <v>418</v>
      </c>
      <c r="B110" s="13">
        <v>49</v>
      </c>
      <c r="C110" s="14" t="s">
        <v>74</v>
      </c>
      <c r="D110" s="13" t="s">
        <v>27</v>
      </c>
      <c r="E110" s="26" t="str">
        <f>VLOOKUP(C110,Resources!B:G,3,FALSE)</f>
        <v>P</v>
      </c>
      <c r="F110" s="15">
        <v>2</v>
      </c>
      <c r="G110" s="15">
        <f>G109</f>
        <v>0.66666666666666663</v>
      </c>
      <c r="H110" s="15">
        <f>H107</f>
        <v>6</v>
      </c>
      <c r="I110" s="15">
        <f>VLOOKUP(C110,Resources!B:G,6,FALSE)</f>
        <v>90</v>
      </c>
      <c r="J110" s="27">
        <f>(H110/G110)*I110*F110</f>
        <v>1620</v>
      </c>
      <c r="K110" s="27">
        <f t="shared" si="147"/>
        <v>18</v>
      </c>
      <c r="L110" s="157">
        <f t="shared" si="148"/>
        <v>9</v>
      </c>
      <c r="M110" s="28">
        <f t="shared" si="149"/>
        <v>0</v>
      </c>
      <c r="N110" s="28">
        <f t="shared" si="150"/>
        <v>0</v>
      </c>
      <c r="O110" s="28">
        <f t="shared" si="151"/>
        <v>1620</v>
      </c>
      <c r="P110" s="28">
        <f t="shared" si="152"/>
        <v>0</v>
      </c>
      <c r="Q110" s="28">
        <f t="shared" si="153"/>
        <v>1620</v>
      </c>
      <c r="R110" s="26">
        <v>53</v>
      </c>
      <c r="T110" s="67"/>
      <c r="U110"/>
    </row>
    <row r="111" spans="1:21" ht="15" x14ac:dyDescent="0.25">
      <c r="A111" s="38" t="s">
        <v>418</v>
      </c>
      <c r="B111" s="13">
        <v>50</v>
      </c>
      <c r="C111" s="14" t="s">
        <v>7</v>
      </c>
      <c r="D111" s="13" t="s">
        <v>27</v>
      </c>
      <c r="E111" s="26" t="str">
        <f>VLOOKUP(C111,Resources!B:G,3,FALSE)</f>
        <v>L</v>
      </c>
      <c r="F111" s="15">
        <v>3</v>
      </c>
      <c r="G111" s="15">
        <f>G110</f>
        <v>0.66666666666666663</v>
      </c>
      <c r="H111" s="15">
        <f>H107</f>
        <v>6</v>
      </c>
      <c r="I111" s="15">
        <f>VLOOKUP(C111,Resources!B:G,6,FALSE)</f>
        <v>48</v>
      </c>
      <c r="J111" s="27">
        <f>(H111/G111)*I111*F111</f>
        <v>1296</v>
      </c>
      <c r="K111" s="27">
        <f t="shared" si="147"/>
        <v>27</v>
      </c>
      <c r="L111" s="157">
        <f t="shared" si="148"/>
        <v>9</v>
      </c>
      <c r="M111" s="28">
        <f t="shared" si="149"/>
        <v>1296</v>
      </c>
      <c r="N111" s="28">
        <f t="shared" si="150"/>
        <v>0</v>
      </c>
      <c r="O111" s="28">
        <f t="shared" si="151"/>
        <v>0</v>
      </c>
      <c r="P111" s="28">
        <f t="shared" si="152"/>
        <v>0</v>
      </c>
      <c r="Q111" s="28">
        <f t="shared" si="153"/>
        <v>1296</v>
      </c>
      <c r="R111" s="26">
        <v>53</v>
      </c>
      <c r="T111" s="67"/>
      <c r="U111"/>
    </row>
    <row r="112" spans="1:21" ht="15" x14ac:dyDescent="0.25">
      <c r="A112" s="38" t="s">
        <v>418</v>
      </c>
      <c r="B112" s="13">
        <v>51</v>
      </c>
      <c r="C112" s="14" t="s">
        <v>75</v>
      </c>
      <c r="D112" s="13" t="s">
        <v>54</v>
      </c>
      <c r="E112" s="26" t="str">
        <f>VLOOKUP(C112,Resources!B:G,3,FALSE)</f>
        <v>P</v>
      </c>
      <c r="F112" s="15">
        <v>1</v>
      </c>
      <c r="G112" s="15">
        <f>G109*9</f>
        <v>6</v>
      </c>
      <c r="H112" s="15">
        <f>H107/9</f>
        <v>0.66666666666666663</v>
      </c>
      <c r="I112" s="15">
        <f>VLOOKUP(C112,Resources!B:G,6,FALSE)</f>
        <v>365</v>
      </c>
      <c r="J112" s="27">
        <f>(H112/G112)*I112*F112</f>
        <v>40.55555555555555</v>
      </c>
      <c r="K112" s="27">
        <f t="shared" si="147"/>
        <v>0.1111111111111111</v>
      </c>
      <c r="L112" s="157">
        <f t="shared" si="148"/>
        <v>0.1111111111111111</v>
      </c>
      <c r="M112" s="28">
        <f t="shared" si="149"/>
        <v>0</v>
      </c>
      <c r="N112" s="28">
        <f t="shared" si="150"/>
        <v>0</v>
      </c>
      <c r="O112" s="28">
        <f t="shared" si="151"/>
        <v>40.55555555555555</v>
      </c>
      <c r="P112" s="28">
        <f t="shared" si="152"/>
        <v>0</v>
      </c>
      <c r="Q112" s="28">
        <f t="shared" si="153"/>
        <v>40.55555555555555</v>
      </c>
      <c r="R112" s="26">
        <v>53</v>
      </c>
      <c r="T112" s="67"/>
      <c r="U112"/>
    </row>
    <row r="113" spans="1:21" ht="15" x14ac:dyDescent="0.25">
      <c r="A113" s="38" t="s">
        <v>418</v>
      </c>
      <c r="B113" s="13">
        <v>52</v>
      </c>
      <c r="C113" s="14" t="s">
        <v>32</v>
      </c>
      <c r="D113" s="13" t="s">
        <v>27</v>
      </c>
      <c r="E113" s="26" t="str">
        <f>VLOOKUP(C113,Resources!B:G,3,FALSE)</f>
        <v>P</v>
      </c>
      <c r="F113" s="15">
        <v>1</v>
      </c>
      <c r="G113" s="15">
        <f>G109*9</f>
        <v>6</v>
      </c>
      <c r="H113" s="15">
        <f>H107/9</f>
        <v>0.66666666666666663</v>
      </c>
      <c r="I113" s="15">
        <f>VLOOKUP(C113,Resources!B:G,6,FALSE)</f>
        <v>35</v>
      </c>
      <c r="J113" s="27">
        <f>(H113/G113)*I113*F113</f>
        <v>3.8888888888888888</v>
      </c>
      <c r="K113" s="27">
        <f t="shared" si="147"/>
        <v>0.1111111111111111</v>
      </c>
      <c r="L113" s="157">
        <f t="shared" si="148"/>
        <v>0.1111111111111111</v>
      </c>
      <c r="M113" s="28">
        <f t="shared" si="149"/>
        <v>0</v>
      </c>
      <c r="N113" s="28">
        <f t="shared" si="150"/>
        <v>0</v>
      </c>
      <c r="O113" s="28">
        <f t="shared" si="151"/>
        <v>3.8888888888888888</v>
      </c>
      <c r="P113" s="28">
        <f t="shared" si="152"/>
        <v>0</v>
      </c>
      <c r="Q113" s="28">
        <f t="shared" si="153"/>
        <v>3.8888888888888888</v>
      </c>
      <c r="R113" s="26">
        <v>53</v>
      </c>
      <c r="T113" s="67"/>
      <c r="U113"/>
    </row>
    <row r="114" spans="1:21" ht="15" x14ac:dyDescent="0.25">
      <c r="A114" s="38">
        <v>22</v>
      </c>
      <c r="B114" s="5">
        <v>53</v>
      </c>
      <c r="C114" s="5" t="s">
        <v>243</v>
      </c>
      <c r="D114" s="6" t="s">
        <v>300</v>
      </c>
      <c r="E114" s="25"/>
      <c r="F114" s="7"/>
      <c r="G114" s="7"/>
      <c r="H114" s="36">
        <f>VLOOKUP($A114,'Model Inputs'!$A:$C,3,FALSE)</f>
        <v>16140</v>
      </c>
      <c r="I114" s="7"/>
      <c r="J114" s="8">
        <f>SUBTOTAL(9,J116:J120)</f>
        <v>88577.724444444451</v>
      </c>
      <c r="K114" s="29"/>
      <c r="L114" s="156">
        <f>ROUNDUP(MAX(L116:L120)/Work,0)</f>
        <v>19</v>
      </c>
      <c r="M114" s="8">
        <f>SUBTOTAL(9,M116:M120)</f>
        <v>23435.279999999999</v>
      </c>
      <c r="N114" s="8">
        <f t="shared" ref="N114:Q114" si="154">SUBTOTAL(9,N116:N120)</f>
        <v>0</v>
      </c>
      <c r="O114" s="8">
        <f t="shared" si="154"/>
        <v>65142.444444444445</v>
      </c>
      <c r="P114" s="8">
        <f t="shared" si="154"/>
        <v>0</v>
      </c>
      <c r="Q114" s="8">
        <f t="shared" si="154"/>
        <v>88577.724444444451</v>
      </c>
      <c r="R114" s="25"/>
      <c r="T114" s="67"/>
      <c r="U114"/>
    </row>
    <row r="115" spans="1:21" ht="15" x14ac:dyDescent="0.25">
      <c r="A115" s="38" t="s">
        <v>418</v>
      </c>
      <c r="B115" s="13">
        <v>54</v>
      </c>
      <c r="C115" s="14" t="s">
        <v>5</v>
      </c>
      <c r="D115" s="13"/>
      <c r="E115" s="26"/>
      <c r="F115" s="15"/>
      <c r="G115" s="15"/>
      <c r="H115" s="15">
        <f>H114</f>
        <v>16140</v>
      </c>
      <c r="I115" s="15"/>
      <c r="J115" s="15"/>
      <c r="K115" s="30"/>
      <c r="L115" s="157"/>
      <c r="M115" s="16"/>
      <c r="N115" s="16"/>
      <c r="O115" s="16"/>
      <c r="P115" s="16"/>
      <c r="Q115" s="16"/>
      <c r="R115" s="26"/>
      <c r="T115" s="67"/>
      <c r="U115"/>
    </row>
    <row r="116" spans="1:21" ht="15" x14ac:dyDescent="0.25">
      <c r="A116" s="38">
        <v>22.1</v>
      </c>
      <c r="B116" s="13">
        <v>55</v>
      </c>
      <c r="C116" s="14" t="s">
        <v>73</v>
      </c>
      <c r="D116" s="13" t="s">
        <v>27</v>
      </c>
      <c r="E116" s="26" t="str">
        <f>VLOOKUP(C116,Resources!B:G,3,FALSE)</f>
        <v>P</v>
      </c>
      <c r="F116" s="15">
        <v>1</v>
      </c>
      <c r="G116" s="36">
        <f>VLOOKUP($A116,'Model Inputs'!$A:$C,3,FALSE)</f>
        <v>36</v>
      </c>
      <c r="H116" s="15">
        <f>H114*0.363</f>
        <v>5858.82</v>
      </c>
      <c r="I116" s="15">
        <f>VLOOKUP(C116,Resources!B:G,6,FALSE)</f>
        <v>130</v>
      </c>
      <c r="J116" s="27">
        <f>(H116/G116)*I116*F116</f>
        <v>21156.850000000002</v>
      </c>
      <c r="K116" s="27">
        <f t="shared" ref="K116:K120" si="155">IF(E116="M"," ",L116*F116)</f>
        <v>162.745</v>
      </c>
      <c r="L116" s="157">
        <f t="shared" ref="L116:L120" si="156">IF(E116="M"," ",H116/G116)</f>
        <v>162.745</v>
      </c>
      <c r="M116" s="28">
        <f t="shared" ref="M116:M120" si="157">IF($E116="L",$J116,0)</f>
        <v>0</v>
      </c>
      <c r="N116" s="28">
        <f t="shared" ref="N116:N120" si="158">IF($E116="M",$J116,0)</f>
        <v>0</v>
      </c>
      <c r="O116" s="28">
        <f t="shared" ref="O116:O120" si="159">IF($E116="P",$J116,0)</f>
        <v>21156.850000000002</v>
      </c>
      <c r="P116" s="28">
        <f t="shared" ref="P116:P120" si="160">IF($E116="S",$J116,0)</f>
        <v>0</v>
      </c>
      <c r="Q116" s="28">
        <f t="shared" ref="Q116:Q120" si="161">SUM(M116:P116)</f>
        <v>21156.850000000002</v>
      </c>
      <c r="R116" s="26">
        <v>53</v>
      </c>
      <c r="T116" s="67"/>
      <c r="U116"/>
    </row>
    <row r="117" spans="1:21" ht="15" x14ac:dyDescent="0.25">
      <c r="A117" s="38" t="s">
        <v>418</v>
      </c>
      <c r="B117" s="13">
        <v>56</v>
      </c>
      <c r="C117" s="14" t="s">
        <v>74</v>
      </c>
      <c r="D117" s="13" t="s">
        <v>27</v>
      </c>
      <c r="E117" s="26" t="str">
        <f>VLOOKUP(C117,Resources!B:G,3,FALSE)</f>
        <v>P</v>
      </c>
      <c r="F117" s="15">
        <v>3</v>
      </c>
      <c r="G117" s="15">
        <f>G116</f>
        <v>36</v>
      </c>
      <c r="H117" s="15">
        <f>H116</f>
        <v>5858.82</v>
      </c>
      <c r="I117" s="15">
        <f>VLOOKUP(C117,Resources!B:G,6,FALSE)</f>
        <v>90</v>
      </c>
      <c r="J117" s="27">
        <f>(H117/G117)*I117*F117</f>
        <v>43941.15</v>
      </c>
      <c r="K117" s="27">
        <f t="shared" si="155"/>
        <v>488.23500000000001</v>
      </c>
      <c r="L117" s="157">
        <f t="shared" si="156"/>
        <v>162.745</v>
      </c>
      <c r="M117" s="28">
        <f t="shared" si="157"/>
        <v>0</v>
      </c>
      <c r="N117" s="28">
        <f t="shared" si="158"/>
        <v>0</v>
      </c>
      <c r="O117" s="28">
        <f t="shared" si="159"/>
        <v>43941.15</v>
      </c>
      <c r="P117" s="28">
        <f t="shared" si="160"/>
        <v>0</v>
      </c>
      <c r="Q117" s="28">
        <f t="shared" si="161"/>
        <v>43941.15</v>
      </c>
      <c r="R117" s="26">
        <v>53</v>
      </c>
      <c r="T117" s="67"/>
      <c r="U117"/>
    </row>
    <row r="118" spans="1:21" ht="15" x14ac:dyDescent="0.25">
      <c r="A118" s="38" t="s">
        <v>418</v>
      </c>
      <c r="B118" s="13">
        <v>57</v>
      </c>
      <c r="C118" s="14" t="s">
        <v>7</v>
      </c>
      <c r="D118" s="13" t="s">
        <v>27</v>
      </c>
      <c r="E118" s="26" t="str">
        <f>VLOOKUP(C118,Resources!B:G,3,FALSE)</f>
        <v>L</v>
      </c>
      <c r="F118" s="15">
        <v>3</v>
      </c>
      <c r="G118" s="15">
        <f>G116</f>
        <v>36</v>
      </c>
      <c r="H118" s="15">
        <f>H116</f>
        <v>5858.82</v>
      </c>
      <c r="I118" s="15">
        <f>VLOOKUP(C118,Resources!B:G,6,FALSE)</f>
        <v>48</v>
      </c>
      <c r="J118" s="27">
        <f>(H118/G118)*I118*F118</f>
        <v>23435.279999999999</v>
      </c>
      <c r="K118" s="27">
        <f t="shared" si="155"/>
        <v>488.23500000000001</v>
      </c>
      <c r="L118" s="157">
        <f t="shared" si="156"/>
        <v>162.745</v>
      </c>
      <c r="M118" s="28">
        <f t="shared" si="157"/>
        <v>23435.279999999999</v>
      </c>
      <c r="N118" s="28">
        <f t="shared" si="158"/>
        <v>0</v>
      </c>
      <c r="O118" s="28">
        <f t="shared" si="159"/>
        <v>0</v>
      </c>
      <c r="P118" s="28">
        <f t="shared" si="160"/>
        <v>0</v>
      </c>
      <c r="Q118" s="28">
        <f t="shared" si="161"/>
        <v>23435.279999999999</v>
      </c>
      <c r="R118" s="26">
        <v>53</v>
      </c>
      <c r="T118" s="67"/>
      <c r="U118"/>
    </row>
    <row r="119" spans="1:21" ht="15" x14ac:dyDescent="0.25">
      <c r="A119" s="38" t="s">
        <v>418</v>
      </c>
      <c r="B119" s="13">
        <v>58</v>
      </c>
      <c r="C119" s="14" t="s">
        <v>75</v>
      </c>
      <c r="D119" s="13" t="s">
        <v>54</v>
      </c>
      <c r="E119" s="26" t="str">
        <f>VLOOKUP(C119,Resources!B:G,3,FALSE)</f>
        <v>P</v>
      </c>
      <c r="F119" s="15">
        <v>1</v>
      </c>
      <c r="G119" s="15">
        <f>G116*9</f>
        <v>324</v>
      </c>
      <c r="H119" s="15">
        <v>36</v>
      </c>
      <c r="I119" s="15">
        <f>VLOOKUP(C119,Resources!B:G,6,FALSE)</f>
        <v>365</v>
      </c>
      <c r="J119" s="27">
        <f>(H119/G119)*I119*F119</f>
        <v>40.55555555555555</v>
      </c>
      <c r="K119" s="27">
        <f t="shared" si="155"/>
        <v>0.1111111111111111</v>
      </c>
      <c r="L119" s="157">
        <f t="shared" si="156"/>
        <v>0.1111111111111111</v>
      </c>
      <c r="M119" s="28">
        <f t="shared" si="157"/>
        <v>0</v>
      </c>
      <c r="N119" s="28">
        <f t="shared" si="158"/>
        <v>0</v>
      </c>
      <c r="O119" s="28">
        <f t="shared" si="159"/>
        <v>40.55555555555555</v>
      </c>
      <c r="P119" s="28">
        <f t="shared" si="160"/>
        <v>0</v>
      </c>
      <c r="Q119" s="28">
        <f t="shared" si="161"/>
        <v>40.55555555555555</v>
      </c>
      <c r="R119" s="26">
        <v>53</v>
      </c>
      <c r="T119" s="67"/>
      <c r="U119"/>
    </row>
    <row r="120" spans="1:21" ht="15" x14ac:dyDescent="0.25">
      <c r="A120" s="38" t="s">
        <v>418</v>
      </c>
      <c r="B120" s="13">
        <v>59</v>
      </c>
      <c r="C120" s="14" t="s">
        <v>32</v>
      </c>
      <c r="D120" s="13" t="s">
        <v>27</v>
      </c>
      <c r="E120" s="26" t="str">
        <f>VLOOKUP(C120,Resources!B:G,3,FALSE)</f>
        <v>P</v>
      </c>
      <c r="F120" s="15">
        <v>1</v>
      </c>
      <c r="G120" s="15">
        <f>G119</f>
        <v>324</v>
      </c>
      <c r="H120" s="15">
        <v>36</v>
      </c>
      <c r="I120" s="15">
        <f>VLOOKUP(C120,Resources!B:G,6,FALSE)</f>
        <v>35</v>
      </c>
      <c r="J120" s="27">
        <f>(H120/G120)*I120*F120</f>
        <v>3.8888888888888888</v>
      </c>
      <c r="K120" s="27">
        <f t="shared" si="155"/>
        <v>0.1111111111111111</v>
      </c>
      <c r="L120" s="157">
        <f t="shared" si="156"/>
        <v>0.1111111111111111</v>
      </c>
      <c r="M120" s="28">
        <f t="shared" si="157"/>
        <v>0</v>
      </c>
      <c r="N120" s="28">
        <f t="shared" si="158"/>
        <v>0</v>
      </c>
      <c r="O120" s="28">
        <f t="shared" si="159"/>
        <v>3.8888888888888888</v>
      </c>
      <c r="P120" s="28">
        <f t="shared" si="160"/>
        <v>0</v>
      </c>
      <c r="Q120" s="28">
        <f t="shared" si="161"/>
        <v>3.8888888888888888</v>
      </c>
      <c r="R120" s="26">
        <v>53</v>
      </c>
      <c r="T120" s="67"/>
      <c r="U120"/>
    </row>
    <row r="121" spans="1:21" ht="15" x14ac:dyDescent="0.25">
      <c r="A121" s="38">
        <v>23</v>
      </c>
      <c r="B121" s="5">
        <v>61</v>
      </c>
      <c r="C121" s="5" t="s">
        <v>244</v>
      </c>
      <c r="D121" s="6" t="s">
        <v>299</v>
      </c>
      <c r="E121" s="25"/>
      <c r="F121" s="7"/>
      <c r="G121" s="7"/>
      <c r="H121" s="36">
        <f>VLOOKUP($A121,'Model Inputs'!$A:$C,3,FALSE)</f>
        <v>264</v>
      </c>
      <c r="I121" s="7"/>
      <c r="J121" s="8">
        <f>SUBTOTAL(9,J123:J127)</f>
        <v>4130.4444444444443</v>
      </c>
      <c r="K121" s="29"/>
      <c r="L121" s="156">
        <f>MAX(L123:L127)/Work</f>
        <v>1</v>
      </c>
      <c r="M121" s="8">
        <f>SUBTOTAL(9,M123:M127)</f>
        <v>1296</v>
      </c>
      <c r="N121" s="8">
        <f t="shared" ref="N121:Q121" si="162">SUBTOTAL(9,N123:N127)</f>
        <v>0</v>
      </c>
      <c r="O121" s="8">
        <f t="shared" si="162"/>
        <v>2834.4444444444443</v>
      </c>
      <c r="P121" s="8">
        <f t="shared" si="162"/>
        <v>0</v>
      </c>
      <c r="Q121" s="8">
        <f t="shared" si="162"/>
        <v>4130.4444444444443</v>
      </c>
      <c r="R121" s="25"/>
      <c r="T121" s="67"/>
      <c r="U121"/>
    </row>
    <row r="122" spans="1:21" ht="15" x14ac:dyDescent="0.25">
      <c r="A122" s="38" t="s">
        <v>418</v>
      </c>
      <c r="B122" s="13">
        <v>62</v>
      </c>
      <c r="C122" s="14" t="s">
        <v>5</v>
      </c>
      <c r="D122" s="13"/>
      <c r="E122" s="26"/>
      <c r="F122" s="15"/>
      <c r="G122" s="15"/>
      <c r="H122" s="15">
        <f>H121</f>
        <v>264</v>
      </c>
      <c r="I122" s="15"/>
      <c r="J122" s="15"/>
      <c r="K122" s="30"/>
      <c r="L122" s="157"/>
      <c r="M122" s="16"/>
      <c r="N122" s="16"/>
      <c r="O122" s="16"/>
      <c r="P122" s="16"/>
      <c r="Q122" s="16"/>
      <c r="R122" s="26"/>
      <c r="T122" s="67"/>
      <c r="U122"/>
    </row>
    <row r="123" spans="1:21" ht="15" x14ac:dyDescent="0.25">
      <c r="A123" s="38">
        <v>23.1</v>
      </c>
      <c r="B123" s="13">
        <v>63</v>
      </c>
      <c r="C123" s="14" t="s">
        <v>73</v>
      </c>
      <c r="D123" s="13" t="s">
        <v>27</v>
      </c>
      <c r="E123" s="26" t="str">
        <f>VLOOKUP(C123,Resources!B:G,3,FALSE)</f>
        <v>P</v>
      </c>
      <c r="F123" s="15">
        <v>1</v>
      </c>
      <c r="G123" s="36">
        <f>VLOOKUP($A123,'Model Inputs'!$A:$C,3,FALSE)</f>
        <v>29.333333333333332</v>
      </c>
      <c r="H123" s="15">
        <f>H121</f>
        <v>264</v>
      </c>
      <c r="I123" s="15">
        <f>VLOOKUP(C123,Resources!B:G,6,FALSE)</f>
        <v>130</v>
      </c>
      <c r="J123" s="27">
        <f>(H123/G123)*I123*F123</f>
        <v>1170</v>
      </c>
      <c r="K123" s="27">
        <f t="shared" ref="K123:K127" si="163">IF(E123="M"," ",L123*F123)</f>
        <v>9</v>
      </c>
      <c r="L123" s="157">
        <f t="shared" ref="L123:L127" si="164">IF(E123="M"," ",H123/G123)</f>
        <v>9</v>
      </c>
      <c r="M123" s="28">
        <f t="shared" ref="M123:M127" si="165">IF($E123="L",$J123,0)</f>
        <v>0</v>
      </c>
      <c r="N123" s="28">
        <f t="shared" ref="N123:N127" si="166">IF($E123="M",$J123,0)</f>
        <v>0</v>
      </c>
      <c r="O123" s="28">
        <f t="shared" ref="O123:O127" si="167">IF($E123="P",$J123,0)</f>
        <v>1170</v>
      </c>
      <c r="P123" s="28">
        <f t="shared" ref="P123:P127" si="168">IF($E123="S",$J123,0)</f>
        <v>0</v>
      </c>
      <c r="Q123" s="28">
        <f t="shared" ref="Q123:Q127" si="169">SUM(M123:P123)</f>
        <v>1170</v>
      </c>
      <c r="R123" s="26">
        <v>53</v>
      </c>
      <c r="T123" s="67"/>
      <c r="U123"/>
    </row>
    <row r="124" spans="1:21" ht="15" x14ac:dyDescent="0.25">
      <c r="A124" s="38" t="s">
        <v>418</v>
      </c>
      <c r="B124" s="13">
        <v>64</v>
      </c>
      <c r="C124" s="14" t="s">
        <v>74</v>
      </c>
      <c r="D124" s="13" t="s">
        <v>27</v>
      </c>
      <c r="E124" s="26" t="str">
        <f>VLOOKUP(C124,Resources!B:G,3,FALSE)</f>
        <v>P</v>
      </c>
      <c r="F124" s="15">
        <v>2</v>
      </c>
      <c r="G124" s="15">
        <f>G123</f>
        <v>29.333333333333332</v>
      </c>
      <c r="H124" s="15">
        <f>H121</f>
        <v>264</v>
      </c>
      <c r="I124" s="15">
        <f>VLOOKUP(C124,Resources!B:G,6,FALSE)</f>
        <v>90</v>
      </c>
      <c r="J124" s="27">
        <f>(H124/G124)*I124*F124</f>
        <v>1620</v>
      </c>
      <c r="K124" s="27">
        <f t="shared" si="163"/>
        <v>18</v>
      </c>
      <c r="L124" s="157">
        <f t="shared" si="164"/>
        <v>9</v>
      </c>
      <c r="M124" s="28">
        <f t="shared" si="165"/>
        <v>0</v>
      </c>
      <c r="N124" s="28">
        <f t="shared" si="166"/>
        <v>0</v>
      </c>
      <c r="O124" s="28">
        <f t="shared" si="167"/>
        <v>1620</v>
      </c>
      <c r="P124" s="28">
        <f t="shared" si="168"/>
        <v>0</v>
      </c>
      <c r="Q124" s="28">
        <f t="shared" si="169"/>
        <v>1620</v>
      </c>
      <c r="R124" s="26">
        <v>53</v>
      </c>
      <c r="T124" s="67"/>
      <c r="U124"/>
    </row>
    <row r="125" spans="1:21" ht="15" x14ac:dyDescent="0.25">
      <c r="A125" s="38" t="s">
        <v>418</v>
      </c>
      <c r="B125" s="13">
        <v>65</v>
      </c>
      <c r="C125" s="14" t="s">
        <v>7</v>
      </c>
      <c r="D125" s="13" t="s">
        <v>27</v>
      </c>
      <c r="E125" s="26" t="str">
        <f>VLOOKUP(C125,Resources!B:G,3,FALSE)</f>
        <v>L</v>
      </c>
      <c r="F125" s="15">
        <v>3</v>
      </c>
      <c r="G125" s="15">
        <f>G124</f>
        <v>29.333333333333332</v>
      </c>
      <c r="H125" s="15">
        <f>H121</f>
        <v>264</v>
      </c>
      <c r="I125" s="15">
        <f>VLOOKUP(C125,Resources!B:G,6,FALSE)</f>
        <v>48</v>
      </c>
      <c r="J125" s="27">
        <f>(H125/G125)*I125*F125</f>
        <v>1296</v>
      </c>
      <c r="K125" s="27">
        <f t="shared" si="163"/>
        <v>27</v>
      </c>
      <c r="L125" s="157">
        <f t="shared" si="164"/>
        <v>9</v>
      </c>
      <c r="M125" s="28">
        <f t="shared" si="165"/>
        <v>1296</v>
      </c>
      <c r="N125" s="28">
        <f t="shared" si="166"/>
        <v>0</v>
      </c>
      <c r="O125" s="28">
        <f t="shared" si="167"/>
        <v>0</v>
      </c>
      <c r="P125" s="28">
        <f t="shared" si="168"/>
        <v>0</v>
      </c>
      <c r="Q125" s="28">
        <f t="shared" si="169"/>
        <v>1296</v>
      </c>
      <c r="R125" s="26">
        <v>53</v>
      </c>
      <c r="T125" s="67"/>
      <c r="U125"/>
    </row>
    <row r="126" spans="1:21" ht="15" x14ac:dyDescent="0.25">
      <c r="A126" s="38" t="s">
        <v>418</v>
      </c>
      <c r="B126" s="13">
        <v>66</v>
      </c>
      <c r="C126" s="14" t="s">
        <v>75</v>
      </c>
      <c r="D126" s="13" t="s">
        <v>54</v>
      </c>
      <c r="E126" s="26" t="str">
        <f>VLOOKUP(C126,Resources!B:G,3,FALSE)</f>
        <v>P</v>
      </c>
      <c r="F126" s="15">
        <v>1</v>
      </c>
      <c r="G126" s="15">
        <f>G123*9</f>
        <v>264</v>
      </c>
      <c r="H126" s="15">
        <f>H121/9</f>
        <v>29.333333333333332</v>
      </c>
      <c r="I126" s="15">
        <f>VLOOKUP(C126,Resources!B:G,6,FALSE)</f>
        <v>365</v>
      </c>
      <c r="J126" s="27">
        <f>(H126/G126)*I126*F126</f>
        <v>40.55555555555555</v>
      </c>
      <c r="K126" s="27">
        <f t="shared" si="163"/>
        <v>0.1111111111111111</v>
      </c>
      <c r="L126" s="157">
        <f t="shared" si="164"/>
        <v>0.1111111111111111</v>
      </c>
      <c r="M126" s="28">
        <f t="shared" si="165"/>
        <v>0</v>
      </c>
      <c r="N126" s="28">
        <f t="shared" si="166"/>
        <v>0</v>
      </c>
      <c r="O126" s="28">
        <f t="shared" si="167"/>
        <v>40.55555555555555</v>
      </c>
      <c r="P126" s="28">
        <f t="shared" si="168"/>
        <v>0</v>
      </c>
      <c r="Q126" s="28">
        <f t="shared" si="169"/>
        <v>40.55555555555555</v>
      </c>
      <c r="R126" s="26">
        <v>53</v>
      </c>
      <c r="T126" s="67"/>
      <c r="U126"/>
    </row>
    <row r="127" spans="1:21" ht="15" x14ac:dyDescent="0.25">
      <c r="A127" s="38" t="s">
        <v>418</v>
      </c>
      <c r="B127" s="13">
        <v>67</v>
      </c>
      <c r="C127" s="14" t="s">
        <v>32</v>
      </c>
      <c r="D127" s="13" t="s">
        <v>27</v>
      </c>
      <c r="E127" s="26" t="str">
        <f>VLOOKUP(C127,Resources!B:G,3,FALSE)</f>
        <v>P</v>
      </c>
      <c r="F127" s="15">
        <v>1</v>
      </c>
      <c r="G127" s="15">
        <f>G123*9</f>
        <v>264</v>
      </c>
      <c r="H127" s="15">
        <f>H121/9</f>
        <v>29.333333333333332</v>
      </c>
      <c r="I127" s="15">
        <f>VLOOKUP(C127,Resources!B:G,6,FALSE)</f>
        <v>35</v>
      </c>
      <c r="J127" s="27">
        <f>(H127/G127)*I127*F127</f>
        <v>3.8888888888888888</v>
      </c>
      <c r="K127" s="27">
        <f t="shared" si="163"/>
        <v>0.1111111111111111</v>
      </c>
      <c r="L127" s="157">
        <f t="shared" si="164"/>
        <v>0.1111111111111111</v>
      </c>
      <c r="M127" s="28">
        <f t="shared" si="165"/>
        <v>0</v>
      </c>
      <c r="N127" s="28">
        <f t="shared" si="166"/>
        <v>0</v>
      </c>
      <c r="O127" s="28">
        <f t="shared" si="167"/>
        <v>3.8888888888888888</v>
      </c>
      <c r="P127" s="28">
        <f t="shared" si="168"/>
        <v>0</v>
      </c>
      <c r="Q127" s="28">
        <f t="shared" si="169"/>
        <v>3.8888888888888888</v>
      </c>
      <c r="R127" s="26">
        <v>53</v>
      </c>
      <c r="T127" s="67"/>
      <c r="U127"/>
    </row>
    <row r="128" spans="1:21" ht="15" x14ac:dyDescent="0.25">
      <c r="A128" s="38">
        <v>24</v>
      </c>
      <c r="B128" s="5">
        <v>68</v>
      </c>
      <c r="C128" s="5" t="s">
        <v>245</v>
      </c>
      <c r="D128" s="6" t="s">
        <v>300</v>
      </c>
      <c r="E128" s="25"/>
      <c r="F128" s="7"/>
      <c r="G128" s="7"/>
      <c r="H128" s="36">
        <f>VLOOKUP($A128,'Model Inputs'!$A:$C,3,FALSE)</f>
        <v>4915</v>
      </c>
      <c r="I128" s="7"/>
      <c r="J128" s="8">
        <f>SUBTOTAL(9,J130:J134)</f>
        <v>26967.722222222223</v>
      </c>
      <c r="K128" s="29"/>
      <c r="L128" s="156">
        <f>ROUNDUP(MAX(L130:L134)/Work,0)</f>
        <v>6</v>
      </c>
      <c r="M128" s="8">
        <f>SUBTOTAL(9,M130:M134)</f>
        <v>7126.7499999999991</v>
      </c>
      <c r="N128" s="8">
        <f t="shared" ref="N128:Q128" si="170">SUBTOTAL(9,N130:N134)</f>
        <v>0</v>
      </c>
      <c r="O128" s="8">
        <f t="shared" si="170"/>
        <v>19840.972222222223</v>
      </c>
      <c r="P128" s="8">
        <f t="shared" si="170"/>
        <v>0</v>
      </c>
      <c r="Q128" s="8">
        <f t="shared" si="170"/>
        <v>26967.722222222223</v>
      </c>
      <c r="R128" s="25"/>
      <c r="T128" s="67"/>
      <c r="U128"/>
    </row>
    <row r="129" spans="1:21" ht="15" x14ac:dyDescent="0.25">
      <c r="A129" s="38" t="s">
        <v>418</v>
      </c>
      <c r="B129" s="13">
        <v>69</v>
      </c>
      <c r="C129" s="14" t="s">
        <v>5</v>
      </c>
      <c r="D129" s="13"/>
      <c r="E129" s="26"/>
      <c r="F129" s="15"/>
      <c r="G129" s="15"/>
      <c r="H129" s="15">
        <v>4915</v>
      </c>
      <c r="I129" s="15"/>
      <c r="J129" s="15"/>
      <c r="K129" s="30"/>
      <c r="L129" s="157"/>
      <c r="M129" s="16"/>
      <c r="N129" s="16"/>
      <c r="O129" s="16"/>
      <c r="P129" s="16"/>
      <c r="Q129" s="16"/>
      <c r="R129" s="26"/>
      <c r="T129" s="67"/>
      <c r="U129"/>
    </row>
    <row r="130" spans="1:21" ht="15" x14ac:dyDescent="0.25">
      <c r="A130" s="38">
        <v>24.1</v>
      </c>
      <c r="B130" s="13">
        <v>70</v>
      </c>
      <c r="C130" s="14" t="s">
        <v>73</v>
      </c>
      <c r="D130" s="13" t="s">
        <v>27</v>
      </c>
      <c r="E130" s="26" t="str">
        <f>VLOOKUP(C130,Resources!B:G,3,FALSE)</f>
        <v>P</v>
      </c>
      <c r="F130" s="15">
        <v>1</v>
      </c>
      <c r="G130" s="36">
        <f>VLOOKUP($A130,'Model Inputs'!$A:$C,3,FALSE)</f>
        <v>36</v>
      </c>
      <c r="H130" s="15">
        <v>1781.6875</v>
      </c>
      <c r="I130" s="15">
        <f>VLOOKUP(C130,Resources!B:G,6,FALSE)</f>
        <v>130</v>
      </c>
      <c r="J130" s="27">
        <f>(H130/G130)*I130*F130</f>
        <v>6433.8715277777774</v>
      </c>
      <c r="K130" s="27">
        <f t="shared" ref="K130:K134" si="171">IF(E130="M"," ",L130*F130)</f>
        <v>49.491319444444443</v>
      </c>
      <c r="L130" s="157">
        <f t="shared" ref="L130:L134" si="172">IF(E130="M"," ",H130/G130)</f>
        <v>49.491319444444443</v>
      </c>
      <c r="M130" s="28">
        <f t="shared" ref="M130:M134" si="173">IF($E130="L",$J130,0)</f>
        <v>0</v>
      </c>
      <c r="N130" s="28">
        <f t="shared" ref="N130:N134" si="174">IF($E130="M",$J130,0)</f>
        <v>0</v>
      </c>
      <c r="O130" s="28">
        <f t="shared" ref="O130:O134" si="175">IF($E130="P",$J130,0)</f>
        <v>6433.8715277777774</v>
      </c>
      <c r="P130" s="28">
        <f t="shared" ref="P130:P134" si="176">IF($E130="S",$J130,0)</f>
        <v>0</v>
      </c>
      <c r="Q130" s="28">
        <f t="shared" ref="Q130:Q134" si="177">SUM(M130:P130)</f>
        <v>6433.8715277777774</v>
      </c>
      <c r="R130" s="26">
        <v>53</v>
      </c>
      <c r="T130" s="67"/>
      <c r="U130"/>
    </row>
    <row r="131" spans="1:21" ht="15" x14ac:dyDescent="0.25">
      <c r="A131" s="38" t="s">
        <v>418</v>
      </c>
      <c r="B131" s="13">
        <v>71</v>
      </c>
      <c r="C131" s="14" t="s">
        <v>74</v>
      </c>
      <c r="D131" s="13" t="s">
        <v>27</v>
      </c>
      <c r="E131" s="26" t="str">
        <f>VLOOKUP(C131,Resources!B:G,3,FALSE)</f>
        <v>P</v>
      </c>
      <c r="F131" s="15">
        <v>3</v>
      </c>
      <c r="G131" s="15">
        <f>G130</f>
        <v>36</v>
      </c>
      <c r="H131" s="15">
        <v>1781.6875</v>
      </c>
      <c r="I131" s="15">
        <f>VLOOKUP(C131,Resources!B:G,6,FALSE)</f>
        <v>90</v>
      </c>
      <c r="J131" s="27">
        <f>(H131/G131)*I131*F131</f>
        <v>13362.65625</v>
      </c>
      <c r="K131" s="27">
        <f t="shared" si="171"/>
        <v>148.47395833333331</v>
      </c>
      <c r="L131" s="157">
        <f t="shared" si="172"/>
        <v>49.491319444444443</v>
      </c>
      <c r="M131" s="28">
        <f t="shared" si="173"/>
        <v>0</v>
      </c>
      <c r="N131" s="28">
        <f t="shared" si="174"/>
        <v>0</v>
      </c>
      <c r="O131" s="28">
        <f t="shared" si="175"/>
        <v>13362.65625</v>
      </c>
      <c r="P131" s="28">
        <f t="shared" si="176"/>
        <v>0</v>
      </c>
      <c r="Q131" s="28">
        <f t="shared" si="177"/>
        <v>13362.65625</v>
      </c>
      <c r="R131" s="26">
        <v>53</v>
      </c>
      <c r="T131" s="67"/>
      <c r="U131"/>
    </row>
    <row r="132" spans="1:21" ht="15" x14ac:dyDescent="0.25">
      <c r="A132" s="38" t="s">
        <v>418</v>
      </c>
      <c r="B132" s="13">
        <v>72</v>
      </c>
      <c r="C132" s="14" t="s">
        <v>7</v>
      </c>
      <c r="D132" s="13" t="s">
        <v>27</v>
      </c>
      <c r="E132" s="26" t="str">
        <f>VLOOKUP(C132,Resources!B:G,3,FALSE)</f>
        <v>L</v>
      </c>
      <c r="F132" s="15">
        <v>3</v>
      </c>
      <c r="G132" s="15">
        <f>G130</f>
        <v>36</v>
      </c>
      <c r="H132" s="15">
        <v>1781.6875</v>
      </c>
      <c r="I132" s="15">
        <f>VLOOKUP(C132,Resources!B:G,6,FALSE)</f>
        <v>48</v>
      </c>
      <c r="J132" s="27">
        <f>(H132/G132)*I132*F132</f>
        <v>7126.7499999999991</v>
      </c>
      <c r="K132" s="27">
        <f t="shared" si="171"/>
        <v>148.47395833333331</v>
      </c>
      <c r="L132" s="157">
        <f t="shared" si="172"/>
        <v>49.491319444444443</v>
      </c>
      <c r="M132" s="28">
        <f t="shared" si="173"/>
        <v>7126.7499999999991</v>
      </c>
      <c r="N132" s="28">
        <f t="shared" si="174"/>
        <v>0</v>
      </c>
      <c r="O132" s="28">
        <f t="shared" si="175"/>
        <v>0</v>
      </c>
      <c r="P132" s="28">
        <f t="shared" si="176"/>
        <v>0</v>
      </c>
      <c r="Q132" s="28">
        <f t="shared" si="177"/>
        <v>7126.7499999999991</v>
      </c>
      <c r="R132" s="26">
        <v>53</v>
      </c>
      <c r="T132" s="67"/>
      <c r="U132"/>
    </row>
    <row r="133" spans="1:21" ht="15" x14ac:dyDescent="0.25">
      <c r="A133" s="38" t="s">
        <v>418</v>
      </c>
      <c r="B133" s="13">
        <v>73</v>
      </c>
      <c r="C133" s="14" t="s">
        <v>75</v>
      </c>
      <c r="D133" s="13" t="s">
        <v>54</v>
      </c>
      <c r="E133" s="26" t="str">
        <f>VLOOKUP(C133,Resources!B:G,3,FALSE)</f>
        <v>P</v>
      </c>
      <c r="F133" s="15">
        <v>1</v>
      </c>
      <c r="G133" s="15">
        <f>G130*9</f>
        <v>324</v>
      </c>
      <c r="H133" s="15">
        <v>36</v>
      </c>
      <c r="I133" s="15">
        <f>VLOOKUP(C133,Resources!B:G,6,FALSE)</f>
        <v>365</v>
      </c>
      <c r="J133" s="27">
        <f>(H133/G133)*I133*F133</f>
        <v>40.55555555555555</v>
      </c>
      <c r="K133" s="27">
        <f t="shared" si="171"/>
        <v>0.1111111111111111</v>
      </c>
      <c r="L133" s="157">
        <f t="shared" si="172"/>
        <v>0.1111111111111111</v>
      </c>
      <c r="M133" s="28">
        <f t="shared" si="173"/>
        <v>0</v>
      </c>
      <c r="N133" s="28">
        <f t="shared" si="174"/>
        <v>0</v>
      </c>
      <c r="O133" s="28">
        <f t="shared" si="175"/>
        <v>40.55555555555555</v>
      </c>
      <c r="P133" s="28">
        <f t="shared" si="176"/>
        <v>0</v>
      </c>
      <c r="Q133" s="28">
        <f t="shared" si="177"/>
        <v>40.55555555555555</v>
      </c>
      <c r="R133" s="26">
        <v>53</v>
      </c>
      <c r="T133" s="67"/>
      <c r="U133"/>
    </row>
    <row r="134" spans="1:21" ht="15" x14ac:dyDescent="0.25">
      <c r="A134" s="38" t="s">
        <v>418</v>
      </c>
      <c r="B134" s="13">
        <v>74</v>
      </c>
      <c r="C134" s="14" t="s">
        <v>32</v>
      </c>
      <c r="D134" s="13" t="s">
        <v>27</v>
      </c>
      <c r="E134" s="26" t="str">
        <f>VLOOKUP(C134,Resources!B:G,3,FALSE)</f>
        <v>P</v>
      </c>
      <c r="F134" s="15">
        <v>1</v>
      </c>
      <c r="G134" s="15">
        <f>G133</f>
        <v>324</v>
      </c>
      <c r="H134" s="15">
        <v>36</v>
      </c>
      <c r="I134" s="15">
        <f>VLOOKUP(C134,Resources!B:G,6,FALSE)</f>
        <v>35</v>
      </c>
      <c r="J134" s="27">
        <f>(H134/G134)*I134*F134</f>
        <v>3.8888888888888888</v>
      </c>
      <c r="K134" s="27">
        <f t="shared" si="171"/>
        <v>0.1111111111111111</v>
      </c>
      <c r="L134" s="157">
        <f t="shared" si="172"/>
        <v>0.1111111111111111</v>
      </c>
      <c r="M134" s="28">
        <f t="shared" si="173"/>
        <v>0</v>
      </c>
      <c r="N134" s="28">
        <f t="shared" si="174"/>
        <v>0</v>
      </c>
      <c r="O134" s="28">
        <f t="shared" si="175"/>
        <v>3.8888888888888888</v>
      </c>
      <c r="P134" s="28">
        <f t="shared" si="176"/>
        <v>0</v>
      </c>
      <c r="Q134" s="28">
        <f t="shared" si="177"/>
        <v>3.8888888888888888</v>
      </c>
      <c r="R134" s="26">
        <v>53</v>
      </c>
      <c r="T134" s="67"/>
      <c r="U134"/>
    </row>
    <row r="135" spans="1:21" ht="15" x14ac:dyDescent="0.25">
      <c r="A135" s="38">
        <v>25</v>
      </c>
      <c r="B135" s="5">
        <v>76</v>
      </c>
      <c r="C135" s="5" t="s">
        <v>246</v>
      </c>
      <c r="D135" s="6" t="s">
        <v>299</v>
      </c>
      <c r="E135" s="25"/>
      <c r="F135" s="7"/>
      <c r="G135" s="7"/>
      <c r="H135" s="36">
        <f>VLOOKUP($A135,'Model Inputs'!$A:$C,3,FALSE)</f>
        <v>19</v>
      </c>
      <c r="I135" s="7"/>
      <c r="J135" s="8">
        <f>SUBTOTAL(9,J137:J141)</f>
        <v>4130.4444444444443</v>
      </c>
      <c r="K135" s="29"/>
      <c r="L135" s="156">
        <f>MAX(L137:L141)/Work</f>
        <v>1</v>
      </c>
      <c r="M135" s="8">
        <f>SUBTOTAL(9,M137:M141)</f>
        <v>1296</v>
      </c>
      <c r="N135" s="8">
        <f t="shared" ref="N135:Q135" si="178">SUBTOTAL(9,N137:N141)</f>
        <v>0</v>
      </c>
      <c r="O135" s="8">
        <f t="shared" si="178"/>
        <v>2834.4444444444443</v>
      </c>
      <c r="P135" s="8">
        <f t="shared" si="178"/>
        <v>0</v>
      </c>
      <c r="Q135" s="8">
        <f t="shared" si="178"/>
        <v>4130.4444444444443</v>
      </c>
      <c r="R135" s="25"/>
      <c r="T135" s="67"/>
      <c r="U135"/>
    </row>
    <row r="136" spans="1:21" ht="15" x14ac:dyDescent="0.25">
      <c r="A136" s="38" t="s">
        <v>418</v>
      </c>
      <c r="B136" s="13">
        <v>77</v>
      </c>
      <c r="C136" s="14" t="s">
        <v>5</v>
      </c>
      <c r="D136" s="13"/>
      <c r="E136" s="26"/>
      <c r="F136" s="15"/>
      <c r="G136" s="15"/>
      <c r="H136" s="15">
        <f>H135</f>
        <v>19</v>
      </c>
      <c r="I136" s="15"/>
      <c r="J136" s="15"/>
      <c r="K136" s="30"/>
      <c r="L136" s="157"/>
      <c r="M136" s="16"/>
      <c r="N136" s="16"/>
      <c r="O136" s="16"/>
      <c r="P136" s="16"/>
      <c r="Q136" s="16"/>
      <c r="R136" s="26"/>
      <c r="T136" s="67"/>
      <c r="U136"/>
    </row>
    <row r="137" spans="1:21" ht="15" x14ac:dyDescent="0.25">
      <c r="A137" s="38">
        <v>25.1</v>
      </c>
      <c r="B137" s="13">
        <v>78</v>
      </c>
      <c r="C137" s="14" t="s">
        <v>73</v>
      </c>
      <c r="D137" s="13" t="s">
        <v>27</v>
      </c>
      <c r="E137" s="26" t="str">
        <f>VLOOKUP(C137,Resources!B:G,3,FALSE)</f>
        <v>P</v>
      </c>
      <c r="F137" s="15">
        <v>1</v>
      </c>
      <c r="G137" s="36">
        <f>VLOOKUP($A137,'Model Inputs'!$A:$C,3,FALSE)</f>
        <v>2.1111111111111112</v>
      </c>
      <c r="H137" s="15">
        <f>H135</f>
        <v>19</v>
      </c>
      <c r="I137" s="15">
        <f>VLOOKUP(C137,Resources!B:G,6,FALSE)</f>
        <v>130</v>
      </c>
      <c r="J137" s="27">
        <f>(H137/G137)*I137*F137</f>
        <v>1170</v>
      </c>
      <c r="K137" s="27">
        <f t="shared" ref="K137:K140" si="179">IF(E137="M"," ",L137*F137)</f>
        <v>9</v>
      </c>
      <c r="L137" s="157">
        <f t="shared" ref="L137:L140" si="180">IF(E137="M"," ",H137/G137)</f>
        <v>9</v>
      </c>
      <c r="M137" s="28">
        <f t="shared" ref="M137:M141" si="181">IF($E137="L",$J137,0)</f>
        <v>0</v>
      </c>
      <c r="N137" s="28">
        <f t="shared" ref="N137:N141" si="182">IF($E137="M",$J137,0)</f>
        <v>0</v>
      </c>
      <c r="O137" s="28">
        <f t="shared" ref="O137:O141" si="183">IF($E137="P",$J137,0)</f>
        <v>1170</v>
      </c>
      <c r="P137" s="28">
        <f t="shared" ref="P137:P141" si="184">IF($E137="S",$J137,0)</f>
        <v>0</v>
      </c>
      <c r="Q137" s="28">
        <f t="shared" ref="Q137:Q140" si="185">SUM(M137:P137)</f>
        <v>1170</v>
      </c>
      <c r="R137" s="26">
        <v>53</v>
      </c>
      <c r="T137" s="67"/>
      <c r="U137"/>
    </row>
    <row r="138" spans="1:21" ht="15" x14ac:dyDescent="0.25">
      <c r="A138" s="38" t="s">
        <v>418</v>
      </c>
      <c r="B138" s="13">
        <v>79</v>
      </c>
      <c r="C138" s="14" t="s">
        <v>74</v>
      </c>
      <c r="D138" s="13" t="s">
        <v>27</v>
      </c>
      <c r="E138" s="26" t="str">
        <f>VLOOKUP(C138,Resources!B:G,3,FALSE)</f>
        <v>P</v>
      </c>
      <c r="F138" s="15">
        <v>2</v>
      </c>
      <c r="G138" s="15">
        <f>G137</f>
        <v>2.1111111111111112</v>
      </c>
      <c r="H138" s="15">
        <f>H135</f>
        <v>19</v>
      </c>
      <c r="I138" s="15">
        <f>VLOOKUP(C138,Resources!B:G,6,FALSE)</f>
        <v>90</v>
      </c>
      <c r="J138" s="27">
        <f>(H138/G138)*I138*F138</f>
        <v>1620</v>
      </c>
      <c r="K138" s="27">
        <f t="shared" si="179"/>
        <v>18</v>
      </c>
      <c r="L138" s="157">
        <f t="shared" si="180"/>
        <v>9</v>
      </c>
      <c r="M138" s="28">
        <f t="shared" si="181"/>
        <v>0</v>
      </c>
      <c r="N138" s="28">
        <f t="shared" si="182"/>
        <v>0</v>
      </c>
      <c r="O138" s="28">
        <f t="shared" si="183"/>
        <v>1620</v>
      </c>
      <c r="P138" s="28">
        <f t="shared" si="184"/>
        <v>0</v>
      </c>
      <c r="Q138" s="28">
        <f t="shared" si="185"/>
        <v>1620</v>
      </c>
      <c r="R138" s="26">
        <v>53</v>
      </c>
      <c r="T138" s="67"/>
      <c r="U138"/>
    </row>
    <row r="139" spans="1:21" ht="15" x14ac:dyDescent="0.25">
      <c r="A139" s="38" t="s">
        <v>418</v>
      </c>
      <c r="B139" s="13">
        <v>80</v>
      </c>
      <c r="C139" s="14" t="s">
        <v>7</v>
      </c>
      <c r="D139" s="13" t="s">
        <v>27</v>
      </c>
      <c r="E139" s="26" t="str">
        <f>VLOOKUP(C139,Resources!B:G,3,FALSE)</f>
        <v>L</v>
      </c>
      <c r="F139" s="15">
        <v>3</v>
      </c>
      <c r="G139" s="15">
        <f>G138</f>
        <v>2.1111111111111112</v>
      </c>
      <c r="H139" s="15">
        <f>H135</f>
        <v>19</v>
      </c>
      <c r="I139" s="15">
        <f>VLOOKUP(C139,Resources!B:G,6,FALSE)</f>
        <v>48</v>
      </c>
      <c r="J139" s="27">
        <f>(H139/G139)*I139*F139</f>
        <v>1296</v>
      </c>
      <c r="K139" s="27">
        <f t="shared" si="179"/>
        <v>27</v>
      </c>
      <c r="L139" s="157">
        <f t="shared" si="180"/>
        <v>9</v>
      </c>
      <c r="M139" s="28">
        <f t="shared" si="181"/>
        <v>1296</v>
      </c>
      <c r="N139" s="28">
        <f t="shared" si="182"/>
        <v>0</v>
      </c>
      <c r="O139" s="28">
        <f t="shared" si="183"/>
        <v>0</v>
      </c>
      <c r="P139" s="28">
        <f t="shared" si="184"/>
        <v>0</v>
      </c>
      <c r="Q139" s="28">
        <f t="shared" si="185"/>
        <v>1296</v>
      </c>
      <c r="R139" s="26">
        <v>53</v>
      </c>
      <c r="T139" s="67"/>
      <c r="U139"/>
    </row>
    <row r="140" spans="1:21" ht="15" x14ac:dyDescent="0.25">
      <c r="A140" s="38" t="s">
        <v>418</v>
      </c>
      <c r="B140" s="13">
        <v>81</v>
      </c>
      <c r="C140" s="14" t="s">
        <v>75</v>
      </c>
      <c r="D140" s="13" t="s">
        <v>54</v>
      </c>
      <c r="E140" s="26" t="str">
        <f>VLOOKUP(C140,Resources!B:G,3,FALSE)</f>
        <v>P</v>
      </c>
      <c r="F140" s="15">
        <v>1</v>
      </c>
      <c r="G140" s="15">
        <f>G137*9</f>
        <v>19</v>
      </c>
      <c r="H140" s="15">
        <f>H135/9</f>
        <v>2.1111111111111112</v>
      </c>
      <c r="I140" s="15">
        <f>VLOOKUP(C140,Resources!B:G,6,FALSE)</f>
        <v>365</v>
      </c>
      <c r="J140" s="27">
        <f>(H140/G140)*I140*F140</f>
        <v>40.555555555555557</v>
      </c>
      <c r="K140" s="27">
        <f t="shared" si="179"/>
        <v>0.11111111111111112</v>
      </c>
      <c r="L140" s="157">
        <f t="shared" si="180"/>
        <v>0.11111111111111112</v>
      </c>
      <c r="M140" s="28">
        <f t="shared" si="181"/>
        <v>0</v>
      </c>
      <c r="N140" s="28">
        <f t="shared" si="182"/>
        <v>0</v>
      </c>
      <c r="O140" s="28">
        <f t="shared" si="183"/>
        <v>40.555555555555557</v>
      </c>
      <c r="P140" s="28">
        <f t="shared" si="184"/>
        <v>0</v>
      </c>
      <c r="Q140" s="28">
        <f t="shared" si="185"/>
        <v>40.555555555555557</v>
      </c>
      <c r="R140" s="26">
        <v>53</v>
      </c>
      <c r="T140" s="67"/>
      <c r="U140"/>
    </row>
    <row r="141" spans="1:21" ht="15" x14ac:dyDescent="0.25">
      <c r="A141" s="38" t="s">
        <v>418</v>
      </c>
      <c r="B141" s="13">
        <v>82</v>
      </c>
      <c r="C141" s="14" t="s">
        <v>32</v>
      </c>
      <c r="D141" s="13" t="s">
        <v>27</v>
      </c>
      <c r="E141" s="26" t="str">
        <f>VLOOKUP(C141,Resources!B:G,3,FALSE)</f>
        <v>P</v>
      </c>
      <c r="F141" s="15">
        <v>1</v>
      </c>
      <c r="G141" s="15">
        <f>G137*9</f>
        <v>19</v>
      </c>
      <c r="H141" s="15">
        <f>H135/9</f>
        <v>2.1111111111111112</v>
      </c>
      <c r="I141" s="15">
        <f>VLOOKUP(C141,Resources!B:G,6,FALSE)</f>
        <v>35</v>
      </c>
      <c r="J141" s="27">
        <f>(H141/G141)*I141*F141</f>
        <v>3.8888888888888893</v>
      </c>
      <c r="K141" s="27">
        <f t="shared" ref="K141" si="186">IF(E141="M"," ",L141*F141)</f>
        <v>0.11111111111111112</v>
      </c>
      <c r="L141" s="157">
        <f t="shared" ref="L141" si="187">IF(E141="M"," ",H141/G141)</f>
        <v>0.11111111111111112</v>
      </c>
      <c r="M141" s="28">
        <f t="shared" si="181"/>
        <v>0</v>
      </c>
      <c r="N141" s="28">
        <f t="shared" si="182"/>
        <v>0</v>
      </c>
      <c r="O141" s="28">
        <f t="shared" si="183"/>
        <v>3.8888888888888893</v>
      </c>
      <c r="P141" s="28">
        <f t="shared" si="184"/>
        <v>0</v>
      </c>
      <c r="Q141" s="28">
        <f t="shared" ref="Q141" si="188">SUM(M141:P141)</f>
        <v>3.8888888888888893</v>
      </c>
      <c r="R141" s="26">
        <v>53</v>
      </c>
      <c r="T141" s="67"/>
      <c r="U141"/>
    </row>
    <row r="142" spans="1:21" ht="15" x14ac:dyDescent="0.25">
      <c r="A142" s="38">
        <v>26</v>
      </c>
      <c r="B142" s="5">
        <v>83</v>
      </c>
      <c r="C142" s="5" t="s">
        <v>247</v>
      </c>
      <c r="D142" s="6" t="s">
        <v>299</v>
      </c>
      <c r="E142" s="25"/>
      <c r="F142" s="7"/>
      <c r="G142" s="7"/>
      <c r="H142" s="36">
        <f>VLOOKUP($A142,'Model Inputs'!$A:$C,3,FALSE)</f>
        <v>180</v>
      </c>
      <c r="I142" s="7"/>
      <c r="J142" s="8">
        <f>SUBTOTAL(9,J144:J148)</f>
        <v>4130.4444444444443</v>
      </c>
      <c r="K142" s="29"/>
      <c r="L142" s="156">
        <f>MAX(L144:L148)/Work</f>
        <v>1</v>
      </c>
      <c r="M142" s="8">
        <f>SUBTOTAL(9,M144:M148)</f>
        <v>1296</v>
      </c>
      <c r="N142" s="8">
        <f t="shared" ref="N142:Q142" si="189">SUBTOTAL(9,N144:N148)</f>
        <v>0</v>
      </c>
      <c r="O142" s="8">
        <f t="shared" si="189"/>
        <v>2834.4444444444443</v>
      </c>
      <c r="P142" s="8">
        <f t="shared" si="189"/>
        <v>0</v>
      </c>
      <c r="Q142" s="8">
        <f t="shared" si="189"/>
        <v>4130.4444444444443</v>
      </c>
      <c r="R142" s="25"/>
      <c r="T142" s="67"/>
      <c r="U142"/>
    </row>
    <row r="143" spans="1:21" ht="15" x14ac:dyDescent="0.25">
      <c r="A143" s="38" t="s">
        <v>418</v>
      </c>
      <c r="B143" s="13">
        <v>84</v>
      </c>
      <c r="C143" s="14" t="s">
        <v>5</v>
      </c>
      <c r="D143" s="13"/>
      <c r="E143" s="26"/>
      <c r="F143" s="15"/>
      <c r="G143" s="15"/>
      <c r="H143" s="15">
        <f>H142</f>
        <v>180</v>
      </c>
      <c r="I143" s="15"/>
      <c r="J143" s="15"/>
      <c r="K143" s="30"/>
      <c r="L143" s="157"/>
      <c r="M143" s="16"/>
      <c r="N143" s="16"/>
      <c r="O143" s="16"/>
      <c r="P143" s="16"/>
      <c r="Q143" s="16"/>
      <c r="R143" s="26"/>
      <c r="T143" s="67"/>
      <c r="U143"/>
    </row>
    <row r="144" spans="1:21" ht="15" x14ac:dyDescent="0.25">
      <c r="A144" s="38">
        <v>26.1</v>
      </c>
      <c r="B144" s="13">
        <v>85</v>
      </c>
      <c r="C144" s="14" t="s">
        <v>73</v>
      </c>
      <c r="D144" s="13" t="s">
        <v>27</v>
      </c>
      <c r="E144" s="26" t="str">
        <f>VLOOKUP(C144,Resources!B:G,3,FALSE)</f>
        <v>P</v>
      </c>
      <c r="F144" s="15">
        <v>1</v>
      </c>
      <c r="G144" s="36">
        <f>VLOOKUP($A144,'Model Inputs'!$A:$C,3,FALSE)</f>
        <v>20</v>
      </c>
      <c r="H144" s="15">
        <f>H142</f>
        <v>180</v>
      </c>
      <c r="I144" s="15">
        <f>VLOOKUP(C144,Resources!B:G,6,FALSE)</f>
        <v>130</v>
      </c>
      <c r="J144" s="27">
        <f>(H144/G144)*I144*F144</f>
        <v>1170</v>
      </c>
      <c r="K144" s="27">
        <f t="shared" ref="K144:K148" si="190">IF(E144="M"," ",L144*F144)</f>
        <v>9</v>
      </c>
      <c r="L144" s="157">
        <f t="shared" ref="L144:L148" si="191">IF(E144="M"," ",H144/G144)</f>
        <v>9</v>
      </c>
      <c r="M144" s="28">
        <f t="shared" ref="M144:M148" si="192">IF($E144="L",$J144,0)</f>
        <v>0</v>
      </c>
      <c r="N144" s="28">
        <f t="shared" ref="N144:N148" si="193">IF($E144="M",$J144,0)</f>
        <v>0</v>
      </c>
      <c r="O144" s="28">
        <f t="shared" ref="O144:O148" si="194">IF($E144="P",$J144,0)</f>
        <v>1170</v>
      </c>
      <c r="P144" s="28">
        <f t="shared" ref="P144:P148" si="195">IF($E144="S",$J144,0)</f>
        <v>0</v>
      </c>
      <c r="Q144" s="28">
        <f t="shared" ref="Q144:Q148" si="196">SUM(M144:P144)</f>
        <v>1170</v>
      </c>
      <c r="R144" s="26">
        <v>53</v>
      </c>
      <c r="T144" s="67"/>
      <c r="U144"/>
    </row>
    <row r="145" spans="1:21" ht="15" x14ac:dyDescent="0.25">
      <c r="A145" s="38" t="s">
        <v>418</v>
      </c>
      <c r="B145" s="13">
        <v>86</v>
      </c>
      <c r="C145" s="14" t="s">
        <v>74</v>
      </c>
      <c r="D145" s="13" t="s">
        <v>27</v>
      </c>
      <c r="E145" s="26" t="str">
        <f>VLOOKUP(C145,Resources!B:G,3,FALSE)</f>
        <v>P</v>
      </c>
      <c r="F145" s="15">
        <v>2</v>
      </c>
      <c r="G145" s="15">
        <f>G144</f>
        <v>20</v>
      </c>
      <c r="H145" s="15">
        <f>H142</f>
        <v>180</v>
      </c>
      <c r="I145" s="15">
        <f>VLOOKUP(C145,Resources!B:G,6,FALSE)</f>
        <v>90</v>
      </c>
      <c r="J145" s="27">
        <f>(H145/G145)*I145*F145</f>
        <v>1620</v>
      </c>
      <c r="K145" s="27">
        <f t="shared" si="190"/>
        <v>18</v>
      </c>
      <c r="L145" s="157">
        <f t="shared" si="191"/>
        <v>9</v>
      </c>
      <c r="M145" s="28">
        <f t="shared" si="192"/>
        <v>0</v>
      </c>
      <c r="N145" s="28">
        <f t="shared" si="193"/>
        <v>0</v>
      </c>
      <c r="O145" s="28">
        <f t="shared" si="194"/>
        <v>1620</v>
      </c>
      <c r="P145" s="28">
        <f t="shared" si="195"/>
        <v>0</v>
      </c>
      <c r="Q145" s="28">
        <f t="shared" si="196"/>
        <v>1620</v>
      </c>
      <c r="R145" s="26">
        <v>53</v>
      </c>
      <c r="T145" s="67"/>
      <c r="U145"/>
    </row>
    <row r="146" spans="1:21" ht="15" x14ac:dyDescent="0.25">
      <c r="A146" s="38" t="s">
        <v>418</v>
      </c>
      <c r="B146" s="13">
        <v>87</v>
      </c>
      <c r="C146" s="14" t="s">
        <v>7</v>
      </c>
      <c r="D146" s="13" t="s">
        <v>27</v>
      </c>
      <c r="E146" s="26" t="str">
        <f>VLOOKUP(C146,Resources!B:G,3,FALSE)</f>
        <v>L</v>
      </c>
      <c r="F146" s="15">
        <v>3</v>
      </c>
      <c r="G146" s="15">
        <f>G145</f>
        <v>20</v>
      </c>
      <c r="H146" s="15">
        <f>H142</f>
        <v>180</v>
      </c>
      <c r="I146" s="15">
        <f>VLOOKUP(C146,Resources!B:G,6,FALSE)</f>
        <v>48</v>
      </c>
      <c r="J146" s="27">
        <f>(H146/G146)*I146*F146</f>
        <v>1296</v>
      </c>
      <c r="K146" s="27">
        <f t="shared" si="190"/>
        <v>27</v>
      </c>
      <c r="L146" s="157">
        <f t="shared" si="191"/>
        <v>9</v>
      </c>
      <c r="M146" s="28">
        <f t="shared" si="192"/>
        <v>1296</v>
      </c>
      <c r="N146" s="28">
        <f t="shared" si="193"/>
        <v>0</v>
      </c>
      <c r="O146" s="28">
        <f t="shared" si="194"/>
        <v>0</v>
      </c>
      <c r="P146" s="28">
        <f t="shared" si="195"/>
        <v>0</v>
      </c>
      <c r="Q146" s="28">
        <f t="shared" si="196"/>
        <v>1296</v>
      </c>
      <c r="R146" s="26">
        <v>53</v>
      </c>
      <c r="T146" s="67"/>
      <c r="U146"/>
    </row>
    <row r="147" spans="1:21" ht="15" x14ac:dyDescent="0.25">
      <c r="A147" s="38" t="s">
        <v>418</v>
      </c>
      <c r="B147" s="13">
        <v>88</v>
      </c>
      <c r="C147" s="14" t="s">
        <v>75</v>
      </c>
      <c r="D147" s="13" t="s">
        <v>54</v>
      </c>
      <c r="E147" s="26" t="str">
        <f>VLOOKUP(C147,Resources!B:G,3,FALSE)</f>
        <v>P</v>
      </c>
      <c r="F147" s="15">
        <v>1</v>
      </c>
      <c r="G147" s="15">
        <f>G144*9</f>
        <v>180</v>
      </c>
      <c r="H147" s="15">
        <f>H142/9</f>
        <v>20</v>
      </c>
      <c r="I147" s="15">
        <f>VLOOKUP(C147,Resources!B:G,6,FALSE)</f>
        <v>365</v>
      </c>
      <c r="J147" s="27">
        <f>(H147/G147)*I147*F147</f>
        <v>40.55555555555555</v>
      </c>
      <c r="K147" s="27">
        <f t="shared" si="190"/>
        <v>0.1111111111111111</v>
      </c>
      <c r="L147" s="157">
        <f t="shared" si="191"/>
        <v>0.1111111111111111</v>
      </c>
      <c r="M147" s="28">
        <f t="shared" si="192"/>
        <v>0</v>
      </c>
      <c r="N147" s="28">
        <f t="shared" si="193"/>
        <v>0</v>
      </c>
      <c r="O147" s="28">
        <f t="shared" si="194"/>
        <v>40.55555555555555</v>
      </c>
      <c r="P147" s="28">
        <f t="shared" si="195"/>
        <v>0</v>
      </c>
      <c r="Q147" s="28">
        <f t="shared" si="196"/>
        <v>40.55555555555555</v>
      </c>
      <c r="R147" s="26">
        <v>53</v>
      </c>
      <c r="T147" s="67"/>
      <c r="U147"/>
    </row>
    <row r="148" spans="1:21" ht="15" x14ac:dyDescent="0.25">
      <c r="A148" s="38" t="s">
        <v>418</v>
      </c>
      <c r="B148" s="13">
        <v>89</v>
      </c>
      <c r="C148" s="14" t="s">
        <v>32</v>
      </c>
      <c r="D148" s="13" t="s">
        <v>27</v>
      </c>
      <c r="E148" s="26" t="str">
        <f>VLOOKUP(C148,Resources!B:G,3,FALSE)</f>
        <v>P</v>
      </c>
      <c r="F148" s="15">
        <v>1</v>
      </c>
      <c r="G148" s="15">
        <f>G144*9</f>
        <v>180</v>
      </c>
      <c r="H148" s="15">
        <f>H142/9</f>
        <v>20</v>
      </c>
      <c r="I148" s="15">
        <f>VLOOKUP(C148,Resources!B:G,6,FALSE)</f>
        <v>35</v>
      </c>
      <c r="J148" s="27">
        <f>(H148/G148)*I148*F148</f>
        <v>3.8888888888888888</v>
      </c>
      <c r="K148" s="27">
        <f t="shared" si="190"/>
        <v>0.1111111111111111</v>
      </c>
      <c r="L148" s="157">
        <f t="shared" si="191"/>
        <v>0.1111111111111111</v>
      </c>
      <c r="M148" s="28">
        <f t="shared" si="192"/>
        <v>0</v>
      </c>
      <c r="N148" s="28">
        <f t="shared" si="193"/>
        <v>0</v>
      </c>
      <c r="O148" s="28">
        <f t="shared" si="194"/>
        <v>3.8888888888888888</v>
      </c>
      <c r="P148" s="28">
        <f t="shared" si="195"/>
        <v>0</v>
      </c>
      <c r="Q148" s="28">
        <f t="shared" si="196"/>
        <v>3.8888888888888888</v>
      </c>
      <c r="R148" s="26">
        <v>53</v>
      </c>
      <c r="T148" s="67"/>
      <c r="U148"/>
    </row>
    <row r="149" spans="1:21" ht="15" x14ac:dyDescent="0.25">
      <c r="A149" s="38">
        <v>27</v>
      </c>
      <c r="B149" s="5">
        <v>90</v>
      </c>
      <c r="C149" s="5" t="s">
        <v>248</v>
      </c>
      <c r="D149" s="6" t="s">
        <v>300</v>
      </c>
      <c r="E149" s="25"/>
      <c r="F149" s="7"/>
      <c r="G149" s="7"/>
      <c r="H149" s="36">
        <f>VLOOKUP($A149,'Model Inputs'!$A:$C,3,FALSE)</f>
        <v>3028</v>
      </c>
      <c r="I149" s="7"/>
      <c r="J149" s="8">
        <f>SUBTOTAL(9,J151:J155)</f>
        <v>16631.155555555561</v>
      </c>
      <c r="K149" s="29"/>
      <c r="L149" s="156">
        <f>ROUNDUP(MAX(L151:L155)/Work,0)</f>
        <v>4</v>
      </c>
      <c r="M149" s="8">
        <f>SUBTOTAL(9,M151:M155)</f>
        <v>4390.6000000000004</v>
      </c>
      <c r="N149" s="8">
        <f t="shared" ref="N149:Q149" si="197">SUBTOTAL(9,N151:N155)</f>
        <v>0</v>
      </c>
      <c r="O149" s="8">
        <f t="shared" si="197"/>
        <v>12240.555555555557</v>
      </c>
      <c r="P149" s="8">
        <f t="shared" si="197"/>
        <v>0</v>
      </c>
      <c r="Q149" s="8">
        <f t="shared" si="197"/>
        <v>16631.155555555561</v>
      </c>
      <c r="R149" s="25"/>
      <c r="T149" s="67"/>
      <c r="U149"/>
    </row>
    <row r="150" spans="1:21" ht="15" x14ac:dyDescent="0.25">
      <c r="A150" s="38" t="s">
        <v>418</v>
      </c>
      <c r="B150" s="13">
        <v>91</v>
      </c>
      <c r="C150" s="14" t="s">
        <v>5</v>
      </c>
      <c r="D150" s="13"/>
      <c r="E150" s="26"/>
      <c r="F150" s="15"/>
      <c r="G150" s="15"/>
      <c r="H150" s="15">
        <v>3028</v>
      </c>
      <c r="I150" s="15"/>
      <c r="J150" s="15"/>
      <c r="K150" s="30"/>
      <c r="L150" s="157"/>
      <c r="M150" s="16"/>
      <c r="N150" s="16"/>
      <c r="O150" s="16"/>
      <c r="P150" s="16"/>
      <c r="Q150" s="16"/>
      <c r="R150" s="26"/>
      <c r="T150" s="67"/>
      <c r="U150"/>
    </row>
    <row r="151" spans="1:21" ht="15" x14ac:dyDescent="0.25">
      <c r="A151" s="38">
        <v>27.1</v>
      </c>
      <c r="B151" s="13">
        <v>92</v>
      </c>
      <c r="C151" s="14" t="s">
        <v>73</v>
      </c>
      <c r="D151" s="13" t="s">
        <v>27</v>
      </c>
      <c r="E151" s="26" t="str">
        <f>VLOOKUP(C151,Resources!B:G,3,FALSE)</f>
        <v>P</v>
      </c>
      <c r="F151" s="15">
        <v>1</v>
      </c>
      <c r="G151" s="36">
        <f>VLOOKUP($A151,'Model Inputs'!$A:$C,3,FALSE)</f>
        <v>36</v>
      </c>
      <c r="H151" s="15">
        <v>1097.6500000000001</v>
      </c>
      <c r="I151" s="15">
        <f>VLOOKUP(C151,Resources!B:G,6,FALSE)</f>
        <v>130</v>
      </c>
      <c r="J151" s="27">
        <f>(H151/G151)*I151*F151</f>
        <v>3963.7361111111113</v>
      </c>
      <c r="K151" s="27">
        <f t="shared" ref="K151:K155" si="198">IF(E151="M"," ",L151*F151)</f>
        <v>30.490277777777781</v>
      </c>
      <c r="L151" s="157">
        <f t="shared" ref="L151:L155" si="199">IF(E151="M"," ",H151/G151)</f>
        <v>30.490277777777781</v>
      </c>
      <c r="M151" s="28">
        <f t="shared" ref="M151:M155" si="200">IF($E151="L",$J151,0)</f>
        <v>0</v>
      </c>
      <c r="N151" s="28">
        <f t="shared" ref="N151:N155" si="201">IF($E151="M",$J151,0)</f>
        <v>0</v>
      </c>
      <c r="O151" s="28">
        <f t="shared" ref="O151:O155" si="202">IF($E151="P",$J151,0)</f>
        <v>3963.7361111111113</v>
      </c>
      <c r="P151" s="28">
        <f t="shared" ref="P151:P155" si="203">IF($E151="S",$J151,0)</f>
        <v>0</v>
      </c>
      <c r="Q151" s="28">
        <f t="shared" ref="Q151:Q155" si="204">SUM(M151:P151)</f>
        <v>3963.7361111111113</v>
      </c>
      <c r="R151" s="26">
        <v>53</v>
      </c>
      <c r="T151" s="67"/>
      <c r="U151"/>
    </row>
    <row r="152" spans="1:21" ht="15" x14ac:dyDescent="0.25">
      <c r="A152" s="38" t="s">
        <v>418</v>
      </c>
      <c r="B152" s="13">
        <v>93</v>
      </c>
      <c r="C152" s="14" t="s">
        <v>74</v>
      </c>
      <c r="D152" s="13" t="s">
        <v>27</v>
      </c>
      <c r="E152" s="26" t="str">
        <f>VLOOKUP(C152,Resources!B:G,3,FALSE)</f>
        <v>P</v>
      </c>
      <c r="F152" s="15">
        <v>3</v>
      </c>
      <c r="G152" s="15">
        <f>G151</f>
        <v>36</v>
      </c>
      <c r="H152" s="15">
        <v>1097.6500000000001</v>
      </c>
      <c r="I152" s="15">
        <f>VLOOKUP(C152,Resources!B:G,6,FALSE)</f>
        <v>90</v>
      </c>
      <c r="J152" s="27">
        <f>(H152/G152)*I152*F152</f>
        <v>8232.3750000000018</v>
      </c>
      <c r="K152" s="27">
        <f t="shared" si="198"/>
        <v>91.470833333333346</v>
      </c>
      <c r="L152" s="157">
        <f t="shared" si="199"/>
        <v>30.490277777777781</v>
      </c>
      <c r="M152" s="28">
        <f t="shared" si="200"/>
        <v>0</v>
      </c>
      <c r="N152" s="28">
        <f t="shared" si="201"/>
        <v>0</v>
      </c>
      <c r="O152" s="28">
        <f t="shared" si="202"/>
        <v>8232.3750000000018</v>
      </c>
      <c r="P152" s="28">
        <f t="shared" si="203"/>
        <v>0</v>
      </c>
      <c r="Q152" s="28">
        <f t="shared" si="204"/>
        <v>8232.3750000000018</v>
      </c>
      <c r="R152" s="26">
        <v>53</v>
      </c>
      <c r="T152" s="67"/>
      <c r="U152"/>
    </row>
    <row r="153" spans="1:21" ht="15" x14ac:dyDescent="0.25">
      <c r="A153" s="38" t="s">
        <v>418</v>
      </c>
      <c r="B153" s="13">
        <v>94</v>
      </c>
      <c r="C153" s="14" t="s">
        <v>7</v>
      </c>
      <c r="D153" s="13" t="s">
        <v>27</v>
      </c>
      <c r="E153" s="26" t="str">
        <f>VLOOKUP(C153,Resources!B:G,3,FALSE)</f>
        <v>L</v>
      </c>
      <c r="F153" s="15">
        <v>3</v>
      </c>
      <c r="G153" s="15">
        <f>G151</f>
        <v>36</v>
      </c>
      <c r="H153" s="15">
        <v>1097.6500000000001</v>
      </c>
      <c r="I153" s="15">
        <f>VLOOKUP(C153,Resources!B:G,6,FALSE)</f>
        <v>48</v>
      </c>
      <c r="J153" s="27">
        <f>(H153/G153)*I153*F153</f>
        <v>4390.6000000000004</v>
      </c>
      <c r="K153" s="27">
        <f t="shared" si="198"/>
        <v>91.470833333333346</v>
      </c>
      <c r="L153" s="157">
        <f t="shared" si="199"/>
        <v>30.490277777777781</v>
      </c>
      <c r="M153" s="28">
        <f t="shared" si="200"/>
        <v>4390.6000000000004</v>
      </c>
      <c r="N153" s="28">
        <f t="shared" si="201"/>
        <v>0</v>
      </c>
      <c r="O153" s="28">
        <f t="shared" si="202"/>
        <v>0</v>
      </c>
      <c r="P153" s="28">
        <f t="shared" si="203"/>
        <v>0</v>
      </c>
      <c r="Q153" s="28">
        <f t="shared" si="204"/>
        <v>4390.6000000000004</v>
      </c>
      <c r="R153" s="26">
        <v>53</v>
      </c>
      <c r="T153" s="67"/>
      <c r="U153"/>
    </row>
    <row r="154" spans="1:21" ht="15" x14ac:dyDescent="0.25">
      <c r="A154" s="38" t="s">
        <v>418</v>
      </c>
      <c r="B154" s="13">
        <v>95</v>
      </c>
      <c r="C154" s="14" t="s">
        <v>75</v>
      </c>
      <c r="D154" s="13" t="s">
        <v>54</v>
      </c>
      <c r="E154" s="26" t="str">
        <f>VLOOKUP(C154,Resources!B:G,3,FALSE)</f>
        <v>P</v>
      </c>
      <c r="F154" s="15">
        <v>1</v>
      </c>
      <c r="G154" s="15">
        <f>G151*9</f>
        <v>324</v>
      </c>
      <c r="H154" s="15">
        <v>36</v>
      </c>
      <c r="I154" s="15">
        <f>VLOOKUP(C154,Resources!B:G,6,FALSE)</f>
        <v>365</v>
      </c>
      <c r="J154" s="27">
        <f>(H154/G154)*I154*F154</f>
        <v>40.55555555555555</v>
      </c>
      <c r="K154" s="27">
        <f t="shared" si="198"/>
        <v>0.1111111111111111</v>
      </c>
      <c r="L154" s="157">
        <f t="shared" si="199"/>
        <v>0.1111111111111111</v>
      </c>
      <c r="M154" s="28">
        <f t="shared" si="200"/>
        <v>0</v>
      </c>
      <c r="N154" s="28">
        <f t="shared" si="201"/>
        <v>0</v>
      </c>
      <c r="O154" s="28">
        <f t="shared" si="202"/>
        <v>40.55555555555555</v>
      </c>
      <c r="P154" s="28">
        <f t="shared" si="203"/>
        <v>0</v>
      </c>
      <c r="Q154" s="28">
        <f t="shared" si="204"/>
        <v>40.55555555555555</v>
      </c>
      <c r="R154" s="26">
        <v>53</v>
      </c>
      <c r="T154" s="67"/>
      <c r="U154"/>
    </row>
    <row r="155" spans="1:21" ht="15" x14ac:dyDescent="0.25">
      <c r="A155" s="38" t="s">
        <v>418</v>
      </c>
      <c r="B155" s="13">
        <v>96</v>
      </c>
      <c r="C155" s="14" t="s">
        <v>32</v>
      </c>
      <c r="D155" s="13" t="s">
        <v>27</v>
      </c>
      <c r="E155" s="26" t="str">
        <f>VLOOKUP(C155,Resources!B:G,3,FALSE)</f>
        <v>P</v>
      </c>
      <c r="F155" s="15">
        <v>1</v>
      </c>
      <c r="G155" s="15">
        <f>G154</f>
        <v>324</v>
      </c>
      <c r="H155" s="15">
        <v>36</v>
      </c>
      <c r="I155" s="15">
        <f>VLOOKUP(C155,Resources!B:G,6,FALSE)</f>
        <v>35</v>
      </c>
      <c r="J155" s="27">
        <f>(H155/G155)*I155*F155</f>
        <v>3.8888888888888888</v>
      </c>
      <c r="K155" s="27">
        <f t="shared" si="198"/>
        <v>0.1111111111111111</v>
      </c>
      <c r="L155" s="157">
        <f t="shared" si="199"/>
        <v>0.1111111111111111</v>
      </c>
      <c r="M155" s="28">
        <f t="shared" si="200"/>
        <v>0</v>
      </c>
      <c r="N155" s="28">
        <f t="shared" si="201"/>
        <v>0</v>
      </c>
      <c r="O155" s="28">
        <f t="shared" si="202"/>
        <v>3.8888888888888888</v>
      </c>
      <c r="P155" s="28">
        <f t="shared" si="203"/>
        <v>0</v>
      </c>
      <c r="Q155" s="28">
        <f t="shared" si="204"/>
        <v>3.8888888888888888</v>
      </c>
      <c r="R155" s="26">
        <v>53</v>
      </c>
      <c r="T155" s="67"/>
      <c r="U155"/>
    </row>
    <row r="156" spans="1:21" ht="15" x14ac:dyDescent="0.25">
      <c r="A156" s="38" t="s">
        <v>418</v>
      </c>
      <c r="F156" s="11"/>
      <c r="G156" s="11"/>
      <c r="H156" s="11"/>
      <c r="I156" s="11"/>
      <c r="J156" s="11"/>
      <c r="K156" s="31"/>
      <c r="M156" s="12"/>
      <c r="N156" s="12"/>
      <c r="O156" s="12"/>
      <c r="P156" s="12"/>
      <c r="Q156" s="12"/>
      <c r="T156" s="67"/>
      <c r="U156"/>
    </row>
    <row r="157" spans="1:21" ht="33.75" x14ac:dyDescent="0.25">
      <c r="A157" s="38">
        <v>28</v>
      </c>
      <c r="B157" s="5" t="s">
        <v>76</v>
      </c>
      <c r="C157" s="5" t="s">
        <v>77</v>
      </c>
      <c r="D157" s="6" t="s">
        <v>67</v>
      </c>
      <c r="E157" s="25"/>
      <c r="F157" s="7"/>
      <c r="G157" s="7"/>
      <c r="H157" s="7">
        <v>9</v>
      </c>
      <c r="I157" s="7"/>
      <c r="J157" s="8">
        <f>SUBTOTAL(9,J159:J161)</f>
        <v>8016</v>
      </c>
      <c r="K157" s="29"/>
      <c r="L157" s="156">
        <f>ROUNDUP(MAX(L159:L161)/Work,0)</f>
        <v>3</v>
      </c>
      <c r="M157" s="8">
        <f>SUBTOTAL(9,M159:M161)</f>
        <v>3456</v>
      </c>
      <c r="N157" s="8">
        <f t="shared" ref="N157:Q157" si="205">SUBTOTAL(9,N159:N161)</f>
        <v>0</v>
      </c>
      <c r="O157" s="8">
        <f t="shared" si="205"/>
        <v>4560</v>
      </c>
      <c r="P157" s="8">
        <f t="shared" si="205"/>
        <v>0</v>
      </c>
      <c r="Q157" s="8">
        <f t="shared" si="205"/>
        <v>8016</v>
      </c>
      <c r="R157" s="25"/>
      <c r="T157" s="67"/>
      <c r="U157"/>
    </row>
    <row r="158" spans="1:21" ht="15" x14ac:dyDescent="0.25">
      <c r="A158" s="38" t="s">
        <v>418</v>
      </c>
      <c r="B158" s="13">
        <v>1</v>
      </c>
      <c r="C158" s="14" t="s">
        <v>78</v>
      </c>
      <c r="D158" s="13"/>
      <c r="E158" s="26"/>
      <c r="F158" s="15"/>
      <c r="G158" s="15"/>
      <c r="H158" s="15"/>
      <c r="I158" s="15"/>
      <c r="J158" s="15"/>
      <c r="K158" s="30"/>
      <c r="L158" s="157"/>
      <c r="M158" s="16"/>
      <c r="N158" s="16"/>
      <c r="O158" s="16"/>
      <c r="P158" s="16"/>
      <c r="Q158" s="16"/>
      <c r="R158" s="26"/>
      <c r="T158" s="67"/>
      <c r="U158"/>
    </row>
    <row r="159" spans="1:21" ht="15" x14ac:dyDescent="0.25">
      <c r="A159" s="38">
        <v>28.1</v>
      </c>
      <c r="B159" s="13">
        <v>2</v>
      </c>
      <c r="C159" s="14" t="s">
        <v>28</v>
      </c>
      <c r="D159" s="13" t="s">
        <v>27</v>
      </c>
      <c r="E159" s="26" t="str">
        <f>VLOOKUP(C159,Resources!B:G,3,FALSE)</f>
        <v>P</v>
      </c>
      <c r="F159" s="15">
        <v>1</v>
      </c>
      <c r="G159" s="15">
        <v>1</v>
      </c>
      <c r="H159" s="36">
        <f>VLOOKUP($A159,'Model Inputs'!$A:$C,3,FALSE)</f>
        <v>24</v>
      </c>
      <c r="I159" s="15">
        <f>VLOOKUP(C159,Resources!B:G,6,FALSE)</f>
        <v>100</v>
      </c>
      <c r="J159" s="27">
        <f>(H159/G159)*I159*F159</f>
        <v>2400</v>
      </c>
      <c r="K159" s="27">
        <f t="shared" ref="K159:K161" si="206">IF(E159="M"," ",L159*F159)</f>
        <v>24</v>
      </c>
      <c r="L159" s="157">
        <f t="shared" ref="L159:L161" si="207">IF(E159="M"," ",H159/G159)</f>
        <v>24</v>
      </c>
      <c r="M159" s="28">
        <f t="shared" ref="M159:M161" si="208">IF($E159="L",$J159,0)</f>
        <v>0</v>
      </c>
      <c r="N159" s="28">
        <f t="shared" ref="N159:N161" si="209">IF($E159="M",$J159,0)</f>
        <v>0</v>
      </c>
      <c r="O159" s="28">
        <f t="shared" ref="O159:O161" si="210">IF($E159="P",$J159,0)</f>
        <v>2400</v>
      </c>
      <c r="P159" s="28">
        <f t="shared" ref="P159:P161" si="211">IF($E159="S",$J159,0)</f>
        <v>0</v>
      </c>
      <c r="Q159" s="28">
        <f t="shared" ref="Q159:Q161" si="212">SUM(M159:P159)</f>
        <v>2400</v>
      </c>
      <c r="R159" s="26">
        <v>53</v>
      </c>
      <c r="T159" s="67"/>
      <c r="U159"/>
    </row>
    <row r="160" spans="1:21" ht="15" x14ac:dyDescent="0.25">
      <c r="A160" s="38" t="s">
        <v>418</v>
      </c>
      <c r="B160" s="13">
        <v>3</v>
      </c>
      <c r="C160" s="14" t="s">
        <v>74</v>
      </c>
      <c r="D160" s="13" t="s">
        <v>27</v>
      </c>
      <c r="E160" s="26" t="str">
        <f>VLOOKUP(C160,Resources!B:G,3,FALSE)</f>
        <v>P</v>
      </c>
      <c r="F160" s="15">
        <v>1</v>
      </c>
      <c r="G160" s="15">
        <v>1</v>
      </c>
      <c r="H160" s="15">
        <f>H159</f>
        <v>24</v>
      </c>
      <c r="I160" s="15">
        <f>VLOOKUP(C160,Resources!B:G,6,FALSE)</f>
        <v>90</v>
      </c>
      <c r="J160" s="27">
        <f>(H160/G160)*I160*F160</f>
        <v>2160</v>
      </c>
      <c r="K160" s="27">
        <f t="shared" si="206"/>
        <v>24</v>
      </c>
      <c r="L160" s="157">
        <f t="shared" si="207"/>
        <v>24</v>
      </c>
      <c r="M160" s="28">
        <f t="shared" si="208"/>
        <v>0</v>
      </c>
      <c r="N160" s="28">
        <f t="shared" si="209"/>
        <v>0</v>
      </c>
      <c r="O160" s="28">
        <f t="shared" si="210"/>
        <v>2160</v>
      </c>
      <c r="P160" s="28">
        <f t="shared" si="211"/>
        <v>0</v>
      </c>
      <c r="Q160" s="28">
        <f t="shared" si="212"/>
        <v>2160</v>
      </c>
      <c r="R160" s="26">
        <v>53</v>
      </c>
      <c r="T160" s="67"/>
      <c r="U160"/>
    </row>
    <row r="161" spans="1:21" ht="15" x14ac:dyDescent="0.25">
      <c r="A161" s="38" t="s">
        <v>418</v>
      </c>
      <c r="B161" s="13">
        <v>4</v>
      </c>
      <c r="C161" s="14" t="s">
        <v>7</v>
      </c>
      <c r="D161" s="13" t="s">
        <v>27</v>
      </c>
      <c r="E161" s="26" t="str">
        <f>VLOOKUP(C161,Resources!B:G,3,FALSE)</f>
        <v>L</v>
      </c>
      <c r="F161" s="15">
        <v>3</v>
      </c>
      <c r="G161" s="15">
        <v>1</v>
      </c>
      <c r="H161" s="15">
        <f>H159</f>
        <v>24</v>
      </c>
      <c r="I161" s="15">
        <f>VLOOKUP(C161,Resources!B:G,6,FALSE)</f>
        <v>48</v>
      </c>
      <c r="J161" s="27">
        <f>(H161/G161)*I161*F161</f>
        <v>3456</v>
      </c>
      <c r="K161" s="27">
        <f t="shared" si="206"/>
        <v>72</v>
      </c>
      <c r="L161" s="157">
        <f t="shared" si="207"/>
        <v>24</v>
      </c>
      <c r="M161" s="28">
        <f t="shared" si="208"/>
        <v>3456</v>
      </c>
      <c r="N161" s="28">
        <f t="shared" si="209"/>
        <v>0</v>
      </c>
      <c r="O161" s="28">
        <f t="shared" si="210"/>
        <v>0</v>
      </c>
      <c r="P161" s="28">
        <f t="shared" si="211"/>
        <v>0</v>
      </c>
      <c r="Q161" s="28">
        <f t="shared" si="212"/>
        <v>3456</v>
      </c>
      <c r="R161" s="26">
        <v>53</v>
      </c>
      <c r="T161" s="67"/>
      <c r="U161"/>
    </row>
    <row r="162" spans="1:21" ht="15" x14ac:dyDescent="0.25">
      <c r="A162" s="38" t="s">
        <v>418</v>
      </c>
      <c r="F162" s="11"/>
      <c r="G162" s="11"/>
      <c r="H162" s="11"/>
      <c r="I162" s="11"/>
      <c r="J162" s="11"/>
      <c r="K162" s="31"/>
      <c r="M162" s="12"/>
      <c r="N162" s="12"/>
      <c r="O162" s="12"/>
      <c r="P162" s="12"/>
      <c r="Q162" s="12"/>
      <c r="T162" s="67"/>
      <c r="U162"/>
    </row>
    <row r="163" spans="1:21" ht="45" x14ac:dyDescent="0.25">
      <c r="A163" s="38">
        <v>29</v>
      </c>
      <c r="B163" s="5" t="s">
        <v>79</v>
      </c>
      <c r="C163" s="5" t="s">
        <v>80</v>
      </c>
      <c r="D163" s="6" t="s">
        <v>67</v>
      </c>
      <c r="E163" s="25"/>
      <c r="F163" s="7"/>
      <c r="G163" s="7"/>
      <c r="H163" s="7">
        <v>15</v>
      </c>
      <c r="I163" s="7"/>
      <c r="J163" s="8">
        <f>SUBTOTAL(9,J165:J167)</f>
        <v>14028</v>
      </c>
      <c r="K163" s="29"/>
      <c r="L163" s="156">
        <f>ROUNDUP(MAX(L165:L167)/Work,0)</f>
        <v>5</v>
      </c>
      <c r="M163" s="8">
        <f>SUBTOTAL(9,M165:M167)</f>
        <v>6048</v>
      </c>
      <c r="N163" s="8">
        <f t="shared" ref="N163:Q163" si="213">SUBTOTAL(9,N165:N167)</f>
        <v>0</v>
      </c>
      <c r="O163" s="8">
        <f t="shared" si="213"/>
        <v>7980</v>
      </c>
      <c r="P163" s="8">
        <f t="shared" si="213"/>
        <v>0</v>
      </c>
      <c r="Q163" s="8">
        <f t="shared" si="213"/>
        <v>14028</v>
      </c>
      <c r="R163" s="25"/>
      <c r="T163" s="67"/>
      <c r="U163"/>
    </row>
    <row r="164" spans="1:21" ht="15" x14ac:dyDescent="0.25">
      <c r="A164" s="38" t="s">
        <v>418</v>
      </c>
      <c r="B164" s="13">
        <v>1</v>
      </c>
      <c r="C164" s="14" t="s">
        <v>81</v>
      </c>
      <c r="D164" s="13"/>
      <c r="E164" s="26"/>
      <c r="F164" s="15"/>
      <c r="G164" s="15"/>
      <c r="H164" s="15"/>
      <c r="I164" s="15"/>
      <c r="J164" s="15"/>
      <c r="K164" s="30"/>
      <c r="L164" s="157"/>
      <c r="M164" s="16"/>
      <c r="N164" s="16"/>
      <c r="O164" s="16"/>
      <c r="P164" s="16"/>
      <c r="Q164" s="16"/>
      <c r="R164" s="26"/>
      <c r="T164" s="67"/>
      <c r="U164"/>
    </row>
    <row r="165" spans="1:21" ht="15" x14ac:dyDescent="0.25">
      <c r="A165" s="38">
        <v>29.1</v>
      </c>
      <c r="B165" s="13">
        <v>2</v>
      </c>
      <c r="C165" s="14" t="s">
        <v>28</v>
      </c>
      <c r="D165" s="13" t="s">
        <v>27</v>
      </c>
      <c r="E165" s="26" t="str">
        <f>VLOOKUP(C165,Resources!B:G,3,FALSE)</f>
        <v>P</v>
      </c>
      <c r="F165" s="15">
        <v>1</v>
      </c>
      <c r="G165" s="15">
        <v>1</v>
      </c>
      <c r="H165" s="36">
        <f>VLOOKUP($A165,'Model Inputs'!$A:$C,3,FALSE)</f>
        <v>42</v>
      </c>
      <c r="I165" s="15">
        <f>VLOOKUP(C165,Resources!B:G,6,FALSE)</f>
        <v>100</v>
      </c>
      <c r="J165" s="27">
        <f>(H165/G165)*I165*F165</f>
        <v>4200</v>
      </c>
      <c r="K165" s="27">
        <f t="shared" ref="K165:K167" si="214">IF(E165="M"," ",L165*F165)</f>
        <v>42</v>
      </c>
      <c r="L165" s="157">
        <f t="shared" ref="L165:L167" si="215">IF(E165="M"," ",H165/G165)</f>
        <v>42</v>
      </c>
      <c r="M165" s="28">
        <f t="shared" ref="M165:M167" si="216">IF($E165="L",$J165,0)</f>
        <v>0</v>
      </c>
      <c r="N165" s="28">
        <f t="shared" ref="N165:N167" si="217">IF($E165="M",$J165,0)</f>
        <v>0</v>
      </c>
      <c r="O165" s="28">
        <f t="shared" ref="O165:O167" si="218">IF($E165="P",$J165,0)</f>
        <v>4200</v>
      </c>
      <c r="P165" s="28">
        <f t="shared" ref="P165:P167" si="219">IF($E165="S",$J165,0)</f>
        <v>0</v>
      </c>
      <c r="Q165" s="28">
        <f t="shared" ref="Q165:Q167" si="220">SUM(M165:P165)</f>
        <v>4200</v>
      </c>
      <c r="R165" s="26">
        <v>88</v>
      </c>
      <c r="T165" s="67"/>
      <c r="U165"/>
    </row>
    <row r="166" spans="1:21" ht="15" x14ac:dyDescent="0.25">
      <c r="A166" s="38" t="s">
        <v>418</v>
      </c>
      <c r="B166" s="13">
        <v>3</v>
      </c>
      <c r="C166" s="14" t="s">
        <v>74</v>
      </c>
      <c r="D166" s="13" t="s">
        <v>27</v>
      </c>
      <c r="E166" s="26" t="str">
        <f>VLOOKUP(C166,Resources!B:G,3,FALSE)</f>
        <v>P</v>
      </c>
      <c r="F166" s="15">
        <v>1</v>
      </c>
      <c r="G166" s="15">
        <v>1</v>
      </c>
      <c r="H166" s="15">
        <f>H165</f>
        <v>42</v>
      </c>
      <c r="I166" s="15">
        <f>VLOOKUP(C166,Resources!B:G,6,FALSE)</f>
        <v>90</v>
      </c>
      <c r="J166" s="27">
        <f>(H166/G166)*I166*F166</f>
        <v>3780</v>
      </c>
      <c r="K166" s="27">
        <f t="shared" si="214"/>
        <v>42</v>
      </c>
      <c r="L166" s="157">
        <f t="shared" si="215"/>
        <v>42</v>
      </c>
      <c r="M166" s="28">
        <f t="shared" si="216"/>
        <v>0</v>
      </c>
      <c r="N166" s="28">
        <f t="shared" si="217"/>
        <v>0</v>
      </c>
      <c r="O166" s="28">
        <f t="shared" si="218"/>
        <v>3780</v>
      </c>
      <c r="P166" s="28">
        <f t="shared" si="219"/>
        <v>0</v>
      </c>
      <c r="Q166" s="28">
        <f t="shared" si="220"/>
        <v>3780</v>
      </c>
      <c r="R166" s="26">
        <v>88</v>
      </c>
      <c r="T166" s="67"/>
      <c r="U166"/>
    </row>
    <row r="167" spans="1:21" ht="15" x14ac:dyDescent="0.25">
      <c r="A167" s="38" t="s">
        <v>418</v>
      </c>
      <c r="B167" s="13">
        <v>4</v>
      </c>
      <c r="C167" s="14" t="s">
        <v>7</v>
      </c>
      <c r="D167" s="13" t="s">
        <v>27</v>
      </c>
      <c r="E167" s="26" t="str">
        <f>VLOOKUP(C167,Resources!B:G,3,FALSE)</f>
        <v>L</v>
      </c>
      <c r="F167" s="15">
        <v>3</v>
      </c>
      <c r="G167" s="15">
        <v>1</v>
      </c>
      <c r="H167" s="15">
        <f>H165</f>
        <v>42</v>
      </c>
      <c r="I167" s="15">
        <f>VLOOKUP(C167,Resources!B:G,6,FALSE)</f>
        <v>48</v>
      </c>
      <c r="J167" s="27">
        <f>(H167/G167)*I167*F167</f>
        <v>6048</v>
      </c>
      <c r="K167" s="27">
        <f t="shared" si="214"/>
        <v>126</v>
      </c>
      <c r="L167" s="157">
        <f t="shared" si="215"/>
        <v>42</v>
      </c>
      <c r="M167" s="28">
        <f t="shared" si="216"/>
        <v>6048</v>
      </c>
      <c r="N167" s="28">
        <f t="shared" si="217"/>
        <v>0</v>
      </c>
      <c r="O167" s="28">
        <f t="shared" si="218"/>
        <v>0</v>
      </c>
      <c r="P167" s="28">
        <f t="shared" si="219"/>
        <v>0</v>
      </c>
      <c r="Q167" s="28">
        <f t="shared" si="220"/>
        <v>6048</v>
      </c>
      <c r="R167" s="26">
        <v>88</v>
      </c>
      <c r="T167" s="67"/>
      <c r="U167"/>
    </row>
    <row r="168" spans="1:21" ht="15" x14ac:dyDescent="0.25">
      <c r="A168" s="38" t="s">
        <v>418</v>
      </c>
      <c r="F168" s="11"/>
      <c r="G168" s="11"/>
      <c r="H168" s="11"/>
      <c r="I168" s="11"/>
      <c r="J168" s="11"/>
      <c r="K168" s="31"/>
      <c r="M168" s="12"/>
      <c r="N168" s="12"/>
      <c r="O168" s="12"/>
      <c r="P168" s="12"/>
      <c r="Q168" s="12"/>
      <c r="T168" s="67"/>
      <c r="U168"/>
    </row>
    <row r="169" spans="1:21" ht="33.75" x14ac:dyDescent="0.25">
      <c r="A169" s="38">
        <v>30</v>
      </c>
      <c r="B169" s="5" t="s">
        <v>82</v>
      </c>
      <c r="C169" s="5" t="s">
        <v>83</v>
      </c>
      <c r="D169" s="6" t="s">
        <v>67</v>
      </c>
      <c r="E169" s="25"/>
      <c r="F169" s="7"/>
      <c r="G169" s="7"/>
      <c r="H169" s="7">
        <v>18</v>
      </c>
      <c r="I169" s="7"/>
      <c r="J169" s="8">
        <f>SUBTOTAL(9,J171:J173)</f>
        <v>8016</v>
      </c>
      <c r="K169" s="29"/>
      <c r="L169" s="156">
        <f>ROUNDUP(MAX(L171:L173)/Work,0)</f>
        <v>3</v>
      </c>
      <c r="M169" s="8">
        <f>SUBTOTAL(9,M171:M173)</f>
        <v>3456</v>
      </c>
      <c r="N169" s="8">
        <f t="shared" ref="N169:Q169" si="221">SUBTOTAL(9,N171:N173)</f>
        <v>0</v>
      </c>
      <c r="O169" s="8">
        <f t="shared" si="221"/>
        <v>4560</v>
      </c>
      <c r="P169" s="8">
        <f t="shared" si="221"/>
        <v>0</v>
      </c>
      <c r="Q169" s="8">
        <f t="shared" si="221"/>
        <v>8016</v>
      </c>
      <c r="R169" s="25"/>
      <c r="T169" s="67"/>
      <c r="U169"/>
    </row>
    <row r="170" spans="1:21" ht="15" x14ac:dyDescent="0.25">
      <c r="A170" s="38" t="s">
        <v>418</v>
      </c>
      <c r="B170" s="9">
        <v>1</v>
      </c>
      <c r="C170" s="10" t="s">
        <v>84</v>
      </c>
      <c r="F170" s="11"/>
      <c r="G170" s="11"/>
      <c r="H170" s="11"/>
      <c r="I170" s="11"/>
      <c r="J170" s="11"/>
      <c r="K170" s="31"/>
      <c r="M170" s="12"/>
      <c r="N170" s="12"/>
      <c r="O170" s="12"/>
      <c r="P170" s="12"/>
      <c r="Q170" s="12"/>
      <c r="T170" s="67"/>
      <c r="U170"/>
    </row>
    <row r="171" spans="1:21" ht="15" x14ac:dyDescent="0.25">
      <c r="A171" s="38">
        <v>30.1</v>
      </c>
      <c r="B171" s="13">
        <v>2</v>
      </c>
      <c r="C171" s="14" t="s">
        <v>28</v>
      </c>
      <c r="D171" s="13" t="s">
        <v>27</v>
      </c>
      <c r="E171" s="26" t="str">
        <f>VLOOKUP(C171,Resources!B:G,3,FALSE)</f>
        <v>P</v>
      </c>
      <c r="F171" s="15">
        <v>1</v>
      </c>
      <c r="G171" s="15">
        <v>1</v>
      </c>
      <c r="H171" s="36">
        <f>VLOOKUP($A171,'Model Inputs'!$A:$C,3,FALSE)</f>
        <v>24</v>
      </c>
      <c r="I171" s="15">
        <f>VLOOKUP(C171,Resources!B:G,6,FALSE)</f>
        <v>100</v>
      </c>
      <c r="J171" s="27">
        <f>(H171/G171)*I171*F171</f>
        <v>2400</v>
      </c>
      <c r="K171" s="27">
        <f t="shared" ref="K171:K173" si="222">IF(E171="M"," ",L171*F171)</f>
        <v>24</v>
      </c>
      <c r="L171" s="157">
        <f t="shared" ref="L171:L173" si="223">IF(E171="M"," ",H171/G171)</f>
        <v>24</v>
      </c>
      <c r="M171" s="28">
        <f t="shared" ref="M171:M173" si="224">IF($E171="L",$J171,0)</f>
        <v>0</v>
      </c>
      <c r="N171" s="28">
        <f t="shared" ref="N171:N173" si="225">IF($E171="M",$J171,0)</f>
        <v>0</v>
      </c>
      <c r="O171" s="28">
        <f t="shared" ref="O171:O173" si="226">IF($E171="P",$J171,0)</f>
        <v>2400</v>
      </c>
      <c r="P171" s="28">
        <f t="shared" ref="P171:P173" si="227">IF($E171="S",$J171,0)</f>
        <v>0</v>
      </c>
      <c r="Q171" s="28">
        <f t="shared" ref="Q171:Q173" si="228">SUM(M171:P171)</f>
        <v>2400</v>
      </c>
      <c r="R171" s="26">
        <v>88</v>
      </c>
      <c r="T171" s="67"/>
      <c r="U171"/>
    </row>
    <row r="172" spans="1:21" ht="15" x14ac:dyDescent="0.25">
      <c r="A172" s="38" t="s">
        <v>418</v>
      </c>
      <c r="B172" s="13">
        <v>3</v>
      </c>
      <c r="C172" s="14" t="s">
        <v>74</v>
      </c>
      <c r="D172" s="13" t="s">
        <v>27</v>
      </c>
      <c r="E172" s="26" t="str">
        <f>VLOOKUP(C172,Resources!B:G,3,FALSE)</f>
        <v>P</v>
      </c>
      <c r="F172" s="15">
        <v>1</v>
      </c>
      <c r="G172" s="15">
        <v>1</v>
      </c>
      <c r="H172" s="15">
        <f>H171</f>
        <v>24</v>
      </c>
      <c r="I172" s="15">
        <f>VLOOKUP(C172,Resources!B:G,6,FALSE)</f>
        <v>90</v>
      </c>
      <c r="J172" s="27">
        <f>(H172/G172)*I172*F172</f>
        <v>2160</v>
      </c>
      <c r="K172" s="27">
        <f t="shared" si="222"/>
        <v>24</v>
      </c>
      <c r="L172" s="157">
        <f t="shared" si="223"/>
        <v>24</v>
      </c>
      <c r="M172" s="28">
        <f t="shared" si="224"/>
        <v>0</v>
      </c>
      <c r="N172" s="28">
        <f t="shared" si="225"/>
        <v>0</v>
      </c>
      <c r="O172" s="28">
        <f t="shared" si="226"/>
        <v>2160</v>
      </c>
      <c r="P172" s="28">
        <f t="shared" si="227"/>
        <v>0</v>
      </c>
      <c r="Q172" s="28">
        <f t="shared" si="228"/>
        <v>2160</v>
      </c>
      <c r="R172" s="26">
        <v>88</v>
      </c>
      <c r="T172" s="67"/>
      <c r="U172"/>
    </row>
    <row r="173" spans="1:21" ht="15" x14ac:dyDescent="0.25">
      <c r="A173" s="38" t="s">
        <v>418</v>
      </c>
      <c r="B173" s="13">
        <v>4</v>
      </c>
      <c r="C173" s="14" t="s">
        <v>7</v>
      </c>
      <c r="D173" s="13" t="s">
        <v>27</v>
      </c>
      <c r="E173" s="26" t="str">
        <f>VLOOKUP(C173,Resources!B:G,3,FALSE)</f>
        <v>L</v>
      </c>
      <c r="F173" s="15">
        <v>3</v>
      </c>
      <c r="G173" s="15">
        <v>1</v>
      </c>
      <c r="H173" s="15">
        <f>H171</f>
        <v>24</v>
      </c>
      <c r="I173" s="15">
        <f>VLOOKUP(C173,Resources!B:G,6,FALSE)</f>
        <v>48</v>
      </c>
      <c r="J173" s="27">
        <f>(H173/G173)*I173*F173</f>
        <v>3456</v>
      </c>
      <c r="K173" s="27">
        <f t="shared" si="222"/>
        <v>72</v>
      </c>
      <c r="L173" s="157">
        <f t="shared" si="223"/>
        <v>24</v>
      </c>
      <c r="M173" s="28">
        <f t="shared" si="224"/>
        <v>3456</v>
      </c>
      <c r="N173" s="28">
        <f t="shared" si="225"/>
        <v>0</v>
      </c>
      <c r="O173" s="28">
        <f t="shared" si="226"/>
        <v>0</v>
      </c>
      <c r="P173" s="28">
        <f t="shared" si="227"/>
        <v>0</v>
      </c>
      <c r="Q173" s="28">
        <f t="shared" si="228"/>
        <v>3456</v>
      </c>
      <c r="R173" s="26">
        <v>88</v>
      </c>
      <c r="T173" s="67"/>
      <c r="U173"/>
    </row>
    <row r="174" spans="1:21" ht="15" x14ac:dyDescent="0.25">
      <c r="A174" s="38" t="s">
        <v>418</v>
      </c>
      <c r="F174" s="11"/>
      <c r="G174" s="11"/>
      <c r="H174" s="11"/>
      <c r="I174" s="11"/>
      <c r="J174" s="11"/>
      <c r="K174" s="31"/>
      <c r="M174" s="12"/>
      <c r="N174" s="12"/>
      <c r="O174" s="12"/>
      <c r="P174" s="12"/>
      <c r="Q174" s="12"/>
      <c r="T174" s="67"/>
      <c r="U174"/>
    </row>
    <row r="175" spans="1:21" ht="56.25" x14ac:dyDescent="0.25">
      <c r="A175" s="38">
        <v>31</v>
      </c>
      <c r="B175" s="5" t="s">
        <v>85</v>
      </c>
      <c r="C175" s="5" t="s">
        <v>86</v>
      </c>
      <c r="D175" s="6" t="s">
        <v>67</v>
      </c>
      <c r="E175" s="25"/>
      <c r="F175" s="7"/>
      <c r="G175" s="7"/>
      <c r="H175" s="7">
        <v>7</v>
      </c>
      <c r="I175" s="7"/>
      <c r="J175" s="8">
        <f>SUBTOTAL(9,J177:J180)</f>
        <v>3106</v>
      </c>
      <c r="K175" s="29"/>
      <c r="L175" s="156">
        <f>MAX(L177:L180)/Work</f>
        <v>1</v>
      </c>
      <c r="M175" s="8">
        <f>SUBTOTAL(9,M177:M180)</f>
        <v>1296</v>
      </c>
      <c r="N175" s="8">
        <f t="shared" ref="N175:Q175" si="229">SUBTOTAL(9,N177:N180)</f>
        <v>0</v>
      </c>
      <c r="O175" s="8">
        <f t="shared" si="229"/>
        <v>1810</v>
      </c>
      <c r="P175" s="8">
        <f t="shared" si="229"/>
        <v>0</v>
      </c>
      <c r="Q175" s="8">
        <f t="shared" si="229"/>
        <v>3106</v>
      </c>
      <c r="R175" s="25"/>
      <c r="T175" s="67"/>
      <c r="U175"/>
    </row>
    <row r="176" spans="1:21" ht="15" x14ac:dyDescent="0.25">
      <c r="A176" s="38" t="s">
        <v>418</v>
      </c>
      <c r="B176" s="13">
        <v>1</v>
      </c>
      <c r="C176" s="14" t="s">
        <v>87</v>
      </c>
      <c r="D176" s="13"/>
      <c r="E176" s="26"/>
      <c r="F176" s="15"/>
      <c r="G176" s="15"/>
      <c r="H176" s="15"/>
      <c r="I176" s="15"/>
      <c r="J176" s="15"/>
      <c r="K176" s="30"/>
      <c r="L176" s="157"/>
      <c r="M176" s="16"/>
      <c r="N176" s="16"/>
      <c r="O176" s="16"/>
      <c r="P176" s="16"/>
      <c r="Q176" s="16"/>
      <c r="R176" s="26"/>
      <c r="T176" s="67"/>
      <c r="U176"/>
    </row>
    <row r="177" spans="1:21" ht="15" x14ac:dyDescent="0.25">
      <c r="A177" s="38">
        <v>31.1</v>
      </c>
      <c r="B177" s="13">
        <v>2</v>
      </c>
      <c r="C177" s="14" t="s">
        <v>28</v>
      </c>
      <c r="D177" s="13" t="s">
        <v>27</v>
      </c>
      <c r="E177" s="26" t="str">
        <f>VLOOKUP(C177,Resources!B:G,3,FALSE)</f>
        <v>P</v>
      </c>
      <c r="F177" s="15">
        <v>1</v>
      </c>
      <c r="G177" s="15">
        <v>1</v>
      </c>
      <c r="H177" s="36">
        <f>VLOOKUP($A177,'Model Inputs'!$A:$C,3,FALSE)</f>
        <v>9</v>
      </c>
      <c r="I177" s="15">
        <f>VLOOKUP(C177,Resources!B:G,6,FALSE)</f>
        <v>100</v>
      </c>
      <c r="J177" s="27">
        <f>(H177/G177)*I177*F177</f>
        <v>900</v>
      </c>
      <c r="K177" s="27">
        <f t="shared" ref="K177:K180" si="230">IF(E177="M"," ",L177*F177)</f>
        <v>9</v>
      </c>
      <c r="L177" s="157">
        <f t="shared" ref="L177:L180" si="231">IF(E177="M"," ",H177/G177)</f>
        <v>9</v>
      </c>
      <c r="M177" s="28">
        <f t="shared" ref="M177:M180" si="232">IF($E177="L",$J177,0)</f>
        <v>0</v>
      </c>
      <c r="N177" s="28">
        <f t="shared" ref="N177:N180" si="233">IF($E177="M",$J177,0)</f>
        <v>0</v>
      </c>
      <c r="O177" s="28">
        <f t="shared" ref="O177:O180" si="234">IF($E177="P",$J177,0)</f>
        <v>900</v>
      </c>
      <c r="P177" s="28">
        <f t="shared" ref="P177:P180" si="235">IF($E177="S",$J177,0)</f>
        <v>0</v>
      </c>
      <c r="Q177" s="28">
        <f t="shared" ref="Q177:Q180" si="236">SUM(M177:P177)</f>
        <v>900</v>
      </c>
      <c r="R177" s="26">
        <v>88</v>
      </c>
      <c r="T177" s="67"/>
      <c r="U177"/>
    </row>
    <row r="178" spans="1:21" ht="15" x14ac:dyDescent="0.25">
      <c r="A178" s="38" t="s">
        <v>418</v>
      </c>
      <c r="B178" s="13">
        <v>3</v>
      </c>
      <c r="C178" s="14" t="s">
        <v>74</v>
      </c>
      <c r="D178" s="13" t="s">
        <v>27</v>
      </c>
      <c r="E178" s="26" t="str">
        <f>VLOOKUP(C178,Resources!B:G,3,FALSE)</f>
        <v>P</v>
      </c>
      <c r="F178" s="15">
        <v>1</v>
      </c>
      <c r="G178" s="15">
        <v>1</v>
      </c>
      <c r="H178" s="15">
        <f>H177</f>
        <v>9</v>
      </c>
      <c r="I178" s="15">
        <f>VLOOKUP(C178,Resources!B:G,6,FALSE)</f>
        <v>90</v>
      </c>
      <c r="J178" s="27">
        <f>(H178/G178)*I178*F178</f>
        <v>810</v>
      </c>
      <c r="K178" s="27">
        <f t="shared" si="230"/>
        <v>9</v>
      </c>
      <c r="L178" s="157">
        <f t="shared" si="231"/>
        <v>9</v>
      </c>
      <c r="M178" s="28">
        <f t="shared" si="232"/>
        <v>0</v>
      </c>
      <c r="N178" s="28">
        <f t="shared" si="233"/>
        <v>0</v>
      </c>
      <c r="O178" s="28">
        <f t="shared" si="234"/>
        <v>810</v>
      </c>
      <c r="P178" s="28">
        <f t="shared" si="235"/>
        <v>0</v>
      </c>
      <c r="Q178" s="28">
        <f t="shared" si="236"/>
        <v>810</v>
      </c>
      <c r="R178" s="26">
        <v>88</v>
      </c>
      <c r="T178" s="67"/>
      <c r="U178"/>
    </row>
    <row r="179" spans="1:21" ht="15" x14ac:dyDescent="0.25">
      <c r="A179" s="38" t="s">
        <v>418</v>
      </c>
      <c r="B179" s="13">
        <v>4</v>
      </c>
      <c r="C179" s="14" t="s">
        <v>7</v>
      </c>
      <c r="D179" s="13" t="s">
        <v>27</v>
      </c>
      <c r="E179" s="26" t="str">
        <f>VLOOKUP(C179,Resources!B:G,3,FALSE)</f>
        <v>L</v>
      </c>
      <c r="F179" s="15">
        <v>3</v>
      </c>
      <c r="G179" s="15">
        <v>1</v>
      </c>
      <c r="H179" s="15">
        <f>H177</f>
        <v>9</v>
      </c>
      <c r="I179" s="15">
        <f>VLOOKUP(C179,Resources!B:G,6,FALSE)</f>
        <v>48</v>
      </c>
      <c r="J179" s="27">
        <f>(H179/G179)*I179*F179</f>
        <v>1296</v>
      </c>
      <c r="K179" s="27">
        <f t="shared" si="230"/>
        <v>27</v>
      </c>
      <c r="L179" s="157">
        <f t="shared" si="231"/>
        <v>9</v>
      </c>
      <c r="M179" s="28">
        <f t="shared" si="232"/>
        <v>1296</v>
      </c>
      <c r="N179" s="28">
        <f t="shared" si="233"/>
        <v>0</v>
      </c>
      <c r="O179" s="28">
        <f t="shared" si="234"/>
        <v>0</v>
      </c>
      <c r="P179" s="28">
        <f t="shared" si="235"/>
        <v>0</v>
      </c>
      <c r="Q179" s="28">
        <f t="shared" si="236"/>
        <v>1296</v>
      </c>
      <c r="R179" s="26">
        <v>88</v>
      </c>
      <c r="T179" s="67"/>
      <c r="U179"/>
    </row>
    <row r="180" spans="1:21" ht="15" x14ac:dyDescent="0.25">
      <c r="A180" s="38" t="s">
        <v>418</v>
      </c>
      <c r="B180" s="13">
        <v>5</v>
      </c>
      <c r="C180" s="14" t="s">
        <v>45</v>
      </c>
      <c r="D180" s="13" t="s">
        <v>27</v>
      </c>
      <c r="E180" s="26" t="str">
        <f>VLOOKUP(C180,Resources!B:G,3,FALSE)</f>
        <v>P</v>
      </c>
      <c r="F180" s="15">
        <v>1</v>
      </c>
      <c r="G180" s="15">
        <v>1</v>
      </c>
      <c r="H180" s="15">
        <f>H177/9</f>
        <v>1</v>
      </c>
      <c r="I180" s="15">
        <f>VLOOKUP(C180,Resources!B:G,6,FALSE)</f>
        <v>100</v>
      </c>
      <c r="J180" s="27">
        <f>(H180/G180)*I180*F180</f>
        <v>100</v>
      </c>
      <c r="K180" s="27">
        <f t="shared" si="230"/>
        <v>1</v>
      </c>
      <c r="L180" s="157">
        <f t="shared" si="231"/>
        <v>1</v>
      </c>
      <c r="M180" s="28">
        <f t="shared" si="232"/>
        <v>0</v>
      </c>
      <c r="N180" s="28">
        <f t="shared" si="233"/>
        <v>0</v>
      </c>
      <c r="O180" s="28">
        <f t="shared" si="234"/>
        <v>100</v>
      </c>
      <c r="P180" s="28">
        <f t="shared" si="235"/>
        <v>0</v>
      </c>
      <c r="Q180" s="28">
        <f t="shared" si="236"/>
        <v>100</v>
      </c>
      <c r="R180" s="26">
        <v>88</v>
      </c>
      <c r="T180" s="67"/>
      <c r="U180"/>
    </row>
    <row r="181" spans="1:21" ht="15" x14ac:dyDescent="0.25">
      <c r="A181" s="38" t="s">
        <v>418</v>
      </c>
      <c r="F181" s="11"/>
      <c r="G181" s="11"/>
      <c r="H181" s="11"/>
      <c r="I181" s="11"/>
      <c r="J181" s="11"/>
      <c r="K181" s="31"/>
      <c r="M181" s="12"/>
      <c r="N181" s="12"/>
      <c r="O181" s="12"/>
      <c r="P181" s="12"/>
      <c r="Q181" s="12"/>
      <c r="T181" s="67"/>
      <c r="U181"/>
    </row>
    <row r="182" spans="1:21" ht="45" x14ac:dyDescent="0.25">
      <c r="A182" s="38">
        <v>32</v>
      </c>
      <c r="B182" s="5" t="s">
        <v>88</v>
      </c>
      <c r="C182" s="5" t="s">
        <v>89</v>
      </c>
      <c r="D182" s="6" t="s">
        <v>67</v>
      </c>
      <c r="E182" s="25"/>
      <c r="F182" s="7"/>
      <c r="G182" s="7"/>
      <c r="H182" s="7">
        <v>101</v>
      </c>
      <c r="I182" s="7"/>
      <c r="J182" s="8">
        <f>SUBTOTAL(9,J184:J186)</f>
        <v>10020</v>
      </c>
      <c r="K182" s="29"/>
      <c r="L182" s="156">
        <f>ROUNDUP(MAX(L184:L186)/Work,0)</f>
        <v>4</v>
      </c>
      <c r="M182" s="8">
        <f>SUBTOTAL(9,M184:M186)</f>
        <v>4320</v>
      </c>
      <c r="N182" s="8">
        <f t="shared" ref="N182:Q182" si="237">SUBTOTAL(9,N184:N186)</f>
        <v>0</v>
      </c>
      <c r="O182" s="8">
        <f t="shared" si="237"/>
        <v>5700</v>
      </c>
      <c r="P182" s="8">
        <f t="shared" si="237"/>
        <v>0</v>
      </c>
      <c r="Q182" s="8">
        <f t="shared" si="237"/>
        <v>10020</v>
      </c>
      <c r="R182" s="25"/>
      <c r="T182" s="67"/>
      <c r="U182"/>
    </row>
    <row r="183" spans="1:21" ht="22.5" x14ac:dyDescent="0.25">
      <c r="A183" s="38" t="s">
        <v>418</v>
      </c>
      <c r="B183" s="13">
        <v>1</v>
      </c>
      <c r="C183" s="14" t="s">
        <v>90</v>
      </c>
      <c r="D183" s="13"/>
      <c r="E183" s="26"/>
      <c r="F183" s="15"/>
      <c r="G183" s="15"/>
      <c r="H183" s="15"/>
      <c r="I183" s="15"/>
      <c r="J183" s="15"/>
      <c r="K183" s="30"/>
      <c r="L183" s="157"/>
      <c r="M183" s="16"/>
      <c r="N183" s="16"/>
      <c r="O183" s="16"/>
      <c r="P183" s="16"/>
      <c r="Q183" s="16"/>
      <c r="R183" s="26"/>
      <c r="T183" s="67"/>
      <c r="U183"/>
    </row>
    <row r="184" spans="1:21" ht="15" x14ac:dyDescent="0.25">
      <c r="A184" s="38">
        <v>32.1</v>
      </c>
      <c r="B184" s="13">
        <v>2</v>
      </c>
      <c r="C184" s="14" t="s">
        <v>28</v>
      </c>
      <c r="D184" s="13" t="s">
        <v>27</v>
      </c>
      <c r="E184" s="26" t="str">
        <f>VLOOKUP(C184,Resources!B:G,3,FALSE)</f>
        <v>P</v>
      </c>
      <c r="F184" s="15">
        <v>1</v>
      </c>
      <c r="G184" s="15">
        <v>1</v>
      </c>
      <c r="H184" s="36">
        <f>VLOOKUP($A184,'Model Inputs'!$A:$C,3,FALSE)</f>
        <v>30</v>
      </c>
      <c r="I184" s="15">
        <f>VLOOKUP(C184,Resources!B:G,6,FALSE)</f>
        <v>100</v>
      </c>
      <c r="J184" s="27">
        <f>(H184/G184)*I184*F184</f>
        <v>3000</v>
      </c>
      <c r="K184" s="27">
        <f t="shared" ref="K184:K186" si="238">IF(E184="M"," ",L184*F184)</f>
        <v>30</v>
      </c>
      <c r="L184" s="157">
        <f t="shared" ref="L184:L186" si="239">IF(E184="M"," ",H184/G184)</f>
        <v>30</v>
      </c>
      <c r="M184" s="28">
        <f t="shared" ref="M184:M186" si="240">IF($E184="L",$J184,0)</f>
        <v>0</v>
      </c>
      <c r="N184" s="28">
        <f t="shared" ref="N184:N186" si="241">IF($E184="M",$J184,0)</f>
        <v>0</v>
      </c>
      <c r="O184" s="28">
        <f t="shared" ref="O184:O186" si="242">IF($E184="P",$J184,0)</f>
        <v>3000</v>
      </c>
      <c r="P184" s="28">
        <f t="shared" ref="P184:P186" si="243">IF($E184="S",$J184,0)</f>
        <v>0</v>
      </c>
      <c r="Q184" s="28">
        <f t="shared" ref="Q184:Q186" si="244">SUM(M184:P184)</f>
        <v>3000</v>
      </c>
      <c r="R184" s="26">
        <v>88</v>
      </c>
      <c r="T184" s="67"/>
      <c r="U184"/>
    </row>
    <row r="185" spans="1:21" ht="15" x14ac:dyDescent="0.25">
      <c r="A185" s="38" t="s">
        <v>418</v>
      </c>
      <c r="B185" s="13">
        <v>3</v>
      </c>
      <c r="C185" s="14" t="s">
        <v>74</v>
      </c>
      <c r="D185" s="13" t="s">
        <v>27</v>
      </c>
      <c r="E185" s="26" t="str">
        <f>VLOOKUP(C185,Resources!B:G,3,FALSE)</f>
        <v>P</v>
      </c>
      <c r="F185" s="15">
        <v>1</v>
      </c>
      <c r="G185" s="15">
        <v>1</v>
      </c>
      <c r="H185" s="15">
        <f>H184</f>
        <v>30</v>
      </c>
      <c r="I185" s="15">
        <f>VLOOKUP(C185,Resources!B:G,6,FALSE)</f>
        <v>90</v>
      </c>
      <c r="J185" s="27">
        <f>(H185/G185)*I185*F185</f>
        <v>2700</v>
      </c>
      <c r="K185" s="27">
        <f t="shared" si="238"/>
        <v>30</v>
      </c>
      <c r="L185" s="157">
        <f t="shared" si="239"/>
        <v>30</v>
      </c>
      <c r="M185" s="28">
        <f t="shared" si="240"/>
        <v>0</v>
      </c>
      <c r="N185" s="28">
        <f t="shared" si="241"/>
        <v>0</v>
      </c>
      <c r="O185" s="28">
        <f t="shared" si="242"/>
        <v>2700</v>
      </c>
      <c r="P185" s="28">
        <f t="shared" si="243"/>
        <v>0</v>
      </c>
      <c r="Q185" s="28">
        <f t="shared" si="244"/>
        <v>2700</v>
      </c>
      <c r="R185" s="26">
        <v>88</v>
      </c>
      <c r="T185" s="67"/>
      <c r="U185"/>
    </row>
    <row r="186" spans="1:21" ht="15" x14ac:dyDescent="0.25">
      <c r="A186" s="38" t="s">
        <v>418</v>
      </c>
      <c r="B186" s="13">
        <v>4</v>
      </c>
      <c r="C186" s="14" t="s">
        <v>7</v>
      </c>
      <c r="D186" s="13" t="s">
        <v>27</v>
      </c>
      <c r="E186" s="26" t="str">
        <f>VLOOKUP(C186,Resources!B:G,3,FALSE)</f>
        <v>L</v>
      </c>
      <c r="F186" s="15">
        <v>3</v>
      </c>
      <c r="G186" s="15">
        <v>1</v>
      </c>
      <c r="H186" s="15">
        <f>H184</f>
        <v>30</v>
      </c>
      <c r="I186" s="15">
        <f>VLOOKUP(C186,Resources!B:G,6,FALSE)</f>
        <v>48</v>
      </c>
      <c r="J186" s="27">
        <f>(H186/G186)*I186*F186</f>
        <v>4320</v>
      </c>
      <c r="K186" s="27">
        <f t="shared" si="238"/>
        <v>90</v>
      </c>
      <c r="L186" s="157">
        <f t="shared" si="239"/>
        <v>30</v>
      </c>
      <c r="M186" s="28">
        <f t="shared" si="240"/>
        <v>4320</v>
      </c>
      <c r="N186" s="28">
        <f t="shared" si="241"/>
        <v>0</v>
      </c>
      <c r="O186" s="28">
        <f t="shared" si="242"/>
        <v>0</v>
      </c>
      <c r="P186" s="28">
        <f t="shared" si="243"/>
        <v>0</v>
      </c>
      <c r="Q186" s="28">
        <f t="shared" si="244"/>
        <v>4320</v>
      </c>
      <c r="R186" s="26">
        <v>88</v>
      </c>
      <c r="T186" s="67"/>
      <c r="U186"/>
    </row>
    <row r="187" spans="1:21" ht="15" x14ac:dyDescent="0.25">
      <c r="A187" s="38" t="s">
        <v>418</v>
      </c>
      <c r="F187" s="11"/>
      <c r="G187" s="11"/>
      <c r="H187" s="11"/>
      <c r="I187" s="11"/>
      <c r="J187" s="11"/>
      <c r="K187" s="31"/>
      <c r="M187" s="12"/>
      <c r="N187" s="12"/>
      <c r="O187" s="12"/>
      <c r="P187" s="12"/>
      <c r="Q187" s="12"/>
      <c r="T187" s="67"/>
      <c r="U187"/>
    </row>
    <row r="188" spans="1:21" ht="33.75" x14ac:dyDescent="0.25">
      <c r="A188" s="38">
        <v>33</v>
      </c>
      <c r="B188" s="5" t="s">
        <v>91</v>
      </c>
      <c r="C188" s="5" t="s">
        <v>92</v>
      </c>
      <c r="D188" s="6" t="s">
        <v>67</v>
      </c>
      <c r="E188" s="25"/>
      <c r="F188" s="7"/>
      <c r="G188" s="7"/>
      <c r="H188" s="36">
        <f>VLOOKUP($A188,'Model Inputs'!$A:$C,3,FALSE)</f>
        <v>160</v>
      </c>
      <c r="I188" s="7"/>
      <c r="J188" s="8">
        <f>SUBTOTAL(9,J189:J193)</f>
        <v>9124.4444444444434</v>
      </c>
      <c r="K188" s="29"/>
      <c r="L188" s="156">
        <f>ROUNDUP(MAX(L189:L193)/Work,0)</f>
        <v>3</v>
      </c>
      <c r="M188" s="8">
        <f>SUBTOTAL(9,M189:M193)</f>
        <v>2880</v>
      </c>
      <c r="N188" s="8">
        <f t="shared" ref="N188:Q188" si="245">SUBTOTAL(9,N189:N193)</f>
        <v>0</v>
      </c>
      <c r="O188" s="8">
        <f t="shared" si="245"/>
        <v>6244.4444444444443</v>
      </c>
      <c r="P188" s="8">
        <f t="shared" si="245"/>
        <v>0</v>
      </c>
      <c r="Q188" s="8">
        <f t="shared" si="245"/>
        <v>9124.4444444444434</v>
      </c>
      <c r="R188" s="25"/>
      <c r="T188" s="67"/>
      <c r="U188"/>
    </row>
    <row r="189" spans="1:21" ht="15" x14ac:dyDescent="0.25">
      <c r="A189" s="38">
        <v>33.1</v>
      </c>
      <c r="B189" s="13">
        <v>1</v>
      </c>
      <c r="C189" s="14" t="s">
        <v>73</v>
      </c>
      <c r="D189" s="13" t="s">
        <v>27</v>
      </c>
      <c r="E189" s="26" t="str">
        <f>VLOOKUP(C189,Resources!B:G,3,FALSE)</f>
        <v>P</v>
      </c>
      <c r="F189" s="15">
        <v>1</v>
      </c>
      <c r="G189" s="36">
        <f>VLOOKUP($A189,'Model Inputs'!$A:$C,3,FALSE)</f>
        <v>8</v>
      </c>
      <c r="H189" s="15">
        <f>H188</f>
        <v>160</v>
      </c>
      <c r="I189" s="15">
        <f>VLOOKUP(C189,Resources!B:G,6,FALSE)</f>
        <v>130</v>
      </c>
      <c r="J189" s="27">
        <f>(H189/G189)*I189*F189</f>
        <v>2600</v>
      </c>
      <c r="K189" s="27">
        <f t="shared" ref="K189:K193" si="246">IF(E189="M"," ",L189*F189)</f>
        <v>20</v>
      </c>
      <c r="L189" s="157">
        <f t="shared" ref="L189:L193" si="247">IF(E189="M"," ",H189/G189)</f>
        <v>20</v>
      </c>
      <c r="M189" s="28">
        <f t="shared" ref="M189:M193" si="248">IF($E189="L",$J189,0)</f>
        <v>0</v>
      </c>
      <c r="N189" s="28">
        <f t="shared" ref="N189:N193" si="249">IF($E189="M",$J189,0)</f>
        <v>0</v>
      </c>
      <c r="O189" s="28">
        <f t="shared" ref="O189:O193" si="250">IF($E189="P",$J189,0)</f>
        <v>2600</v>
      </c>
      <c r="P189" s="28">
        <f t="shared" ref="P189:P193" si="251">IF($E189="S",$J189,0)</f>
        <v>0</v>
      </c>
      <c r="Q189" s="28">
        <f t="shared" ref="Q189:Q193" si="252">SUM(M189:P189)</f>
        <v>2600</v>
      </c>
      <c r="R189" s="26">
        <v>57</v>
      </c>
      <c r="T189" s="67"/>
      <c r="U189"/>
    </row>
    <row r="190" spans="1:21" ht="15" x14ac:dyDescent="0.25">
      <c r="A190" s="38" t="s">
        <v>418</v>
      </c>
      <c r="B190" s="13">
        <v>2</v>
      </c>
      <c r="C190" s="14" t="s">
        <v>74</v>
      </c>
      <c r="D190" s="13" t="s">
        <v>27</v>
      </c>
      <c r="E190" s="26" t="str">
        <f>VLOOKUP(C190,Resources!B:G,3,FALSE)</f>
        <v>P</v>
      </c>
      <c r="F190" s="15">
        <v>2</v>
      </c>
      <c r="G190" s="15">
        <f>G189</f>
        <v>8</v>
      </c>
      <c r="H190" s="15">
        <f>H188</f>
        <v>160</v>
      </c>
      <c r="I190" s="15">
        <f>VLOOKUP(C190,Resources!B:G,6,FALSE)</f>
        <v>90</v>
      </c>
      <c r="J190" s="27">
        <f>(H190/G190)*I190*F190</f>
        <v>3600</v>
      </c>
      <c r="K190" s="27">
        <f t="shared" si="246"/>
        <v>40</v>
      </c>
      <c r="L190" s="157">
        <f t="shared" si="247"/>
        <v>20</v>
      </c>
      <c r="M190" s="28">
        <f t="shared" si="248"/>
        <v>0</v>
      </c>
      <c r="N190" s="28">
        <f t="shared" si="249"/>
        <v>0</v>
      </c>
      <c r="O190" s="28">
        <f t="shared" si="250"/>
        <v>3600</v>
      </c>
      <c r="P190" s="28">
        <f t="shared" si="251"/>
        <v>0</v>
      </c>
      <c r="Q190" s="28">
        <f t="shared" si="252"/>
        <v>3600</v>
      </c>
      <c r="R190" s="26">
        <v>57</v>
      </c>
      <c r="T190" s="67"/>
      <c r="U190"/>
    </row>
    <row r="191" spans="1:21" ht="15" x14ac:dyDescent="0.25">
      <c r="A191" s="38" t="s">
        <v>418</v>
      </c>
      <c r="B191" s="13">
        <v>3</v>
      </c>
      <c r="C191" s="14" t="s">
        <v>7</v>
      </c>
      <c r="D191" s="13" t="s">
        <v>27</v>
      </c>
      <c r="E191" s="26" t="str">
        <f>VLOOKUP(C191,Resources!B:G,3,FALSE)</f>
        <v>L</v>
      </c>
      <c r="F191" s="15">
        <v>3</v>
      </c>
      <c r="G191" s="15">
        <f>G189</f>
        <v>8</v>
      </c>
      <c r="H191" s="15">
        <f>H188</f>
        <v>160</v>
      </c>
      <c r="I191" s="15">
        <f>VLOOKUP(C191,Resources!B:G,6,FALSE)</f>
        <v>48</v>
      </c>
      <c r="J191" s="27">
        <f>(H191/G191)*I191*F191</f>
        <v>2880</v>
      </c>
      <c r="K191" s="27">
        <f t="shared" si="246"/>
        <v>60</v>
      </c>
      <c r="L191" s="157">
        <f t="shared" si="247"/>
        <v>20</v>
      </c>
      <c r="M191" s="28">
        <f t="shared" si="248"/>
        <v>2880</v>
      </c>
      <c r="N191" s="28">
        <f t="shared" si="249"/>
        <v>0</v>
      </c>
      <c r="O191" s="28">
        <f t="shared" si="250"/>
        <v>0</v>
      </c>
      <c r="P191" s="28">
        <f t="shared" si="251"/>
        <v>0</v>
      </c>
      <c r="Q191" s="28">
        <f t="shared" si="252"/>
        <v>2880</v>
      </c>
      <c r="R191" s="26">
        <v>57</v>
      </c>
      <c r="T191" s="67"/>
      <c r="U191"/>
    </row>
    <row r="192" spans="1:21" ht="15" x14ac:dyDescent="0.25">
      <c r="A192" s="38" t="s">
        <v>418</v>
      </c>
      <c r="B192" s="13">
        <v>4</v>
      </c>
      <c r="C192" s="14" t="s">
        <v>75</v>
      </c>
      <c r="D192" s="13" t="s">
        <v>54</v>
      </c>
      <c r="E192" s="26" t="str">
        <f>VLOOKUP(C192,Resources!B:G,3,FALSE)</f>
        <v>P</v>
      </c>
      <c r="F192" s="15">
        <v>1</v>
      </c>
      <c r="G192" s="15">
        <f>G189*9</f>
        <v>72</v>
      </c>
      <c r="H192" s="15">
        <f>H188/20</f>
        <v>8</v>
      </c>
      <c r="I192" s="15">
        <f>VLOOKUP(C192,Resources!B:G,6,FALSE)</f>
        <v>365</v>
      </c>
      <c r="J192" s="27">
        <f>(H192/G192)*I192*F192</f>
        <v>40.55555555555555</v>
      </c>
      <c r="K192" s="27">
        <f t="shared" si="246"/>
        <v>0.1111111111111111</v>
      </c>
      <c r="L192" s="157">
        <f t="shared" si="247"/>
        <v>0.1111111111111111</v>
      </c>
      <c r="M192" s="28">
        <f t="shared" si="248"/>
        <v>0</v>
      </c>
      <c r="N192" s="28">
        <f t="shared" si="249"/>
        <v>0</v>
      </c>
      <c r="O192" s="28">
        <f t="shared" si="250"/>
        <v>40.55555555555555</v>
      </c>
      <c r="P192" s="28">
        <f t="shared" si="251"/>
        <v>0</v>
      </c>
      <c r="Q192" s="28">
        <f t="shared" si="252"/>
        <v>40.55555555555555</v>
      </c>
      <c r="R192" s="26">
        <v>57</v>
      </c>
      <c r="T192" s="67"/>
      <c r="U192"/>
    </row>
    <row r="193" spans="1:21" ht="15" x14ac:dyDescent="0.25">
      <c r="A193" s="38" t="s">
        <v>418</v>
      </c>
      <c r="B193" s="13">
        <v>5</v>
      </c>
      <c r="C193" s="14" t="s">
        <v>32</v>
      </c>
      <c r="D193" s="13" t="s">
        <v>27</v>
      </c>
      <c r="E193" s="26" t="str">
        <f>VLOOKUP(C193,Resources!B:G,3,FALSE)</f>
        <v>P</v>
      </c>
      <c r="F193" s="15">
        <v>1</v>
      </c>
      <c r="G193" s="15">
        <f>G189*9</f>
        <v>72</v>
      </c>
      <c r="H193" s="15">
        <f>H188/20</f>
        <v>8</v>
      </c>
      <c r="I193" s="15">
        <f>VLOOKUP(C193,Resources!B:G,6,FALSE)</f>
        <v>35</v>
      </c>
      <c r="J193" s="27">
        <f>(H193/G193)*I193*F193</f>
        <v>3.8888888888888888</v>
      </c>
      <c r="K193" s="27">
        <f t="shared" si="246"/>
        <v>0.1111111111111111</v>
      </c>
      <c r="L193" s="157">
        <f t="shared" si="247"/>
        <v>0.1111111111111111</v>
      </c>
      <c r="M193" s="28">
        <f t="shared" si="248"/>
        <v>0</v>
      </c>
      <c r="N193" s="28">
        <f t="shared" si="249"/>
        <v>0</v>
      </c>
      <c r="O193" s="28">
        <f t="shared" si="250"/>
        <v>3.8888888888888888</v>
      </c>
      <c r="P193" s="28">
        <f t="shared" si="251"/>
        <v>0</v>
      </c>
      <c r="Q193" s="28">
        <f t="shared" si="252"/>
        <v>3.8888888888888888</v>
      </c>
      <c r="R193" s="26">
        <v>57</v>
      </c>
      <c r="T193" s="67"/>
      <c r="U193"/>
    </row>
    <row r="194" spans="1:21" ht="15" x14ac:dyDescent="0.25">
      <c r="A194" s="38" t="s">
        <v>418</v>
      </c>
      <c r="F194" s="11"/>
      <c r="G194" s="11"/>
      <c r="H194" s="11"/>
      <c r="I194" s="11"/>
      <c r="J194" s="11"/>
      <c r="K194" s="31"/>
      <c r="M194" s="12"/>
      <c r="N194" s="12"/>
      <c r="O194" s="12"/>
      <c r="P194" s="12"/>
      <c r="Q194" s="12"/>
      <c r="T194" s="67"/>
      <c r="U194"/>
    </row>
    <row r="195" spans="1:21" ht="33.75" x14ac:dyDescent="0.25">
      <c r="A195" s="38">
        <v>34</v>
      </c>
      <c r="B195" s="5" t="s">
        <v>93</v>
      </c>
      <c r="C195" s="5" t="s">
        <v>94</v>
      </c>
      <c r="D195" s="6"/>
      <c r="E195" s="25"/>
      <c r="F195" s="7"/>
      <c r="G195" s="7"/>
      <c r="H195" s="7"/>
      <c r="I195" s="7"/>
      <c r="J195" s="8">
        <f>SUBTOTAL(9,J198:J288)</f>
        <v>94060.010845680445</v>
      </c>
      <c r="K195" s="29"/>
      <c r="L195" s="156"/>
      <c r="M195" s="8">
        <f>SUBTOTAL(9,M198:M288)</f>
        <v>26528.625558293868</v>
      </c>
      <c r="N195" s="8">
        <f t="shared" ref="N195:Q195" si="253">SUBTOTAL(9,N198:N288)</f>
        <v>0</v>
      </c>
      <c r="O195" s="8">
        <f t="shared" si="253"/>
        <v>67531.385287386554</v>
      </c>
      <c r="P195" s="8">
        <f t="shared" si="253"/>
        <v>0</v>
      </c>
      <c r="Q195" s="8">
        <f t="shared" si="253"/>
        <v>94060.010845680445</v>
      </c>
      <c r="R195" s="25"/>
      <c r="T195" s="67"/>
      <c r="U195"/>
    </row>
    <row r="196" spans="1:21" ht="15" x14ac:dyDescent="0.25">
      <c r="A196" s="38" t="s">
        <v>418</v>
      </c>
      <c r="B196" s="13">
        <v>1</v>
      </c>
      <c r="C196" s="14" t="s">
        <v>72</v>
      </c>
      <c r="D196" s="13"/>
      <c r="E196" s="26"/>
      <c r="F196" s="15"/>
      <c r="G196" s="15"/>
      <c r="H196" s="15"/>
      <c r="I196" s="15"/>
      <c r="J196" s="15"/>
      <c r="K196" s="30"/>
      <c r="L196" s="157"/>
      <c r="M196" s="16"/>
      <c r="N196" s="16"/>
      <c r="O196" s="16"/>
      <c r="P196" s="16"/>
      <c r="Q196" s="16"/>
      <c r="R196" s="26"/>
      <c r="T196" s="67"/>
      <c r="U196"/>
    </row>
    <row r="197" spans="1:21" ht="15" x14ac:dyDescent="0.25">
      <c r="A197" s="38" t="s">
        <v>418</v>
      </c>
      <c r="B197" s="13">
        <v>2</v>
      </c>
      <c r="C197" s="14" t="s">
        <v>249</v>
      </c>
      <c r="D197" s="13"/>
      <c r="E197" s="26"/>
      <c r="F197" s="15"/>
      <c r="G197" s="15"/>
      <c r="H197" s="15">
        <v>0.1648</v>
      </c>
      <c r="I197" s="15"/>
      <c r="J197" s="27"/>
      <c r="K197" s="27"/>
      <c r="L197" s="157"/>
      <c r="M197" s="28"/>
      <c r="N197" s="28"/>
      <c r="O197" s="28"/>
      <c r="P197" s="28"/>
      <c r="Q197" s="28"/>
      <c r="R197" s="26"/>
      <c r="T197" s="67"/>
      <c r="U197"/>
    </row>
    <row r="198" spans="1:21" ht="15" x14ac:dyDescent="0.25">
      <c r="A198" s="38">
        <v>35</v>
      </c>
      <c r="B198" s="5">
        <v>4</v>
      </c>
      <c r="C198" s="5" t="s">
        <v>237</v>
      </c>
      <c r="D198" s="6" t="s">
        <v>299</v>
      </c>
      <c r="E198" s="25"/>
      <c r="F198" s="7"/>
      <c r="G198" s="7"/>
      <c r="H198" s="36">
        <f>VLOOKUP($A198,'Model Inputs'!$A:$C,3,FALSE)</f>
        <v>214</v>
      </c>
      <c r="I198" s="7"/>
      <c r="J198" s="8">
        <f>SUBTOTAL(9,J200:J204)</f>
        <v>4130.4405842195993</v>
      </c>
      <c r="K198" s="29"/>
      <c r="L198" s="156">
        <f>ROUNDUP(MAX(L200:L204)/Work,0)</f>
        <v>1</v>
      </c>
      <c r="M198" s="8">
        <f>SUBTOTAL(9,M200:M204)</f>
        <v>1295.9987887861785</v>
      </c>
      <c r="N198" s="8">
        <f t="shared" ref="N198:Q198" si="254">SUBTOTAL(9,N200:N204)</f>
        <v>0</v>
      </c>
      <c r="O198" s="8">
        <f t="shared" si="254"/>
        <v>2834.4417954334208</v>
      </c>
      <c r="P198" s="8">
        <f t="shared" si="254"/>
        <v>0</v>
      </c>
      <c r="Q198" s="8">
        <f t="shared" si="254"/>
        <v>4130.4405842195993</v>
      </c>
      <c r="R198" s="25"/>
      <c r="T198" s="67"/>
      <c r="U198"/>
    </row>
    <row r="199" spans="1:21" ht="15" x14ac:dyDescent="0.25">
      <c r="A199" s="38" t="s">
        <v>418</v>
      </c>
      <c r="B199" s="13">
        <v>5</v>
      </c>
      <c r="C199" s="14" t="s">
        <v>5</v>
      </c>
      <c r="D199" s="13"/>
      <c r="E199" s="26"/>
      <c r="F199" s="15"/>
      <c r="G199" s="15"/>
      <c r="H199" s="15">
        <f>H198</f>
        <v>214</v>
      </c>
      <c r="I199" s="15"/>
      <c r="J199" s="15"/>
      <c r="K199" s="30"/>
      <c r="L199" s="157"/>
      <c r="M199" s="16"/>
      <c r="N199" s="16"/>
      <c r="O199" s="16"/>
      <c r="P199" s="16"/>
      <c r="Q199" s="16"/>
      <c r="R199" s="26"/>
      <c r="T199" s="67"/>
      <c r="U199"/>
    </row>
    <row r="200" spans="1:21" ht="15" x14ac:dyDescent="0.25">
      <c r="A200" s="38">
        <v>35.1</v>
      </c>
      <c r="B200" s="13">
        <v>6</v>
      </c>
      <c r="C200" s="14" t="s">
        <v>73</v>
      </c>
      <c r="D200" s="13" t="s">
        <v>27</v>
      </c>
      <c r="E200" s="26" t="str">
        <f>VLOOKUP(C200,Resources!B:G,3,FALSE)</f>
        <v>P</v>
      </c>
      <c r="F200" s="15">
        <v>1</v>
      </c>
      <c r="G200" s="36">
        <f>VLOOKUP($A200,'Model Inputs'!$A:$C,3,FALSE)</f>
        <v>23.777799999999999</v>
      </c>
      <c r="H200" s="15">
        <f>H198</f>
        <v>214</v>
      </c>
      <c r="I200" s="15">
        <f>VLOOKUP(C200,Resources!B:G,6,FALSE)</f>
        <v>130</v>
      </c>
      <c r="J200" s="27">
        <f>(H200/G200)*I200*F200</f>
        <v>1169.998906543078</v>
      </c>
      <c r="K200" s="27">
        <f t="shared" ref="K200:K204" si="255">IF(E200="M"," ",L200*F200)</f>
        <v>8.9999915887929074</v>
      </c>
      <c r="L200" s="157">
        <f t="shared" ref="L200:L204" si="256">IF(E200="M"," ",H200/G200)</f>
        <v>8.9999915887929074</v>
      </c>
      <c r="M200" s="28">
        <f t="shared" ref="M200:M204" si="257">IF($E200="L",$J200,0)</f>
        <v>0</v>
      </c>
      <c r="N200" s="28">
        <f t="shared" ref="N200:N204" si="258">IF($E200="M",$J200,0)</f>
        <v>0</v>
      </c>
      <c r="O200" s="28">
        <f t="shared" ref="O200:O204" si="259">IF($E200="P",$J200,0)</f>
        <v>1169.998906543078</v>
      </c>
      <c r="P200" s="28">
        <f t="shared" ref="P200:P204" si="260">IF($E200="S",$J200,0)</f>
        <v>0</v>
      </c>
      <c r="Q200" s="28">
        <f t="shared" ref="Q200:Q204" si="261">SUM(M200:P200)</f>
        <v>1169.998906543078</v>
      </c>
      <c r="R200" s="26">
        <v>57</v>
      </c>
      <c r="T200" s="67"/>
      <c r="U200"/>
    </row>
    <row r="201" spans="1:21" ht="15" x14ac:dyDescent="0.25">
      <c r="A201" s="38" t="s">
        <v>418</v>
      </c>
      <c r="B201" s="13">
        <v>7</v>
      </c>
      <c r="C201" s="14" t="s">
        <v>74</v>
      </c>
      <c r="D201" s="13" t="s">
        <v>27</v>
      </c>
      <c r="E201" s="26" t="str">
        <f>VLOOKUP(C201,Resources!B:G,3,FALSE)</f>
        <v>P</v>
      </c>
      <c r="F201" s="15">
        <v>2</v>
      </c>
      <c r="G201" s="15">
        <f>G200</f>
        <v>23.777799999999999</v>
      </c>
      <c r="H201" s="15">
        <f>H198</f>
        <v>214</v>
      </c>
      <c r="I201" s="15">
        <f>VLOOKUP(C201,Resources!B:G,6,FALSE)</f>
        <v>90</v>
      </c>
      <c r="J201" s="27">
        <f>(H201/G201)*I201*F201</f>
        <v>1619.9984859827234</v>
      </c>
      <c r="K201" s="27">
        <f t="shared" si="255"/>
        <v>17.999983177585815</v>
      </c>
      <c r="L201" s="157">
        <f t="shared" si="256"/>
        <v>8.9999915887929074</v>
      </c>
      <c r="M201" s="28">
        <f t="shared" si="257"/>
        <v>0</v>
      </c>
      <c r="N201" s="28">
        <f t="shared" si="258"/>
        <v>0</v>
      </c>
      <c r="O201" s="28">
        <f t="shared" si="259"/>
        <v>1619.9984859827234</v>
      </c>
      <c r="P201" s="28">
        <f t="shared" si="260"/>
        <v>0</v>
      </c>
      <c r="Q201" s="28">
        <f t="shared" si="261"/>
        <v>1619.9984859827234</v>
      </c>
      <c r="R201" s="26">
        <v>57</v>
      </c>
      <c r="T201" s="67"/>
      <c r="U201"/>
    </row>
    <row r="202" spans="1:21" ht="15" x14ac:dyDescent="0.25">
      <c r="A202" s="38" t="s">
        <v>418</v>
      </c>
      <c r="B202" s="13">
        <v>8</v>
      </c>
      <c r="C202" s="14" t="s">
        <v>7</v>
      </c>
      <c r="D202" s="13" t="s">
        <v>27</v>
      </c>
      <c r="E202" s="26" t="str">
        <f>VLOOKUP(C202,Resources!B:G,3,FALSE)</f>
        <v>L</v>
      </c>
      <c r="F202" s="15">
        <v>3</v>
      </c>
      <c r="G202" s="15">
        <f>G200</f>
        <v>23.777799999999999</v>
      </c>
      <c r="H202" s="15">
        <f>H198</f>
        <v>214</v>
      </c>
      <c r="I202" s="15">
        <f>VLOOKUP(C202,Resources!B:G,6,FALSE)</f>
        <v>48</v>
      </c>
      <c r="J202" s="27">
        <f>(H202/G202)*I202*F202</f>
        <v>1295.9987887861785</v>
      </c>
      <c r="K202" s="27">
        <f t="shared" si="255"/>
        <v>26.99997476637872</v>
      </c>
      <c r="L202" s="157">
        <f t="shared" si="256"/>
        <v>8.9999915887929074</v>
      </c>
      <c r="M202" s="28">
        <f t="shared" si="257"/>
        <v>1295.9987887861785</v>
      </c>
      <c r="N202" s="28">
        <f t="shared" si="258"/>
        <v>0</v>
      </c>
      <c r="O202" s="28">
        <f t="shared" si="259"/>
        <v>0</v>
      </c>
      <c r="P202" s="28">
        <f t="shared" si="260"/>
        <v>0</v>
      </c>
      <c r="Q202" s="28">
        <f t="shared" si="261"/>
        <v>1295.9987887861785</v>
      </c>
      <c r="R202" s="26">
        <v>57</v>
      </c>
      <c r="T202" s="67"/>
      <c r="U202"/>
    </row>
    <row r="203" spans="1:21" ht="15" x14ac:dyDescent="0.25">
      <c r="A203" s="38" t="s">
        <v>418</v>
      </c>
      <c r="B203" s="13">
        <v>9</v>
      </c>
      <c r="C203" s="14" t="s">
        <v>75</v>
      </c>
      <c r="D203" s="13" t="s">
        <v>54</v>
      </c>
      <c r="E203" s="26" t="str">
        <f>VLOOKUP(C203,Resources!B:G,3,FALSE)</f>
        <v>P</v>
      </c>
      <c r="F203" s="15">
        <v>1</v>
      </c>
      <c r="G203" s="15">
        <f>G200*9</f>
        <v>214.00020000000001</v>
      </c>
      <c r="H203" s="15">
        <f>H198/9</f>
        <v>23.777777777777779</v>
      </c>
      <c r="I203" s="15">
        <f>VLOOKUP(C203,Resources!B:G,6,FALSE)</f>
        <v>365</v>
      </c>
      <c r="J203" s="27">
        <f>(H203/G203)*I203*F203</f>
        <v>40.555517653202607</v>
      </c>
      <c r="K203" s="27">
        <f t="shared" si="255"/>
        <v>0.11111100726904824</v>
      </c>
      <c r="L203" s="157">
        <f t="shared" si="256"/>
        <v>0.11111100726904824</v>
      </c>
      <c r="M203" s="28">
        <f t="shared" si="257"/>
        <v>0</v>
      </c>
      <c r="N203" s="28">
        <f t="shared" si="258"/>
        <v>0</v>
      </c>
      <c r="O203" s="28">
        <f t="shared" si="259"/>
        <v>40.555517653202607</v>
      </c>
      <c r="P203" s="28">
        <f t="shared" si="260"/>
        <v>0</v>
      </c>
      <c r="Q203" s="28">
        <f t="shared" si="261"/>
        <v>40.555517653202607</v>
      </c>
      <c r="R203" s="26">
        <v>57</v>
      </c>
      <c r="T203" s="67"/>
      <c r="U203"/>
    </row>
    <row r="204" spans="1:21" ht="15" x14ac:dyDescent="0.25">
      <c r="A204" s="38" t="s">
        <v>418</v>
      </c>
      <c r="B204" s="13">
        <v>10</v>
      </c>
      <c r="C204" s="14" t="s">
        <v>32</v>
      </c>
      <c r="D204" s="13" t="s">
        <v>27</v>
      </c>
      <c r="E204" s="26" t="str">
        <f>VLOOKUP(C204,Resources!B:G,3,FALSE)</f>
        <v>P</v>
      </c>
      <c r="F204" s="15">
        <v>1</v>
      </c>
      <c r="G204" s="15">
        <f>G200*9</f>
        <v>214.00020000000001</v>
      </c>
      <c r="H204" s="15">
        <f>H198/9</f>
        <v>23.777777777777779</v>
      </c>
      <c r="I204" s="15">
        <f>VLOOKUP(C204,Resources!B:G,6,FALSE)</f>
        <v>35</v>
      </c>
      <c r="J204" s="27">
        <f>(H204/G204)*I204*F204</f>
        <v>3.8888852544166883</v>
      </c>
      <c r="K204" s="27">
        <f t="shared" si="255"/>
        <v>0.11111100726904824</v>
      </c>
      <c r="L204" s="157">
        <f t="shared" si="256"/>
        <v>0.11111100726904824</v>
      </c>
      <c r="M204" s="28">
        <f t="shared" si="257"/>
        <v>0</v>
      </c>
      <c r="N204" s="28">
        <f t="shared" si="258"/>
        <v>0</v>
      </c>
      <c r="O204" s="28">
        <f t="shared" si="259"/>
        <v>3.8888852544166883</v>
      </c>
      <c r="P204" s="28">
        <f t="shared" si="260"/>
        <v>0</v>
      </c>
      <c r="Q204" s="28">
        <f t="shared" si="261"/>
        <v>3.8888852544166883</v>
      </c>
      <c r="R204" s="26">
        <v>57</v>
      </c>
      <c r="T204" s="67"/>
      <c r="U204"/>
    </row>
    <row r="205" spans="1:21" ht="15" x14ac:dyDescent="0.25">
      <c r="A205" s="38">
        <v>36</v>
      </c>
      <c r="B205" s="5">
        <v>11</v>
      </c>
      <c r="C205" s="5" t="s">
        <v>236</v>
      </c>
      <c r="D205" s="6" t="s">
        <v>299</v>
      </c>
      <c r="E205" s="25"/>
      <c r="F205" s="7"/>
      <c r="G205" s="7"/>
      <c r="H205" s="36">
        <f>VLOOKUP($A205,'Model Inputs'!$A:$C,3,FALSE)</f>
        <v>195</v>
      </c>
      <c r="I205" s="7"/>
      <c r="J205" s="8">
        <f>SUBTOTAL(9,J207:J211)</f>
        <v>3763.7192239384208</v>
      </c>
      <c r="K205" s="29"/>
      <c r="L205" s="156">
        <f>ROUNDUP(MAX(L207:L211)/Work,0)</f>
        <v>1</v>
      </c>
      <c r="M205" s="8">
        <f>SUBTOTAL(9,M207:M211)</f>
        <v>1180.9334757631068</v>
      </c>
      <c r="N205" s="8">
        <f t="shared" ref="N205:Q205" si="262">SUBTOTAL(9,N207:N211)</f>
        <v>0</v>
      </c>
      <c r="O205" s="8">
        <f t="shared" si="262"/>
        <v>2582.785748175314</v>
      </c>
      <c r="P205" s="8">
        <f t="shared" si="262"/>
        <v>0</v>
      </c>
      <c r="Q205" s="8">
        <f t="shared" si="262"/>
        <v>3763.7192239384208</v>
      </c>
      <c r="R205" s="25"/>
      <c r="T205" s="67"/>
      <c r="U205"/>
    </row>
    <row r="206" spans="1:21" ht="15" x14ac:dyDescent="0.25">
      <c r="A206" s="38" t="s">
        <v>418</v>
      </c>
      <c r="B206" s="13">
        <v>12</v>
      </c>
      <c r="C206" s="14" t="s">
        <v>5</v>
      </c>
      <c r="D206" s="13"/>
      <c r="E206" s="26"/>
      <c r="F206" s="15"/>
      <c r="G206" s="15"/>
      <c r="H206" s="15">
        <f>H205</f>
        <v>195</v>
      </c>
      <c r="I206" s="15"/>
      <c r="J206" s="15"/>
      <c r="K206" s="30"/>
      <c r="L206" s="157"/>
      <c r="M206" s="16"/>
      <c r="N206" s="16"/>
      <c r="O206" s="16"/>
      <c r="P206" s="16"/>
      <c r="Q206" s="16"/>
      <c r="R206" s="26"/>
      <c r="T206" s="67"/>
      <c r="U206"/>
    </row>
    <row r="207" spans="1:21" ht="15" x14ac:dyDescent="0.25">
      <c r="A207" s="38">
        <v>36.1</v>
      </c>
      <c r="B207" s="13">
        <v>13</v>
      </c>
      <c r="C207" s="14" t="s">
        <v>73</v>
      </c>
      <c r="D207" s="13" t="s">
        <v>27</v>
      </c>
      <c r="E207" s="26" t="str">
        <f>VLOOKUP(C207,Resources!B:G,3,FALSE)</f>
        <v>P</v>
      </c>
      <c r="F207" s="15">
        <v>1</v>
      </c>
      <c r="G207" s="36">
        <f>VLOOKUP($A207,'Model Inputs'!$A:$C,3,FALSE)</f>
        <v>23.777799999999999</v>
      </c>
      <c r="H207" s="15">
        <f>H205</f>
        <v>195</v>
      </c>
      <c r="I207" s="15">
        <f>VLOOKUP(C207,Resources!B:G,6,FALSE)</f>
        <v>130</v>
      </c>
      <c r="J207" s="27">
        <f>(H207/G207)*I207*F207</f>
        <v>1066.1204989528048</v>
      </c>
      <c r="K207" s="27">
        <f t="shared" ref="K207:K211" si="263">IF(E207="M"," ",L207*F207)</f>
        <v>8.2009269150215758</v>
      </c>
      <c r="L207" s="157">
        <f t="shared" ref="L207:L211" si="264">IF(E207="M"," ",H207/G207)</f>
        <v>8.2009269150215758</v>
      </c>
      <c r="M207" s="28">
        <f t="shared" ref="M207:M211" si="265">IF($E207="L",$J207,0)</f>
        <v>0</v>
      </c>
      <c r="N207" s="28">
        <f t="shared" ref="N207:N211" si="266">IF($E207="M",$J207,0)</f>
        <v>0</v>
      </c>
      <c r="O207" s="28">
        <f t="shared" ref="O207:O211" si="267">IF($E207="P",$J207,0)</f>
        <v>1066.1204989528048</v>
      </c>
      <c r="P207" s="28">
        <f t="shared" ref="P207:P211" si="268">IF($E207="S",$J207,0)</f>
        <v>0</v>
      </c>
      <c r="Q207" s="28">
        <f t="shared" ref="Q207:Q211" si="269">SUM(M207:P207)</f>
        <v>1066.1204989528048</v>
      </c>
      <c r="R207" s="26">
        <v>57</v>
      </c>
      <c r="T207" s="67"/>
      <c r="U207"/>
    </row>
    <row r="208" spans="1:21" ht="15" x14ac:dyDescent="0.25">
      <c r="A208" s="38" t="s">
        <v>418</v>
      </c>
      <c r="B208" s="13">
        <v>14</v>
      </c>
      <c r="C208" s="14" t="s">
        <v>74</v>
      </c>
      <c r="D208" s="13" t="s">
        <v>27</v>
      </c>
      <c r="E208" s="26" t="str">
        <f>VLOOKUP(C208,Resources!B:G,3,FALSE)</f>
        <v>P</v>
      </c>
      <c r="F208" s="15">
        <v>2</v>
      </c>
      <c r="G208" s="15">
        <f>G207</f>
        <v>23.777799999999999</v>
      </c>
      <c r="H208" s="15">
        <f>H205</f>
        <v>195</v>
      </c>
      <c r="I208" s="15">
        <f>VLOOKUP(C208,Resources!B:G,6,FALSE)</f>
        <v>90</v>
      </c>
      <c r="J208" s="27">
        <f>(H208/G208)*I208*F208</f>
        <v>1476.1668447038837</v>
      </c>
      <c r="K208" s="27">
        <f t="shared" si="263"/>
        <v>16.401853830043152</v>
      </c>
      <c r="L208" s="157">
        <f t="shared" si="264"/>
        <v>8.2009269150215758</v>
      </c>
      <c r="M208" s="28">
        <f t="shared" si="265"/>
        <v>0</v>
      </c>
      <c r="N208" s="28">
        <f t="shared" si="266"/>
        <v>0</v>
      </c>
      <c r="O208" s="28">
        <f t="shared" si="267"/>
        <v>1476.1668447038837</v>
      </c>
      <c r="P208" s="28">
        <f t="shared" si="268"/>
        <v>0</v>
      </c>
      <c r="Q208" s="28">
        <f t="shared" si="269"/>
        <v>1476.1668447038837</v>
      </c>
      <c r="R208" s="26">
        <v>57</v>
      </c>
      <c r="T208" s="67"/>
      <c r="U208"/>
    </row>
    <row r="209" spans="1:21" ht="15" x14ac:dyDescent="0.25">
      <c r="A209" s="38" t="s">
        <v>418</v>
      </c>
      <c r="B209" s="13">
        <v>15</v>
      </c>
      <c r="C209" s="14" t="s">
        <v>7</v>
      </c>
      <c r="D209" s="13" t="s">
        <v>27</v>
      </c>
      <c r="E209" s="26" t="str">
        <f>VLOOKUP(C209,Resources!B:G,3,FALSE)</f>
        <v>L</v>
      </c>
      <c r="F209" s="15">
        <v>3</v>
      </c>
      <c r="G209" s="15">
        <f>G207</f>
        <v>23.777799999999999</v>
      </c>
      <c r="H209" s="15">
        <f>H205</f>
        <v>195</v>
      </c>
      <c r="I209" s="15">
        <f>VLOOKUP(C209,Resources!B:G,6,FALSE)</f>
        <v>48</v>
      </c>
      <c r="J209" s="27">
        <f>(H209/G209)*I209*F209</f>
        <v>1180.9334757631068</v>
      </c>
      <c r="K209" s="27">
        <f t="shared" si="263"/>
        <v>24.602780745064727</v>
      </c>
      <c r="L209" s="157">
        <f t="shared" si="264"/>
        <v>8.2009269150215758</v>
      </c>
      <c r="M209" s="28">
        <f t="shared" si="265"/>
        <v>1180.9334757631068</v>
      </c>
      <c r="N209" s="28">
        <f t="shared" si="266"/>
        <v>0</v>
      </c>
      <c r="O209" s="28">
        <f t="shared" si="267"/>
        <v>0</v>
      </c>
      <c r="P209" s="28">
        <f t="shared" si="268"/>
        <v>0</v>
      </c>
      <c r="Q209" s="28">
        <f t="shared" si="269"/>
        <v>1180.9334757631068</v>
      </c>
      <c r="R209" s="26">
        <v>57</v>
      </c>
      <c r="T209" s="67"/>
      <c r="U209"/>
    </row>
    <row r="210" spans="1:21" ht="15" x14ac:dyDescent="0.25">
      <c r="A210" s="38" t="s">
        <v>418</v>
      </c>
      <c r="B210" s="13">
        <v>16</v>
      </c>
      <c r="C210" s="14" t="s">
        <v>75</v>
      </c>
      <c r="D210" s="13" t="s">
        <v>54</v>
      </c>
      <c r="E210" s="26" t="str">
        <f>VLOOKUP(C210,Resources!B:G,3,FALSE)</f>
        <v>P</v>
      </c>
      <c r="F210" s="15">
        <v>1</v>
      </c>
      <c r="G210" s="15">
        <f>G207*9</f>
        <v>214.00020000000001</v>
      </c>
      <c r="H210" s="15">
        <f>H205/9</f>
        <v>21.666666666666668</v>
      </c>
      <c r="I210" s="15">
        <f>VLOOKUP(C210,Resources!B:G,6,FALSE)</f>
        <v>365</v>
      </c>
      <c r="J210" s="27">
        <f>(H210/G210)*I210*F210</f>
        <v>36.954794123245371</v>
      </c>
      <c r="K210" s="27">
        <f t="shared" si="263"/>
        <v>0.10124601129656266</v>
      </c>
      <c r="L210" s="157">
        <f t="shared" si="264"/>
        <v>0.10124601129656266</v>
      </c>
      <c r="M210" s="28">
        <f t="shared" si="265"/>
        <v>0</v>
      </c>
      <c r="N210" s="28">
        <f t="shared" si="266"/>
        <v>0</v>
      </c>
      <c r="O210" s="28">
        <f t="shared" si="267"/>
        <v>36.954794123245371</v>
      </c>
      <c r="P210" s="28">
        <f t="shared" si="268"/>
        <v>0</v>
      </c>
      <c r="Q210" s="28">
        <f t="shared" si="269"/>
        <v>36.954794123245371</v>
      </c>
      <c r="R210" s="26">
        <v>57</v>
      </c>
      <c r="T210" s="67"/>
      <c r="U210"/>
    </row>
    <row r="211" spans="1:21" ht="15" x14ac:dyDescent="0.25">
      <c r="A211" s="38" t="s">
        <v>418</v>
      </c>
      <c r="B211" s="13">
        <v>17</v>
      </c>
      <c r="C211" s="14" t="s">
        <v>32</v>
      </c>
      <c r="D211" s="13" t="s">
        <v>27</v>
      </c>
      <c r="E211" s="26" t="str">
        <f>VLOOKUP(C211,Resources!B:G,3,FALSE)</f>
        <v>P</v>
      </c>
      <c r="F211" s="15">
        <v>1</v>
      </c>
      <c r="G211" s="15">
        <f>G207*9</f>
        <v>214.00020000000001</v>
      </c>
      <c r="H211" s="15">
        <f>H205/9</f>
        <v>21.666666666666668</v>
      </c>
      <c r="I211" s="15">
        <f>VLOOKUP(C211,Resources!B:G,6,FALSE)</f>
        <v>35</v>
      </c>
      <c r="J211" s="27">
        <f>(H211/G211)*I211*F211</f>
        <v>3.5436103953796931</v>
      </c>
      <c r="K211" s="27">
        <f t="shared" si="263"/>
        <v>0.10124601129656266</v>
      </c>
      <c r="L211" s="157">
        <f t="shared" si="264"/>
        <v>0.10124601129656266</v>
      </c>
      <c r="M211" s="28">
        <f t="shared" si="265"/>
        <v>0</v>
      </c>
      <c r="N211" s="28">
        <f t="shared" si="266"/>
        <v>0</v>
      </c>
      <c r="O211" s="28">
        <f t="shared" si="267"/>
        <v>3.5436103953796931</v>
      </c>
      <c r="P211" s="28">
        <f t="shared" si="268"/>
        <v>0</v>
      </c>
      <c r="Q211" s="28">
        <f t="shared" si="269"/>
        <v>3.5436103953796931</v>
      </c>
      <c r="R211" s="26">
        <v>57</v>
      </c>
      <c r="T211" s="67"/>
      <c r="U211"/>
    </row>
    <row r="212" spans="1:21" ht="15" x14ac:dyDescent="0.25">
      <c r="A212" s="38">
        <v>37</v>
      </c>
      <c r="B212" s="5">
        <v>18</v>
      </c>
      <c r="C212" s="5" t="s">
        <v>239</v>
      </c>
      <c r="D212" s="6" t="s">
        <v>299</v>
      </c>
      <c r="E212" s="25"/>
      <c r="F212" s="7"/>
      <c r="G212" s="7"/>
      <c r="H212" s="36">
        <f>VLOOKUP($A212,'Model Inputs'!$A:$C,3,FALSE)</f>
        <v>261</v>
      </c>
      <c r="I212" s="7"/>
      <c r="J212" s="8">
        <f>SUBTOTAL(9,J214:J218)</f>
        <v>5037.5934228098859</v>
      </c>
      <c r="K212" s="29"/>
      <c r="L212" s="156">
        <f>ROUNDUP(MAX(L214:L218)/Work,0)</f>
        <v>2</v>
      </c>
      <c r="M212" s="8">
        <f>SUBTOTAL(9,M214:M218)</f>
        <v>1580.63403679062</v>
      </c>
      <c r="N212" s="8">
        <f t="shared" ref="N212:Q212" si="270">SUBTOTAL(9,N214:N218)</f>
        <v>0</v>
      </c>
      <c r="O212" s="8">
        <f t="shared" si="270"/>
        <v>3456.9593860192654</v>
      </c>
      <c r="P212" s="8">
        <f t="shared" si="270"/>
        <v>0</v>
      </c>
      <c r="Q212" s="8">
        <f t="shared" si="270"/>
        <v>5037.5934228098859</v>
      </c>
      <c r="R212" s="25"/>
      <c r="T212" s="67"/>
      <c r="U212"/>
    </row>
    <row r="213" spans="1:21" ht="15" x14ac:dyDescent="0.25">
      <c r="A213" s="38" t="s">
        <v>418</v>
      </c>
      <c r="B213" s="13">
        <v>19</v>
      </c>
      <c r="C213" s="14" t="s">
        <v>5</v>
      </c>
      <c r="D213" s="13"/>
      <c r="E213" s="26"/>
      <c r="F213" s="15"/>
      <c r="G213" s="15"/>
      <c r="H213" s="15">
        <f>H212</f>
        <v>261</v>
      </c>
      <c r="I213" s="15"/>
      <c r="J213" s="15"/>
      <c r="K213" s="30"/>
      <c r="L213" s="157"/>
      <c r="M213" s="16"/>
      <c r="N213" s="16"/>
      <c r="O213" s="16"/>
      <c r="P213" s="16"/>
      <c r="Q213" s="16"/>
      <c r="R213" s="26"/>
      <c r="T213" s="67"/>
      <c r="U213"/>
    </row>
    <row r="214" spans="1:21" ht="15" x14ac:dyDescent="0.25">
      <c r="A214" s="38">
        <v>37.1</v>
      </c>
      <c r="B214" s="13">
        <v>20</v>
      </c>
      <c r="C214" s="14" t="s">
        <v>73</v>
      </c>
      <c r="D214" s="13" t="s">
        <v>27</v>
      </c>
      <c r="E214" s="26" t="str">
        <f>VLOOKUP(C214,Resources!B:G,3,FALSE)</f>
        <v>P</v>
      </c>
      <c r="F214" s="15">
        <v>1</v>
      </c>
      <c r="G214" s="36">
        <f>VLOOKUP($A214,'Model Inputs'!$A:$C,3,FALSE)</f>
        <v>23.777799999999999</v>
      </c>
      <c r="H214" s="15">
        <f>H212</f>
        <v>261</v>
      </c>
      <c r="I214" s="15">
        <f>VLOOKUP(C214,Resources!B:G,6,FALSE)</f>
        <v>130</v>
      </c>
      <c r="J214" s="27">
        <f>(H214/G214)*I214*F214</f>
        <v>1426.9612832137541</v>
      </c>
      <c r="K214" s="27">
        <f t="shared" ref="K214:K218" si="271">IF(E214="M"," ",L214*F214)</f>
        <v>10.976625255490417</v>
      </c>
      <c r="L214" s="157">
        <f t="shared" ref="L214:L218" si="272">IF(E214="M"," ",H214/G214)</f>
        <v>10.976625255490417</v>
      </c>
      <c r="M214" s="28">
        <f t="shared" ref="M214:M218" si="273">IF($E214="L",$J214,0)</f>
        <v>0</v>
      </c>
      <c r="N214" s="28">
        <f t="shared" ref="N214:N218" si="274">IF($E214="M",$J214,0)</f>
        <v>0</v>
      </c>
      <c r="O214" s="28">
        <f t="shared" ref="O214:O218" si="275">IF($E214="P",$J214,0)</f>
        <v>1426.9612832137541</v>
      </c>
      <c r="P214" s="28">
        <f t="shared" ref="P214:P218" si="276">IF($E214="S",$J214,0)</f>
        <v>0</v>
      </c>
      <c r="Q214" s="28">
        <f t="shared" ref="Q214:Q218" si="277">SUM(M214:P214)</f>
        <v>1426.9612832137541</v>
      </c>
      <c r="R214" s="26">
        <v>57</v>
      </c>
      <c r="T214" s="67"/>
      <c r="U214"/>
    </row>
    <row r="215" spans="1:21" ht="15" x14ac:dyDescent="0.25">
      <c r="A215" s="38" t="s">
        <v>418</v>
      </c>
      <c r="B215" s="13">
        <v>21</v>
      </c>
      <c r="C215" s="14" t="s">
        <v>74</v>
      </c>
      <c r="D215" s="13" t="s">
        <v>27</v>
      </c>
      <c r="E215" s="26" t="str">
        <f>VLOOKUP(C215,Resources!B:G,3,FALSE)</f>
        <v>P</v>
      </c>
      <c r="F215" s="15">
        <v>2</v>
      </c>
      <c r="G215" s="15">
        <f>G214</f>
        <v>23.777799999999999</v>
      </c>
      <c r="H215" s="15">
        <f>H212</f>
        <v>261</v>
      </c>
      <c r="I215" s="15">
        <f>VLOOKUP(C215,Resources!B:G,6,FALSE)</f>
        <v>90</v>
      </c>
      <c r="J215" s="27">
        <f>(H215/G215)*I215*F215</f>
        <v>1975.7925459882749</v>
      </c>
      <c r="K215" s="27">
        <f t="shared" si="271"/>
        <v>21.953250510980833</v>
      </c>
      <c r="L215" s="157">
        <f t="shared" si="272"/>
        <v>10.976625255490417</v>
      </c>
      <c r="M215" s="28">
        <f t="shared" si="273"/>
        <v>0</v>
      </c>
      <c r="N215" s="28">
        <f t="shared" si="274"/>
        <v>0</v>
      </c>
      <c r="O215" s="28">
        <f t="shared" si="275"/>
        <v>1975.7925459882749</v>
      </c>
      <c r="P215" s="28">
        <f t="shared" si="276"/>
        <v>0</v>
      </c>
      <c r="Q215" s="28">
        <f t="shared" si="277"/>
        <v>1975.7925459882749</v>
      </c>
      <c r="R215" s="26">
        <v>57</v>
      </c>
      <c r="T215" s="67"/>
      <c r="U215"/>
    </row>
    <row r="216" spans="1:21" ht="15" x14ac:dyDescent="0.25">
      <c r="A216" s="38" t="s">
        <v>418</v>
      </c>
      <c r="B216" s="13">
        <v>22</v>
      </c>
      <c r="C216" s="14" t="s">
        <v>7</v>
      </c>
      <c r="D216" s="13" t="s">
        <v>27</v>
      </c>
      <c r="E216" s="26" t="str">
        <f>VLOOKUP(C216,Resources!B:G,3,FALSE)</f>
        <v>L</v>
      </c>
      <c r="F216" s="15">
        <v>3</v>
      </c>
      <c r="G216" s="15">
        <f>G214</f>
        <v>23.777799999999999</v>
      </c>
      <c r="H216" s="15">
        <f>H212</f>
        <v>261</v>
      </c>
      <c r="I216" s="15">
        <f>VLOOKUP(C216,Resources!B:G,6,FALSE)</f>
        <v>48</v>
      </c>
      <c r="J216" s="27">
        <f>(H216/G216)*I216*F216</f>
        <v>1580.63403679062</v>
      </c>
      <c r="K216" s="27">
        <f t="shared" si="271"/>
        <v>32.929875766471248</v>
      </c>
      <c r="L216" s="157">
        <f t="shared" si="272"/>
        <v>10.976625255490417</v>
      </c>
      <c r="M216" s="28">
        <f t="shared" si="273"/>
        <v>1580.63403679062</v>
      </c>
      <c r="N216" s="28">
        <f t="shared" si="274"/>
        <v>0</v>
      </c>
      <c r="O216" s="28">
        <f t="shared" si="275"/>
        <v>0</v>
      </c>
      <c r="P216" s="28">
        <f t="shared" si="276"/>
        <v>0</v>
      </c>
      <c r="Q216" s="28">
        <f t="shared" si="277"/>
        <v>1580.63403679062</v>
      </c>
      <c r="R216" s="26">
        <v>57</v>
      </c>
      <c r="T216" s="67"/>
      <c r="U216"/>
    </row>
    <row r="217" spans="1:21" ht="15" x14ac:dyDescent="0.25">
      <c r="A217" s="38" t="s">
        <v>418</v>
      </c>
      <c r="B217" s="13">
        <v>23</v>
      </c>
      <c r="C217" s="14" t="s">
        <v>75</v>
      </c>
      <c r="D217" s="13" t="s">
        <v>54</v>
      </c>
      <c r="E217" s="26" t="str">
        <f>VLOOKUP(C217,Resources!B:G,3,FALSE)</f>
        <v>P</v>
      </c>
      <c r="F217" s="15">
        <v>1</v>
      </c>
      <c r="G217" s="15">
        <f>G214*9</f>
        <v>214.00020000000001</v>
      </c>
      <c r="H217" s="15">
        <f>H212/9</f>
        <v>29</v>
      </c>
      <c r="I217" s="15">
        <f>VLOOKUP(C217,Resources!B:G,6,FALSE)</f>
        <v>365</v>
      </c>
      <c r="J217" s="27">
        <f>(H217/G217)*I217*F217</f>
        <v>49.462570595728415</v>
      </c>
      <c r="K217" s="27">
        <f t="shared" si="271"/>
        <v>0.13551389204309156</v>
      </c>
      <c r="L217" s="157">
        <f t="shared" si="272"/>
        <v>0.13551389204309156</v>
      </c>
      <c r="M217" s="28">
        <f t="shared" si="273"/>
        <v>0</v>
      </c>
      <c r="N217" s="28">
        <f t="shared" si="274"/>
        <v>0</v>
      </c>
      <c r="O217" s="28">
        <f t="shared" si="275"/>
        <v>49.462570595728415</v>
      </c>
      <c r="P217" s="28">
        <f t="shared" si="276"/>
        <v>0</v>
      </c>
      <c r="Q217" s="28">
        <f t="shared" si="277"/>
        <v>49.462570595728415</v>
      </c>
      <c r="R217" s="26">
        <v>57</v>
      </c>
      <c r="T217" s="67"/>
      <c r="U217"/>
    </row>
    <row r="218" spans="1:21" ht="15" x14ac:dyDescent="0.25">
      <c r="A218" s="38" t="s">
        <v>418</v>
      </c>
      <c r="B218" s="13">
        <v>24</v>
      </c>
      <c r="C218" s="14" t="s">
        <v>32</v>
      </c>
      <c r="D218" s="13" t="s">
        <v>27</v>
      </c>
      <c r="E218" s="26" t="str">
        <f>VLOOKUP(C218,Resources!B:G,3,FALSE)</f>
        <v>P</v>
      </c>
      <c r="F218" s="15">
        <v>1</v>
      </c>
      <c r="G218" s="15">
        <f>G214*9</f>
        <v>214.00020000000001</v>
      </c>
      <c r="H218" s="15">
        <f>H212/9</f>
        <v>29</v>
      </c>
      <c r="I218" s="15">
        <f>VLOOKUP(C218,Resources!B:G,6,FALSE)</f>
        <v>35</v>
      </c>
      <c r="J218" s="27">
        <f>(H218/G218)*I218*F218</f>
        <v>4.7429862215082048</v>
      </c>
      <c r="K218" s="27">
        <f t="shared" si="271"/>
        <v>0.13551389204309156</v>
      </c>
      <c r="L218" s="157">
        <f t="shared" si="272"/>
        <v>0.13551389204309156</v>
      </c>
      <c r="M218" s="28">
        <f t="shared" si="273"/>
        <v>0</v>
      </c>
      <c r="N218" s="28">
        <f t="shared" si="274"/>
        <v>0</v>
      </c>
      <c r="O218" s="28">
        <f t="shared" si="275"/>
        <v>4.7429862215082048</v>
      </c>
      <c r="P218" s="28">
        <f t="shared" si="276"/>
        <v>0</v>
      </c>
      <c r="Q218" s="28">
        <f t="shared" si="277"/>
        <v>4.7429862215082048</v>
      </c>
      <c r="R218" s="26">
        <v>57</v>
      </c>
      <c r="T218" s="67"/>
      <c r="U218"/>
    </row>
    <row r="219" spans="1:21" ht="15" x14ac:dyDescent="0.25">
      <c r="A219" s="38">
        <v>38</v>
      </c>
      <c r="B219" s="5">
        <v>25</v>
      </c>
      <c r="C219" s="5" t="s">
        <v>238</v>
      </c>
      <c r="D219" s="6" t="s">
        <v>299</v>
      </c>
      <c r="E219" s="25"/>
      <c r="F219" s="7"/>
      <c r="G219" s="7"/>
      <c r="H219" s="36">
        <f>VLOOKUP($A219,'Model Inputs'!$A:$C,3,FALSE)</f>
        <v>420</v>
      </c>
      <c r="I219" s="7"/>
      <c r="J219" s="8">
        <f>SUBTOTAL(9,J221:J225)</f>
        <v>8106.4721746365976</v>
      </c>
      <c r="K219" s="29"/>
      <c r="L219" s="156">
        <f>ROUNDUP(MAX(L221:L225)/Work,0)</f>
        <v>2</v>
      </c>
      <c r="M219" s="8">
        <f>SUBTOTAL(9,M221:M225)</f>
        <v>2543.549024720538</v>
      </c>
      <c r="N219" s="8">
        <f t="shared" ref="N219:Q219" si="278">SUBTOTAL(9,N221:N225)</f>
        <v>0</v>
      </c>
      <c r="O219" s="8">
        <f t="shared" si="278"/>
        <v>5562.9231499160596</v>
      </c>
      <c r="P219" s="8">
        <f t="shared" si="278"/>
        <v>0</v>
      </c>
      <c r="Q219" s="8">
        <f t="shared" si="278"/>
        <v>8106.4721746365976</v>
      </c>
      <c r="R219" s="25"/>
      <c r="T219" s="67"/>
      <c r="U219"/>
    </row>
    <row r="220" spans="1:21" ht="15" x14ac:dyDescent="0.25">
      <c r="A220" s="38" t="s">
        <v>418</v>
      </c>
      <c r="B220" s="13">
        <v>26</v>
      </c>
      <c r="C220" s="14" t="s">
        <v>5</v>
      </c>
      <c r="D220" s="13"/>
      <c r="E220" s="26"/>
      <c r="F220" s="15"/>
      <c r="G220" s="15"/>
      <c r="H220" s="15">
        <f>H219</f>
        <v>420</v>
      </c>
      <c r="I220" s="15"/>
      <c r="J220" s="15"/>
      <c r="K220" s="30"/>
      <c r="L220" s="157"/>
      <c r="M220" s="16"/>
      <c r="N220" s="16"/>
      <c r="O220" s="16"/>
      <c r="P220" s="16"/>
      <c r="Q220" s="16"/>
      <c r="R220" s="26"/>
      <c r="T220" s="67"/>
      <c r="U220"/>
    </row>
    <row r="221" spans="1:21" ht="15" x14ac:dyDescent="0.25">
      <c r="A221" s="38">
        <v>38.1</v>
      </c>
      <c r="B221" s="13">
        <v>27</v>
      </c>
      <c r="C221" s="14" t="s">
        <v>73</v>
      </c>
      <c r="D221" s="13" t="s">
        <v>27</v>
      </c>
      <c r="E221" s="26" t="str">
        <f>VLOOKUP(C221,Resources!B:G,3,FALSE)</f>
        <v>P</v>
      </c>
      <c r="F221" s="15">
        <v>1</v>
      </c>
      <c r="G221" s="36">
        <f>VLOOKUP($A221,'Model Inputs'!$A:$C,3,FALSE)</f>
        <v>23.777799999999999</v>
      </c>
      <c r="H221" s="15">
        <f>H219</f>
        <v>420</v>
      </c>
      <c r="I221" s="15">
        <f>VLOOKUP(C221,Resources!B:G,6,FALSE)</f>
        <v>130</v>
      </c>
      <c r="J221" s="27">
        <f>(H221/G221)*I221*F221</f>
        <v>2296.259536206041</v>
      </c>
      <c r="K221" s="27">
        <f t="shared" ref="K221:K225" si="279">IF(E221="M"," ",L221*F221)</f>
        <v>17.663534893892624</v>
      </c>
      <c r="L221" s="157">
        <f t="shared" ref="L221:L225" si="280">IF(E221="M"," ",H221/G221)</f>
        <v>17.663534893892624</v>
      </c>
      <c r="M221" s="28">
        <f t="shared" ref="M221:M225" si="281">IF($E221="L",$J221,0)</f>
        <v>0</v>
      </c>
      <c r="N221" s="28">
        <f t="shared" ref="N221:N225" si="282">IF($E221="M",$J221,0)</f>
        <v>0</v>
      </c>
      <c r="O221" s="28">
        <f t="shared" ref="O221:O225" si="283">IF($E221="P",$J221,0)</f>
        <v>2296.259536206041</v>
      </c>
      <c r="P221" s="28">
        <f t="shared" ref="P221:P225" si="284">IF($E221="S",$J221,0)</f>
        <v>0</v>
      </c>
      <c r="Q221" s="28">
        <f t="shared" ref="Q221:Q225" si="285">SUM(M221:P221)</f>
        <v>2296.259536206041</v>
      </c>
      <c r="R221" s="26">
        <v>57</v>
      </c>
      <c r="T221" s="67"/>
      <c r="U221"/>
    </row>
    <row r="222" spans="1:21" ht="15" x14ac:dyDescent="0.25">
      <c r="A222" s="38" t="s">
        <v>418</v>
      </c>
      <c r="B222" s="13">
        <v>28</v>
      </c>
      <c r="C222" s="14" t="s">
        <v>74</v>
      </c>
      <c r="D222" s="13" t="s">
        <v>27</v>
      </c>
      <c r="E222" s="26" t="str">
        <f>VLOOKUP(C222,Resources!B:G,3,FALSE)</f>
        <v>P</v>
      </c>
      <c r="F222" s="15">
        <v>2</v>
      </c>
      <c r="G222" s="15">
        <f>G221</f>
        <v>23.777799999999999</v>
      </c>
      <c r="H222" s="15">
        <f>H219</f>
        <v>420</v>
      </c>
      <c r="I222" s="15">
        <f>VLOOKUP(C222,Resources!B:G,6,FALSE)</f>
        <v>90</v>
      </c>
      <c r="J222" s="27">
        <f>(H222/G222)*I222*F222</f>
        <v>3179.4362809006725</v>
      </c>
      <c r="K222" s="27">
        <f t="shared" si="279"/>
        <v>35.327069787785248</v>
      </c>
      <c r="L222" s="157">
        <f t="shared" si="280"/>
        <v>17.663534893892624</v>
      </c>
      <c r="M222" s="28">
        <f t="shared" si="281"/>
        <v>0</v>
      </c>
      <c r="N222" s="28">
        <f t="shared" si="282"/>
        <v>0</v>
      </c>
      <c r="O222" s="28">
        <f t="shared" si="283"/>
        <v>3179.4362809006725</v>
      </c>
      <c r="P222" s="28">
        <f t="shared" si="284"/>
        <v>0</v>
      </c>
      <c r="Q222" s="28">
        <f t="shared" si="285"/>
        <v>3179.4362809006725</v>
      </c>
      <c r="R222" s="26">
        <v>57</v>
      </c>
      <c r="T222" s="67"/>
      <c r="U222"/>
    </row>
    <row r="223" spans="1:21" ht="15" x14ac:dyDescent="0.25">
      <c r="A223" s="38" t="s">
        <v>418</v>
      </c>
      <c r="B223" s="13">
        <v>29</v>
      </c>
      <c r="C223" s="14" t="s">
        <v>7</v>
      </c>
      <c r="D223" s="13" t="s">
        <v>27</v>
      </c>
      <c r="E223" s="26" t="str">
        <f>VLOOKUP(C223,Resources!B:G,3,FALSE)</f>
        <v>L</v>
      </c>
      <c r="F223" s="15">
        <v>3</v>
      </c>
      <c r="G223" s="15">
        <f>G221</f>
        <v>23.777799999999999</v>
      </c>
      <c r="H223" s="15">
        <f>H219</f>
        <v>420</v>
      </c>
      <c r="I223" s="15">
        <f>VLOOKUP(C223,Resources!B:G,6,FALSE)</f>
        <v>48</v>
      </c>
      <c r="J223" s="27">
        <f>(H223/G223)*I223*F223</f>
        <v>2543.549024720538</v>
      </c>
      <c r="K223" s="27">
        <f t="shared" si="279"/>
        <v>52.990604681677873</v>
      </c>
      <c r="L223" s="157">
        <f t="shared" si="280"/>
        <v>17.663534893892624</v>
      </c>
      <c r="M223" s="28">
        <f t="shared" si="281"/>
        <v>2543.549024720538</v>
      </c>
      <c r="N223" s="28">
        <f t="shared" si="282"/>
        <v>0</v>
      </c>
      <c r="O223" s="28">
        <f t="shared" si="283"/>
        <v>0</v>
      </c>
      <c r="P223" s="28">
        <f t="shared" si="284"/>
        <v>0</v>
      </c>
      <c r="Q223" s="28">
        <f t="shared" si="285"/>
        <v>2543.549024720538</v>
      </c>
      <c r="R223" s="26">
        <v>57</v>
      </c>
      <c r="T223" s="67"/>
      <c r="U223"/>
    </row>
    <row r="224" spans="1:21" ht="15" x14ac:dyDescent="0.25">
      <c r="A224" s="38" t="s">
        <v>418</v>
      </c>
      <c r="B224" s="13">
        <v>30</v>
      </c>
      <c r="C224" s="14" t="s">
        <v>75</v>
      </c>
      <c r="D224" s="13" t="s">
        <v>54</v>
      </c>
      <c r="E224" s="26" t="str">
        <f>VLOOKUP(C224,Resources!B:G,3,FALSE)</f>
        <v>P</v>
      </c>
      <c r="F224" s="15">
        <v>1</v>
      </c>
      <c r="G224" s="15">
        <f>G221*9</f>
        <v>214.00020000000001</v>
      </c>
      <c r="H224" s="15">
        <f>H219/9</f>
        <v>46.666666666666664</v>
      </c>
      <c r="I224" s="15">
        <f>VLOOKUP(C224,Resources!B:G,6,FALSE)</f>
        <v>365</v>
      </c>
      <c r="J224" s="27">
        <f>(H224/G224)*I224*F224</f>
        <v>79.59494118852848</v>
      </c>
      <c r="K224" s="27">
        <f t="shared" si="279"/>
        <v>0.2180683320233657</v>
      </c>
      <c r="L224" s="157">
        <f t="shared" si="280"/>
        <v>0.2180683320233657</v>
      </c>
      <c r="M224" s="28">
        <f t="shared" si="281"/>
        <v>0</v>
      </c>
      <c r="N224" s="28">
        <f t="shared" si="282"/>
        <v>0</v>
      </c>
      <c r="O224" s="28">
        <f t="shared" si="283"/>
        <v>79.59494118852848</v>
      </c>
      <c r="P224" s="28">
        <f t="shared" si="284"/>
        <v>0</v>
      </c>
      <c r="Q224" s="28">
        <f t="shared" si="285"/>
        <v>79.59494118852848</v>
      </c>
      <c r="R224" s="26">
        <v>57</v>
      </c>
      <c r="T224" s="67"/>
      <c r="U224"/>
    </row>
    <row r="225" spans="1:21" ht="15" x14ac:dyDescent="0.25">
      <c r="A225" s="38" t="s">
        <v>418</v>
      </c>
      <c r="B225" s="13">
        <v>31</v>
      </c>
      <c r="C225" s="14" t="s">
        <v>32</v>
      </c>
      <c r="D225" s="13" t="s">
        <v>27</v>
      </c>
      <c r="E225" s="26" t="str">
        <f>VLOOKUP(C225,Resources!B:G,3,FALSE)</f>
        <v>P</v>
      </c>
      <c r="F225" s="15">
        <v>1</v>
      </c>
      <c r="G225" s="15">
        <f>G221*9</f>
        <v>214.00020000000001</v>
      </c>
      <c r="H225" s="15">
        <f>H219/9</f>
        <v>46.666666666666664</v>
      </c>
      <c r="I225" s="15">
        <f>VLOOKUP(C225,Resources!B:G,6,FALSE)</f>
        <v>35</v>
      </c>
      <c r="J225" s="27">
        <f>(H225/G225)*I225*F225</f>
        <v>7.6323916208178</v>
      </c>
      <c r="K225" s="27">
        <f t="shared" si="279"/>
        <v>0.2180683320233657</v>
      </c>
      <c r="L225" s="157">
        <f t="shared" si="280"/>
        <v>0.2180683320233657</v>
      </c>
      <c r="M225" s="28">
        <f t="shared" si="281"/>
        <v>0</v>
      </c>
      <c r="N225" s="28">
        <f t="shared" si="282"/>
        <v>0</v>
      </c>
      <c r="O225" s="28">
        <f t="shared" si="283"/>
        <v>7.6323916208178</v>
      </c>
      <c r="P225" s="28">
        <f t="shared" si="284"/>
        <v>0</v>
      </c>
      <c r="Q225" s="28">
        <f t="shared" si="285"/>
        <v>7.6323916208178</v>
      </c>
      <c r="R225" s="26">
        <v>57</v>
      </c>
      <c r="T225" s="67"/>
      <c r="U225"/>
    </row>
    <row r="226" spans="1:21" ht="15" x14ac:dyDescent="0.25">
      <c r="A226" s="38">
        <v>39</v>
      </c>
      <c r="B226" s="5">
        <v>32</v>
      </c>
      <c r="C226" s="5" t="s">
        <v>240</v>
      </c>
      <c r="D226" s="6" t="s">
        <v>299</v>
      </c>
      <c r="E226" s="25"/>
      <c r="F226" s="7"/>
      <c r="G226" s="7"/>
      <c r="H226" s="36">
        <f>VLOOKUP($A226,'Model Inputs'!$A:$C,3,FALSE)</f>
        <v>40</v>
      </c>
      <c r="I226" s="7"/>
      <c r="J226" s="8">
        <f>SUBTOTAL(9,J228:J232)</f>
        <v>772.04496901300934</v>
      </c>
      <c r="K226" s="29"/>
      <c r="L226" s="156">
        <f>ROUNDUP(MAX(L228:L232)/Work,0)</f>
        <v>1</v>
      </c>
      <c r="M226" s="8">
        <f>SUBTOTAL(9,M228:M232)</f>
        <v>242.24276425909883</v>
      </c>
      <c r="N226" s="8">
        <f t="shared" ref="N226:Q226" si="286">SUBTOTAL(9,N228:N232)</f>
        <v>0</v>
      </c>
      <c r="O226" s="8">
        <f t="shared" si="286"/>
        <v>529.80220475391047</v>
      </c>
      <c r="P226" s="8">
        <f t="shared" si="286"/>
        <v>0</v>
      </c>
      <c r="Q226" s="8">
        <f t="shared" si="286"/>
        <v>772.04496901300934</v>
      </c>
      <c r="R226" s="25"/>
      <c r="T226" s="67"/>
      <c r="U226"/>
    </row>
    <row r="227" spans="1:21" ht="15" x14ac:dyDescent="0.25">
      <c r="A227" s="38" t="s">
        <v>418</v>
      </c>
      <c r="B227" s="13">
        <v>33</v>
      </c>
      <c r="C227" s="14" t="s">
        <v>5</v>
      </c>
      <c r="D227" s="13"/>
      <c r="E227" s="26"/>
      <c r="F227" s="15"/>
      <c r="G227" s="15"/>
      <c r="H227" s="15">
        <f>H226</f>
        <v>40</v>
      </c>
      <c r="I227" s="15"/>
      <c r="J227" s="15"/>
      <c r="K227" s="30"/>
      <c r="L227" s="157"/>
      <c r="M227" s="16"/>
      <c r="N227" s="16"/>
      <c r="O227" s="16"/>
      <c r="P227" s="16"/>
      <c r="Q227" s="16"/>
      <c r="R227" s="26"/>
      <c r="T227" s="67"/>
      <c r="U227"/>
    </row>
    <row r="228" spans="1:21" ht="15" x14ac:dyDescent="0.25">
      <c r="A228" s="38">
        <v>39.1</v>
      </c>
      <c r="B228" s="13">
        <v>34</v>
      </c>
      <c r="C228" s="14" t="s">
        <v>73</v>
      </c>
      <c r="D228" s="13" t="s">
        <v>27</v>
      </c>
      <c r="E228" s="26" t="str">
        <f>VLOOKUP(C228,Resources!B:G,3,FALSE)</f>
        <v>P</v>
      </c>
      <c r="F228" s="15">
        <v>1</v>
      </c>
      <c r="G228" s="36">
        <f>VLOOKUP($A228,'Model Inputs'!$A:$C,3,FALSE)</f>
        <v>23.777799999999999</v>
      </c>
      <c r="H228" s="15">
        <f>H226</f>
        <v>40</v>
      </c>
      <c r="I228" s="15">
        <f>VLOOKUP(C228,Resources!B:G,6,FALSE)</f>
        <v>130</v>
      </c>
      <c r="J228" s="27">
        <f>(H228/G228)*I228*F228</f>
        <v>218.69138440057534</v>
      </c>
      <c r="K228" s="27">
        <f t="shared" ref="K228:K232" si="287">IF(E228="M"," ",L228*F228)</f>
        <v>1.6822414184659642</v>
      </c>
      <c r="L228" s="157">
        <f t="shared" ref="L228:L232" si="288">IF(E228="M"," ",H228/G228)</f>
        <v>1.6822414184659642</v>
      </c>
      <c r="M228" s="28">
        <f t="shared" ref="M228:M232" si="289">IF($E228="L",$J228,0)</f>
        <v>0</v>
      </c>
      <c r="N228" s="28">
        <f t="shared" ref="N228:N232" si="290">IF($E228="M",$J228,0)</f>
        <v>0</v>
      </c>
      <c r="O228" s="28">
        <f t="shared" ref="O228:O232" si="291">IF($E228="P",$J228,0)</f>
        <v>218.69138440057534</v>
      </c>
      <c r="P228" s="28">
        <f t="shared" ref="P228:P232" si="292">IF($E228="S",$J228,0)</f>
        <v>0</v>
      </c>
      <c r="Q228" s="28">
        <f t="shared" ref="Q228:Q232" si="293">SUM(M228:P228)</f>
        <v>218.69138440057534</v>
      </c>
      <c r="R228" s="26">
        <v>57</v>
      </c>
      <c r="T228" s="67"/>
      <c r="U228"/>
    </row>
    <row r="229" spans="1:21" ht="15" x14ac:dyDescent="0.25">
      <c r="A229" s="38" t="s">
        <v>418</v>
      </c>
      <c r="B229" s="13">
        <v>35</v>
      </c>
      <c r="C229" s="14" t="s">
        <v>74</v>
      </c>
      <c r="D229" s="13" t="s">
        <v>27</v>
      </c>
      <c r="E229" s="26" t="str">
        <f>VLOOKUP(C229,Resources!B:G,3,FALSE)</f>
        <v>P</v>
      </c>
      <c r="F229" s="15">
        <v>2</v>
      </c>
      <c r="G229" s="15">
        <f>G228</f>
        <v>23.777799999999999</v>
      </c>
      <c r="H229" s="15">
        <f>H226</f>
        <v>40</v>
      </c>
      <c r="I229" s="15">
        <f>VLOOKUP(C229,Resources!B:G,6,FALSE)</f>
        <v>90</v>
      </c>
      <c r="J229" s="27">
        <f>(H229/G229)*I229*F229</f>
        <v>302.80345532387355</v>
      </c>
      <c r="K229" s="27">
        <f t="shared" si="287"/>
        <v>3.3644828369319284</v>
      </c>
      <c r="L229" s="157">
        <f t="shared" si="288"/>
        <v>1.6822414184659642</v>
      </c>
      <c r="M229" s="28">
        <f t="shared" si="289"/>
        <v>0</v>
      </c>
      <c r="N229" s="28">
        <f t="shared" si="290"/>
        <v>0</v>
      </c>
      <c r="O229" s="28">
        <f t="shared" si="291"/>
        <v>302.80345532387355</v>
      </c>
      <c r="P229" s="28">
        <f t="shared" si="292"/>
        <v>0</v>
      </c>
      <c r="Q229" s="28">
        <f t="shared" si="293"/>
        <v>302.80345532387355</v>
      </c>
      <c r="R229" s="26">
        <v>57</v>
      </c>
      <c r="T229" s="67"/>
      <c r="U229"/>
    </row>
    <row r="230" spans="1:21" ht="15" x14ac:dyDescent="0.25">
      <c r="A230" s="38" t="s">
        <v>418</v>
      </c>
      <c r="B230" s="13">
        <v>36</v>
      </c>
      <c r="C230" s="14" t="s">
        <v>7</v>
      </c>
      <c r="D230" s="13" t="s">
        <v>27</v>
      </c>
      <c r="E230" s="26" t="str">
        <f>VLOOKUP(C230,Resources!B:G,3,FALSE)</f>
        <v>L</v>
      </c>
      <c r="F230" s="15">
        <v>3</v>
      </c>
      <c r="G230" s="15">
        <f>G228</f>
        <v>23.777799999999999</v>
      </c>
      <c r="H230" s="15">
        <f>H226</f>
        <v>40</v>
      </c>
      <c r="I230" s="15">
        <f>VLOOKUP(C230,Resources!B:G,6,FALSE)</f>
        <v>48</v>
      </c>
      <c r="J230" s="27">
        <f>(H230/G230)*I230*F230</f>
        <v>242.24276425909883</v>
      </c>
      <c r="K230" s="27">
        <f t="shared" si="287"/>
        <v>5.0467242553978924</v>
      </c>
      <c r="L230" s="157">
        <f t="shared" si="288"/>
        <v>1.6822414184659642</v>
      </c>
      <c r="M230" s="28">
        <f t="shared" si="289"/>
        <v>242.24276425909883</v>
      </c>
      <c r="N230" s="28">
        <f t="shared" si="290"/>
        <v>0</v>
      </c>
      <c r="O230" s="28">
        <f t="shared" si="291"/>
        <v>0</v>
      </c>
      <c r="P230" s="28">
        <f t="shared" si="292"/>
        <v>0</v>
      </c>
      <c r="Q230" s="28">
        <f t="shared" si="293"/>
        <v>242.24276425909883</v>
      </c>
      <c r="R230" s="26">
        <v>57</v>
      </c>
      <c r="T230" s="67"/>
      <c r="U230"/>
    </row>
    <row r="231" spans="1:21" ht="15" x14ac:dyDescent="0.25">
      <c r="A231" s="38" t="s">
        <v>418</v>
      </c>
      <c r="B231" s="13">
        <v>37</v>
      </c>
      <c r="C231" s="14" t="s">
        <v>75</v>
      </c>
      <c r="D231" s="13" t="s">
        <v>54</v>
      </c>
      <c r="E231" s="26" t="str">
        <f>VLOOKUP(C231,Resources!B:G,3,FALSE)</f>
        <v>P</v>
      </c>
      <c r="F231" s="15">
        <v>1</v>
      </c>
      <c r="G231" s="15">
        <f>G228*9</f>
        <v>214.00020000000001</v>
      </c>
      <c r="H231" s="15">
        <f>H226/9</f>
        <v>4.4444444444444446</v>
      </c>
      <c r="I231" s="15">
        <f>VLOOKUP(C231,Resources!B:G,6,FALSE)</f>
        <v>365</v>
      </c>
      <c r="J231" s="27">
        <f>(H231/G231)*I231*F231</f>
        <v>7.5804705893836655</v>
      </c>
      <c r="K231" s="27">
        <f t="shared" si="287"/>
        <v>2.0768412573653878E-2</v>
      </c>
      <c r="L231" s="157">
        <f t="shared" si="288"/>
        <v>2.0768412573653878E-2</v>
      </c>
      <c r="M231" s="28">
        <f t="shared" si="289"/>
        <v>0</v>
      </c>
      <c r="N231" s="28">
        <f t="shared" si="290"/>
        <v>0</v>
      </c>
      <c r="O231" s="28">
        <f t="shared" si="291"/>
        <v>7.5804705893836655</v>
      </c>
      <c r="P231" s="28">
        <f t="shared" si="292"/>
        <v>0</v>
      </c>
      <c r="Q231" s="28">
        <f t="shared" si="293"/>
        <v>7.5804705893836655</v>
      </c>
      <c r="R231" s="26">
        <v>57</v>
      </c>
      <c r="T231" s="67"/>
      <c r="U231"/>
    </row>
    <row r="232" spans="1:21" ht="15" x14ac:dyDescent="0.25">
      <c r="A232" s="38" t="s">
        <v>418</v>
      </c>
      <c r="B232" s="13">
        <v>38</v>
      </c>
      <c r="C232" s="14" t="s">
        <v>32</v>
      </c>
      <c r="D232" s="13" t="s">
        <v>27</v>
      </c>
      <c r="E232" s="26" t="str">
        <f>VLOOKUP(C232,Resources!B:G,3,FALSE)</f>
        <v>P</v>
      </c>
      <c r="F232" s="15">
        <v>1</v>
      </c>
      <c r="G232" s="15">
        <f>G228*9</f>
        <v>214.00020000000001</v>
      </c>
      <c r="H232" s="15">
        <f>H226/9</f>
        <v>4.4444444444444446</v>
      </c>
      <c r="I232" s="15">
        <f>VLOOKUP(C232,Resources!B:G,6,FALSE)</f>
        <v>35</v>
      </c>
      <c r="J232" s="27">
        <f>(H232/G232)*I232*F232</f>
        <v>0.72689444007788573</v>
      </c>
      <c r="K232" s="27">
        <f t="shared" si="287"/>
        <v>2.0768412573653878E-2</v>
      </c>
      <c r="L232" s="157">
        <f t="shared" si="288"/>
        <v>2.0768412573653878E-2</v>
      </c>
      <c r="M232" s="28">
        <f t="shared" si="289"/>
        <v>0</v>
      </c>
      <c r="N232" s="28">
        <f t="shared" si="290"/>
        <v>0</v>
      </c>
      <c r="O232" s="28">
        <f t="shared" si="291"/>
        <v>0.72689444007788573</v>
      </c>
      <c r="P232" s="28">
        <f t="shared" si="292"/>
        <v>0</v>
      </c>
      <c r="Q232" s="28">
        <f t="shared" si="293"/>
        <v>0.72689444007788573</v>
      </c>
      <c r="R232" s="26">
        <v>57</v>
      </c>
      <c r="T232" s="67"/>
      <c r="U232"/>
    </row>
    <row r="233" spans="1:21" ht="15" x14ac:dyDescent="0.25">
      <c r="A233" s="38">
        <v>40</v>
      </c>
      <c r="B233" s="5">
        <v>39</v>
      </c>
      <c r="C233" s="5" t="s">
        <v>241</v>
      </c>
      <c r="D233" s="6" t="s">
        <v>299</v>
      </c>
      <c r="E233" s="25"/>
      <c r="F233" s="7"/>
      <c r="G233" s="7"/>
      <c r="H233" s="36">
        <f>VLOOKUP($A233,'Model Inputs'!$A:$C,3,FALSE)</f>
        <v>160</v>
      </c>
      <c r="I233" s="7"/>
      <c r="J233" s="8">
        <f>SUBTOTAL(9,J235:J239)</f>
        <v>3088.1798760520373</v>
      </c>
      <c r="K233" s="29"/>
      <c r="L233" s="156">
        <f>ROUNDUP(MAX(L235:L239)/Work,0)</f>
        <v>1</v>
      </c>
      <c r="M233" s="8">
        <f>SUBTOTAL(9,M235:M239)</f>
        <v>968.97105703639534</v>
      </c>
      <c r="N233" s="8">
        <f t="shared" ref="N233:Q233" si="294">SUBTOTAL(9,N235:N239)</f>
        <v>0</v>
      </c>
      <c r="O233" s="8">
        <f t="shared" si="294"/>
        <v>2119.2088190156419</v>
      </c>
      <c r="P233" s="8">
        <f t="shared" si="294"/>
        <v>0</v>
      </c>
      <c r="Q233" s="8">
        <f t="shared" si="294"/>
        <v>3088.1798760520373</v>
      </c>
      <c r="R233" s="25"/>
      <c r="T233" s="67"/>
      <c r="U233"/>
    </row>
    <row r="234" spans="1:21" ht="15" x14ac:dyDescent="0.25">
      <c r="A234" s="38" t="s">
        <v>418</v>
      </c>
      <c r="B234" s="13">
        <v>40</v>
      </c>
      <c r="C234" s="14" t="s">
        <v>5</v>
      </c>
      <c r="D234" s="13"/>
      <c r="E234" s="26"/>
      <c r="F234" s="15"/>
      <c r="G234" s="15"/>
      <c r="H234" s="15">
        <f>H233</f>
        <v>160</v>
      </c>
      <c r="I234" s="15"/>
      <c r="J234" s="15"/>
      <c r="K234" s="30"/>
      <c r="L234" s="157"/>
      <c r="M234" s="16"/>
      <c r="N234" s="16"/>
      <c r="O234" s="16"/>
      <c r="P234" s="16"/>
      <c r="Q234" s="16"/>
      <c r="R234" s="26"/>
      <c r="T234" s="67"/>
      <c r="U234"/>
    </row>
    <row r="235" spans="1:21" ht="15" x14ac:dyDescent="0.25">
      <c r="A235" s="38">
        <v>40.1</v>
      </c>
      <c r="B235" s="13">
        <v>41</v>
      </c>
      <c r="C235" s="14" t="s">
        <v>73</v>
      </c>
      <c r="D235" s="13" t="s">
        <v>27</v>
      </c>
      <c r="E235" s="26" t="str">
        <f>VLOOKUP(C235,Resources!B:G,3,FALSE)</f>
        <v>P</v>
      </c>
      <c r="F235" s="15">
        <v>1</v>
      </c>
      <c r="G235" s="36">
        <f>VLOOKUP($A235,'Model Inputs'!$A:$C,3,FALSE)</f>
        <v>23.777799999999999</v>
      </c>
      <c r="H235" s="15">
        <f>H233</f>
        <v>160</v>
      </c>
      <c r="I235" s="15">
        <f>VLOOKUP(C235,Resources!B:G,6,FALSE)</f>
        <v>130</v>
      </c>
      <c r="J235" s="27">
        <f>(H235/G235)*I235*F235</f>
        <v>874.76553760230138</v>
      </c>
      <c r="K235" s="27">
        <f t="shared" ref="K235:K239" si="295">IF(E235="M"," ",L235*F235)</f>
        <v>6.7289656738638568</v>
      </c>
      <c r="L235" s="157">
        <f t="shared" ref="L235:L239" si="296">IF(E235="M"," ",H235/G235)</f>
        <v>6.7289656738638568</v>
      </c>
      <c r="M235" s="28">
        <f t="shared" ref="M235:M239" si="297">IF($E235="L",$J235,0)</f>
        <v>0</v>
      </c>
      <c r="N235" s="28">
        <f t="shared" ref="N235:N239" si="298">IF($E235="M",$J235,0)</f>
        <v>0</v>
      </c>
      <c r="O235" s="28">
        <f t="shared" ref="O235:O239" si="299">IF($E235="P",$J235,0)</f>
        <v>874.76553760230138</v>
      </c>
      <c r="P235" s="28">
        <f t="shared" ref="P235:P239" si="300">IF($E235="S",$J235,0)</f>
        <v>0</v>
      </c>
      <c r="Q235" s="28">
        <f t="shared" ref="Q235:Q239" si="301">SUM(M235:P235)</f>
        <v>874.76553760230138</v>
      </c>
      <c r="R235" s="26">
        <v>57</v>
      </c>
      <c r="T235" s="67"/>
      <c r="U235"/>
    </row>
    <row r="236" spans="1:21" ht="15" x14ac:dyDescent="0.25">
      <c r="A236" s="38" t="s">
        <v>418</v>
      </c>
      <c r="B236" s="13">
        <v>42</v>
      </c>
      <c r="C236" s="14" t="s">
        <v>74</v>
      </c>
      <c r="D236" s="13" t="s">
        <v>27</v>
      </c>
      <c r="E236" s="26" t="str">
        <f>VLOOKUP(C236,Resources!B:G,3,FALSE)</f>
        <v>P</v>
      </c>
      <c r="F236" s="15">
        <v>2</v>
      </c>
      <c r="G236" s="15">
        <f>G235</f>
        <v>23.777799999999999</v>
      </c>
      <c r="H236" s="15">
        <f>H233</f>
        <v>160</v>
      </c>
      <c r="I236" s="15">
        <f>VLOOKUP(C236,Resources!B:G,6,FALSE)</f>
        <v>90</v>
      </c>
      <c r="J236" s="27">
        <f>(H236/G236)*I236*F236</f>
        <v>1211.2138212954942</v>
      </c>
      <c r="K236" s="27">
        <f t="shared" si="295"/>
        <v>13.457931347727714</v>
      </c>
      <c r="L236" s="157">
        <f t="shared" si="296"/>
        <v>6.7289656738638568</v>
      </c>
      <c r="M236" s="28">
        <f t="shared" si="297"/>
        <v>0</v>
      </c>
      <c r="N236" s="28">
        <f t="shared" si="298"/>
        <v>0</v>
      </c>
      <c r="O236" s="28">
        <f t="shared" si="299"/>
        <v>1211.2138212954942</v>
      </c>
      <c r="P236" s="28">
        <f t="shared" si="300"/>
        <v>0</v>
      </c>
      <c r="Q236" s="28">
        <f t="shared" si="301"/>
        <v>1211.2138212954942</v>
      </c>
      <c r="R236" s="26">
        <v>57</v>
      </c>
      <c r="T236" s="67"/>
      <c r="U236"/>
    </row>
    <row r="237" spans="1:21" ht="15" x14ac:dyDescent="0.25">
      <c r="A237" s="38" t="s">
        <v>418</v>
      </c>
      <c r="B237" s="13">
        <v>43</v>
      </c>
      <c r="C237" s="14" t="s">
        <v>7</v>
      </c>
      <c r="D237" s="13" t="s">
        <v>27</v>
      </c>
      <c r="E237" s="26" t="str">
        <f>VLOOKUP(C237,Resources!B:G,3,FALSE)</f>
        <v>L</v>
      </c>
      <c r="F237" s="15">
        <v>3</v>
      </c>
      <c r="G237" s="15">
        <f>G235</f>
        <v>23.777799999999999</v>
      </c>
      <c r="H237" s="15">
        <f>H233</f>
        <v>160</v>
      </c>
      <c r="I237" s="15">
        <f>VLOOKUP(C237,Resources!B:G,6,FALSE)</f>
        <v>48</v>
      </c>
      <c r="J237" s="27">
        <f>(H237/G237)*I237*F237</f>
        <v>968.97105703639534</v>
      </c>
      <c r="K237" s="27">
        <f t="shared" si="295"/>
        <v>20.18689702159157</v>
      </c>
      <c r="L237" s="157">
        <f t="shared" si="296"/>
        <v>6.7289656738638568</v>
      </c>
      <c r="M237" s="28">
        <f t="shared" si="297"/>
        <v>968.97105703639534</v>
      </c>
      <c r="N237" s="28">
        <f t="shared" si="298"/>
        <v>0</v>
      </c>
      <c r="O237" s="28">
        <f t="shared" si="299"/>
        <v>0</v>
      </c>
      <c r="P237" s="28">
        <f t="shared" si="300"/>
        <v>0</v>
      </c>
      <c r="Q237" s="28">
        <f t="shared" si="301"/>
        <v>968.97105703639534</v>
      </c>
      <c r="R237" s="26">
        <v>57</v>
      </c>
      <c r="T237" s="67"/>
      <c r="U237"/>
    </row>
    <row r="238" spans="1:21" ht="15" x14ac:dyDescent="0.25">
      <c r="A238" s="38" t="s">
        <v>418</v>
      </c>
      <c r="B238" s="13">
        <v>44</v>
      </c>
      <c r="C238" s="14" t="s">
        <v>75</v>
      </c>
      <c r="D238" s="13" t="s">
        <v>54</v>
      </c>
      <c r="E238" s="26" t="str">
        <f>VLOOKUP(C238,Resources!B:G,3,FALSE)</f>
        <v>P</v>
      </c>
      <c r="F238" s="15">
        <v>1</v>
      </c>
      <c r="G238" s="15">
        <f>G235*9</f>
        <v>214.00020000000001</v>
      </c>
      <c r="H238" s="15">
        <f>H233/9</f>
        <v>17.777777777777779</v>
      </c>
      <c r="I238" s="15">
        <f>VLOOKUP(C238,Resources!B:G,6,FALSE)</f>
        <v>365</v>
      </c>
      <c r="J238" s="27">
        <f>(H238/G238)*I238*F238</f>
        <v>30.321882357534662</v>
      </c>
      <c r="K238" s="27">
        <f t="shared" si="295"/>
        <v>8.3073650294615511E-2</v>
      </c>
      <c r="L238" s="157">
        <f t="shared" si="296"/>
        <v>8.3073650294615511E-2</v>
      </c>
      <c r="M238" s="28">
        <f t="shared" si="297"/>
        <v>0</v>
      </c>
      <c r="N238" s="28">
        <f t="shared" si="298"/>
        <v>0</v>
      </c>
      <c r="O238" s="28">
        <f t="shared" si="299"/>
        <v>30.321882357534662</v>
      </c>
      <c r="P238" s="28">
        <f t="shared" si="300"/>
        <v>0</v>
      </c>
      <c r="Q238" s="28">
        <f t="shared" si="301"/>
        <v>30.321882357534662</v>
      </c>
      <c r="R238" s="26">
        <v>57</v>
      </c>
      <c r="T238" s="67"/>
      <c r="U238"/>
    </row>
    <row r="239" spans="1:21" ht="15" x14ac:dyDescent="0.25">
      <c r="A239" s="38" t="s">
        <v>418</v>
      </c>
      <c r="B239" s="13">
        <v>45</v>
      </c>
      <c r="C239" s="14" t="s">
        <v>32</v>
      </c>
      <c r="D239" s="13" t="s">
        <v>27</v>
      </c>
      <c r="E239" s="26" t="str">
        <f>VLOOKUP(C239,Resources!B:G,3,FALSE)</f>
        <v>P</v>
      </c>
      <c r="F239" s="15">
        <v>1</v>
      </c>
      <c r="G239" s="15">
        <f>G235*9</f>
        <v>214.00020000000001</v>
      </c>
      <c r="H239" s="15">
        <f>H233/9</f>
        <v>17.777777777777779</v>
      </c>
      <c r="I239" s="15">
        <f>VLOOKUP(C239,Resources!B:G,6,FALSE)</f>
        <v>35</v>
      </c>
      <c r="J239" s="27">
        <f>(H239/G239)*I239*F239</f>
        <v>2.9075777603115429</v>
      </c>
      <c r="K239" s="27">
        <f t="shared" si="295"/>
        <v>8.3073650294615511E-2</v>
      </c>
      <c r="L239" s="157">
        <f t="shared" si="296"/>
        <v>8.3073650294615511E-2</v>
      </c>
      <c r="M239" s="28">
        <f t="shared" si="297"/>
        <v>0</v>
      </c>
      <c r="N239" s="28">
        <f t="shared" si="298"/>
        <v>0</v>
      </c>
      <c r="O239" s="28">
        <f t="shared" si="299"/>
        <v>2.9075777603115429</v>
      </c>
      <c r="P239" s="28">
        <f t="shared" si="300"/>
        <v>0</v>
      </c>
      <c r="Q239" s="28">
        <f t="shared" si="301"/>
        <v>2.9075777603115429</v>
      </c>
      <c r="R239" s="26">
        <v>57</v>
      </c>
      <c r="T239" s="67"/>
      <c r="U239"/>
    </row>
    <row r="240" spans="1:21" ht="15" x14ac:dyDescent="0.25">
      <c r="A240" s="38">
        <v>41</v>
      </c>
      <c r="B240" s="5">
        <v>46</v>
      </c>
      <c r="C240" s="5" t="s">
        <v>242</v>
      </c>
      <c r="D240" s="6" t="s">
        <v>299</v>
      </c>
      <c r="E240" s="25"/>
      <c r="F240" s="7"/>
      <c r="G240" s="7"/>
      <c r="H240" s="36">
        <f>VLOOKUP($A240,'Model Inputs'!$A:$C,3,FALSE)</f>
        <v>6</v>
      </c>
      <c r="I240" s="7"/>
      <c r="J240" s="8">
        <f>SUBTOTAL(9,J242:J246)</f>
        <v>115.80674535195138</v>
      </c>
      <c r="K240" s="29"/>
      <c r="L240" s="156">
        <f>ROUNDUP(MAX(L242:L246),0)</f>
        <v>1</v>
      </c>
      <c r="M240" s="8">
        <f>SUBTOTAL(9,M242:M246)</f>
        <v>36.336414638864824</v>
      </c>
      <c r="N240" s="8">
        <f t="shared" ref="N240:Q240" si="302">SUBTOTAL(9,N242:N246)</f>
        <v>0</v>
      </c>
      <c r="O240" s="8">
        <f t="shared" si="302"/>
        <v>79.470330713086554</v>
      </c>
      <c r="P240" s="8">
        <f t="shared" si="302"/>
        <v>0</v>
      </c>
      <c r="Q240" s="8">
        <f t="shared" si="302"/>
        <v>115.80674535195138</v>
      </c>
      <c r="R240" s="25"/>
      <c r="T240" s="67"/>
      <c r="U240"/>
    </row>
    <row r="241" spans="1:21" ht="15" x14ac:dyDescent="0.25">
      <c r="A241" s="38" t="s">
        <v>418</v>
      </c>
      <c r="B241" s="13">
        <v>47</v>
      </c>
      <c r="C241" s="14" t="s">
        <v>5</v>
      </c>
      <c r="D241" s="13"/>
      <c r="E241" s="26"/>
      <c r="F241" s="15"/>
      <c r="G241" s="15"/>
      <c r="H241" s="15">
        <f>H240</f>
        <v>6</v>
      </c>
      <c r="I241" s="15"/>
      <c r="J241" s="15"/>
      <c r="K241" s="30"/>
      <c r="L241" s="157"/>
      <c r="M241" s="16"/>
      <c r="N241" s="16"/>
      <c r="O241" s="16"/>
      <c r="P241" s="16"/>
      <c r="Q241" s="16"/>
      <c r="R241" s="26"/>
      <c r="T241" s="67"/>
      <c r="U241"/>
    </row>
    <row r="242" spans="1:21" ht="15" x14ac:dyDescent="0.25">
      <c r="A242" s="38">
        <v>41.1</v>
      </c>
      <c r="B242" s="13">
        <v>48</v>
      </c>
      <c r="C242" s="14" t="s">
        <v>73</v>
      </c>
      <c r="D242" s="13" t="s">
        <v>27</v>
      </c>
      <c r="E242" s="26" t="str">
        <f>VLOOKUP(C242,Resources!B:G,3,FALSE)</f>
        <v>P</v>
      </c>
      <c r="F242" s="15">
        <v>1</v>
      </c>
      <c r="G242" s="36">
        <f>VLOOKUP($A242,'Model Inputs'!$A:$C,3,FALSE)</f>
        <v>23.777799999999999</v>
      </c>
      <c r="H242" s="15">
        <f>H240</f>
        <v>6</v>
      </c>
      <c r="I242" s="15">
        <f>VLOOKUP(C242,Resources!B:G,6,FALSE)</f>
        <v>130</v>
      </c>
      <c r="J242" s="27">
        <f>(H242/G242)*I242*F242</f>
        <v>32.803707660086296</v>
      </c>
      <c r="K242" s="27">
        <f t="shared" ref="K242:K246" si="303">IF(E242="M"," ",L242*F242)</f>
        <v>0.2523362127698946</v>
      </c>
      <c r="L242" s="157">
        <f t="shared" ref="L242:L246" si="304">IF(E242="M"," ",H242/G242)</f>
        <v>0.2523362127698946</v>
      </c>
      <c r="M242" s="28">
        <f t="shared" ref="M242:M246" si="305">IF($E242="L",$J242,0)</f>
        <v>0</v>
      </c>
      <c r="N242" s="28">
        <f t="shared" ref="N242:N246" si="306">IF($E242="M",$J242,0)</f>
        <v>0</v>
      </c>
      <c r="O242" s="28">
        <f t="shared" ref="O242:O246" si="307">IF($E242="P",$J242,0)</f>
        <v>32.803707660086296</v>
      </c>
      <c r="P242" s="28">
        <f t="shared" ref="P242:P246" si="308">IF($E242="S",$J242,0)</f>
        <v>0</v>
      </c>
      <c r="Q242" s="28">
        <f t="shared" ref="Q242:Q246" si="309">SUM(M242:P242)</f>
        <v>32.803707660086296</v>
      </c>
      <c r="R242" s="26">
        <v>57</v>
      </c>
      <c r="T242" s="67"/>
      <c r="U242"/>
    </row>
    <row r="243" spans="1:21" ht="15" x14ac:dyDescent="0.25">
      <c r="A243" s="38" t="s">
        <v>418</v>
      </c>
      <c r="B243" s="13">
        <v>49</v>
      </c>
      <c r="C243" s="14" t="s">
        <v>74</v>
      </c>
      <c r="D243" s="13" t="s">
        <v>27</v>
      </c>
      <c r="E243" s="26" t="str">
        <f>VLOOKUP(C243,Resources!B:G,3,FALSE)</f>
        <v>P</v>
      </c>
      <c r="F243" s="15">
        <v>2</v>
      </c>
      <c r="G243" s="15">
        <f>G242</f>
        <v>23.777799999999999</v>
      </c>
      <c r="H243" s="15">
        <f>H240</f>
        <v>6</v>
      </c>
      <c r="I243" s="15">
        <f>VLOOKUP(C243,Resources!B:G,6,FALSE)</f>
        <v>90</v>
      </c>
      <c r="J243" s="27">
        <f>(H243/G243)*I243*F243</f>
        <v>45.42051829858103</v>
      </c>
      <c r="K243" s="27">
        <f t="shared" si="303"/>
        <v>0.50467242553978919</v>
      </c>
      <c r="L243" s="157">
        <f t="shared" si="304"/>
        <v>0.2523362127698946</v>
      </c>
      <c r="M243" s="28">
        <f t="shared" si="305"/>
        <v>0</v>
      </c>
      <c r="N243" s="28">
        <f t="shared" si="306"/>
        <v>0</v>
      </c>
      <c r="O243" s="28">
        <f t="shared" si="307"/>
        <v>45.42051829858103</v>
      </c>
      <c r="P243" s="28">
        <f t="shared" si="308"/>
        <v>0</v>
      </c>
      <c r="Q243" s="28">
        <f t="shared" si="309"/>
        <v>45.42051829858103</v>
      </c>
      <c r="R243" s="26">
        <v>57</v>
      </c>
      <c r="T243" s="67"/>
      <c r="U243"/>
    </row>
    <row r="244" spans="1:21" ht="15" x14ac:dyDescent="0.25">
      <c r="A244" s="38" t="s">
        <v>418</v>
      </c>
      <c r="B244" s="13">
        <v>50</v>
      </c>
      <c r="C244" s="14" t="s">
        <v>7</v>
      </c>
      <c r="D244" s="13" t="s">
        <v>27</v>
      </c>
      <c r="E244" s="26" t="str">
        <f>VLOOKUP(C244,Resources!B:G,3,FALSE)</f>
        <v>L</v>
      </c>
      <c r="F244" s="15">
        <v>3</v>
      </c>
      <c r="G244" s="15">
        <f>G242</f>
        <v>23.777799999999999</v>
      </c>
      <c r="H244" s="15">
        <f>H240</f>
        <v>6</v>
      </c>
      <c r="I244" s="15">
        <f>VLOOKUP(C244,Resources!B:G,6,FALSE)</f>
        <v>48</v>
      </c>
      <c r="J244" s="27">
        <f>(H244/G244)*I244*F244</f>
        <v>36.336414638864824</v>
      </c>
      <c r="K244" s="27">
        <f t="shared" si="303"/>
        <v>0.75700863830968379</v>
      </c>
      <c r="L244" s="157">
        <f t="shared" si="304"/>
        <v>0.2523362127698946</v>
      </c>
      <c r="M244" s="28">
        <f t="shared" si="305"/>
        <v>36.336414638864824</v>
      </c>
      <c r="N244" s="28">
        <f t="shared" si="306"/>
        <v>0</v>
      </c>
      <c r="O244" s="28">
        <f t="shared" si="307"/>
        <v>0</v>
      </c>
      <c r="P244" s="28">
        <f t="shared" si="308"/>
        <v>0</v>
      </c>
      <c r="Q244" s="28">
        <f t="shared" si="309"/>
        <v>36.336414638864824</v>
      </c>
      <c r="R244" s="26">
        <v>57</v>
      </c>
      <c r="T244" s="67"/>
      <c r="U244"/>
    </row>
    <row r="245" spans="1:21" ht="15" x14ac:dyDescent="0.25">
      <c r="A245" s="38" t="s">
        <v>418</v>
      </c>
      <c r="B245" s="13">
        <v>51</v>
      </c>
      <c r="C245" s="14" t="s">
        <v>75</v>
      </c>
      <c r="D245" s="13" t="s">
        <v>54</v>
      </c>
      <c r="E245" s="26" t="str">
        <f>VLOOKUP(C245,Resources!B:G,3,FALSE)</f>
        <v>P</v>
      </c>
      <c r="F245" s="15">
        <v>1</v>
      </c>
      <c r="G245" s="15">
        <f>G242*9</f>
        <v>214.00020000000001</v>
      </c>
      <c r="H245" s="15">
        <f>H240/9</f>
        <v>0.66666666666666663</v>
      </c>
      <c r="I245" s="15">
        <f>VLOOKUP(C245,Resources!B:G,6,FALSE)</f>
        <v>365</v>
      </c>
      <c r="J245" s="27">
        <f>(H245/G245)*I245*F245</f>
        <v>1.1370705884075498</v>
      </c>
      <c r="K245" s="27">
        <f t="shared" si="303"/>
        <v>3.1152618860480815E-3</v>
      </c>
      <c r="L245" s="157">
        <f t="shared" si="304"/>
        <v>3.1152618860480815E-3</v>
      </c>
      <c r="M245" s="28">
        <f t="shared" si="305"/>
        <v>0</v>
      </c>
      <c r="N245" s="28">
        <f t="shared" si="306"/>
        <v>0</v>
      </c>
      <c r="O245" s="28">
        <f t="shared" si="307"/>
        <v>1.1370705884075498</v>
      </c>
      <c r="P245" s="28">
        <f t="shared" si="308"/>
        <v>0</v>
      </c>
      <c r="Q245" s="28">
        <f t="shared" si="309"/>
        <v>1.1370705884075498</v>
      </c>
      <c r="R245" s="26">
        <v>57</v>
      </c>
      <c r="T245" s="67"/>
      <c r="U245"/>
    </row>
    <row r="246" spans="1:21" ht="15" x14ac:dyDescent="0.25">
      <c r="A246" s="38" t="s">
        <v>418</v>
      </c>
      <c r="B246" s="13">
        <v>52</v>
      </c>
      <c r="C246" s="14" t="s">
        <v>32</v>
      </c>
      <c r="D246" s="13" t="s">
        <v>27</v>
      </c>
      <c r="E246" s="26" t="str">
        <f>VLOOKUP(C246,Resources!B:G,3,FALSE)</f>
        <v>P</v>
      </c>
      <c r="F246" s="15">
        <v>1</v>
      </c>
      <c r="G246" s="15">
        <f>G242*9</f>
        <v>214.00020000000001</v>
      </c>
      <c r="H246" s="15">
        <f>H240/9</f>
        <v>0.66666666666666663</v>
      </c>
      <c r="I246" s="15">
        <f>VLOOKUP(C246,Resources!B:G,6,FALSE)</f>
        <v>35</v>
      </c>
      <c r="J246" s="27">
        <f>(H246/G246)*I246*F246</f>
        <v>0.10903416601168285</v>
      </c>
      <c r="K246" s="27">
        <f t="shared" si="303"/>
        <v>3.1152618860480815E-3</v>
      </c>
      <c r="L246" s="157">
        <f t="shared" si="304"/>
        <v>3.1152618860480815E-3</v>
      </c>
      <c r="M246" s="28">
        <f t="shared" si="305"/>
        <v>0</v>
      </c>
      <c r="N246" s="28">
        <f t="shared" si="306"/>
        <v>0</v>
      </c>
      <c r="O246" s="28">
        <f t="shared" si="307"/>
        <v>0.10903416601168285</v>
      </c>
      <c r="P246" s="28">
        <f t="shared" si="308"/>
        <v>0</v>
      </c>
      <c r="Q246" s="28">
        <f t="shared" si="309"/>
        <v>0.10903416601168285</v>
      </c>
      <c r="R246" s="26">
        <v>57</v>
      </c>
      <c r="T246" s="67"/>
      <c r="U246"/>
    </row>
    <row r="247" spans="1:21" ht="15" x14ac:dyDescent="0.25">
      <c r="A247" s="38">
        <v>42</v>
      </c>
      <c r="B247" s="5">
        <v>53</v>
      </c>
      <c r="C247" s="5" t="s">
        <v>243</v>
      </c>
      <c r="D247" s="6" t="s">
        <v>299</v>
      </c>
      <c r="E247" s="25"/>
      <c r="F247" s="7"/>
      <c r="G247" s="7"/>
      <c r="H247" s="36">
        <f>VLOOKUP($A247,'Model Inputs'!$A:$C,3,FALSE)</f>
        <v>2660</v>
      </c>
      <c r="I247" s="7"/>
      <c r="J247" s="8">
        <f>SUBTOTAL(9,J249:J253)</f>
        <v>40240</v>
      </c>
      <c r="K247" s="29"/>
      <c r="L247" s="156">
        <f>ROUNDUP(MAX(L249:L253)/Work,0)</f>
        <v>9</v>
      </c>
      <c r="M247" s="8">
        <f>SUBTOTAL(9,M249:M253)</f>
        <v>10640</v>
      </c>
      <c r="N247" s="8">
        <f t="shared" ref="N247:Q247" si="310">SUBTOTAL(9,N249:N253)</f>
        <v>0</v>
      </c>
      <c r="O247" s="8">
        <f t="shared" si="310"/>
        <v>29600</v>
      </c>
      <c r="P247" s="8">
        <f t="shared" si="310"/>
        <v>0</v>
      </c>
      <c r="Q247" s="8">
        <f t="shared" si="310"/>
        <v>40240</v>
      </c>
      <c r="R247" s="25"/>
      <c r="T247" s="67"/>
      <c r="U247"/>
    </row>
    <row r="248" spans="1:21" ht="15" x14ac:dyDescent="0.25">
      <c r="A248" s="38" t="s">
        <v>418</v>
      </c>
      <c r="B248" s="13">
        <v>54</v>
      </c>
      <c r="C248" s="14" t="s">
        <v>5</v>
      </c>
      <c r="D248" s="13"/>
      <c r="E248" s="26"/>
      <c r="F248" s="15"/>
      <c r="G248" s="15"/>
      <c r="H248" s="15">
        <v>16140</v>
      </c>
      <c r="I248" s="15"/>
      <c r="J248" s="15"/>
      <c r="K248" s="30"/>
      <c r="L248" s="157"/>
      <c r="M248" s="16"/>
      <c r="N248" s="16"/>
      <c r="O248" s="16"/>
      <c r="P248" s="16"/>
      <c r="Q248" s="16"/>
      <c r="R248" s="26"/>
      <c r="T248" s="67"/>
      <c r="U248"/>
    </row>
    <row r="249" spans="1:21" ht="15" x14ac:dyDescent="0.25">
      <c r="A249" s="38">
        <v>42.1</v>
      </c>
      <c r="B249" s="13">
        <v>55</v>
      </c>
      <c r="C249" s="14" t="s">
        <v>73</v>
      </c>
      <c r="D249" s="13" t="s">
        <v>27</v>
      </c>
      <c r="E249" s="26" t="str">
        <f>VLOOKUP(C249,Resources!B:G,3,FALSE)</f>
        <v>P</v>
      </c>
      <c r="F249" s="15">
        <v>1</v>
      </c>
      <c r="G249" s="36">
        <f>VLOOKUP($A249,'Model Inputs'!$A:$C,3,FALSE)</f>
        <v>36</v>
      </c>
      <c r="H249" s="15">
        <f>H247</f>
        <v>2660</v>
      </c>
      <c r="I249" s="15">
        <f>VLOOKUP(C249,Resources!B:G,6,FALSE)</f>
        <v>130</v>
      </c>
      <c r="J249" s="27">
        <f>(H249/G249)*I249*F249</f>
        <v>9605.5555555555547</v>
      </c>
      <c r="K249" s="27">
        <f t="shared" ref="K249:K253" si="311">IF(E249="M"," ",L249*F249)</f>
        <v>73.888888888888886</v>
      </c>
      <c r="L249" s="157">
        <f t="shared" ref="L249:L253" si="312">IF(E249="M"," ",H249/G249)</f>
        <v>73.888888888888886</v>
      </c>
      <c r="M249" s="28">
        <f t="shared" ref="M249:M253" si="313">IF($E249="L",$J249,0)</f>
        <v>0</v>
      </c>
      <c r="N249" s="28">
        <f t="shared" ref="N249:N253" si="314">IF($E249="M",$J249,0)</f>
        <v>0</v>
      </c>
      <c r="O249" s="28">
        <f t="shared" ref="O249:O253" si="315">IF($E249="P",$J249,0)</f>
        <v>9605.5555555555547</v>
      </c>
      <c r="P249" s="28">
        <f t="shared" ref="P249:P253" si="316">IF($E249="S",$J249,0)</f>
        <v>0</v>
      </c>
      <c r="Q249" s="28">
        <f t="shared" ref="Q249:Q253" si="317">SUM(M249:P249)</f>
        <v>9605.5555555555547</v>
      </c>
      <c r="R249" s="26">
        <v>57</v>
      </c>
      <c r="T249" s="67"/>
      <c r="U249"/>
    </row>
    <row r="250" spans="1:21" ht="15" x14ac:dyDescent="0.25">
      <c r="A250" s="38" t="s">
        <v>418</v>
      </c>
      <c r="B250" s="13">
        <v>56</v>
      </c>
      <c r="C250" s="14" t="s">
        <v>74</v>
      </c>
      <c r="D250" s="13" t="s">
        <v>27</v>
      </c>
      <c r="E250" s="26" t="str">
        <f>VLOOKUP(C250,Resources!B:G,3,FALSE)</f>
        <v>P</v>
      </c>
      <c r="F250" s="15">
        <v>3</v>
      </c>
      <c r="G250" s="15">
        <f>G249</f>
        <v>36</v>
      </c>
      <c r="H250" s="15">
        <f>H247</f>
        <v>2660</v>
      </c>
      <c r="I250" s="15">
        <f>VLOOKUP(C250,Resources!B:G,6,FALSE)</f>
        <v>90</v>
      </c>
      <c r="J250" s="27">
        <f>(H250/G250)*I250*F250</f>
        <v>19950</v>
      </c>
      <c r="K250" s="27">
        <f t="shared" si="311"/>
        <v>221.66666666666666</v>
      </c>
      <c r="L250" s="157">
        <f t="shared" si="312"/>
        <v>73.888888888888886</v>
      </c>
      <c r="M250" s="28">
        <f t="shared" si="313"/>
        <v>0</v>
      </c>
      <c r="N250" s="28">
        <f t="shared" si="314"/>
        <v>0</v>
      </c>
      <c r="O250" s="28">
        <f t="shared" si="315"/>
        <v>19950</v>
      </c>
      <c r="P250" s="28">
        <f t="shared" si="316"/>
        <v>0</v>
      </c>
      <c r="Q250" s="28">
        <f t="shared" si="317"/>
        <v>19950</v>
      </c>
      <c r="R250" s="26">
        <v>57</v>
      </c>
      <c r="T250" s="67"/>
      <c r="U250"/>
    </row>
    <row r="251" spans="1:21" ht="15" x14ac:dyDescent="0.25">
      <c r="A251" s="38" t="s">
        <v>418</v>
      </c>
      <c r="B251" s="13">
        <v>57</v>
      </c>
      <c r="C251" s="14" t="s">
        <v>7</v>
      </c>
      <c r="D251" s="13" t="s">
        <v>27</v>
      </c>
      <c r="E251" s="26" t="str">
        <f>VLOOKUP(C251,Resources!B:G,3,FALSE)</f>
        <v>L</v>
      </c>
      <c r="F251" s="15">
        <v>3</v>
      </c>
      <c r="G251" s="15">
        <f>G249</f>
        <v>36</v>
      </c>
      <c r="H251" s="15">
        <f>H247</f>
        <v>2660</v>
      </c>
      <c r="I251" s="15">
        <f>VLOOKUP(C251,Resources!B:G,6,FALSE)</f>
        <v>48</v>
      </c>
      <c r="J251" s="27">
        <f>(H251/G251)*I251*F251</f>
        <v>10640</v>
      </c>
      <c r="K251" s="27">
        <f t="shared" si="311"/>
        <v>221.66666666666666</v>
      </c>
      <c r="L251" s="157">
        <f t="shared" si="312"/>
        <v>73.888888888888886</v>
      </c>
      <c r="M251" s="28">
        <f t="shared" si="313"/>
        <v>10640</v>
      </c>
      <c r="N251" s="28">
        <f t="shared" si="314"/>
        <v>0</v>
      </c>
      <c r="O251" s="28">
        <f t="shared" si="315"/>
        <v>0</v>
      </c>
      <c r="P251" s="28">
        <f t="shared" si="316"/>
        <v>0</v>
      </c>
      <c r="Q251" s="28">
        <f t="shared" si="317"/>
        <v>10640</v>
      </c>
      <c r="R251" s="26">
        <v>57</v>
      </c>
      <c r="T251" s="67"/>
      <c r="U251"/>
    </row>
    <row r="252" spans="1:21" ht="15" x14ac:dyDescent="0.25">
      <c r="A252" s="38" t="s">
        <v>418</v>
      </c>
      <c r="B252" s="13">
        <v>58</v>
      </c>
      <c r="C252" s="14" t="s">
        <v>75</v>
      </c>
      <c r="D252" s="13" t="s">
        <v>54</v>
      </c>
      <c r="E252" s="26" t="str">
        <f>VLOOKUP(C252,Resources!B:G,3,FALSE)</f>
        <v>P</v>
      </c>
      <c r="F252" s="15">
        <v>1</v>
      </c>
      <c r="G252" s="15">
        <f>G249*9</f>
        <v>324</v>
      </c>
      <c r="H252" s="15">
        <v>36</v>
      </c>
      <c r="I252" s="15">
        <f>VLOOKUP(C252,Resources!B:G,6,FALSE)</f>
        <v>365</v>
      </c>
      <c r="J252" s="27">
        <f>(H252/G252)*I252*F252</f>
        <v>40.55555555555555</v>
      </c>
      <c r="K252" s="27">
        <f t="shared" si="311"/>
        <v>0.1111111111111111</v>
      </c>
      <c r="L252" s="157">
        <f t="shared" si="312"/>
        <v>0.1111111111111111</v>
      </c>
      <c r="M252" s="28">
        <f t="shared" si="313"/>
        <v>0</v>
      </c>
      <c r="N252" s="28">
        <f t="shared" si="314"/>
        <v>0</v>
      </c>
      <c r="O252" s="28">
        <f t="shared" si="315"/>
        <v>40.55555555555555</v>
      </c>
      <c r="P252" s="28">
        <f t="shared" si="316"/>
        <v>0</v>
      </c>
      <c r="Q252" s="28">
        <f t="shared" si="317"/>
        <v>40.55555555555555</v>
      </c>
      <c r="R252" s="26">
        <v>57</v>
      </c>
      <c r="T252" s="67"/>
      <c r="U252"/>
    </row>
    <row r="253" spans="1:21" ht="15" x14ac:dyDescent="0.25">
      <c r="A253" s="38" t="s">
        <v>418</v>
      </c>
      <c r="B253" s="13">
        <v>59</v>
      </c>
      <c r="C253" s="14" t="s">
        <v>32</v>
      </c>
      <c r="D253" s="13" t="s">
        <v>27</v>
      </c>
      <c r="E253" s="26" t="str">
        <f>VLOOKUP(C253,Resources!B:G,3,FALSE)</f>
        <v>P</v>
      </c>
      <c r="F253" s="15">
        <v>1</v>
      </c>
      <c r="G253" s="15">
        <f>G249*9</f>
        <v>324</v>
      </c>
      <c r="H253" s="15">
        <v>36</v>
      </c>
      <c r="I253" s="15">
        <f>VLOOKUP(C253,Resources!B:G,6,FALSE)</f>
        <v>35</v>
      </c>
      <c r="J253" s="27">
        <f>(H253/G253)*I253*F253</f>
        <v>3.8888888888888888</v>
      </c>
      <c r="K253" s="27">
        <f t="shared" si="311"/>
        <v>0.1111111111111111</v>
      </c>
      <c r="L253" s="157">
        <f t="shared" si="312"/>
        <v>0.1111111111111111</v>
      </c>
      <c r="M253" s="28">
        <f t="shared" si="313"/>
        <v>0</v>
      </c>
      <c r="N253" s="28">
        <f t="shared" si="314"/>
        <v>0</v>
      </c>
      <c r="O253" s="28">
        <f t="shared" si="315"/>
        <v>3.8888888888888888</v>
      </c>
      <c r="P253" s="28">
        <f t="shared" si="316"/>
        <v>0</v>
      </c>
      <c r="Q253" s="28">
        <f t="shared" si="317"/>
        <v>3.8888888888888888</v>
      </c>
      <c r="R253" s="26">
        <v>57</v>
      </c>
      <c r="T253" s="67"/>
      <c r="U253"/>
    </row>
    <row r="254" spans="1:21" ht="15" x14ac:dyDescent="0.25">
      <c r="A254" s="38">
        <v>43</v>
      </c>
      <c r="B254" s="5">
        <v>61</v>
      </c>
      <c r="C254" s="5" t="s">
        <v>244</v>
      </c>
      <c r="D254" s="6" t="s">
        <v>299</v>
      </c>
      <c r="E254" s="25"/>
      <c r="F254" s="7"/>
      <c r="G254" s="7"/>
      <c r="H254" s="36">
        <f>VLOOKUP($A254,'Model Inputs'!$A:$C,3,FALSE)</f>
        <v>264</v>
      </c>
      <c r="I254" s="7"/>
      <c r="J254" s="8">
        <f>SUBTOTAL(9,J256:J260)</f>
        <v>5095.4967954858621</v>
      </c>
      <c r="K254" s="29"/>
      <c r="L254" s="156">
        <f>ROUNDUP(MAX(L256:L260)/Work,0)</f>
        <v>2</v>
      </c>
      <c r="M254" s="8">
        <f>SUBTOTAL(9,M256:M260)</f>
        <v>1598.8022441100525</v>
      </c>
      <c r="N254" s="8">
        <f t="shared" ref="N254:Q254" si="318">SUBTOTAL(9,N256:N260)</f>
        <v>0</v>
      </c>
      <c r="O254" s="8">
        <f t="shared" si="318"/>
        <v>3496.6945513758092</v>
      </c>
      <c r="P254" s="8">
        <f t="shared" si="318"/>
        <v>0</v>
      </c>
      <c r="Q254" s="8">
        <f t="shared" si="318"/>
        <v>5095.4967954858621</v>
      </c>
      <c r="R254" s="25"/>
      <c r="T254" s="67"/>
      <c r="U254"/>
    </row>
    <row r="255" spans="1:21" ht="15" x14ac:dyDescent="0.25">
      <c r="A255" s="38" t="s">
        <v>418</v>
      </c>
      <c r="B255" s="13">
        <v>62</v>
      </c>
      <c r="C255" s="14" t="s">
        <v>5</v>
      </c>
      <c r="D255" s="13"/>
      <c r="E255" s="26"/>
      <c r="F255" s="15"/>
      <c r="G255" s="15"/>
      <c r="H255" s="15">
        <f>H254</f>
        <v>264</v>
      </c>
      <c r="I255" s="15"/>
      <c r="J255" s="15"/>
      <c r="K255" s="30"/>
      <c r="L255" s="157"/>
      <c r="M255" s="16"/>
      <c r="N255" s="16"/>
      <c r="O255" s="16"/>
      <c r="P255" s="16"/>
      <c r="Q255" s="16"/>
      <c r="R255" s="26"/>
      <c r="T255" s="67"/>
      <c r="U255"/>
    </row>
    <row r="256" spans="1:21" ht="15" x14ac:dyDescent="0.25">
      <c r="A256" s="38">
        <v>43.1</v>
      </c>
      <c r="B256" s="13">
        <v>63</v>
      </c>
      <c r="C256" s="14" t="s">
        <v>73</v>
      </c>
      <c r="D256" s="13" t="s">
        <v>27</v>
      </c>
      <c r="E256" s="26" t="str">
        <f>VLOOKUP(C256,Resources!B:G,3,FALSE)</f>
        <v>P</v>
      </c>
      <c r="F256" s="15">
        <v>1</v>
      </c>
      <c r="G256" s="36">
        <f>VLOOKUP($A256,'Model Inputs'!$A:$C,3,FALSE)</f>
        <v>23.777799999999999</v>
      </c>
      <c r="H256" s="15">
        <f>H254</f>
        <v>264</v>
      </c>
      <c r="I256" s="15">
        <f>VLOOKUP(C256,Resources!B:G,6,FALSE)</f>
        <v>130</v>
      </c>
      <c r="J256" s="27">
        <f>(H256/G256)*I256*F256</f>
        <v>1443.3631370437972</v>
      </c>
      <c r="K256" s="27">
        <f t="shared" ref="K256:K260" si="319">IF(E256="M"," ",L256*F256)</f>
        <v>11.102793361875364</v>
      </c>
      <c r="L256" s="157">
        <f t="shared" ref="L256:L260" si="320">IF(E256="M"," ",H256/G256)</f>
        <v>11.102793361875364</v>
      </c>
      <c r="M256" s="28">
        <f t="shared" ref="M256:M260" si="321">IF($E256="L",$J256,0)</f>
        <v>0</v>
      </c>
      <c r="N256" s="28">
        <f t="shared" ref="N256:N260" si="322">IF($E256="M",$J256,0)</f>
        <v>0</v>
      </c>
      <c r="O256" s="28">
        <f t="shared" ref="O256:O260" si="323">IF($E256="P",$J256,0)</f>
        <v>1443.3631370437972</v>
      </c>
      <c r="P256" s="28">
        <f t="shared" ref="P256:P260" si="324">IF($E256="S",$J256,0)</f>
        <v>0</v>
      </c>
      <c r="Q256" s="28">
        <f t="shared" ref="Q256:Q260" si="325">SUM(M256:P256)</f>
        <v>1443.3631370437972</v>
      </c>
      <c r="R256" s="26">
        <v>57</v>
      </c>
      <c r="T256" s="67"/>
      <c r="U256"/>
    </row>
    <row r="257" spans="1:21" ht="15" x14ac:dyDescent="0.25">
      <c r="A257" s="38" t="s">
        <v>418</v>
      </c>
      <c r="B257" s="13">
        <v>64</v>
      </c>
      <c r="C257" s="14" t="s">
        <v>74</v>
      </c>
      <c r="D257" s="13" t="s">
        <v>27</v>
      </c>
      <c r="E257" s="26" t="str">
        <f>VLOOKUP(C257,Resources!B:G,3,FALSE)</f>
        <v>P</v>
      </c>
      <c r="F257" s="15">
        <v>2</v>
      </c>
      <c r="G257" s="15">
        <f>G256</f>
        <v>23.777799999999999</v>
      </c>
      <c r="H257" s="15">
        <f>H254</f>
        <v>264</v>
      </c>
      <c r="I257" s="15">
        <f>VLOOKUP(C257,Resources!B:G,6,FALSE)</f>
        <v>90</v>
      </c>
      <c r="J257" s="27">
        <f>(H257/G257)*I257*F257</f>
        <v>1998.5028051375655</v>
      </c>
      <c r="K257" s="27">
        <f t="shared" si="319"/>
        <v>22.205586723750727</v>
      </c>
      <c r="L257" s="157">
        <f t="shared" si="320"/>
        <v>11.102793361875364</v>
      </c>
      <c r="M257" s="28">
        <f t="shared" si="321"/>
        <v>0</v>
      </c>
      <c r="N257" s="28">
        <f t="shared" si="322"/>
        <v>0</v>
      </c>
      <c r="O257" s="28">
        <f t="shared" si="323"/>
        <v>1998.5028051375655</v>
      </c>
      <c r="P257" s="28">
        <f t="shared" si="324"/>
        <v>0</v>
      </c>
      <c r="Q257" s="28">
        <f t="shared" si="325"/>
        <v>1998.5028051375655</v>
      </c>
      <c r="R257" s="26">
        <v>57</v>
      </c>
      <c r="T257" s="67"/>
      <c r="U257"/>
    </row>
    <row r="258" spans="1:21" ht="15" x14ac:dyDescent="0.25">
      <c r="A258" s="38" t="s">
        <v>418</v>
      </c>
      <c r="B258" s="13">
        <v>65</v>
      </c>
      <c r="C258" s="14" t="s">
        <v>7</v>
      </c>
      <c r="D258" s="13" t="s">
        <v>27</v>
      </c>
      <c r="E258" s="26" t="str">
        <f>VLOOKUP(C258,Resources!B:G,3,FALSE)</f>
        <v>L</v>
      </c>
      <c r="F258" s="15">
        <v>3</v>
      </c>
      <c r="G258" s="15">
        <f>G256</f>
        <v>23.777799999999999</v>
      </c>
      <c r="H258" s="15">
        <f>H254</f>
        <v>264</v>
      </c>
      <c r="I258" s="15">
        <f>VLOOKUP(C258,Resources!B:G,6,FALSE)</f>
        <v>48</v>
      </c>
      <c r="J258" s="27">
        <f>(H258/G258)*I258*F258</f>
        <v>1598.8022441100525</v>
      </c>
      <c r="K258" s="27">
        <f t="shared" si="319"/>
        <v>33.308380085626091</v>
      </c>
      <c r="L258" s="157">
        <f t="shared" si="320"/>
        <v>11.102793361875364</v>
      </c>
      <c r="M258" s="28">
        <f t="shared" si="321"/>
        <v>1598.8022441100525</v>
      </c>
      <c r="N258" s="28">
        <f t="shared" si="322"/>
        <v>0</v>
      </c>
      <c r="O258" s="28">
        <f t="shared" si="323"/>
        <v>0</v>
      </c>
      <c r="P258" s="28">
        <f t="shared" si="324"/>
        <v>0</v>
      </c>
      <c r="Q258" s="28">
        <f t="shared" si="325"/>
        <v>1598.8022441100525</v>
      </c>
      <c r="R258" s="26">
        <v>57</v>
      </c>
      <c r="T258" s="67"/>
      <c r="U258"/>
    </row>
    <row r="259" spans="1:21" ht="15" x14ac:dyDescent="0.25">
      <c r="A259" s="38" t="s">
        <v>418</v>
      </c>
      <c r="B259" s="13">
        <v>66</v>
      </c>
      <c r="C259" s="14" t="s">
        <v>75</v>
      </c>
      <c r="D259" s="13" t="s">
        <v>54</v>
      </c>
      <c r="E259" s="26" t="str">
        <f>VLOOKUP(C259,Resources!B:G,3,FALSE)</f>
        <v>P</v>
      </c>
      <c r="F259" s="15">
        <v>1</v>
      </c>
      <c r="G259" s="15">
        <f>G256*9</f>
        <v>214.00020000000001</v>
      </c>
      <c r="H259" s="15">
        <f>H254/9</f>
        <v>29.333333333333332</v>
      </c>
      <c r="I259" s="15">
        <f>VLOOKUP(C259,Resources!B:G,6,FALSE)</f>
        <v>365</v>
      </c>
      <c r="J259" s="27">
        <f>(H259/G259)*I259*F259</f>
        <v>50.031105889932185</v>
      </c>
      <c r="K259" s="27">
        <f t="shared" si="319"/>
        <v>0.13707152298611558</v>
      </c>
      <c r="L259" s="157">
        <f t="shared" si="320"/>
        <v>0.13707152298611558</v>
      </c>
      <c r="M259" s="28">
        <f t="shared" si="321"/>
        <v>0</v>
      </c>
      <c r="N259" s="28">
        <f t="shared" si="322"/>
        <v>0</v>
      </c>
      <c r="O259" s="28">
        <f t="shared" si="323"/>
        <v>50.031105889932185</v>
      </c>
      <c r="P259" s="28">
        <f t="shared" si="324"/>
        <v>0</v>
      </c>
      <c r="Q259" s="28">
        <f t="shared" si="325"/>
        <v>50.031105889932185</v>
      </c>
      <c r="R259" s="26">
        <v>57</v>
      </c>
      <c r="T259" s="67"/>
      <c r="U259"/>
    </row>
    <row r="260" spans="1:21" ht="15" x14ac:dyDescent="0.25">
      <c r="A260" s="38" t="s">
        <v>418</v>
      </c>
      <c r="B260" s="13">
        <v>67</v>
      </c>
      <c r="C260" s="14" t="s">
        <v>32</v>
      </c>
      <c r="D260" s="13" t="s">
        <v>27</v>
      </c>
      <c r="E260" s="26" t="str">
        <f>VLOOKUP(C260,Resources!B:G,3,FALSE)</f>
        <v>P</v>
      </c>
      <c r="F260" s="15">
        <v>1</v>
      </c>
      <c r="G260" s="15">
        <f>G256*9</f>
        <v>214.00020000000001</v>
      </c>
      <c r="H260" s="15">
        <f>H254/9</f>
        <v>29.333333333333332</v>
      </c>
      <c r="I260" s="15">
        <f>VLOOKUP(C260,Resources!B:G,6,FALSE)</f>
        <v>35</v>
      </c>
      <c r="J260" s="27">
        <f>(H260/G260)*I260*F260</f>
        <v>4.7975033045140449</v>
      </c>
      <c r="K260" s="27">
        <f t="shared" si="319"/>
        <v>0.13707152298611558</v>
      </c>
      <c r="L260" s="157">
        <f t="shared" si="320"/>
        <v>0.13707152298611558</v>
      </c>
      <c r="M260" s="28">
        <f t="shared" si="321"/>
        <v>0</v>
      </c>
      <c r="N260" s="28">
        <f t="shared" si="322"/>
        <v>0</v>
      </c>
      <c r="O260" s="28">
        <f t="shared" si="323"/>
        <v>4.7975033045140449</v>
      </c>
      <c r="P260" s="28">
        <f t="shared" si="324"/>
        <v>0</v>
      </c>
      <c r="Q260" s="28">
        <f t="shared" si="325"/>
        <v>4.7975033045140449</v>
      </c>
      <c r="R260" s="26">
        <v>57</v>
      </c>
      <c r="T260" s="67"/>
      <c r="U260"/>
    </row>
    <row r="261" spans="1:21" ht="15" x14ac:dyDescent="0.25">
      <c r="A261" s="38">
        <v>44</v>
      </c>
      <c r="B261" s="5">
        <v>68</v>
      </c>
      <c r="C261" s="5" t="s">
        <v>245</v>
      </c>
      <c r="D261" s="6" t="s">
        <v>299</v>
      </c>
      <c r="E261" s="25"/>
      <c r="F261" s="7"/>
      <c r="G261" s="7"/>
      <c r="H261" s="36">
        <f>VLOOKUP($A261,'Model Inputs'!$A:$C,3,FALSE)</f>
        <v>810</v>
      </c>
      <c r="I261" s="7"/>
      <c r="J261" s="8">
        <f>SUBTOTAL(9,J263:J267)</f>
        <v>12284.444444444443</v>
      </c>
      <c r="K261" s="29"/>
      <c r="L261" s="156">
        <f>ROUNDUP(MAX(L263:L267)/Work,0)</f>
        <v>3</v>
      </c>
      <c r="M261" s="8">
        <f>SUBTOTAL(9,M263:M267)</f>
        <v>3240</v>
      </c>
      <c r="N261" s="8">
        <f t="shared" ref="N261:Q261" si="326">SUBTOTAL(9,N263:N267)</f>
        <v>0</v>
      </c>
      <c r="O261" s="8">
        <f t="shared" si="326"/>
        <v>9044.4444444444434</v>
      </c>
      <c r="P261" s="8">
        <f t="shared" si="326"/>
        <v>0</v>
      </c>
      <c r="Q261" s="8">
        <f t="shared" si="326"/>
        <v>12284.444444444443</v>
      </c>
      <c r="R261" s="25"/>
      <c r="T261" s="67"/>
      <c r="U261"/>
    </row>
    <row r="262" spans="1:21" ht="15" x14ac:dyDescent="0.25">
      <c r="A262" s="38" t="s">
        <v>418</v>
      </c>
      <c r="B262" s="13">
        <v>69</v>
      </c>
      <c r="C262" s="14" t="s">
        <v>298</v>
      </c>
      <c r="D262" s="13"/>
      <c r="E262" s="26"/>
      <c r="F262" s="15"/>
      <c r="G262" s="15"/>
      <c r="H262" s="15">
        <v>4915</v>
      </c>
      <c r="I262" s="15"/>
      <c r="J262" s="15"/>
      <c r="K262" s="30"/>
      <c r="L262" s="157"/>
      <c r="M262" s="16"/>
      <c r="N262" s="16"/>
      <c r="O262" s="16"/>
      <c r="P262" s="16"/>
      <c r="Q262" s="16"/>
      <c r="R262" s="26"/>
      <c r="T262" s="67"/>
      <c r="U262"/>
    </row>
    <row r="263" spans="1:21" ht="15" x14ac:dyDescent="0.25">
      <c r="A263" s="38">
        <v>44.1</v>
      </c>
      <c r="B263" s="13">
        <v>70</v>
      </c>
      <c r="C263" s="14" t="s">
        <v>73</v>
      </c>
      <c r="D263" s="13" t="s">
        <v>27</v>
      </c>
      <c r="E263" s="26" t="str">
        <f>VLOOKUP(C263,Resources!B:G,3,FALSE)</f>
        <v>P</v>
      </c>
      <c r="F263" s="15">
        <v>1</v>
      </c>
      <c r="G263" s="36">
        <f>VLOOKUP($A263,'Model Inputs'!$A:$C,3,FALSE)</f>
        <v>36</v>
      </c>
      <c r="H263" s="15">
        <f>H261</f>
        <v>810</v>
      </c>
      <c r="I263" s="15">
        <f>VLOOKUP(C263,Resources!B:G,6,FALSE)</f>
        <v>130</v>
      </c>
      <c r="J263" s="27">
        <f>(H263/G263)*I263*F263</f>
        <v>2925</v>
      </c>
      <c r="K263" s="27">
        <f t="shared" ref="K263:K267" si="327">IF(E263="M"," ",L263*F263)</f>
        <v>22.5</v>
      </c>
      <c r="L263" s="157">
        <f t="shared" ref="L263:L267" si="328">IF(E263="M"," ",H263/G263)</f>
        <v>22.5</v>
      </c>
      <c r="M263" s="28">
        <f t="shared" ref="M263:M267" si="329">IF($E263="L",$J263,0)</f>
        <v>0</v>
      </c>
      <c r="N263" s="28">
        <f t="shared" ref="N263:N267" si="330">IF($E263="M",$J263,0)</f>
        <v>0</v>
      </c>
      <c r="O263" s="28">
        <f t="shared" ref="O263:O267" si="331">IF($E263="P",$J263,0)</f>
        <v>2925</v>
      </c>
      <c r="P263" s="28">
        <f t="shared" ref="P263:P267" si="332">IF($E263="S",$J263,0)</f>
        <v>0</v>
      </c>
      <c r="Q263" s="28">
        <f t="shared" ref="Q263:Q267" si="333">SUM(M263:P263)</f>
        <v>2925</v>
      </c>
      <c r="R263" s="26">
        <v>57</v>
      </c>
      <c r="T263" s="67"/>
      <c r="U263"/>
    </row>
    <row r="264" spans="1:21" ht="15" x14ac:dyDescent="0.25">
      <c r="A264" s="38" t="s">
        <v>418</v>
      </c>
      <c r="B264" s="13">
        <v>71</v>
      </c>
      <c r="C264" s="14" t="s">
        <v>74</v>
      </c>
      <c r="D264" s="13" t="s">
        <v>27</v>
      </c>
      <c r="E264" s="26" t="str">
        <f>VLOOKUP(C264,Resources!B:G,3,FALSE)</f>
        <v>P</v>
      </c>
      <c r="F264" s="15">
        <v>3</v>
      </c>
      <c r="G264" s="15">
        <f>G263</f>
        <v>36</v>
      </c>
      <c r="H264" s="15">
        <f>H261</f>
        <v>810</v>
      </c>
      <c r="I264" s="15">
        <f>VLOOKUP(C264,Resources!B:G,6,FALSE)</f>
        <v>90</v>
      </c>
      <c r="J264" s="27">
        <f>(H264/G264)*I264*F264</f>
        <v>6075</v>
      </c>
      <c r="K264" s="27">
        <f t="shared" si="327"/>
        <v>67.5</v>
      </c>
      <c r="L264" s="157">
        <f t="shared" si="328"/>
        <v>22.5</v>
      </c>
      <c r="M264" s="28">
        <f t="shared" si="329"/>
        <v>0</v>
      </c>
      <c r="N264" s="28">
        <f t="shared" si="330"/>
        <v>0</v>
      </c>
      <c r="O264" s="28">
        <f t="shared" si="331"/>
        <v>6075</v>
      </c>
      <c r="P264" s="28">
        <f t="shared" si="332"/>
        <v>0</v>
      </c>
      <c r="Q264" s="28">
        <f t="shared" si="333"/>
        <v>6075</v>
      </c>
      <c r="R264" s="26">
        <v>57</v>
      </c>
      <c r="T264" s="67"/>
      <c r="U264"/>
    </row>
    <row r="265" spans="1:21" ht="15" x14ac:dyDescent="0.25">
      <c r="A265" s="38" t="s">
        <v>418</v>
      </c>
      <c r="B265" s="13">
        <v>72</v>
      </c>
      <c r="C265" s="14" t="s">
        <v>7</v>
      </c>
      <c r="D265" s="13" t="s">
        <v>27</v>
      </c>
      <c r="E265" s="26" t="str">
        <f>VLOOKUP(C265,Resources!B:G,3,FALSE)</f>
        <v>L</v>
      </c>
      <c r="F265" s="15">
        <v>3</v>
      </c>
      <c r="G265" s="15">
        <f>G263</f>
        <v>36</v>
      </c>
      <c r="H265" s="15">
        <f>H261</f>
        <v>810</v>
      </c>
      <c r="I265" s="15">
        <f>VLOOKUP(C265,Resources!B:G,6,FALSE)</f>
        <v>48</v>
      </c>
      <c r="J265" s="27">
        <f>(H265/G265)*I265*F265</f>
        <v>3240</v>
      </c>
      <c r="K265" s="27">
        <f t="shared" si="327"/>
        <v>67.5</v>
      </c>
      <c r="L265" s="157">
        <f t="shared" si="328"/>
        <v>22.5</v>
      </c>
      <c r="M265" s="28">
        <f t="shared" si="329"/>
        <v>3240</v>
      </c>
      <c r="N265" s="28">
        <f t="shared" si="330"/>
        <v>0</v>
      </c>
      <c r="O265" s="28">
        <f t="shared" si="331"/>
        <v>0</v>
      </c>
      <c r="P265" s="28">
        <f t="shared" si="332"/>
        <v>0</v>
      </c>
      <c r="Q265" s="28">
        <f t="shared" si="333"/>
        <v>3240</v>
      </c>
      <c r="R265" s="26">
        <v>57</v>
      </c>
      <c r="T265" s="67"/>
      <c r="U265"/>
    </row>
    <row r="266" spans="1:21" ht="15" x14ac:dyDescent="0.25">
      <c r="A266" s="38" t="s">
        <v>418</v>
      </c>
      <c r="B266" s="13">
        <v>73</v>
      </c>
      <c r="C266" s="14" t="s">
        <v>75</v>
      </c>
      <c r="D266" s="13" t="s">
        <v>54</v>
      </c>
      <c r="E266" s="26" t="str">
        <f>VLOOKUP(C266,Resources!B:G,3,FALSE)</f>
        <v>P</v>
      </c>
      <c r="F266" s="15">
        <v>1</v>
      </c>
      <c r="G266" s="15">
        <f>G263*9</f>
        <v>324</v>
      </c>
      <c r="H266" s="15">
        <v>36</v>
      </c>
      <c r="I266" s="15">
        <f>VLOOKUP(C266,Resources!B:G,6,FALSE)</f>
        <v>365</v>
      </c>
      <c r="J266" s="27">
        <f>(H266/G266)*I266*F266</f>
        <v>40.55555555555555</v>
      </c>
      <c r="K266" s="27">
        <f t="shared" si="327"/>
        <v>0.1111111111111111</v>
      </c>
      <c r="L266" s="157">
        <f t="shared" si="328"/>
        <v>0.1111111111111111</v>
      </c>
      <c r="M266" s="28">
        <f t="shared" si="329"/>
        <v>0</v>
      </c>
      <c r="N266" s="28">
        <f t="shared" si="330"/>
        <v>0</v>
      </c>
      <c r="O266" s="28">
        <f t="shared" si="331"/>
        <v>40.55555555555555</v>
      </c>
      <c r="P266" s="28">
        <f t="shared" si="332"/>
        <v>0</v>
      </c>
      <c r="Q266" s="28">
        <f t="shared" si="333"/>
        <v>40.55555555555555</v>
      </c>
      <c r="R266" s="26">
        <v>57</v>
      </c>
      <c r="T266" s="67"/>
      <c r="U266"/>
    </row>
    <row r="267" spans="1:21" ht="15" x14ac:dyDescent="0.25">
      <c r="A267" s="38" t="s">
        <v>418</v>
      </c>
      <c r="B267" s="13">
        <v>74</v>
      </c>
      <c r="C267" s="14" t="s">
        <v>32</v>
      </c>
      <c r="D267" s="13" t="s">
        <v>27</v>
      </c>
      <c r="E267" s="26" t="str">
        <f>VLOOKUP(C267,Resources!B:G,3,FALSE)</f>
        <v>P</v>
      </c>
      <c r="F267" s="15">
        <v>1</v>
      </c>
      <c r="G267" s="15">
        <f>G263*9</f>
        <v>324</v>
      </c>
      <c r="H267" s="15">
        <v>36</v>
      </c>
      <c r="I267" s="15">
        <f>VLOOKUP(C267,Resources!B:G,6,FALSE)</f>
        <v>35</v>
      </c>
      <c r="J267" s="27">
        <f>(H267/G267)*I267*F267</f>
        <v>3.8888888888888888</v>
      </c>
      <c r="K267" s="27">
        <f t="shared" si="327"/>
        <v>0.1111111111111111</v>
      </c>
      <c r="L267" s="157">
        <f t="shared" si="328"/>
        <v>0.1111111111111111</v>
      </c>
      <c r="M267" s="28">
        <f t="shared" si="329"/>
        <v>0</v>
      </c>
      <c r="N267" s="28">
        <f t="shared" si="330"/>
        <v>0</v>
      </c>
      <c r="O267" s="28">
        <f t="shared" si="331"/>
        <v>3.8888888888888888</v>
      </c>
      <c r="P267" s="28">
        <f t="shared" si="332"/>
        <v>0</v>
      </c>
      <c r="Q267" s="28">
        <f t="shared" si="333"/>
        <v>3.8888888888888888</v>
      </c>
      <c r="R267" s="26">
        <v>57</v>
      </c>
      <c r="T267" s="67"/>
      <c r="U267"/>
    </row>
    <row r="268" spans="1:21" ht="15" x14ac:dyDescent="0.25">
      <c r="A268" s="38">
        <v>45</v>
      </c>
      <c r="B268" s="5">
        <v>76</v>
      </c>
      <c r="C268" s="5" t="s">
        <v>246</v>
      </c>
      <c r="D268" s="6" t="s">
        <v>299</v>
      </c>
      <c r="E268" s="25"/>
      <c r="F268" s="7"/>
      <c r="G268" s="7"/>
      <c r="H268" s="36">
        <f>VLOOKUP($A268,'Model Inputs'!$A:$C,3,FALSE)</f>
        <v>19</v>
      </c>
      <c r="I268" s="7"/>
      <c r="J268" s="8">
        <f>SUBTOTAL(9,J270:J274)</f>
        <v>366.72136028117939</v>
      </c>
      <c r="K268" s="29"/>
      <c r="L268" s="156">
        <f>ROUNDUP(MAX(L270:L274),0)</f>
        <v>1</v>
      </c>
      <c r="M268" s="8">
        <f>SUBTOTAL(9,M270:M274)</f>
        <v>115.06531302307195</v>
      </c>
      <c r="N268" s="8">
        <f t="shared" ref="N268:Q268" si="334">SUBTOTAL(9,N270:N274)</f>
        <v>0</v>
      </c>
      <c r="O268" s="8">
        <f t="shared" si="334"/>
        <v>251.65604725810746</v>
      </c>
      <c r="P268" s="8">
        <f t="shared" si="334"/>
        <v>0</v>
      </c>
      <c r="Q268" s="8">
        <f t="shared" si="334"/>
        <v>366.72136028117939</v>
      </c>
      <c r="R268" s="25"/>
      <c r="T268" s="67"/>
      <c r="U268"/>
    </row>
    <row r="269" spans="1:21" ht="15" x14ac:dyDescent="0.25">
      <c r="A269" s="38" t="s">
        <v>418</v>
      </c>
      <c r="B269" s="13">
        <v>77</v>
      </c>
      <c r="C269" s="14" t="s">
        <v>5</v>
      </c>
      <c r="D269" s="13"/>
      <c r="E269" s="26"/>
      <c r="F269" s="15"/>
      <c r="G269" s="15"/>
      <c r="H269" s="15">
        <f>H268</f>
        <v>19</v>
      </c>
      <c r="I269" s="15"/>
      <c r="J269" s="15"/>
      <c r="K269" s="30"/>
      <c r="L269" s="157"/>
      <c r="M269" s="16"/>
      <c r="N269" s="16"/>
      <c r="O269" s="16"/>
      <c r="P269" s="16"/>
      <c r="Q269" s="16"/>
      <c r="R269" s="26"/>
      <c r="T269" s="67"/>
      <c r="U269"/>
    </row>
    <row r="270" spans="1:21" ht="15" x14ac:dyDescent="0.25">
      <c r="A270" s="38">
        <v>45.1</v>
      </c>
      <c r="B270" s="13">
        <v>78</v>
      </c>
      <c r="C270" s="14" t="s">
        <v>73</v>
      </c>
      <c r="D270" s="13" t="s">
        <v>27</v>
      </c>
      <c r="E270" s="26" t="str">
        <f>VLOOKUP(C270,Resources!B:G,3,FALSE)</f>
        <v>P</v>
      </c>
      <c r="F270" s="15">
        <v>1</v>
      </c>
      <c r="G270" s="36">
        <f>VLOOKUP($A270,'Model Inputs'!$A:$C,3,FALSE)</f>
        <v>23.777799999999999</v>
      </c>
      <c r="H270" s="15">
        <f>H268</f>
        <v>19</v>
      </c>
      <c r="I270" s="15">
        <f>VLOOKUP(C270,Resources!B:G,6,FALSE)</f>
        <v>130</v>
      </c>
      <c r="J270" s="27">
        <f>(H270/G270)*I270*F270</f>
        <v>103.87840759027328</v>
      </c>
      <c r="K270" s="27">
        <f t="shared" ref="K270:K274" si="335">IF(E270="M"," ",L270*F270)</f>
        <v>0.79906467377133295</v>
      </c>
      <c r="L270" s="157">
        <f t="shared" ref="L270:L274" si="336">IF(E270="M"," ",H270/G270)</f>
        <v>0.79906467377133295</v>
      </c>
      <c r="M270" s="28">
        <f t="shared" ref="M270:M274" si="337">IF($E270="L",$J270,0)</f>
        <v>0</v>
      </c>
      <c r="N270" s="28">
        <f t="shared" ref="N270:N274" si="338">IF($E270="M",$J270,0)</f>
        <v>0</v>
      </c>
      <c r="O270" s="28">
        <f t="shared" ref="O270:O274" si="339">IF($E270="P",$J270,0)</f>
        <v>103.87840759027328</v>
      </c>
      <c r="P270" s="28">
        <f t="shared" ref="P270:P274" si="340">IF($E270="S",$J270,0)</f>
        <v>0</v>
      </c>
      <c r="Q270" s="28">
        <f t="shared" ref="Q270:Q274" si="341">SUM(M270:P270)</f>
        <v>103.87840759027328</v>
      </c>
      <c r="R270" s="26">
        <v>57</v>
      </c>
      <c r="T270" s="67"/>
      <c r="U270"/>
    </row>
    <row r="271" spans="1:21" ht="15" x14ac:dyDescent="0.25">
      <c r="A271" s="38" t="s">
        <v>418</v>
      </c>
      <c r="B271" s="13">
        <v>79</v>
      </c>
      <c r="C271" s="14" t="s">
        <v>74</v>
      </c>
      <c r="D271" s="13" t="s">
        <v>27</v>
      </c>
      <c r="E271" s="26" t="str">
        <f>VLOOKUP(C271,Resources!B:G,3,FALSE)</f>
        <v>P</v>
      </c>
      <c r="F271" s="15">
        <v>2</v>
      </c>
      <c r="G271" s="15">
        <f>G270</f>
        <v>23.777799999999999</v>
      </c>
      <c r="H271" s="15">
        <f>H268</f>
        <v>19</v>
      </c>
      <c r="I271" s="15">
        <f>VLOOKUP(C271,Resources!B:G,6,FALSE)</f>
        <v>90</v>
      </c>
      <c r="J271" s="27">
        <f>(H271/G271)*I271*F271</f>
        <v>143.83164127883992</v>
      </c>
      <c r="K271" s="27">
        <f t="shared" si="335"/>
        <v>1.5981293475426659</v>
      </c>
      <c r="L271" s="157">
        <f t="shared" si="336"/>
        <v>0.79906467377133295</v>
      </c>
      <c r="M271" s="28">
        <f t="shared" si="337"/>
        <v>0</v>
      </c>
      <c r="N271" s="28">
        <f t="shared" si="338"/>
        <v>0</v>
      </c>
      <c r="O271" s="28">
        <f t="shared" si="339"/>
        <v>143.83164127883992</v>
      </c>
      <c r="P271" s="28">
        <f t="shared" si="340"/>
        <v>0</v>
      </c>
      <c r="Q271" s="28">
        <f t="shared" si="341"/>
        <v>143.83164127883992</v>
      </c>
      <c r="R271" s="26">
        <v>57</v>
      </c>
      <c r="T271" s="67"/>
      <c r="U271"/>
    </row>
    <row r="272" spans="1:21" ht="15" x14ac:dyDescent="0.25">
      <c r="A272" s="38" t="s">
        <v>418</v>
      </c>
      <c r="B272" s="13">
        <v>80</v>
      </c>
      <c r="C272" s="14" t="s">
        <v>7</v>
      </c>
      <c r="D272" s="13" t="s">
        <v>27</v>
      </c>
      <c r="E272" s="26" t="str">
        <f>VLOOKUP(C272,Resources!B:G,3,FALSE)</f>
        <v>L</v>
      </c>
      <c r="F272" s="15">
        <v>3</v>
      </c>
      <c r="G272" s="15">
        <f>G270</f>
        <v>23.777799999999999</v>
      </c>
      <c r="H272" s="15">
        <f>H268</f>
        <v>19</v>
      </c>
      <c r="I272" s="15">
        <f>VLOOKUP(C272,Resources!B:G,6,FALSE)</f>
        <v>48</v>
      </c>
      <c r="J272" s="27">
        <f>(H272/G272)*I272*F272</f>
        <v>115.06531302307195</v>
      </c>
      <c r="K272" s="27">
        <f t="shared" si="335"/>
        <v>2.3971940213139988</v>
      </c>
      <c r="L272" s="157">
        <f t="shared" si="336"/>
        <v>0.79906467377133295</v>
      </c>
      <c r="M272" s="28">
        <f t="shared" si="337"/>
        <v>115.06531302307195</v>
      </c>
      <c r="N272" s="28">
        <f t="shared" si="338"/>
        <v>0</v>
      </c>
      <c r="O272" s="28">
        <f t="shared" si="339"/>
        <v>0</v>
      </c>
      <c r="P272" s="28">
        <f t="shared" si="340"/>
        <v>0</v>
      </c>
      <c r="Q272" s="28">
        <f t="shared" si="341"/>
        <v>115.06531302307195</v>
      </c>
      <c r="R272" s="26">
        <v>57</v>
      </c>
      <c r="T272" s="67"/>
      <c r="U272"/>
    </row>
    <row r="273" spans="1:21" ht="15" x14ac:dyDescent="0.25">
      <c r="A273" s="38" t="s">
        <v>418</v>
      </c>
      <c r="B273" s="13">
        <v>81</v>
      </c>
      <c r="C273" s="14" t="s">
        <v>75</v>
      </c>
      <c r="D273" s="13" t="s">
        <v>54</v>
      </c>
      <c r="E273" s="26" t="str">
        <f>VLOOKUP(C273,Resources!B:G,3,FALSE)</f>
        <v>P</v>
      </c>
      <c r="F273" s="15">
        <v>1</v>
      </c>
      <c r="G273" s="15">
        <f>G270*9</f>
        <v>214.00020000000001</v>
      </c>
      <c r="H273" s="15">
        <f>H268/9</f>
        <v>2.1111111111111112</v>
      </c>
      <c r="I273" s="15">
        <f>VLOOKUP(C273,Resources!B:G,6,FALSE)</f>
        <v>365</v>
      </c>
      <c r="J273" s="27">
        <f>(H273/G273)*I273*F273</f>
        <v>3.6007235299572411</v>
      </c>
      <c r="K273" s="27">
        <f t="shared" si="335"/>
        <v>9.8649959724855917E-3</v>
      </c>
      <c r="L273" s="157">
        <f t="shared" si="336"/>
        <v>9.8649959724855917E-3</v>
      </c>
      <c r="M273" s="28">
        <f t="shared" si="337"/>
        <v>0</v>
      </c>
      <c r="N273" s="28">
        <f t="shared" si="338"/>
        <v>0</v>
      </c>
      <c r="O273" s="28">
        <f t="shared" si="339"/>
        <v>3.6007235299572411</v>
      </c>
      <c r="P273" s="28">
        <f t="shared" si="340"/>
        <v>0</v>
      </c>
      <c r="Q273" s="28">
        <f t="shared" si="341"/>
        <v>3.6007235299572411</v>
      </c>
      <c r="R273" s="26">
        <v>57</v>
      </c>
      <c r="T273" s="67"/>
      <c r="U273"/>
    </row>
    <row r="274" spans="1:21" ht="15" x14ac:dyDescent="0.25">
      <c r="A274" s="38" t="s">
        <v>418</v>
      </c>
      <c r="B274" s="13">
        <v>82</v>
      </c>
      <c r="C274" s="14" t="s">
        <v>32</v>
      </c>
      <c r="D274" s="13" t="s">
        <v>27</v>
      </c>
      <c r="E274" s="26" t="str">
        <f>VLOOKUP(C274,Resources!B:G,3,FALSE)</f>
        <v>P</v>
      </c>
      <c r="F274" s="15">
        <v>1</v>
      </c>
      <c r="G274" s="15">
        <f>G270*9</f>
        <v>214.00020000000001</v>
      </c>
      <c r="H274" s="15">
        <f>H268/9</f>
        <v>2.1111111111111112</v>
      </c>
      <c r="I274" s="15">
        <f>VLOOKUP(C274,Resources!B:G,6,FALSE)</f>
        <v>35</v>
      </c>
      <c r="J274" s="27">
        <f>(H274/G274)*I274*F274</f>
        <v>0.34527485903699573</v>
      </c>
      <c r="K274" s="27">
        <f t="shared" si="335"/>
        <v>9.8649959724855917E-3</v>
      </c>
      <c r="L274" s="157">
        <f t="shared" si="336"/>
        <v>9.8649959724855917E-3</v>
      </c>
      <c r="M274" s="28">
        <f t="shared" si="337"/>
        <v>0</v>
      </c>
      <c r="N274" s="28">
        <f t="shared" si="338"/>
        <v>0</v>
      </c>
      <c r="O274" s="28">
        <f t="shared" si="339"/>
        <v>0.34527485903699573</v>
      </c>
      <c r="P274" s="28">
        <f t="shared" si="340"/>
        <v>0</v>
      </c>
      <c r="Q274" s="28">
        <f t="shared" si="341"/>
        <v>0.34527485903699573</v>
      </c>
      <c r="R274" s="26">
        <v>57</v>
      </c>
      <c r="T274" s="67"/>
      <c r="U274"/>
    </row>
    <row r="275" spans="1:21" ht="15" x14ac:dyDescent="0.25">
      <c r="A275" s="38">
        <v>46</v>
      </c>
      <c r="B275" s="5">
        <v>83</v>
      </c>
      <c r="C275" s="5" t="s">
        <v>250</v>
      </c>
      <c r="D275" s="6" t="s">
        <v>299</v>
      </c>
      <c r="E275" s="25"/>
      <c r="F275" s="7"/>
      <c r="G275" s="7"/>
      <c r="H275" s="36">
        <f>VLOOKUP($A275,'Model Inputs'!$A:$C,3,FALSE)</f>
        <v>180</v>
      </c>
      <c r="I275" s="7"/>
      <c r="J275" s="8">
        <f>SUBTOTAL(9,J277:J281)</f>
        <v>3474.2023605585414</v>
      </c>
      <c r="K275" s="29"/>
      <c r="L275" s="156">
        <f>ROUNDUP(MAX(L277:L281)/Work,0)</f>
        <v>1</v>
      </c>
      <c r="M275" s="8">
        <f>SUBTOTAL(9,M277:M281)</f>
        <v>1090.0924391659446</v>
      </c>
      <c r="N275" s="8">
        <f t="shared" ref="N275:Q275" si="342">SUBTOTAL(9,N277:N281)</f>
        <v>0</v>
      </c>
      <c r="O275" s="8">
        <f t="shared" si="342"/>
        <v>2384.1099213925968</v>
      </c>
      <c r="P275" s="8">
        <f t="shared" si="342"/>
        <v>0</v>
      </c>
      <c r="Q275" s="8">
        <f t="shared" si="342"/>
        <v>3474.2023605585414</v>
      </c>
      <c r="R275" s="25"/>
      <c r="T275" s="67"/>
      <c r="U275"/>
    </row>
    <row r="276" spans="1:21" ht="15" x14ac:dyDescent="0.25">
      <c r="A276" s="38" t="s">
        <v>418</v>
      </c>
      <c r="B276" s="13">
        <v>84</v>
      </c>
      <c r="C276" s="14" t="s">
        <v>5</v>
      </c>
      <c r="D276" s="13"/>
      <c r="E276" s="26"/>
      <c r="F276" s="15"/>
      <c r="G276" s="15"/>
      <c r="H276" s="15">
        <f>H275</f>
        <v>180</v>
      </c>
      <c r="I276" s="15"/>
      <c r="J276" s="15"/>
      <c r="K276" s="30"/>
      <c r="L276" s="157"/>
      <c r="M276" s="16"/>
      <c r="N276" s="16"/>
      <c r="O276" s="16"/>
      <c r="P276" s="16"/>
      <c r="Q276" s="16"/>
      <c r="R276" s="26"/>
      <c r="T276" s="67"/>
      <c r="U276"/>
    </row>
    <row r="277" spans="1:21" ht="15" x14ac:dyDescent="0.25">
      <c r="A277" s="38">
        <v>46.1</v>
      </c>
      <c r="B277" s="13">
        <v>85</v>
      </c>
      <c r="C277" s="14" t="s">
        <v>73</v>
      </c>
      <c r="D277" s="13" t="s">
        <v>27</v>
      </c>
      <c r="E277" s="26" t="str">
        <f>VLOOKUP(C277,Resources!B:G,3,FALSE)</f>
        <v>P</v>
      </c>
      <c r="F277" s="15">
        <v>1</v>
      </c>
      <c r="G277" s="36">
        <f>VLOOKUP($A277,'Model Inputs'!$A:$C,3,FALSE)</f>
        <v>23.777799999999999</v>
      </c>
      <c r="H277" s="15">
        <f>H275</f>
        <v>180</v>
      </c>
      <c r="I277" s="15">
        <f>VLOOKUP(C277,Resources!B:G,6,FALSE)</f>
        <v>130</v>
      </c>
      <c r="J277" s="27">
        <f>(H277/G277)*I277*F277</f>
        <v>984.11122980258904</v>
      </c>
      <c r="K277" s="27">
        <f t="shared" ref="K277:K281" si="343">IF(E277="M"," ",L277*F277)</f>
        <v>7.5700863830968386</v>
      </c>
      <c r="L277" s="157">
        <f t="shared" ref="L277:L281" si="344">IF(E277="M"," ",H277/G277)</f>
        <v>7.5700863830968386</v>
      </c>
      <c r="M277" s="28">
        <f t="shared" ref="M277:M281" si="345">IF($E277="L",$J277,0)</f>
        <v>0</v>
      </c>
      <c r="N277" s="28">
        <f t="shared" ref="N277:N281" si="346">IF($E277="M",$J277,0)</f>
        <v>0</v>
      </c>
      <c r="O277" s="28">
        <f t="shared" ref="O277:O281" si="347">IF($E277="P",$J277,0)</f>
        <v>984.11122980258904</v>
      </c>
      <c r="P277" s="28">
        <f t="shared" ref="P277:P281" si="348">IF($E277="S",$J277,0)</f>
        <v>0</v>
      </c>
      <c r="Q277" s="28">
        <f t="shared" ref="Q277:Q281" si="349">SUM(M277:P277)</f>
        <v>984.11122980258904</v>
      </c>
      <c r="R277" s="26">
        <v>57</v>
      </c>
      <c r="T277" s="67"/>
      <c r="U277"/>
    </row>
    <row r="278" spans="1:21" ht="15" x14ac:dyDescent="0.25">
      <c r="A278" s="38" t="s">
        <v>418</v>
      </c>
      <c r="B278" s="13">
        <v>86</v>
      </c>
      <c r="C278" s="14" t="s">
        <v>74</v>
      </c>
      <c r="D278" s="13" t="s">
        <v>27</v>
      </c>
      <c r="E278" s="26" t="str">
        <f>VLOOKUP(C278,Resources!B:G,3,FALSE)</f>
        <v>P</v>
      </c>
      <c r="F278" s="15">
        <v>2</v>
      </c>
      <c r="G278" s="15">
        <f>G277</f>
        <v>23.777799999999999</v>
      </c>
      <c r="H278" s="15">
        <f>H275</f>
        <v>180</v>
      </c>
      <c r="I278" s="15">
        <f>VLOOKUP(C278,Resources!B:G,6,FALSE)</f>
        <v>90</v>
      </c>
      <c r="J278" s="27">
        <f>(H278/G278)*I278*F278</f>
        <v>1362.615548957431</v>
      </c>
      <c r="K278" s="27">
        <f t="shared" si="343"/>
        <v>15.140172766193677</v>
      </c>
      <c r="L278" s="157">
        <f t="shared" si="344"/>
        <v>7.5700863830968386</v>
      </c>
      <c r="M278" s="28">
        <f t="shared" si="345"/>
        <v>0</v>
      </c>
      <c r="N278" s="28">
        <f t="shared" si="346"/>
        <v>0</v>
      </c>
      <c r="O278" s="28">
        <f t="shared" si="347"/>
        <v>1362.615548957431</v>
      </c>
      <c r="P278" s="28">
        <f t="shared" si="348"/>
        <v>0</v>
      </c>
      <c r="Q278" s="28">
        <f t="shared" si="349"/>
        <v>1362.615548957431</v>
      </c>
      <c r="R278" s="26">
        <v>57</v>
      </c>
      <c r="T278" s="67"/>
      <c r="U278"/>
    </row>
    <row r="279" spans="1:21" ht="15" x14ac:dyDescent="0.25">
      <c r="A279" s="38" t="s">
        <v>418</v>
      </c>
      <c r="B279" s="13">
        <v>87</v>
      </c>
      <c r="C279" s="14" t="s">
        <v>7</v>
      </c>
      <c r="D279" s="13" t="s">
        <v>27</v>
      </c>
      <c r="E279" s="26" t="str">
        <f>VLOOKUP(C279,Resources!B:G,3,FALSE)</f>
        <v>L</v>
      </c>
      <c r="F279" s="15">
        <v>3</v>
      </c>
      <c r="G279" s="15">
        <f>G277</f>
        <v>23.777799999999999</v>
      </c>
      <c r="H279" s="15">
        <f>H275</f>
        <v>180</v>
      </c>
      <c r="I279" s="15">
        <f>VLOOKUP(C279,Resources!B:G,6,FALSE)</f>
        <v>48</v>
      </c>
      <c r="J279" s="27">
        <f>(H279/G279)*I279*F279</f>
        <v>1090.0924391659446</v>
      </c>
      <c r="K279" s="27">
        <f t="shared" si="343"/>
        <v>22.710259149290515</v>
      </c>
      <c r="L279" s="157">
        <f t="shared" si="344"/>
        <v>7.5700863830968386</v>
      </c>
      <c r="M279" s="28">
        <f t="shared" si="345"/>
        <v>1090.0924391659446</v>
      </c>
      <c r="N279" s="28">
        <f t="shared" si="346"/>
        <v>0</v>
      </c>
      <c r="O279" s="28">
        <f t="shared" si="347"/>
        <v>0</v>
      </c>
      <c r="P279" s="28">
        <f t="shared" si="348"/>
        <v>0</v>
      </c>
      <c r="Q279" s="28">
        <f t="shared" si="349"/>
        <v>1090.0924391659446</v>
      </c>
      <c r="R279" s="26">
        <v>57</v>
      </c>
      <c r="T279" s="67"/>
      <c r="U279"/>
    </row>
    <row r="280" spans="1:21" ht="15" x14ac:dyDescent="0.25">
      <c r="A280" s="38" t="s">
        <v>418</v>
      </c>
      <c r="B280" s="13">
        <v>88</v>
      </c>
      <c r="C280" s="14" t="s">
        <v>75</v>
      </c>
      <c r="D280" s="13" t="s">
        <v>54</v>
      </c>
      <c r="E280" s="26" t="str">
        <f>VLOOKUP(C280,Resources!B:G,3,FALSE)</f>
        <v>P</v>
      </c>
      <c r="F280" s="15">
        <v>1</v>
      </c>
      <c r="G280" s="15">
        <f>G277*9</f>
        <v>214.00020000000001</v>
      </c>
      <c r="H280" s="15">
        <f>H275/9</f>
        <v>20</v>
      </c>
      <c r="I280" s="15">
        <f>VLOOKUP(C280,Resources!B:G,6,FALSE)</f>
        <v>365</v>
      </c>
      <c r="J280" s="27">
        <f>(H280/G280)*I280*F280</f>
        <v>34.112117652226495</v>
      </c>
      <c r="K280" s="27">
        <f t="shared" si="343"/>
        <v>9.3457856581442442E-2</v>
      </c>
      <c r="L280" s="157">
        <f t="shared" si="344"/>
        <v>9.3457856581442442E-2</v>
      </c>
      <c r="M280" s="28">
        <f t="shared" si="345"/>
        <v>0</v>
      </c>
      <c r="N280" s="28">
        <f t="shared" si="346"/>
        <v>0</v>
      </c>
      <c r="O280" s="28">
        <f t="shared" si="347"/>
        <v>34.112117652226495</v>
      </c>
      <c r="P280" s="28">
        <f t="shared" si="348"/>
        <v>0</v>
      </c>
      <c r="Q280" s="28">
        <f t="shared" si="349"/>
        <v>34.112117652226495</v>
      </c>
      <c r="R280" s="26">
        <v>57</v>
      </c>
      <c r="T280" s="67"/>
      <c r="U280"/>
    </row>
    <row r="281" spans="1:21" ht="15" x14ac:dyDescent="0.25">
      <c r="A281" s="38" t="s">
        <v>418</v>
      </c>
      <c r="B281" s="13">
        <v>89</v>
      </c>
      <c r="C281" s="14" t="s">
        <v>32</v>
      </c>
      <c r="D281" s="13" t="s">
        <v>27</v>
      </c>
      <c r="E281" s="26" t="str">
        <f>VLOOKUP(C281,Resources!B:G,3,FALSE)</f>
        <v>P</v>
      </c>
      <c r="F281" s="15">
        <v>1</v>
      </c>
      <c r="G281" s="15">
        <f>G277*9</f>
        <v>214.00020000000001</v>
      </c>
      <c r="H281" s="15">
        <f>H275/9</f>
        <v>20</v>
      </c>
      <c r="I281" s="15">
        <f>VLOOKUP(C281,Resources!B:G,6,FALSE)</f>
        <v>35</v>
      </c>
      <c r="J281" s="27">
        <f>(H281/G281)*I281*F281</f>
        <v>3.2710249803504854</v>
      </c>
      <c r="K281" s="27">
        <f t="shared" si="343"/>
        <v>9.3457856581442442E-2</v>
      </c>
      <c r="L281" s="157">
        <f t="shared" si="344"/>
        <v>9.3457856581442442E-2</v>
      </c>
      <c r="M281" s="28">
        <f t="shared" si="345"/>
        <v>0</v>
      </c>
      <c r="N281" s="28">
        <f t="shared" si="346"/>
        <v>0</v>
      </c>
      <c r="O281" s="28">
        <f t="shared" si="347"/>
        <v>3.2710249803504854</v>
      </c>
      <c r="P281" s="28">
        <f t="shared" si="348"/>
        <v>0</v>
      </c>
      <c r="Q281" s="28">
        <f t="shared" si="349"/>
        <v>3.2710249803504854</v>
      </c>
      <c r="R281" s="26">
        <v>57</v>
      </c>
      <c r="T281" s="67"/>
      <c r="U281"/>
    </row>
    <row r="282" spans="1:21" ht="15" x14ac:dyDescent="0.25">
      <c r="A282" s="38">
        <v>47</v>
      </c>
      <c r="B282" s="5">
        <v>90</v>
      </c>
      <c r="C282" s="5" t="s">
        <v>248</v>
      </c>
      <c r="D282" s="6" t="s">
        <v>299</v>
      </c>
      <c r="E282" s="25"/>
      <c r="F282" s="7"/>
      <c r="G282" s="7"/>
      <c r="H282" s="36">
        <f>VLOOKUP($A282,'Model Inputs'!$A:$C,3,FALSE)</f>
        <v>499</v>
      </c>
      <c r="I282" s="7"/>
      <c r="J282" s="8">
        <f>SUBTOTAL(9,J284:J288)</f>
        <v>7584.8888888888887</v>
      </c>
      <c r="K282" s="29"/>
      <c r="L282" s="156">
        <f>ROUNDUP(MAX(L284:L288)/Work,0)</f>
        <v>2</v>
      </c>
      <c r="M282" s="8">
        <f>SUBTOTAL(9,M284:M288)</f>
        <v>1995.9999999999998</v>
      </c>
      <c r="N282" s="8">
        <f t="shared" ref="N282:Q282" si="350">SUBTOTAL(9,N284:N288)</f>
        <v>0</v>
      </c>
      <c r="O282" s="8">
        <f t="shared" si="350"/>
        <v>5588.8888888888887</v>
      </c>
      <c r="P282" s="8">
        <f t="shared" si="350"/>
        <v>0</v>
      </c>
      <c r="Q282" s="8">
        <f t="shared" si="350"/>
        <v>7584.8888888888887</v>
      </c>
      <c r="R282" s="25"/>
      <c r="T282" s="67"/>
      <c r="U282"/>
    </row>
    <row r="283" spans="1:21" ht="15" x14ac:dyDescent="0.25">
      <c r="A283" s="38" t="s">
        <v>418</v>
      </c>
      <c r="B283" s="13">
        <v>91</v>
      </c>
      <c r="C283" s="14" t="s">
        <v>5</v>
      </c>
      <c r="D283" s="13"/>
      <c r="E283" s="26"/>
      <c r="F283" s="15"/>
      <c r="G283" s="15"/>
      <c r="H283" s="15">
        <v>3028</v>
      </c>
      <c r="I283" s="15"/>
      <c r="J283" s="15"/>
      <c r="K283" s="30"/>
      <c r="L283" s="157"/>
      <c r="M283" s="16"/>
      <c r="N283" s="16"/>
      <c r="O283" s="16"/>
      <c r="P283" s="16"/>
      <c r="Q283" s="16"/>
      <c r="R283" s="26"/>
      <c r="T283" s="67"/>
      <c r="U283"/>
    </row>
    <row r="284" spans="1:21" ht="15" x14ac:dyDescent="0.25">
      <c r="A284" s="38">
        <v>47.1</v>
      </c>
      <c r="B284" s="13">
        <v>92</v>
      </c>
      <c r="C284" s="14" t="s">
        <v>73</v>
      </c>
      <c r="D284" s="13" t="s">
        <v>27</v>
      </c>
      <c r="E284" s="26" t="str">
        <f>VLOOKUP(C284,Resources!B:G,3,FALSE)</f>
        <v>P</v>
      </c>
      <c r="F284" s="15">
        <v>1</v>
      </c>
      <c r="G284" s="36">
        <f>VLOOKUP($A284,'Model Inputs'!$A:$C,3,FALSE)</f>
        <v>36</v>
      </c>
      <c r="H284" s="15">
        <f>H282</f>
        <v>499</v>
      </c>
      <c r="I284" s="15">
        <f>VLOOKUP(C284,Resources!B:G,6,FALSE)</f>
        <v>130</v>
      </c>
      <c r="J284" s="27">
        <f>(H284/G284)*I284*F284</f>
        <v>1801.9444444444443</v>
      </c>
      <c r="K284" s="27">
        <f t="shared" ref="K284:K288" si="351">IF(E284="M"," ",L284*F284)</f>
        <v>13.861111111111111</v>
      </c>
      <c r="L284" s="157">
        <f t="shared" ref="L284:L288" si="352">IF(E284="M"," ",H284/G284)</f>
        <v>13.861111111111111</v>
      </c>
      <c r="M284" s="28">
        <f t="shared" ref="M284:M288" si="353">IF($E284="L",$J284,0)</f>
        <v>0</v>
      </c>
      <c r="N284" s="28">
        <f t="shared" ref="N284:N288" si="354">IF($E284="M",$J284,0)</f>
        <v>0</v>
      </c>
      <c r="O284" s="28">
        <f t="shared" ref="O284:O288" si="355">IF($E284="P",$J284,0)</f>
        <v>1801.9444444444443</v>
      </c>
      <c r="P284" s="28">
        <f t="shared" ref="P284:P288" si="356">IF($E284="S",$J284,0)</f>
        <v>0</v>
      </c>
      <c r="Q284" s="28">
        <f t="shared" ref="Q284:Q288" si="357">SUM(M284:P284)</f>
        <v>1801.9444444444443</v>
      </c>
      <c r="R284" s="26">
        <v>57</v>
      </c>
      <c r="T284" s="67"/>
      <c r="U284"/>
    </row>
    <row r="285" spans="1:21" ht="15" x14ac:dyDescent="0.25">
      <c r="A285" s="38" t="s">
        <v>418</v>
      </c>
      <c r="B285" s="13">
        <v>93</v>
      </c>
      <c r="C285" s="14" t="s">
        <v>74</v>
      </c>
      <c r="D285" s="13" t="s">
        <v>27</v>
      </c>
      <c r="E285" s="26" t="str">
        <f>VLOOKUP(C285,Resources!B:G,3,FALSE)</f>
        <v>P</v>
      </c>
      <c r="F285" s="15">
        <v>3</v>
      </c>
      <c r="G285" s="15">
        <f>G284</f>
        <v>36</v>
      </c>
      <c r="H285" s="15">
        <f>H282</f>
        <v>499</v>
      </c>
      <c r="I285" s="15">
        <f>VLOOKUP(C285,Resources!B:G,6,FALSE)</f>
        <v>90</v>
      </c>
      <c r="J285" s="27">
        <f>(H285/G285)*I285*F285</f>
        <v>3742.5</v>
      </c>
      <c r="K285" s="27">
        <f t="shared" si="351"/>
        <v>41.583333333333329</v>
      </c>
      <c r="L285" s="157">
        <f t="shared" si="352"/>
        <v>13.861111111111111</v>
      </c>
      <c r="M285" s="28">
        <f t="shared" si="353"/>
        <v>0</v>
      </c>
      <c r="N285" s="28">
        <f t="shared" si="354"/>
        <v>0</v>
      </c>
      <c r="O285" s="28">
        <f t="shared" si="355"/>
        <v>3742.5</v>
      </c>
      <c r="P285" s="28">
        <f t="shared" si="356"/>
        <v>0</v>
      </c>
      <c r="Q285" s="28">
        <f t="shared" si="357"/>
        <v>3742.5</v>
      </c>
      <c r="R285" s="26">
        <v>57</v>
      </c>
      <c r="T285" s="67"/>
      <c r="U285"/>
    </row>
    <row r="286" spans="1:21" ht="15" x14ac:dyDescent="0.25">
      <c r="A286" s="38" t="s">
        <v>418</v>
      </c>
      <c r="B286" s="13">
        <v>94</v>
      </c>
      <c r="C286" s="14" t="s">
        <v>7</v>
      </c>
      <c r="D286" s="13" t="s">
        <v>27</v>
      </c>
      <c r="E286" s="26" t="str">
        <f>VLOOKUP(C286,Resources!B:G,3,FALSE)</f>
        <v>L</v>
      </c>
      <c r="F286" s="15">
        <v>3</v>
      </c>
      <c r="G286" s="15">
        <f>G284</f>
        <v>36</v>
      </c>
      <c r="H286" s="15">
        <f>H282</f>
        <v>499</v>
      </c>
      <c r="I286" s="15">
        <f>VLOOKUP(C286,Resources!B:G,6,FALSE)</f>
        <v>48</v>
      </c>
      <c r="J286" s="27">
        <f>(H286/G286)*I286*F286</f>
        <v>1995.9999999999998</v>
      </c>
      <c r="K286" s="27">
        <f t="shared" si="351"/>
        <v>41.583333333333329</v>
      </c>
      <c r="L286" s="157">
        <f t="shared" si="352"/>
        <v>13.861111111111111</v>
      </c>
      <c r="M286" s="28">
        <f t="shared" si="353"/>
        <v>1995.9999999999998</v>
      </c>
      <c r="N286" s="28">
        <f t="shared" si="354"/>
        <v>0</v>
      </c>
      <c r="O286" s="28">
        <f t="shared" si="355"/>
        <v>0</v>
      </c>
      <c r="P286" s="28">
        <f t="shared" si="356"/>
        <v>0</v>
      </c>
      <c r="Q286" s="28">
        <f t="shared" si="357"/>
        <v>1995.9999999999998</v>
      </c>
      <c r="R286" s="26">
        <v>57</v>
      </c>
      <c r="T286" s="67"/>
      <c r="U286"/>
    </row>
    <row r="287" spans="1:21" ht="15" x14ac:dyDescent="0.25">
      <c r="A287" s="38" t="s">
        <v>418</v>
      </c>
      <c r="B287" s="13">
        <v>95</v>
      </c>
      <c r="C287" s="14" t="s">
        <v>75</v>
      </c>
      <c r="D287" s="13" t="s">
        <v>54</v>
      </c>
      <c r="E287" s="26" t="str">
        <f>VLOOKUP(C287,Resources!B:G,3,FALSE)</f>
        <v>P</v>
      </c>
      <c r="F287" s="15">
        <v>1</v>
      </c>
      <c r="G287" s="15">
        <f>G284*9</f>
        <v>324</v>
      </c>
      <c r="H287" s="15">
        <v>36</v>
      </c>
      <c r="I287" s="15">
        <f>VLOOKUP(C287,Resources!B:G,6,FALSE)</f>
        <v>365</v>
      </c>
      <c r="J287" s="27">
        <f>(H287/G287)*I287*F287</f>
        <v>40.55555555555555</v>
      </c>
      <c r="K287" s="27">
        <f t="shared" si="351"/>
        <v>0.1111111111111111</v>
      </c>
      <c r="L287" s="157">
        <f t="shared" si="352"/>
        <v>0.1111111111111111</v>
      </c>
      <c r="M287" s="28">
        <f t="shared" si="353"/>
        <v>0</v>
      </c>
      <c r="N287" s="28">
        <f t="shared" si="354"/>
        <v>0</v>
      </c>
      <c r="O287" s="28">
        <f t="shared" si="355"/>
        <v>40.55555555555555</v>
      </c>
      <c r="P287" s="28">
        <f t="shared" si="356"/>
        <v>0</v>
      </c>
      <c r="Q287" s="28">
        <f t="shared" si="357"/>
        <v>40.55555555555555</v>
      </c>
      <c r="R287" s="26">
        <v>57</v>
      </c>
      <c r="T287" s="67"/>
      <c r="U287"/>
    </row>
    <row r="288" spans="1:21" ht="15" x14ac:dyDescent="0.25">
      <c r="A288" s="38" t="s">
        <v>418</v>
      </c>
      <c r="B288" s="13">
        <v>96</v>
      </c>
      <c r="C288" s="14" t="s">
        <v>32</v>
      </c>
      <c r="D288" s="13" t="s">
        <v>27</v>
      </c>
      <c r="E288" s="26" t="str">
        <f>VLOOKUP(C288,Resources!B:G,3,FALSE)</f>
        <v>P</v>
      </c>
      <c r="F288" s="15">
        <v>1</v>
      </c>
      <c r="G288" s="15">
        <f>G284*9</f>
        <v>324</v>
      </c>
      <c r="H288" s="15">
        <v>36</v>
      </c>
      <c r="I288" s="15">
        <f>VLOOKUP(C288,Resources!B:G,6,FALSE)</f>
        <v>35</v>
      </c>
      <c r="J288" s="27">
        <f>(H288/G288)*I288*F288</f>
        <v>3.8888888888888888</v>
      </c>
      <c r="K288" s="27">
        <f t="shared" si="351"/>
        <v>0.1111111111111111</v>
      </c>
      <c r="L288" s="157">
        <f t="shared" si="352"/>
        <v>0.1111111111111111</v>
      </c>
      <c r="M288" s="28">
        <f t="shared" si="353"/>
        <v>0</v>
      </c>
      <c r="N288" s="28">
        <f t="shared" si="354"/>
        <v>0</v>
      </c>
      <c r="O288" s="28">
        <f t="shared" si="355"/>
        <v>3.8888888888888888</v>
      </c>
      <c r="P288" s="28">
        <f t="shared" si="356"/>
        <v>0</v>
      </c>
      <c r="Q288" s="28">
        <f t="shared" si="357"/>
        <v>3.8888888888888888</v>
      </c>
      <c r="R288" s="26">
        <v>57</v>
      </c>
      <c r="T288" s="67"/>
      <c r="U288"/>
    </row>
    <row r="289" spans="1:21" ht="15" x14ac:dyDescent="0.25">
      <c r="A289" s="38" t="s">
        <v>418</v>
      </c>
      <c r="F289" s="11"/>
      <c r="G289" s="11"/>
      <c r="H289" s="11"/>
      <c r="I289" s="11"/>
      <c r="J289" s="11"/>
      <c r="K289" s="31"/>
      <c r="M289" s="12"/>
      <c r="N289" s="12"/>
      <c r="O289" s="12"/>
      <c r="P289" s="12"/>
      <c r="Q289" s="12"/>
      <c r="T289" s="67"/>
      <c r="U289"/>
    </row>
    <row r="290" spans="1:21" ht="33.75" x14ac:dyDescent="0.25">
      <c r="A290" s="38">
        <v>48</v>
      </c>
      <c r="B290" s="5" t="s">
        <v>95</v>
      </c>
      <c r="C290" s="5" t="s">
        <v>96</v>
      </c>
      <c r="D290" s="6"/>
      <c r="E290" s="25"/>
      <c r="F290" s="7"/>
      <c r="G290" s="7"/>
      <c r="H290" s="7"/>
      <c r="I290" s="7"/>
      <c r="J290" s="7"/>
      <c r="K290" s="29"/>
      <c r="L290" s="156"/>
      <c r="M290" s="8"/>
      <c r="N290" s="8"/>
      <c r="O290" s="8"/>
      <c r="P290" s="8"/>
      <c r="Q290" s="8"/>
      <c r="R290" s="25"/>
      <c r="T290" s="67"/>
      <c r="U290"/>
    </row>
    <row r="291" spans="1:21" ht="45" x14ac:dyDescent="0.25">
      <c r="A291" s="38">
        <v>49</v>
      </c>
      <c r="B291" s="5" t="s">
        <v>97</v>
      </c>
      <c r="C291" s="5" t="s">
        <v>98</v>
      </c>
      <c r="D291" s="6" t="s">
        <v>67</v>
      </c>
      <c r="E291" s="25"/>
      <c r="F291" s="7"/>
      <c r="G291" s="7"/>
      <c r="H291" s="36">
        <f>VLOOKUP($A291,'Model Inputs'!$A:$C,3,FALSE)</f>
        <v>160</v>
      </c>
      <c r="I291" s="7"/>
      <c r="J291" s="8">
        <f>SUBTOTAL(9,J294)</f>
        <v>691.19999999999993</v>
      </c>
      <c r="K291" s="29"/>
      <c r="L291" s="156">
        <f>ROUNDUP(MAX(L294)/Work,0)</f>
        <v>18</v>
      </c>
      <c r="M291" s="8">
        <f>SUBTOTAL(9,M294)</f>
        <v>0</v>
      </c>
      <c r="N291" s="8">
        <f t="shared" ref="N291:Q291" si="358">SUBTOTAL(9,N294)</f>
        <v>0</v>
      </c>
      <c r="O291" s="8">
        <f t="shared" si="358"/>
        <v>0</v>
      </c>
      <c r="P291" s="8">
        <f t="shared" si="358"/>
        <v>691.19999999999993</v>
      </c>
      <c r="Q291" s="8">
        <f t="shared" si="358"/>
        <v>691.19999999999993</v>
      </c>
      <c r="R291" s="25"/>
      <c r="T291" s="67"/>
      <c r="U291"/>
    </row>
    <row r="292" spans="1:21" ht="15" x14ac:dyDescent="0.25">
      <c r="A292" s="38" t="s">
        <v>418</v>
      </c>
      <c r="B292" s="13">
        <v>1</v>
      </c>
      <c r="C292" s="14" t="s">
        <v>251</v>
      </c>
      <c r="D292" s="13"/>
      <c r="E292" s="26"/>
      <c r="F292" s="15"/>
      <c r="G292" s="15"/>
      <c r="H292" s="15">
        <f>H291*2.4</f>
        <v>384</v>
      </c>
      <c r="I292" s="15"/>
      <c r="J292" s="15"/>
      <c r="K292" s="30"/>
      <c r="L292" s="157"/>
      <c r="M292" s="16"/>
      <c r="N292" s="16"/>
      <c r="O292" s="16"/>
      <c r="P292" s="16"/>
      <c r="Q292" s="16"/>
      <c r="R292" s="26"/>
      <c r="T292" s="67"/>
      <c r="U292"/>
    </row>
    <row r="293" spans="1:21" ht="15" x14ac:dyDescent="0.25">
      <c r="A293" s="38" t="s">
        <v>418</v>
      </c>
      <c r="B293" s="13">
        <v>2</v>
      </c>
      <c r="C293" s="14" t="s">
        <v>252</v>
      </c>
      <c r="D293" s="13"/>
      <c r="E293" s="26"/>
      <c r="F293" s="15">
        <v>18</v>
      </c>
      <c r="G293" s="15"/>
      <c r="H293" s="15"/>
      <c r="I293" s="15"/>
      <c r="J293" s="15"/>
      <c r="K293" s="30"/>
      <c r="L293" s="157"/>
      <c r="M293" s="16"/>
      <c r="N293" s="16"/>
      <c r="O293" s="16"/>
      <c r="P293" s="16"/>
      <c r="Q293" s="16"/>
      <c r="R293" s="26"/>
      <c r="T293" s="67"/>
      <c r="U293"/>
    </row>
    <row r="294" spans="1:21" ht="15" x14ac:dyDescent="0.25">
      <c r="A294" s="38" t="s">
        <v>418</v>
      </c>
      <c r="B294" s="13">
        <v>3</v>
      </c>
      <c r="C294" s="14" t="s">
        <v>128</v>
      </c>
      <c r="D294" s="13" t="s">
        <v>99</v>
      </c>
      <c r="E294" s="26" t="str">
        <f>VLOOKUP(C294,Resources!B:G,3,FALSE)</f>
        <v>S</v>
      </c>
      <c r="F294" s="15">
        <v>18</v>
      </c>
      <c r="G294" s="15">
        <v>1</v>
      </c>
      <c r="H294" s="15">
        <f>H291</f>
        <v>160</v>
      </c>
      <c r="I294" s="15">
        <f>VLOOKUP(C294,Resources!B:G,6,FALSE)</f>
        <v>0.24</v>
      </c>
      <c r="J294" s="27">
        <f>(H294/G294)*I294*F294</f>
        <v>691.19999999999993</v>
      </c>
      <c r="K294" s="27">
        <f t="shared" ref="K294" si="359">IF(E294="M"," ",L294*F294)</f>
        <v>2880</v>
      </c>
      <c r="L294" s="157">
        <f t="shared" ref="L294" si="360">IF(E294="M"," ",H294/G294)</f>
        <v>160</v>
      </c>
      <c r="M294" s="28">
        <f t="shared" ref="M294" si="361">IF($E294="L",$J294,0)</f>
        <v>0</v>
      </c>
      <c r="N294" s="28">
        <f t="shared" ref="N294" si="362">IF($E294="M",$J294,0)</f>
        <v>0</v>
      </c>
      <c r="O294" s="28">
        <f t="shared" ref="O294" si="363">IF($E294="P",$J294,0)</f>
        <v>0</v>
      </c>
      <c r="P294" s="28">
        <f t="shared" ref="P294" si="364">IF($E294="S",$J294,0)</f>
        <v>691.19999999999993</v>
      </c>
      <c r="Q294" s="28">
        <f t="shared" ref="Q294" si="365">SUM(M294:P294)</f>
        <v>691.19999999999993</v>
      </c>
      <c r="R294" s="26">
        <v>613</v>
      </c>
      <c r="T294" s="67"/>
      <c r="U294"/>
    </row>
    <row r="295" spans="1:21" ht="15" x14ac:dyDescent="0.25">
      <c r="A295" s="38" t="s">
        <v>418</v>
      </c>
      <c r="F295" s="11"/>
      <c r="G295" s="11"/>
      <c r="H295" s="11"/>
      <c r="I295" s="11"/>
      <c r="J295" s="11"/>
      <c r="K295" s="31"/>
      <c r="M295" s="12"/>
      <c r="N295" s="12"/>
      <c r="O295" s="12"/>
      <c r="P295" s="12"/>
      <c r="Q295" s="12"/>
      <c r="T295" s="67"/>
      <c r="U295"/>
    </row>
    <row r="296" spans="1:21" ht="33.75" x14ac:dyDescent="0.25">
      <c r="A296" s="38">
        <v>50</v>
      </c>
      <c r="B296" s="5" t="s">
        <v>100</v>
      </c>
      <c r="C296" s="5" t="s">
        <v>101</v>
      </c>
      <c r="D296" s="6" t="s">
        <v>67</v>
      </c>
      <c r="E296" s="25"/>
      <c r="F296" s="7"/>
      <c r="G296" s="7"/>
      <c r="H296" s="36">
        <f>VLOOKUP($A296,'Model Inputs'!$A:$C,3,FALSE)</f>
        <v>160</v>
      </c>
      <c r="I296" s="7"/>
      <c r="J296" s="8">
        <f>SUBTOTAL(9,J297:J302)</f>
        <v>10338.986666666666</v>
      </c>
      <c r="K296" s="29"/>
      <c r="L296" s="156">
        <f>ROUNDUP(MAX(L297:L302)/Work,0)</f>
        <v>2</v>
      </c>
      <c r="M296" s="8">
        <f>SUBTOTAL(9,M297:M302)</f>
        <v>2949.12</v>
      </c>
      <c r="N296" s="8">
        <f t="shared" ref="N296:Q296" si="366">SUBTOTAL(9,N297:N302)</f>
        <v>0</v>
      </c>
      <c r="O296" s="8">
        <f t="shared" si="366"/>
        <v>7389.8666666666668</v>
      </c>
      <c r="P296" s="8">
        <f t="shared" si="366"/>
        <v>0</v>
      </c>
      <c r="Q296" s="8">
        <f t="shared" si="366"/>
        <v>10338.986666666666</v>
      </c>
      <c r="R296" s="25"/>
      <c r="T296" s="67"/>
      <c r="U296"/>
    </row>
    <row r="297" spans="1:21" ht="15" x14ac:dyDescent="0.25">
      <c r="A297" s="38">
        <v>50.1</v>
      </c>
      <c r="B297" s="13">
        <v>1</v>
      </c>
      <c r="C297" s="14" t="s">
        <v>31</v>
      </c>
      <c r="D297" s="13" t="s">
        <v>27</v>
      </c>
      <c r="E297" s="26" t="str">
        <f>VLOOKUP(C297,Resources!B:G,3,FALSE)</f>
        <v>P</v>
      </c>
      <c r="F297" s="15">
        <v>1</v>
      </c>
      <c r="G297" s="36">
        <f>VLOOKUP($A297,'Model Inputs'!$A:$C,3,FALSE)</f>
        <v>25</v>
      </c>
      <c r="H297" s="15">
        <f>H296*2.4</f>
        <v>384</v>
      </c>
      <c r="I297" s="15">
        <f>VLOOKUP(C297,Resources!B:G,6,FALSE)</f>
        <v>165</v>
      </c>
      <c r="J297" s="27">
        <f t="shared" ref="J297:J302" si="367">(H297/G297)*I297*F297</f>
        <v>2534.4</v>
      </c>
      <c r="K297" s="27">
        <f t="shared" ref="K297:K302" si="368">IF(E297="M"," ",L297*F297)</f>
        <v>15.36</v>
      </c>
      <c r="L297" s="157">
        <f t="shared" ref="L297:L302" si="369">IF(E297="M"," ",H297/G297)</f>
        <v>15.36</v>
      </c>
      <c r="M297" s="28">
        <f t="shared" ref="M297:M302" si="370">IF($E297="L",$J297,0)</f>
        <v>0</v>
      </c>
      <c r="N297" s="28">
        <f t="shared" ref="N297:N302" si="371">IF($E297="M",$J297,0)</f>
        <v>0</v>
      </c>
      <c r="O297" s="28">
        <f t="shared" ref="O297:O302" si="372">IF($E297="P",$J297,0)</f>
        <v>2534.4</v>
      </c>
      <c r="P297" s="28">
        <f t="shared" ref="P297:P302" si="373">IF($E297="S",$J297,0)</f>
        <v>0</v>
      </c>
      <c r="Q297" s="28">
        <f t="shared" ref="Q297:Q302" si="374">SUM(M297:P297)</f>
        <v>2534.4</v>
      </c>
      <c r="R297" s="26">
        <v>57</v>
      </c>
      <c r="T297" s="67"/>
      <c r="U297"/>
    </row>
    <row r="298" spans="1:21" ht="15" x14ac:dyDescent="0.25">
      <c r="A298" s="38" t="s">
        <v>418</v>
      </c>
      <c r="B298" s="13">
        <v>2</v>
      </c>
      <c r="C298" s="14" t="s">
        <v>45</v>
      </c>
      <c r="D298" s="13" t="s">
        <v>27</v>
      </c>
      <c r="E298" s="26" t="str">
        <f>VLOOKUP(C298,Resources!B:G,3,FALSE)</f>
        <v>P</v>
      </c>
      <c r="F298" s="15">
        <v>2</v>
      </c>
      <c r="G298" s="15">
        <f>G297</f>
        <v>25</v>
      </c>
      <c r="H298" s="15">
        <f>H297</f>
        <v>384</v>
      </c>
      <c r="I298" s="15">
        <f>VLOOKUP(C298,Resources!B:G,6,FALSE)</f>
        <v>100</v>
      </c>
      <c r="J298" s="27">
        <f t="shared" si="367"/>
        <v>3072</v>
      </c>
      <c r="K298" s="27">
        <f t="shared" si="368"/>
        <v>30.72</v>
      </c>
      <c r="L298" s="157">
        <f t="shared" si="369"/>
        <v>15.36</v>
      </c>
      <c r="M298" s="28">
        <v>0</v>
      </c>
      <c r="N298" s="28">
        <f t="shared" si="371"/>
        <v>0</v>
      </c>
      <c r="O298" s="28">
        <f t="shared" si="372"/>
        <v>3072</v>
      </c>
      <c r="P298" s="28">
        <f t="shared" si="373"/>
        <v>0</v>
      </c>
      <c r="Q298" s="28">
        <f t="shared" si="374"/>
        <v>3072</v>
      </c>
      <c r="R298" s="26">
        <v>57</v>
      </c>
      <c r="T298" s="67"/>
      <c r="U298"/>
    </row>
    <row r="299" spans="1:21" ht="15" x14ac:dyDescent="0.25">
      <c r="A299" s="38" t="s">
        <v>418</v>
      </c>
      <c r="B299" s="13">
        <v>3</v>
      </c>
      <c r="C299" s="14" t="s">
        <v>102</v>
      </c>
      <c r="D299" s="13" t="s">
        <v>54</v>
      </c>
      <c r="E299" s="26" t="str">
        <f>VLOOKUP(C299,Resources!B:G,3,FALSE)</f>
        <v>P</v>
      </c>
      <c r="F299" s="15">
        <v>1</v>
      </c>
      <c r="G299" s="15">
        <f>G297*9</f>
        <v>225</v>
      </c>
      <c r="H299" s="15">
        <f>H297</f>
        <v>384</v>
      </c>
      <c r="I299" s="15">
        <f>VLOOKUP(C299,Resources!B:G,6,FALSE)</f>
        <v>365</v>
      </c>
      <c r="J299" s="27">
        <f t="shared" si="367"/>
        <v>622.93333333333339</v>
      </c>
      <c r="K299" s="27">
        <f t="shared" si="368"/>
        <v>1.7066666666666668</v>
      </c>
      <c r="L299" s="157">
        <f t="shared" si="369"/>
        <v>1.7066666666666668</v>
      </c>
      <c r="M299" s="28">
        <f t="shared" si="370"/>
        <v>0</v>
      </c>
      <c r="N299" s="28">
        <f t="shared" si="371"/>
        <v>0</v>
      </c>
      <c r="O299" s="28">
        <f t="shared" si="372"/>
        <v>622.93333333333339</v>
      </c>
      <c r="P299" s="28">
        <f t="shared" si="373"/>
        <v>0</v>
      </c>
      <c r="Q299" s="28">
        <f t="shared" si="374"/>
        <v>622.93333333333339</v>
      </c>
      <c r="R299" s="26">
        <v>57</v>
      </c>
      <c r="T299" s="67"/>
      <c r="U299"/>
    </row>
    <row r="300" spans="1:21" ht="15" x14ac:dyDescent="0.25">
      <c r="A300" s="38" t="s">
        <v>418</v>
      </c>
      <c r="B300" s="13">
        <v>4</v>
      </c>
      <c r="C300" s="14" t="s">
        <v>75</v>
      </c>
      <c r="D300" s="13" t="s">
        <v>54</v>
      </c>
      <c r="E300" s="26" t="str">
        <f>VLOOKUP(C300,Resources!B:G,3,FALSE)</f>
        <v>P</v>
      </c>
      <c r="F300" s="15">
        <v>1</v>
      </c>
      <c r="G300" s="15">
        <f>G297*9</f>
        <v>225</v>
      </c>
      <c r="H300" s="15">
        <f>H297</f>
        <v>384</v>
      </c>
      <c r="I300" s="15">
        <f>VLOOKUP(C300,Resources!B:G,6,FALSE)</f>
        <v>365</v>
      </c>
      <c r="J300" s="27">
        <f t="shared" si="367"/>
        <v>622.93333333333339</v>
      </c>
      <c r="K300" s="27">
        <f t="shared" si="368"/>
        <v>1.7066666666666668</v>
      </c>
      <c r="L300" s="157">
        <f t="shared" si="369"/>
        <v>1.7066666666666668</v>
      </c>
      <c r="M300" s="28">
        <f t="shared" si="370"/>
        <v>0</v>
      </c>
      <c r="N300" s="28">
        <f t="shared" si="371"/>
        <v>0</v>
      </c>
      <c r="O300" s="28">
        <f t="shared" si="372"/>
        <v>622.93333333333339</v>
      </c>
      <c r="P300" s="28">
        <f t="shared" si="373"/>
        <v>0</v>
      </c>
      <c r="Q300" s="28">
        <f t="shared" si="374"/>
        <v>622.93333333333339</v>
      </c>
      <c r="R300" s="26">
        <v>57</v>
      </c>
      <c r="T300" s="67"/>
      <c r="U300"/>
    </row>
    <row r="301" spans="1:21" ht="15" x14ac:dyDescent="0.25">
      <c r="A301" s="38" t="s">
        <v>418</v>
      </c>
      <c r="B301" s="13">
        <v>5</v>
      </c>
      <c r="C301" s="14" t="s">
        <v>7</v>
      </c>
      <c r="D301" s="13" t="s">
        <v>27</v>
      </c>
      <c r="E301" s="26" t="str">
        <f>VLOOKUP(C301,Resources!B:G,3,FALSE)</f>
        <v>L</v>
      </c>
      <c r="F301" s="15">
        <v>4</v>
      </c>
      <c r="G301" s="15">
        <f>G297</f>
        <v>25</v>
      </c>
      <c r="H301" s="15">
        <f>H297</f>
        <v>384</v>
      </c>
      <c r="I301" s="15">
        <f>VLOOKUP(C301,Resources!B:G,6,FALSE)</f>
        <v>48</v>
      </c>
      <c r="J301" s="27">
        <f t="shared" si="367"/>
        <v>2949.12</v>
      </c>
      <c r="K301" s="27">
        <f t="shared" si="368"/>
        <v>61.44</v>
      </c>
      <c r="L301" s="157">
        <f t="shared" si="369"/>
        <v>15.36</v>
      </c>
      <c r="M301" s="28">
        <f t="shared" si="370"/>
        <v>2949.12</v>
      </c>
      <c r="N301" s="28">
        <f t="shared" si="371"/>
        <v>0</v>
      </c>
      <c r="O301" s="28">
        <f t="shared" si="372"/>
        <v>0</v>
      </c>
      <c r="P301" s="28">
        <f t="shared" si="373"/>
        <v>0</v>
      </c>
      <c r="Q301" s="28">
        <f t="shared" si="374"/>
        <v>2949.12</v>
      </c>
      <c r="R301" s="26">
        <v>57</v>
      </c>
      <c r="T301" s="67"/>
      <c r="U301"/>
    </row>
    <row r="302" spans="1:21" ht="15" x14ac:dyDescent="0.25">
      <c r="A302" s="38" t="s">
        <v>418</v>
      </c>
      <c r="B302" s="13">
        <v>6</v>
      </c>
      <c r="C302" s="14" t="s">
        <v>32</v>
      </c>
      <c r="D302" s="13" t="s">
        <v>27</v>
      </c>
      <c r="E302" s="26" t="str">
        <f>VLOOKUP(C302,Resources!B:G,3,FALSE)</f>
        <v>P</v>
      </c>
      <c r="F302" s="15">
        <v>1</v>
      </c>
      <c r="G302" s="15">
        <f>G297</f>
        <v>25</v>
      </c>
      <c r="H302" s="15">
        <f>H297</f>
        <v>384</v>
      </c>
      <c r="I302" s="15">
        <f>VLOOKUP(C302,Resources!B:G,6,FALSE)</f>
        <v>35</v>
      </c>
      <c r="J302" s="27">
        <f t="shared" si="367"/>
        <v>537.6</v>
      </c>
      <c r="K302" s="27">
        <f t="shared" si="368"/>
        <v>15.36</v>
      </c>
      <c r="L302" s="157">
        <f t="shared" si="369"/>
        <v>15.36</v>
      </c>
      <c r="M302" s="28">
        <f t="shared" si="370"/>
        <v>0</v>
      </c>
      <c r="N302" s="28">
        <f t="shared" si="371"/>
        <v>0</v>
      </c>
      <c r="O302" s="28">
        <f t="shared" si="372"/>
        <v>537.6</v>
      </c>
      <c r="P302" s="28">
        <f t="shared" si="373"/>
        <v>0</v>
      </c>
      <c r="Q302" s="28">
        <f t="shared" si="374"/>
        <v>537.6</v>
      </c>
      <c r="R302" s="26">
        <v>57</v>
      </c>
      <c r="T302" s="67"/>
      <c r="U302"/>
    </row>
    <row r="303" spans="1:21" ht="15" x14ac:dyDescent="0.25">
      <c r="A303" s="38" t="s">
        <v>418</v>
      </c>
      <c r="F303" s="11"/>
      <c r="G303" s="11"/>
      <c r="H303" s="11"/>
      <c r="I303" s="11"/>
      <c r="J303" s="11"/>
      <c r="K303" s="31"/>
      <c r="M303" s="12"/>
      <c r="N303" s="12"/>
      <c r="O303" s="12"/>
      <c r="P303" s="12"/>
      <c r="Q303" s="12"/>
      <c r="T303" s="67"/>
      <c r="U303"/>
    </row>
    <row r="304" spans="1:21" ht="33.75" x14ac:dyDescent="0.25">
      <c r="A304" s="38">
        <v>51</v>
      </c>
      <c r="B304" s="5" t="s">
        <v>103</v>
      </c>
      <c r="C304" s="5" t="s">
        <v>104</v>
      </c>
      <c r="D304" s="6"/>
      <c r="E304" s="25"/>
      <c r="F304" s="7"/>
      <c r="G304" s="7"/>
      <c r="H304" s="7"/>
      <c r="I304" s="7"/>
      <c r="J304" s="7"/>
      <c r="K304" s="29"/>
      <c r="L304" s="156"/>
      <c r="M304" s="8"/>
      <c r="N304" s="8"/>
      <c r="O304" s="8"/>
      <c r="P304" s="8"/>
      <c r="Q304" s="8"/>
      <c r="R304" s="25"/>
      <c r="T304" s="67"/>
      <c r="U304"/>
    </row>
    <row r="305" spans="1:21" ht="33.75" x14ac:dyDescent="0.25">
      <c r="A305" s="38">
        <v>52</v>
      </c>
      <c r="B305" s="5" t="s">
        <v>105</v>
      </c>
      <c r="C305" s="5" t="s">
        <v>106</v>
      </c>
      <c r="D305" s="6" t="s">
        <v>67</v>
      </c>
      <c r="E305" s="25"/>
      <c r="F305" s="7"/>
      <c r="G305" s="7"/>
      <c r="H305" s="36">
        <f>VLOOKUP($A305,'Model Inputs'!$A:$C,3,FALSE)</f>
        <v>52</v>
      </c>
      <c r="I305" s="7"/>
      <c r="J305" s="8">
        <f>SUBTOTAL(9,J308)</f>
        <v>539.13599999999997</v>
      </c>
      <c r="K305" s="29"/>
      <c r="L305" s="156">
        <f>ROUNDUP(MAX(L308)/Work,0)</f>
        <v>14</v>
      </c>
      <c r="M305" s="8">
        <f>SUBTOTAL(9,M308)</f>
        <v>0</v>
      </c>
      <c r="N305" s="8">
        <f t="shared" ref="N305:Q305" si="375">SUBTOTAL(9,N308)</f>
        <v>0</v>
      </c>
      <c r="O305" s="8">
        <f t="shared" si="375"/>
        <v>0</v>
      </c>
      <c r="P305" s="8">
        <f t="shared" si="375"/>
        <v>539.13599999999997</v>
      </c>
      <c r="Q305" s="8">
        <f t="shared" si="375"/>
        <v>539.13599999999997</v>
      </c>
      <c r="R305" s="25"/>
      <c r="T305" s="67"/>
      <c r="U305"/>
    </row>
    <row r="306" spans="1:21" ht="15" x14ac:dyDescent="0.25">
      <c r="A306" s="38" t="s">
        <v>418</v>
      </c>
      <c r="B306" s="13">
        <v>1</v>
      </c>
      <c r="C306" s="14" t="s">
        <v>251</v>
      </c>
      <c r="D306" s="13"/>
      <c r="E306" s="26"/>
      <c r="F306" s="15"/>
      <c r="G306" s="15"/>
      <c r="H306" s="15">
        <f>H305*2.4</f>
        <v>124.8</v>
      </c>
      <c r="I306" s="15"/>
      <c r="J306" s="15"/>
      <c r="K306" s="30"/>
      <c r="L306" s="157"/>
      <c r="M306" s="16"/>
      <c r="N306" s="16"/>
      <c r="O306" s="16"/>
      <c r="P306" s="16"/>
      <c r="Q306" s="16"/>
      <c r="R306" s="26"/>
      <c r="T306" s="67"/>
      <c r="U306"/>
    </row>
    <row r="307" spans="1:21" ht="15" x14ac:dyDescent="0.25">
      <c r="A307" s="38" t="s">
        <v>418</v>
      </c>
      <c r="B307" s="13">
        <v>2</v>
      </c>
      <c r="C307" s="14" t="s">
        <v>252</v>
      </c>
      <c r="D307" s="13"/>
      <c r="E307" s="26"/>
      <c r="F307" s="15">
        <v>18</v>
      </c>
      <c r="G307" s="15"/>
      <c r="H307" s="15"/>
      <c r="I307" s="15"/>
      <c r="J307" s="15"/>
      <c r="K307" s="30"/>
      <c r="L307" s="157"/>
      <c r="M307" s="16"/>
      <c r="N307" s="16"/>
      <c r="O307" s="16"/>
      <c r="P307" s="16"/>
      <c r="Q307" s="16"/>
      <c r="R307" s="26"/>
      <c r="T307" s="67"/>
      <c r="U307"/>
    </row>
    <row r="308" spans="1:21" ht="15" x14ac:dyDescent="0.25">
      <c r="A308" s="38" t="s">
        <v>418</v>
      </c>
      <c r="B308" s="13">
        <v>3</v>
      </c>
      <c r="C308" s="14" t="s">
        <v>128</v>
      </c>
      <c r="D308" s="13" t="s">
        <v>99</v>
      </c>
      <c r="E308" s="26" t="str">
        <f>VLOOKUP(C308,Resources!B:G,3,FALSE)</f>
        <v>S</v>
      </c>
      <c r="F308" s="15">
        <v>18</v>
      </c>
      <c r="G308" s="15">
        <v>1</v>
      </c>
      <c r="H308" s="15">
        <f>H306</f>
        <v>124.8</v>
      </c>
      <c r="I308" s="15">
        <f>VLOOKUP(C308,Resources!B:G,6,FALSE)</f>
        <v>0.24</v>
      </c>
      <c r="J308" s="27">
        <f>(H308/G308)*I308*F308</f>
        <v>539.13599999999997</v>
      </c>
      <c r="K308" s="27">
        <f t="shared" ref="K308" si="376">IF(E308="M"," ",L308*F308)</f>
        <v>2246.4</v>
      </c>
      <c r="L308" s="157">
        <f t="shared" ref="L308" si="377">IF(E308="M"," ",H308/G308)</f>
        <v>124.8</v>
      </c>
      <c r="M308" s="28">
        <f t="shared" ref="M308" si="378">IF($E308="L",$J308,0)</f>
        <v>0</v>
      </c>
      <c r="N308" s="28">
        <f t="shared" ref="N308" si="379">IF($E308="M",$J308,0)</f>
        <v>0</v>
      </c>
      <c r="O308" s="28">
        <f t="shared" ref="O308" si="380">IF($E308="P",$J308,0)</f>
        <v>0</v>
      </c>
      <c r="P308" s="28">
        <f t="shared" ref="P308" si="381">IF($E308="S",$J308,0)</f>
        <v>539.13599999999997</v>
      </c>
      <c r="Q308" s="28">
        <f t="shared" ref="Q308" si="382">SUM(M308:P308)</f>
        <v>539.13599999999997</v>
      </c>
      <c r="R308" s="26">
        <v>613</v>
      </c>
      <c r="T308" s="67"/>
      <c r="U308"/>
    </row>
    <row r="309" spans="1:21" ht="15" x14ac:dyDescent="0.25">
      <c r="A309" s="38" t="s">
        <v>418</v>
      </c>
      <c r="F309" s="11"/>
      <c r="G309" s="11"/>
      <c r="H309" s="11"/>
      <c r="I309" s="11"/>
      <c r="J309" s="11"/>
      <c r="K309" s="31"/>
      <c r="M309" s="12"/>
      <c r="N309" s="12"/>
      <c r="O309" s="12"/>
      <c r="P309" s="12"/>
      <c r="Q309" s="12"/>
      <c r="T309" s="67"/>
      <c r="U309"/>
    </row>
    <row r="310" spans="1:21" ht="45" x14ac:dyDescent="0.25">
      <c r="A310" s="38">
        <v>53</v>
      </c>
      <c r="B310" s="5" t="s">
        <v>107</v>
      </c>
      <c r="C310" s="5" t="s">
        <v>108</v>
      </c>
      <c r="D310" s="6" t="s">
        <v>67</v>
      </c>
      <c r="E310" s="25"/>
      <c r="F310" s="7"/>
      <c r="G310" s="7"/>
      <c r="H310" s="7">
        <v>52</v>
      </c>
      <c r="I310" s="7"/>
      <c r="J310" s="8">
        <f>SUBTOTAL(9,J312:J314)</f>
        <v>6680</v>
      </c>
      <c r="K310" s="29"/>
      <c r="L310" s="156">
        <f>ROUNDUP(MAX(L312:L314)/Work,0)</f>
        <v>3</v>
      </c>
      <c r="M310" s="8">
        <f>SUBTOTAL(9,M312:M314)</f>
        <v>2880</v>
      </c>
      <c r="N310" s="8">
        <f t="shared" ref="N310:Q310" si="383">SUBTOTAL(9,N312:N314)</f>
        <v>0</v>
      </c>
      <c r="O310" s="8">
        <f t="shared" si="383"/>
        <v>3800</v>
      </c>
      <c r="P310" s="8">
        <f t="shared" si="383"/>
        <v>0</v>
      </c>
      <c r="Q310" s="8">
        <f t="shared" si="383"/>
        <v>6680</v>
      </c>
      <c r="R310" s="25"/>
      <c r="T310" s="67"/>
      <c r="U310"/>
    </row>
    <row r="311" spans="1:21" ht="22.5" x14ac:dyDescent="0.25">
      <c r="A311" s="38" t="s">
        <v>418</v>
      </c>
      <c r="B311" s="13">
        <v>1</v>
      </c>
      <c r="C311" s="14" t="s">
        <v>109</v>
      </c>
      <c r="D311" s="13"/>
      <c r="E311" s="26"/>
      <c r="F311" s="15"/>
      <c r="G311" s="15"/>
      <c r="H311" s="15"/>
      <c r="I311" s="15"/>
      <c r="J311" s="15"/>
      <c r="K311" s="30"/>
      <c r="L311" s="157"/>
      <c r="M311" s="16"/>
      <c r="N311" s="16"/>
      <c r="O311" s="16"/>
      <c r="P311" s="16"/>
      <c r="Q311" s="16"/>
      <c r="R311" s="26"/>
      <c r="T311" s="67"/>
      <c r="U311"/>
    </row>
    <row r="312" spans="1:21" ht="15" x14ac:dyDescent="0.25">
      <c r="A312" s="38">
        <v>53.1</v>
      </c>
      <c r="B312" s="13">
        <v>2</v>
      </c>
      <c r="C312" s="14" t="s">
        <v>28</v>
      </c>
      <c r="D312" s="13" t="s">
        <v>27</v>
      </c>
      <c r="E312" s="26" t="str">
        <f>VLOOKUP(C312,Resources!B:G,3,FALSE)</f>
        <v>P</v>
      </c>
      <c r="F312" s="15">
        <v>1</v>
      </c>
      <c r="G312" s="15">
        <v>1</v>
      </c>
      <c r="H312" s="36">
        <f>VLOOKUP($A312,'Model Inputs'!$A:$C,3,FALSE)</f>
        <v>20</v>
      </c>
      <c r="I312" s="15">
        <f>VLOOKUP(C312,Resources!B:G,6,FALSE)</f>
        <v>100</v>
      </c>
      <c r="J312" s="27">
        <f>(H312/G312)*I312*F312</f>
        <v>2000</v>
      </c>
      <c r="K312" s="27">
        <f t="shared" ref="K312:K314" si="384">IF(E312="M"," ",L312*F312)</f>
        <v>20</v>
      </c>
      <c r="L312" s="157">
        <f t="shared" ref="L312:L314" si="385">IF(E312="M"," ",H312/G312)</f>
        <v>20</v>
      </c>
      <c r="M312" s="28">
        <f t="shared" ref="M312:M314" si="386">IF($E312="L",$J312,0)</f>
        <v>0</v>
      </c>
      <c r="N312" s="28">
        <f t="shared" ref="N312:N314" si="387">IF($E312="M",$J312,0)</f>
        <v>0</v>
      </c>
      <c r="O312" s="28">
        <f t="shared" ref="O312:O314" si="388">IF($E312="P",$J312,0)</f>
        <v>2000</v>
      </c>
      <c r="P312" s="28">
        <f t="shared" ref="P312:P314" si="389">IF($E312="S",$J312,0)</f>
        <v>0</v>
      </c>
      <c r="Q312" s="28">
        <f t="shared" ref="Q312:Q314" si="390">SUM(M312:P312)</f>
        <v>2000</v>
      </c>
      <c r="R312" s="26">
        <v>88</v>
      </c>
      <c r="T312" s="67"/>
      <c r="U312"/>
    </row>
    <row r="313" spans="1:21" ht="15" x14ac:dyDescent="0.25">
      <c r="A313" s="38" t="s">
        <v>418</v>
      </c>
      <c r="B313" s="13">
        <v>3</v>
      </c>
      <c r="C313" s="14" t="s">
        <v>74</v>
      </c>
      <c r="D313" s="13" t="s">
        <v>27</v>
      </c>
      <c r="E313" s="26" t="str">
        <f>VLOOKUP(C313,Resources!B:G,3,FALSE)</f>
        <v>P</v>
      </c>
      <c r="F313" s="15">
        <v>1</v>
      </c>
      <c r="G313" s="15">
        <v>1</v>
      </c>
      <c r="H313" s="15">
        <f>H312</f>
        <v>20</v>
      </c>
      <c r="I313" s="15">
        <f>VLOOKUP(C313,Resources!B:G,6,FALSE)</f>
        <v>90</v>
      </c>
      <c r="J313" s="27">
        <f>(H313/G313)*I313*F313</f>
        <v>1800</v>
      </c>
      <c r="K313" s="27">
        <f t="shared" si="384"/>
        <v>20</v>
      </c>
      <c r="L313" s="157">
        <f t="shared" si="385"/>
        <v>20</v>
      </c>
      <c r="M313" s="28">
        <f t="shared" si="386"/>
        <v>0</v>
      </c>
      <c r="N313" s="28">
        <f t="shared" si="387"/>
        <v>0</v>
      </c>
      <c r="O313" s="28">
        <f t="shared" si="388"/>
        <v>1800</v>
      </c>
      <c r="P313" s="28">
        <f t="shared" si="389"/>
        <v>0</v>
      </c>
      <c r="Q313" s="28">
        <f t="shared" si="390"/>
        <v>1800</v>
      </c>
      <c r="R313" s="26">
        <v>88</v>
      </c>
      <c r="T313" s="67"/>
      <c r="U313"/>
    </row>
    <row r="314" spans="1:21" ht="15" x14ac:dyDescent="0.25">
      <c r="A314" s="38" t="s">
        <v>418</v>
      </c>
      <c r="B314" s="13">
        <v>4</v>
      </c>
      <c r="C314" s="14" t="s">
        <v>7</v>
      </c>
      <c r="D314" s="13" t="s">
        <v>27</v>
      </c>
      <c r="E314" s="26" t="str">
        <f>VLOOKUP(C314,Resources!B:G,3,FALSE)</f>
        <v>L</v>
      </c>
      <c r="F314" s="15">
        <v>3</v>
      </c>
      <c r="G314" s="15">
        <v>1</v>
      </c>
      <c r="H314" s="15">
        <f>H312</f>
        <v>20</v>
      </c>
      <c r="I314" s="15">
        <f>VLOOKUP(C314,Resources!B:G,6,FALSE)</f>
        <v>48</v>
      </c>
      <c r="J314" s="27">
        <f>(H314/G314)*I314*F314</f>
        <v>2880</v>
      </c>
      <c r="K314" s="27">
        <f t="shared" si="384"/>
        <v>60</v>
      </c>
      <c r="L314" s="157">
        <f t="shared" si="385"/>
        <v>20</v>
      </c>
      <c r="M314" s="28">
        <f t="shared" si="386"/>
        <v>2880</v>
      </c>
      <c r="N314" s="28">
        <f t="shared" si="387"/>
        <v>0</v>
      </c>
      <c r="O314" s="28">
        <f t="shared" si="388"/>
        <v>0</v>
      </c>
      <c r="P314" s="28">
        <f t="shared" si="389"/>
        <v>0</v>
      </c>
      <c r="Q314" s="28">
        <f t="shared" si="390"/>
        <v>2880</v>
      </c>
      <c r="R314" s="26">
        <v>88</v>
      </c>
      <c r="T314" s="67"/>
      <c r="U314"/>
    </row>
    <row r="315" spans="1:21" ht="15" x14ac:dyDescent="0.25">
      <c r="A315" s="38" t="s">
        <v>418</v>
      </c>
      <c r="F315" s="11"/>
      <c r="G315" s="11"/>
      <c r="H315" s="11"/>
      <c r="I315" s="11"/>
      <c r="J315" s="11"/>
      <c r="K315" s="31"/>
      <c r="M315" s="12"/>
      <c r="N315" s="12"/>
      <c r="O315" s="12"/>
      <c r="P315" s="12"/>
      <c r="Q315" s="12"/>
      <c r="T315" s="67"/>
      <c r="U315"/>
    </row>
    <row r="316" spans="1:21" ht="33.75" x14ac:dyDescent="0.25">
      <c r="A316" s="38">
        <v>54</v>
      </c>
      <c r="B316" s="5" t="s">
        <v>110</v>
      </c>
      <c r="C316" s="5" t="s">
        <v>111</v>
      </c>
      <c r="D316" s="6" t="s">
        <v>112</v>
      </c>
      <c r="E316" s="25"/>
      <c r="F316" s="7"/>
      <c r="G316" s="7"/>
      <c r="H316" s="36">
        <f>VLOOKUP($A316,'Model Inputs'!$A:$C,3,FALSE)</f>
        <v>15971</v>
      </c>
      <c r="I316" s="7"/>
      <c r="J316" s="8">
        <f>SUBTOTAL(9,J317:J320)</f>
        <v>28719.407111111108</v>
      </c>
      <c r="K316" s="29"/>
      <c r="L316" s="156">
        <f>ROUNDUP(MAX(L317:L320)/Work,0)</f>
        <v>8</v>
      </c>
      <c r="M316" s="8">
        <f>SUBTOTAL(9,M317:M320)</f>
        <v>9199.2959999999985</v>
      </c>
      <c r="N316" s="8">
        <f t="shared" ref="N316:Q316" si="391">SUBTOTAL(9,N317:N320)</f>
        <v>0</v>
      </c>
      <c r="O316" s="8">
        <f t="shared" si="391"/>
        <v>19520.111111111109</v>
      </c>
      <c r="P316" s="8">
        <f t="shared" si="391"/>
        <v>0</v>
      </c>
      <c r="Q316" s="8">
        <f t="shared" si="391"/>
        <v>28719.407111111108</v>
      </c>
      <c r="R316" s="25"/>
      <c r="T316" s="67"/>
      <c r="U316"/>
    </row>
    <row r="317" spans="1:21" ht="15" x14ac:dyDescent="0.25">
      <c r="A317" s="38">
        <v>54.1</v>
      </c>
      <c r="B317" s="13">
        <v>1</v>
      </c>
      <c r="C317" s="14" t="s">
        <v>31</v>
      </c>
      <c r="D317" s="13" t="s">
        <v>27</v>
      </c>
      <c r="E317" s="26" t="str">
        <f>VLOOKUP(C317,Resources!B:G,3,FALSE)</f>
        <v>P</v>
      </c>
      <c r="F317" s="15">
        <v>1</v>
      </c>
      <c r="G317" s="36">
        <f>VLOOKUP($A317,'Model Inputs'!$A:$C,3,FALSE)</f>
        <v>250</v>
      </c>
      <c r="H317" s="15">
        <f>H316</f>
        <v>15971</v>
      </c>
      <c r="I317" s="15">
        <f>VLOOKUP(C317,Resources!B:G,6,FALSE)</f>
        <v>165</v>
      </c>
      <c r="J317" s="27">
        <f>(H317/G317)*I317*F317</f>
        <v>10540.86</v>
      </c>
      <c r="K317" s="27">
        <f t="shared" ref="K317:K320" si="392">IF(E317="M"," ",L317*F317)</f>
        <v>63.884</v>
      </c>
      <c r="L317" s="157">
        <f t="shared" ref="L317:L320" si="393">IF(E317="M"," ",H317/G317)</f>
        <v>63.884</v>
      </c>
      <c r="M317" s="28">
        <f t="shared" ref="M317:M320" si="394">IF($E317="L",$J317,0)</f>
        <v>0</v>
      </c>
      <c r="N317" s="28">
        <f t="shared" ref="N317:N320" si="395">IF($E317="M",$J317,0)</f>
        <v>0</v>
      </c>
      <c r="O317" s="28">
        <f t="shared" ref="O317:O320" si="396">IF($E317="P",$J317,0)</f>
        <v>10540.86</v>
      </c>
      <c r="P317" s="28">
        <f t="shared" ref="P317:P320" si="397">IF($E317="S",$J317,0)</f>
        <v>0</v>
      </c>
      <c r="Q317" s="28">
        <f t="shared" ref="Q317:Q320" si="398">SUM(M317:P317)</f>
        <v>10540.86</v>
      </c>
      <c r="R317" s="26">
        <v>61</v>
      </c>
      <c r="T317" s="67"/>
      <c r="U317"/>
    </row>
    <row r="318" spans="1:21" ht="15" x14ac:dyDescent="0.25">
      <c r="A318" s="38" t="s">
        <v>418</v>
      </c>
      <c r="B318" s="13">
        <v>2</v>
      </c>
      <c r="C318" s="14" t="s">
        <v>75</v>
      </c>
      <c r="D318" s="13" t="s">
        <v>54</v>
      </c>
      <c r="E318" s="26" t="str">
        <f>VLOOKUP(C318,Resources!B:G,3,FALSE)</f>
        <v>P</v>
      </c>
      <c r="F318" s="15">
        <v>1</v>
      </c>
      <c r="G318" s="15">
        <f>G317*9</f>
        <v>2250</v>
      </c>
      <c r="H318" s="15">
        <f>H316</f>
        <v>15971</v>
      </c>
      <c r="I318" s="15">
        <f>VLOOKUP(C318,Resources!B:G,6,FALSE)</f>
        <v>365</v>
      </c>
      <c r="J318" s="27">
        <f>(H318/G318)*I318*F318</f>
        <v>2590.8511111111111</v>
      </c>
      <c r="K318" s="27">
        <f t="shared" si="392"/>
        <v>7.0982222222222227</v>
      </c>
      <c r="L318" s="157">
        <f t="shared" si="393"/>
        <v>7.0982222222222227</v>
      </c>
      <c r="M318" s="28">
        <f t="shared" si="394"/>
        <v>0</v>
      </c>
      <c r="N318" s="28">
        <f t="shared" si="395"/>
        <v>0</v>
      </c>
      <c r="O318" s="28">
        <f t="shared" si="396"/>
        <v>2590.8511111111111</v>
      </c>
      <c r="P318" s="28">
        <f t="shared" si="397"/>
        <v>0</v>
      </c>
      <c r="Q318" s="28">
        <f t="shared" si="398"/>
        <v>2590.8511111111111</v>
      </c>
      <c r="R318" s="26">
        <v>61</v>
      </c>
      <c r="T318" s="67"/>
      <c r="U318"/>
    </row>
    <row r="319" spans="1:21" ht="15" x14ac:dyDescent="0.25">
      <c r="A319" s="38" t="s">
        <v>418</v>
      </c>
      <c r="B319" s="13">
        <v>3</v>
      </c>
      <c r="C319" s="14" t="s">
        <v>45</v>
      </c>
      <c r="D319" s="13" t="s">
        <v>27</v>
      </c>
      <c r="E319" s="26" t="str">
        <f>VLOOKUP(C319,Resources!B:G,3,FALSE)</f>
        <v>P</v>
      </c>
      <c r="F319" s="15">
        <v>1</v>
      </c>
      <c r="G319" s="15">
        <f>G317</f>
        <v>250</v>
      </c>
      <c r="H319" s="15">
        <f>H316</f>
        <v>15971</v>
      </c>
      <c r="I319" s="15">
        <f>VLOOKUP(C319,Resources!B:G,6,FALSE)</f>
        <v>100</v>
      </c>
      <c r="J319" s="27">
        <f>(H319/G319)*I319*F319</f>
        <v>6388.4</v>
      </c>
      <c r="K319" s="27">
        <f t="shared" si="392"/>
        <v>63.884</v>
      </c>
      <c r="L319" s="157">
        <f t="shared" si="393"/>
        <v>63.884</v>
      </c>
      <c r="M319" s="28">
        <f t="shared" si="394"/>
        <v>0</v>
      </c>
      <c r="N319" s="28">
        <f t="shared" si="395"/>
        <v>0</v>
      </c>
      <c r="O319" s="28">
        <f t="shared" si="396"/>
        <v>6388.4</v>
      </c>
      <c r="P319" s="28">
        <f t="shared" si="397"/>
        <v>0</v>
      </c>
      <c r="Q319" s="28">
        <f t="shared" si="398"/>
        <v>6388.4</v>
      </c>
      <c r="R319" s="26">
        <v>61</v>
      </c>
      <c r="T319" s="67"/>
      <c r="U319"/>
    </row>
    <row r="320" spans="1:21" ht="15" x14ac:dyDescent="0.25">
      <c r="A320" s="38" t="s">
        <v>418</v>
      </c>
      <c r="B320" s="13">
        <v>4</v>
      </c>
      <c r="C320" s="14" t="s">
        <v>7</v>
      </c>
      <c r="D320" s="13" t="s">
        <v>27</v>
      </c>
      <c r="E320" s="26" t="str">
        <f>VLOOKUP(C320,Resources!B:G,3,FALSE)</f>
        <v>L</v>
      </c>
      <c r="F320" s="15">
        <v>3</v>
      </c>
      <c r="G320" s="15">
        <f>G317</f>
        <v>250</v>
      </c>
      <c r="H320" s="15">
        <f>H316</f>
        <v>15971</v>
      </c>
      <c r="I320" s="15">
        <f>VLOOKUP(C320,Resources!B:G,6,FALSE)</f>
        <v>48</v>
      </c>
      <c r="J320" s="27">
        <f>(H320/G320)*I320*F320</f>
        <v>9199.2959999999985</v>
      </c>
      <c r="K320" s="27">
        <f t="shared" si="392"/>
        <v>191.65199999999999</v>
      </c>
      <c r="L320" s="157">
        <f t="shared" si="393"/>
        <v>63.884</v>
      </c>
      <c r="M320" s="28">
        <f t="shared" si="394"/>
        <v>9199.2959999999985</v>
      </c>
      <c r="N320" s="28">
        <f t="shared" si="395"/>
        <v>0</v>
      </c>
      <c r="O320" s="28">
        <f t="shared" si="396"/>
        <v>0</v>
      </c>
      <c r="P320" s="28">
        <f t="shared" si="397"/>
        <v>0</v>
      </c>
      <c r="Q320" s="28">
        <f t="shared" si="398"/>
        <v>9199.2959999999985</v>
      </c>
      <c r="R320" s="26">
        <v>61</v>
      </c>
      <c r="T320" s="67"/>
      <c r="U320"/>
    </row>
    <row r="321" spans="1:21" ht="15" x14ac:dyDescent="0.25">
      <c r="A321" s="38" t="s">
        <v>418</v>
      </c>
      <c r="F321" s="11"/>
      <c r="G321" s="11"/>
      <c r="H321" s="11"/>
      <c r="I321" s="11"/>
      <c r="J321" s="11"/>
      <c r="K321" s="31"/>
      <c r="M321" s="12"/>
      <c r="N321" s="12"/>
      <c r="O321" s="12"/>
      <c r="P321" s="12"/>
      <c r="Q321" s="12"/>
      <c r="T321" s="67"/>
      <c r="U321"/>
    </row>
    <row r="322" spans="1:21" ht="33.75" x14ac:dyDescent="0.25">
      <c r="A322" s="38">
        <v>55</v>
      </c>
      <c r="B322" s="5" t="s">
        <v>113</v>
      </c>
      <c r="C322" s="5" t="s">
        <v>114</v>
      </c>
      <c r="D322" s="6"/>
      <c r="E322" s="25"/>
      <c r="F322" s="7"/>
      <c r="G322" s="7"/>
      <c r="H322" s="7"/>
      <c r="I322" s="7"/>
      <c r="J322" s="7"/>
      <c r="K322" s="29"/>
      <c r="L322" s="156"/>
      <c r="M322" s="8"/>
      <c r="N322" s="8"/>
      <c r="O322" s="8"/>
      <c r="P322" s="8"/>
      <c r="Q322" s="8"/>
      <c r="R322" s="25"/>
      <c r="T322" s="67"/>
      <c r="U322"/>
    </row>
    <row r="323" spans="1:21" ht="45" x14ac:dyDescent="0.25">
      <c r="A323" s="38">
        <v>56</v>
      </c>
      <c r="B323" s="5" t="s">
        <v>115</v>
      </c>
      <c r="C323" s="5" t="s">
        <v>116</v>
      </c>
      <c r="D323" s="6" t="s">
        <v>67</v>
      </c>
      <c r="E323" s="25"/>
      <c r="F323" s="7"/>
      <c r="G323" s="7"/>
      <c r="H323" s="36">
        <f>VLOOKUP($A323,'Model Inputs'!$A:$C,3,FALSE)</f>
        <v>4259</v>
      </c>
      <c r="I323" s="7"/>
      <c r="J323" s="8">
        <f>SUBTOTAL(9,J326)</f>
        <v>44157.312000000005</v>
      </c>
      <c r="K323" s="29"/>
      <c r="L323" s="156">
        <f>MAX(L326)</f>
        <v>0</v>
      </c>
      <c r="M323" s="8">
        <f>SUBTOTAL(9,M326)</f>
        <v>0</v>
      </c>
      <c r="N323" s="8">
        <f t="shared" ref="N323:Q323" si="399">SUBTOTAL(9,N326)</f>
        <v>0</v>
      </c>
      <c r="O323" s="8">
        <f t="shared" si="399"/>
        <v>0</v>
      </c>
      <c r="P323" s="8">
        <f t="shared" si="399"/>
        <v>44157.312000000005</v>
      </c>
      <c r="Q323" s="8">
        <f t="shared" si="399"/>
        <v>44157.312000000005</v>
      </c>
      <c r="R323" s="25"/>
      <c r="T323" s="67"/>
      <c r="U323"/>
    </row>
    <row r="324" spans="1:21" ht="15" x14ac:dyDescent="0.25">
      <c r="A324" s="38" t="s">
        <v>418</v>
      </c>
      <c r="B324" s="13">
        <v>1</v>
      </c>
      <c r="C324" s="14" t="s">
        <v>251</v>
      </c>
      <c r="D324" s="13"/>
      <c r="E324" s="26"/>
      <c r="F324" s="15"/>
      <c r="G324" s="15"/>
      <c r="H324" s="15">
        <f>H323*2.4</f>
        <v>10221.6</v>
      </c>
      <c r="I324" s="15"/>
      <c r="J324" s="15"/>
      <c r="K324" s="30"/>
      <c r="L324" s="157"/>
      <c r="M324" s="16"/>
      <c r="N324" s="16"/>
      <c r="O324" s="16"/>
      <c r="P324" s="16"/>
      <c r="Q324" s="16"/>
      <c r="R324" s="26"/>
      <c r="T324" s="67"/>
      <c r="U324"/>
    </row>
    <row r="325" spans="1:21" ht="15" x14ac:dyDescent="0.25">
      <c r="A325" s="38" t="s">
        <v>418</v>
      </c>
      <c r="B325" s="13">
        <v>2</v>
      </c>
      <c r="C325" s="14" t="s">
        <v>252</v>
      </c>
      <c r="D325" s="13"/>
      <c r="E325" s="26"/>
      <c r="F325" s="15">
        <v>18</v>
      </c>
      <c r="G325" s="15"/>
      <c r="H325" s="15"/>
      <c r="I325" s="15"/>
      <c r="J325" s="15"/>
      <c r="K325" s="30"/>
      <c r="L325" s="157"/>
      <c r="M325" s="16"/>
      <c r="N325" s="16"/>
      <c r="O325" s="16"/>
      <c r="P325" s="16"/>
      <c r="Q325" s="16"/>
      <c r="R325" s="26"/>
      <c r="T325" s="67"/>
      <c r="U325"/>
    </row>
    <row r="326" spans="1:21" ht="15" x14ac:dyDescent="0.25">
      <c r="A326" s="38" t="s">
        <v>418</v>
      </c>
      <c r="B326" s="13">
        <v>3</v>
      </c>
      <c r="C326" s="14" t="s">
        <v>128</v>
      </c>
      <c r="D326" s="13" t="s">
        <v>99</v>
      </c>
      <c r="E326" s="26" t="str">
        <f>VLOOKUP(C326,Resources!B:G,3,FALSE)</f>
        <v>S</v>
      </c>
      <c r="F326" s="15">
        <v>18</v>
      </c>
      <c r="G326" s="15">
        <v>1</v>
      </c>
      <c r="H326" s="15">
        <f>H324</f>
        <v>10221.6</v>
      </c>
      <c r="I326" s="15">
        <f>VLOOKUP(C326,Resources!B:G,6,FALSE)</f>
        <v>0.24</v>
      </c>
      <c r="J326" s="27">
        <f>(H326/G326)*I326*F326</f>
        <v>44157.312000000005</v>
      </c>
      <c r="K326" s="27">
        <f t="shared" ref="K326" si="400">IF(E326="M"," ",L326*F326)</f>
        <v>0</v>
      </c>
      <c r="L326" s="157">
        <f>L328</f>
        <v>0</v>
      </c>
      <c r="M326" s="28">
        <f t="shared" ref="M326" si="401">IF($E326="L",$J326,0)</f>
        <v>0</v>
      </c>
      <c r="N326" s="28">
        <f t="shared" ref="N326" si="402">IF($E326="M",$J326,0)</f>
        <v>0</v>
      </c>
      <c r="O326" s="28">
        <f t="shared" ref="O326" si="403">IF($E326="P",$J326,0)</f>
        <v>0</v>
      </c>
      <c r="P326" s="28">
        <f t="shared" ref="P326" si="404">IF($E326="S",$J326,0)</f>
        <v>44157.312000000005</v>
      </c>
      <c r="Q326" s="28">
        <f t="shared" ref="Q326" si="405">SUM(M326:P326)</f>
        <v>44157.312000000005</v>
      </c>
      <c r="R326" s="26">
        <v>613</v>
      </c>
      <c r="T326" s="67"/>
      <c r="U326"/>
    </row>
    <row r="327" spans="1:21" ht="15" x14ac:dyDescent="0.25">
      <c r="A327" s="38" t="s">
        <v>418</v>
      </c>
      <c r="F327" s="11"/>
      <c r="G327" s="11"/>
      <c r="H327" s="11"/>
      <c r="I327" s="11"/>
      <c r="J327" s="11"/>
      <c r="K327" s="31"/>
      <c r="M327" s="12"/>
      <c r="N327" s="12"/>
      <c r="O327" s="12"/>
      <c r="P327" s="12"/>
      <c r="Q327" s="12"/>
      <c r="T327" s="67"/>
      <c r="U327"/>
    </row>
    <row r="328" spans="1:21" ht="33.75" x14ac:dyDescent="0.25">
      <c r="A328" s="38">
        <v>57</v>
      </c>
      <c r="B328" s="5" t="s">
        <v>117</v>
      </c>
      <c r="C328" s="5" t="s">
        <v>118</v>
      </c>
      <c r="D328" s="6" t="s">
        <v>67</v>
      </c>
      <c r="E328" s="25"/>
      <c r="F328" s="7"/>
      <c r="G328" s="7"/>
      <c r="H328" s="36">
        <f>VLOOKUP($A328,'Model Inputs'!$A:$C,3,FALSE)</f>
        <v>4259</v>
      </c>
      <c r="I328" s="7"/>
      <c r="J328" s="8">
        <f>SUBTOTAL(9,J342:J347)</f>
        <v>103203.57198214009</v>
      </c>
      <c r="K328" s="29"/>
      <c r="L328" s="156"/>
      <c r="M328" s="8">
        <f>SUBTOTAL(9,M342:M347)</f>
        <v>29438.060809695948</v>
      </c>
      <c r="N328" s="8">
        <f t="shared" ref="N328:Q328" si="406">SUBTOTAL(9,N342:N347)</f>
        <v>0</v>
      </c>
      <c r="O328" s="8">
        <f t="shared" si="406"/>
        <v>73765.511172444138</v>
      </c>
      <c r="P328" s="8">
        <f t="shared" si="406"/>
        <v>0</v>
      </c>
      <c r="Q328" s="8">
        <f t="shared" si="406"/>
        <v>103203.57198214009</v>
      </c>
      <c r="R328" s="25"/>
      <c r="T328" s="67"/>
      <c r="U328"/>
    </row>
    <row r="329" spans="1:21" ht="15" x14ac:dyDescent="0.25">
      <c r="A329" s="38">
        <v>57.01</v>
      </c>
      <c r="B329" s="5">
        <v>4</v>
      </c>
      <c r="C329" s="5" t="s">
        <v>237</v>
      </c>
      <c r="D329" s="6" t="s">
        <v>299</v>
      </c>
      <c r="E329" s="25"/>
      <c r="F329" s="7"/>
      <c r="G329" s="39">
        <v>3.7360335195530725E-2</v>
      </c>
      <c r="H329" s="7">
        <f>H$328*G329</f>
        <v>159.11766759776535</v>
      </c>
      <c r="I329" s="7"/>
      <c r="J329" s="7"/>
      <c r="K329" s="29"/>
      <c r="L329" s="156">
        <f t="shared" ref="L329:L341" si="407">ROUNDUP(MAX(L$342:L$347)*G329/Work,0)</f>
        <v>1</v>
      </c>
      <c r="M329" s="8">
        <f>SUBTOTAL(9,M$342:M$347)*$G329</f>
        <v>1099.8158193566571</v>
      </c>
      <c r="N329" s="8">
        <f t="shared" ref="N329:Q329" si="408">SUBTOTAL(9,N$342:N$347)*$G329</f>
        <v>0</v>
      </c>
      <c r="O329" s="8">
        <f t="shared" si="408"/>
        <v>2755.9042232721795</v>
      </c>
      <c r="P329" s="8">
        <f t="shared" si="408"/>
        <v>0</v>
      </c>
      <c r="Q329" s="8">
        <f t="shared" si="408"/>
        <v>3855.7200426288368</v>
      </c>
      <c r="R329" s="25"/>
      <c r="T329" s="67"/>
      <c r="U329"/>
    </row>
    <row r="330" spans="1:21" ht="15" x14ac:dyDescent="0.25">
      <c r="A330" s="38">
        <v>57.02</v>
      </c>
      <c r="B330" s="5">
        <v>11</v>
      </c>
      <c r="C330" s="5" t="s">
        <v>236</v>
      </c>
      <c r="D330" s="6" t="s">
        <v>299</v>
      </c>
      <c r="E330" s="25"/>
      <c r="F330" s="7"/>
      <c r="G330" s="39">
        <v>3.4043296089385472E-2</v>
      </c>
      <c r="H330" s="7">
        <f t="shared" ref="H330:H341" si="409">H$328*G330</f>
        <v>144.99039804469271</v>
      </c>
      <c r="I330" s="7"/>
      <c r="J330" s="7"/>
      <c r="K330" s="29"/>
      <c r="L330" s="156">
        <f t="shared" si="407"/>
        <v>1</v>
      </c>
      <c r="M330" s="8">
        <f t="shared" ref="M330:Q341" si="410">SUBTOTAL(9,M$342:M$347)*$G330</f>
        <v>1002.1686204418138</v>
      </c>
      <c r="N330" s="8">
        <f t="shared" si="410"/>
        <v>0</v>
      </c>
      <c r="O330" s="8">
        <f t="shared" si="410"/>
        <v>2511.2211380283879</v>
      </c>
      <c r="P330" s="8">
        <f t="shared" si="410"/>
        <v>0</v>
      </c>
      <c r="Q330" s="8">
        <f t="shared" si="410"/>
        <v>3513.3897584702017</v>
      </c>
      <c r="R330" s="25"/>
      <c r="T330" s="67"/>
      <c r="U330"/>
    </row>
    <row r="331" spans="1:21" ht="15" x14ac:dyDescent="0.25">
      <c r="A331" s="38">
        <v>57.03</v>
      </c>
      <c r="B331" s="5">
        <v>18</v>
      </c>
      <c r="C331" s="5" t="s">
        <v>239</v>
      </c>
      <c r="D331" s="6" t="s">
        <v>299</v>
      </c>
      <c r="E331" s="25"/>
      <c r="F331" s="7"/>
      <c r="G331" s="39">
        <v>4.5565642458100561E-2</v>
      </c>
      <c r="H331" s="7">
        <f t="shared" si="409"/>
        <v>194.06407122905028</v>
      </c>
      <c r="I331" s="7"/>
      <c r="J331" s="7"/>
      <c r="K331" s="29"/>
      <c r="L331" s="156">
        <f t="shared" si="407"/>
        <v>1</v>
      </c>
      <c r="M331" s="8">
        <f t="shared" si="410"/>
        <v>1341.3641535144279</v>
      </c>
      <c r="N331" s="8">
        <f t="shared" si="410"/>
        <v>0</v>
      </c>
      <c r="O331" s="8">
        <f t="shared" si="410"/>
        <v>3361.1729078226117</v>
      </c>
      <c r="P331" s="8">
        <f t="shared" si="410"/>
        <v>0</v>
      </c>
      <c r="Q331" s="8">
        <f t="shared" si="410"/>
        <v>4702.5370613370396</v>
      </c>
      <c r="R331" s="25"/>
      <c r="T331" s="67"/>
      <c r="U331"/>
    </row>
    <row r="332" spans="1:21" ht="15" x14ac:dyDescent="0.25">
      <c r="A332" s="38">
        <v>57.04</v>
      </c>
      <c r="B332" s="5">
        <v>25</v>
      </c>
      <c r="C332" s="5" t="s">
        <v>238</v>
      </c>
      <c r="D332" s="6" t="s">
        <v>299</v>
      </c>
      <c r="E332" s="25"/>
      <c r="F332" s="7"/>
      <c r="G332" s="39">
        <v>7.3324022346368714E-2</v>
      </c>
      <c r="H332" s="7">
        <f t="shared" si="409"/>
        <v>312.28701117318434</v>
      </c>
      <c r="I332" s="7"/>
      <c r="J332" s="7"/>
      <c r="K332" s="29"/>
      <c r="L332" s="156">
        <f t="shared" si="407"/>
        <v>2</v>
      </c>
      <c r="M332" s="8">
        <f t="shared" si="410"/>
        <v>2158.5170286439065</v>
      </c>
      <c r="N332" s="8">
        <f t="shared" si="410"/>
        <v>0</v>
      </c>
      <c r="O332" s="8">
        <f t="shared" si="410"/>
        <v>5408.7839895996049</v>
      </c>
      <c r="P332" s="8">
        <f t="shared" si="410"/>
        <v>0</v>
      </c>
      <c r="Q332" s="8">
        <f t="shared" si="410"/>
        <v>7567.3010182435119</v>
      </c>
      <c r="R332" s="25"/>
      <c r="T332" s="67"/>
      <c r="U332"/>
    </row>
    <row r="333" spans="1:21" ht="15" x14ac:dyDescent="0.25">
      <c r="A333" s="38">
        <v>57.05</v>
      </c>
      <c r="B333" s="5">
        <v>32</v>
      </c>
      <c r="C333" s="5" t="s">
        <v>240</v>
      </c>
      <c r="D333" s="6" t="s">
        <v>67</v>
      </c>
      <c r="E333" s="25"/>
      <c r="F333" s="7"/>
      <c r="G333" s="39">
        <v>6.9832402234636867E-3</v>
      </c>
      <c r="H333" s="7">
        <f t="shared" si="409"/>
        <v>29.741620111731841</v>
      </c>
      <c r="I333" s="7"/>
      <c r="J333" s="7"/>
      <c r="K333" s="29"/>
      <c r="L333" s="156">
        <f t="shared" si="407"/>
        <v>1</v>
      </c>
      <c r="M333" s="8">
        <f t="shared" si="410"/>
        <v>205.57305034703873</v>
      </c>
      <c r="N333" s="8">
        <f t="shared" si="410"/>
        <v>0</v>
      </c>
      <c r="O333" s="8">
        <f t="shared" si="410"/>
        <v>515.12228472377183</v>
      </c>
      <c r="P333" s="8">
        <f t="shared" si="410"/>
        <v>0</v>
      </c>
      <c r="Q333" s="8">
        <f t="shared" si="410"/>
        <v>720.69533507081064</v>
      </c>
      <c r="R333" s="25"/>
      <c r="T333" s="67"/>
      <c r="U333"/>
    </row>
    <row r="334" spans="1:21" ht="15" x14ac:dyDescent="0.25">
      <c r="A334" s="38">
        <v>57.06</v>
      </c>
      <c r="B334" s="5">
        <v>39</v>
      </c>
      <c r="C334" s="5" t="s">
        <v>241</v>
      </c>
      <c r="D334" s="6" t="s">
        <v>67</v>
      </c>
      <c r="E334" s="25"/>
      <c r="F334" s="7"/>
      <c r="G334" s="39">
        <v>2.7932960893854747E-2</v>
      </c>
      <c r="H334" s="7">
        <f t="shared" si="409"/>
        <v>118.96648044692736</v>
      </c>
      <c r="I334" s="7"/>
      <c r="J334" s="7"/>
      <c r="K334" s="29"/>
      <c r="L334" s="156">
        <f t="shared" si="407"/>
        <v>1</v>
      </c>
      <c r="M334" s="8">
        <f t="shared" si="410"/>
        <v>822.29220138815492</v>
      </c>
      <c r="N334" s="8">
        <f t="shared" si="410"/>
        <v>0</v>
      </c>
      <c r="O334" s="8">
        <f t="shared" si="410"/>
        <v>2060.4891388950873</v>
      </c>
      <c r="P334" s="8">
        <f t="shared" si="410"/>
        <v>0</v>
      </c>
      <c r="Q334" s="8">
        <f t="shared" si="410"/>
        <v>2882.7813402832426</v>
      </c>
      <c r="R334" s="25"/>
      <c r="T334" s="67"/>
      <c r="U334"/>
    </row>
    <row r="335" spans="1:21" ht="15" x14ac:dyDescent="0.25">
      <c r="A335" s="38">
        <v>57.07</v>
      </c>
      <c r="B335" s="5">
        <v>46</v>
      </c>
      <c r="C335" s="5" t="s">
        <v>242</v>
      </c>
      <c r="D335" s="6" t="s">
        <v>67</v>
      </c>
      <c r="E335" s="25"/>
      <c r="F335" s="7"/>
      <c r="G335" s="39">
        <v>1.0474860335195531E-3</v>
      </c>
      <c r="H335" s="7">
        <f t="shared" si="409"/>
        <v>4.4612430167597763</v>
      </c>
      <c r="I335" s="7"/>
      <c r="J335" s="7"/>
      <c r="K335" s="29"/>
      <c r="L335" s="156">
        <f t="shared" si="407"/>
        <v>1</v>
      </c>
      <c r="M335" s="8">
        <f t="shared" si="410"/>
        <v>30.83595755205581</v>
      </c>
      <c r="N335" s="8">
        <f t="shared" si="410"/>
        <v>0</v>
      </c>
      <c r="O335" s="8">
        <f t="shared" si="410"/>
        <v>77.268342708565783</v>
      </c>
      <c r="P335" s="8">
        <f t="shared" si="410"/>
        <v>0</v>
      </c>
      <c r="Q335" s="8">
        <f t="shared" si="410"/>
        <v>108.1043002606216</v>
      </c>
      <c r="R335" s="25"/>
      <c r="T335" s="67"/>
      <c r="U335"/>
    </row>
    <row r="336" spans="1:21" ht="15" x14ac:dyDescent="0.25">
      <c r="A336" s="38">
        <v>57.08</v>
      </c>
      <c r="B336" s="5">
        <v>53</v>
      </c>
      <c r="C336" s="5" t="s">
        <v>243</v>
      </c>
      <c r="D336" s="6" t="s">
        <v>67</v>
      </c>
      <c r="E336" s="25"/>
      <c r="F336" s="7"/>
      <c r="G336" s="39">
        <v>0.46438547486033521</v>
      </c>
      <c r="H336" s="7">
        <f t="shared" si="409"/>
        <v>1977.8177374301677</v>
      </c>
      <c r="I336" s="7"/>
      <c r="J336" s="7"/>
      <c r="K336" s="29"/>
      <c r="L336" s="156">
        <f t="shared" si="407"/>
        <v>8</v>
      </c>
      <c r="M336" s="8">
        <f t="shared" si="410"/>
        <v>13670.607848078076</v>
      </c>
      <c r="N336" s="8">
        <f t="shared" si="410"/>
        <v>0</v>
      </c>
      <c r="O336" s="8">
        <f t="shared" si="410"/>
        <v>34255.631934130834</v>
      </c>
      <c r="P336" s="8">
        <f t="shared" si="410"/>
        <v>0</v>
      </c>
      <c r="Q336" s="8">
        <f t="shared" si="410"/>
        <v>47926.239782208911</v>
      </c>
      <c r="R336" s="25"/>
      <c r="T336" s="67"/>
      <c r="U336"/>
    </row>
    <row r="337" spans="1:21" ht="15" x14ac:dyDescent="0.25">
      <c r="A337" s="38">
        <v>57.09</v>
      </c>
      <c r="B337" s="5">
        <v>61</v>
      </c>
      <c r="C337" s="5" t="s">
        <v>244</v>
      </c>
      <c r="D337" s="6" t="s">
        <v>67</v>
      </c>
      <c r="E337" s="25"/>
      <c r="F337" s="7"/>
      <c r="G337" s="39">
        <v>4.6089385474860335E-2</v>
      </c>
      <c r="H337" s="7">
        <f t="shared" si="409"/>
        <v>196.29469273743015</v>
      </c>
      <c r="I337" s="7"/>
      <c r="J337" s="7"/>
      <c r="K337" s="29"/>
      <c r="L337" s="156">
        <f t="shared" si="407"/>
        <v>1</v>
      </c>
      <c r="M337" s="8">
        <f t="shared" si="410"/>
        <v>1356.7821322904556</v>
      </c>
      <c r="N337" s="8">
        <f t="shared" si="410"/>
        <v>0</v>
      </c>
      <c r="O337" s="8">
        <f t="shared" si="410"/>
        <v>3399.8070791768946</v>
      </c>
      <c r="P337" s="8">
        <f t="shared" si="410"/>
        <v>0</v>
      </c>
      <c r="Q337" s="8">
        <f t="shared" si="410"/>
        <v>4756.5892114673507</v>
      </c>
      <c r="R337" s="25"/>
      <c r="T337" s="67"/>
      <c r="U337"/>
    </row>
    <row r="338" spans="1:21" ht="15" x14ac:dyDescent="0.25">
      <c r="A338" s="38">
        <v>57.1</v>
      </c>
      <c r="B338" s="5">
        <v>68</v>
      </c>
      <c r="C338" s="5" t="s">
        <v>245</v>
      </c>
      <c r="D338" s="6" t="s">
        <v>67</v>
      </c>
      <c r="E338" s="25"/>
      <c r="F338" s="7"/>
      <c r="G338" s="39">
        <v>0.14141061452513967</v>
      </c>
      <c r="H338" s="7">
        <f t="shared" si="409"/>
        <v>602.26780726256982</v>
      </c>
      <c r="I338" s="7"/>
      <c r="J338" s="7"/>
      <c r="K338" s="29"/>
      <c r="L338" s="156">
        <f t="shared" si="407"/>
        <v>3</v>
      </c>
      <c r="M338" s="8">
        <f t="shared" si="410"/>
        <v>4162.8542695275346</v>
      </c>
      <c r="N338" s="8">
        <f t="shared" si="410"/>
        <v>0</v>
      </c>
      <c r="O338" s="8">
        <f t="shared" si="410"/>
        <v>10431.226265656382</v>
      </c>
      <c r="P338" s="8">
        <f t="shared" si="410"/>
        <v>0</v>
      </c>
      <c r="Q338" s="8">
        <f t="shared" si="410"/>
        <v>14594.080535183917</v>
      </c>
      <c r="R338" s="25"/>
      <c r="T338" s="67"/>
      <c r="U338"/>
    </row>
    <row r="339" spans="1:21" ht="15" x14ac:dyDescent="0.25">
      <c r="A339" s="38">
        <v>57.11</v>
      </c>
      <c r="B339" s="5">
        <v>76</v>
      </c>
      <c r="C339" s="5" t="s">
        <v>246</v>
      </c>
      <c r="D339" s="6" t="s">
        <v>67</v>
      </c>
      <c r="E339" s="25"/>
      <c r="F339" s="7"/>
      <c r="G339" s="39">
        <v>3.3170391061452514E-3</v>
      </c>
      <c r="H339" s="7">
        <f t="shared" si="409"/>
        <v>14.127269553072626</v>
      </c>
      <c r="I339" s="7"/>
      <c r="J339" s="7"/>
      <c r="K339" s="29"/>
      <c r="L339" s="156">
        <f t="shared" si="407"/>
        <v>1</v>
      </c>
      <c r="M339" s="8">
        <f t="shared" si="410"/>
        <v>97.647198914843401</v>
      </c>
      <c r="N339" s="8">
        <f t="shared" si="410"/>
        <v>0</v>
      </c>
      <c r="O339" s="8">
        <f t="shared" si="410"/>
        <v>244.68308524379165</v>
      </c>
      <c r="P339" s="8">
        <f t="shared" si="410"/>
        <v>0</v>
      </c>
      <c r="Q339" s="8">
        <f t="shared" si="410"/>
        <v>342.33028415863504</v>
      </c>
      <c r="R339" s="25"/>
      <c r="T339" s="67"/>
      <c r="U339"/>
    </row>
    <row r="340" spans="1:21" ht="15" x14ac:dyDescent="0.25">
      <c r="A340" s="38">
        <v>57.12</v>
      </c>
      <c r="B340" s="5">
        <v>83</v>
      </c>
      <c r="C340" s="5" t="s">
        <v>250</v>
      </c>
      <c r="D340" s="6" t="s">
        <v>67</v>
      </c>
      <c r="E340" s="25"/>
      <c r="F340" s="7"/>
      <c r="G340" s="39">
        <v>3.1424581005586594E-2</v>
      </c>
      <c r="H340" s="7">
        <f t="shared" si="409"/>
        <v>133.83729050279331</v>
      </c>
      <c r="I340" s="7"/>
      <c r="J340" s="7"/>
      <c r="K340" s="29"/>
      <c r="L340" s="156">
        <f t="shared" si="407"/>
        <v>1</v>
      </c>
      <c r="M340" s="8">
        <f t="shared" si="410"/>
        <v>925.07872656167433</v>
      </c>
      <c r="N340" s="8">
        <f t="shared" si="410"/>
        <v>0</v>
      </c>
      <c r="O340" s="8">
        <f t="shared" si="410"/>
        <v>2318.0502812569739</v>
      </c>
      <c r="P340" s="8">
        <f t="shared" si="410"/>
        <v>0</v>
      </c>
      <c r="Q340" s="8">
        <f t="shared" si="410"/>
        <v>3243.129007818648</v>
      </c>
      <c r="R340" s="25"/>
      <c r="T340" s="67"/>
      <c r="U340"/>
    </row>
    <row r="341" spans="1:21" ht="15" x14ac:dyDescent="0.25">
      <c r="A341" s="38">
        <v>57.13</v>
      </c>
      <c r="B341" s="5">
        <v>90</v>
      </c>
      <c r="C341" s="5" t="s">
        <v>248</v>
      </c>
      <c r="D341" s="6" t="s">
        <v>67</v>
      </c>
      <c r="E341" s="25"/>
      <c r="F341" s="7"/>
      <c r="G341" s="39">
        <v>8.7115921787709494E-2</v>
      </c>
      <c r="H341" s="7">
        <f t="shared" si="409"/>
        <v>371.02671089385473</v>
      </c>
      <c r="I341" s="7"/>
      <c r="J341" s="7"/>
      <c r="K341" s="29"/>
      <c r="L341" s="156">
        <f t="shared" si="407"/>
        <v>2</v>
      </c>
      <c r="M341" s="8">
        <f t="shared" si="410"/>
        <v>2564.523803079308</v>
      </c>
      <c r="N341" s="8">
        <f t="shared" si="410"/>
        <v>0</v>
      </c>
      <c r="O341" s="8">
        <f t="shared" si="410"/>
        <v>6426.1505019290544</v>
      </c>
      <c r="P341" s="8">
        <f t="shared" si="410"/>
        <v>0</v>
      </c>
      <c r="Q341" s="8">
        <f t="shared" si="410"/>
        <v>8990.6743050083624</v>
      </c>
      <c r="R341" s="25"/>
      <c r="T341" s="67"/>
      <c r="U341"/>
    </row>
    <row r="342" spans="1:21" ht="15" x14ac:dyDescent="0.25">
      <c r="A342" s="38">
        <v>57.2</v>
      </c>
      <c r="B342" s="13">
        <v>1</v>
      </c>
      <c r="C342" s="14" t="s">
        <v>31</v>
      </c>
      <c r="D342" s="13" t="s">
        <v>27</v>
      </c>
      <c r="E342" s="26" t="str">
        <f>VLOOKUP(C342,Resources!B:G,3,FALSE)</f>
        <v>P</v>
      </c>
      <c r="F342" s="15">
        <v>1</v>
      </c>
      <c r="G342" s="36">
        <f>VLOOKUP($A342,'Model Inputs'!$A:$C,3,FALSE)</f>
        <v>66.667000000000002</v>
      </c>
      <c r="H342" s="15">
        <f>H328*2.4</f>
        <v>10221.6</v>
      </c>
      <c r="I342" s="15">
        <f>VLOOKUP(C342,Resources!B:G,6,FALSE)</f>
        <v>165</v>
      </c>
      <c r="J342" s="27">
        <f t="shared" ref="J342:J347" si="411">(H342/G342)*I342*F342</f>
        <v>25298.333508332456</v>
      </c>
      <c r="K342" s="27">
        <f t="shared" ref="K342:K347" si="412">IF(E342="M"," ",L342*F342)</f>
        <v>153.32323338383307</v>
      </c>
      <c r="L342" s="157">
        <f t="shared" ref="L342:L347" si="413">IF(E342="M"," ",H342/G342)</f>
        <v>153.32323338383307</v>
      </c>
      <c r="M342" s="28">
        <f t="shared" ref="M342:M347" si="414">IF($E342="L",$J342,0)</f>
        <v>0</v>
      </c>
      <c r="N342" s="28">
        <f t="shared" ref="N342:N347" si="415">IF($E342="M",$J342,0)</f>
        <v>0</v>
      </c>
      <c r="O342" s="28">
        <f t="shared" ref="O342:O347" si="416">IF($E342="P",$J342,0)</f>
        <v>25298.333508332456</v>
      </c>
      <c r="P342" s="28">
        <f t="shared" ref="P342:P347" si="417">IF($E342="S",$J342,0)</f>
        <v>0</v>
      </c>
      <c r="Q342" s="28">
        <f t="shared" ref="Q342:Q347" si="418">SUM(M342:P342)</f>
        <v>25298.333508332456</v>
      </c>
      <c r="R342" s="26">
        <v>61</v>
      </c>
      <c r="T342" s="67"/>
      <c r="U342"/>
    </row>
    <row r="343" spans="1:21" ht="15" x14ac:dyDescent="0.25">
      <c r="A343" s="38" t="s">
        <v>418</v>
      </c>
      <c r="B343" s="13">
        <v>2</v>
      </c>
      <c r="C343" s="14" t="s">
        <v>45</v>
      </c>
      <c r="D343" s="13" t="s">
        <v>27</v>
      </c>
      <c r="E343" s="26" t="str">
        <f>VLOOKUP(C343,Resources!B:G,3,FALSE)</f>
        <v>P</v>
      </c>
      <c r="F343" s="15">
        <v>2</v>
      </c>
      <c r="G343" s="15">
        <f>G342</f>
        <v>66.667000000000002</v>
      </c>
      <c r="H343" s="15">
        <f>H342</f>
        <v>10221.6</v>
      </c>
      <c r="I343" s="15">
        <f>VLOOKUP(C343,Resources!B:G,6,FALSE)</f>
        <v>100</v>
      </c>
      <c r="J343" s="27">
        <f t="shared" si="411"/>
        <v>30664.646676766613</v>
      </c>
      <c r="K343" s="27">
        <f t="shared" si="412"/>
        <v>306.64646676766614</v>
      </c>
      <c r="L343" s="157">
        <f t="shared" si="413"/>
        <v>153.32323338383307</v>
      </c>
      <c r="M343" s="28">
        <f t="shared" si="414"/>
        <v>0</v>
      </c>
      <c r="N343" s="28">
        <f t="shared" si="415"/>
        <v>0</v>
      </c>
      <c r="O343" s="28">
        <f t="shared" si="416"/>
        <v>30664.646676766613</v>
      </c>
      <c r="P343" s="28">
        <f t="shared" si="417"/>
        <v>0</v>
      </c>
      <c r="Q343" s="28">
        <f t="shared" si="418"/>
        <v>30664.646676766613</v>
      </c>
      <c r="R343" s="26">
        <v>61</v>
      </c>
      <c r="T343" s="67"/>
      <c r="U343"/>
    </row>
    <row r="344" spans="1:21" ht="15" x14ac:dyDescent="0.25">
      <c r="A344" s="38" t="s">
        <v>418</v>
      </c>
      <c r="B344" s="13">
        <v>3</v>
      </c>
      <c r="C344" s="14" t="s">
        <v>102</v>
      </c>
      <c r="D344" s="13" t="s">
        <v>54</v>
      </c>
      <c r="E344" s="26" t="str">
        <f>VLOOKUP(C344,Resources!B:G,3,FALSE)</f>
        <v>P</v>
      </c>
      <c r="F344" s="15">
        <v>1</v>
      </c>
      <c r="G344" s="15">
        <f>G342*9</f>
        <v>600.00300000000004</v>
      </c>
      <c r="H344" s="15">
        <f>H342</f>
        <v>10221.6</v>
      </c>
      <c r="I344" s="15">
        <f>VLOOKUP(C344,Resources!B:G,6,FALSE)</f>
        <v>365</v>
      </c>
      <c r="J344" s="27">
        <f t="shared" si="411"/>
        <v>6218.1089094554527</v>
      </c>
      <c r="K344" s="27">
        <f t="shared" si="412"/>
        <v>17.035914820425898</v>
      </c>
      <c r="L344" s="157">
        <f t="shared" si="413"/>
        <v>17.035914820425898</v>
      </c>
      <c r="M344" s="28">
        <f t="shared" si="414"/>
        <v>0</v>
      </c>
      <c r="N344" s="28">
        <f t="shared" si="415"/>
        <v>0</v>
      </c>
      <c r="O344" s="28">
        <f t="shared" si="416"/>
        <v>6218.1089094554527</v>
      </c>
      <c r="P344" s="28">
        <f t="shared" si="417"/>
        <v>0</v>
      </c>
      <c r="Q344" s="28">
        <f t="shared" si="418"/>
        <v>6218.1089094554527</v>
      </c>
      <c r="R344" s="26">
        <v>61</v>
      </c>
      <c r="T344" s="67"/>
      <c r="U344"/>
    </row>
    <row r="345" spans="1:21" ht="15" x14ac:dyDescent="0.25">
      <c r="A345" s="38" t="s">
        <v>418</v>
      </c>
      <c r="B345" s="13">
        <v>4</v>
      </c>
      <c r="C345" s="14" t="s">
        <v>75</v>
      </c>
      <c r="D345" s="13" t="s">
        <v>54</v>
      </c>
      <c r="E345" s="26" t="str">
        <f>VLOOKUP(C345,Resources!B:G,3,FALSE)</f>
        <v>P</v>
      </c>
      <c r="F345" s="15">
        <v>1</v>
      </c>
      <c r="G345" s="15">
        <f>G342*9</f>
        <v>600.00300000000004</v>
      </c>
      <c r="H345" s="15">
        <f>H342</f>
        <v>10221.6</v>
      </c>
      <c r="I345" s="15">
        <f>VLOOKUP(C345,Resources!B:G,6,FALSE)</f>
        <v>365</v>
      </c>
      <c r="J345" s="27">
        <f t="shared" si="411"/>
        <v>6218.1089094554527</v>
      </c>
      <c r="K345" s="27">
        <f t="shared" si="412"/>
        <v>17.035914820425898</v>
      </c>
      <c r="L345" s="157">
        <f t="shared" si="413"/>
        <v>17.035914820425898</v>
      </c>
      <c r="M345" s="28">
        <f t="shared" si="414"/>
        <v>0</v>
      </c>
      <c r="N345" s="28">
        <f t="shared" si="415"/>
        <v>0</v>
      </c>
      <c r="O345" s="28">
        <f t="shared" si="416"/>
        <v>6218.1089094554527</v>
      </c>
      <c r="P345" s="28">
        <f t="shared" si="417"/>
        <v>0</v>
      </c>
      <c r="Q345" s="28">
        <f t="shared" si="418"/>
        <v>6218.1089094554527</v>
      </c>
      <c r="R345" s="26">
        <v>61</v>
      </c>
      <c r="T345" s="67"/>
      <c r="U345"/>
    </row>
    <row r="346" spans="1:21" ht="15" x14ac:dyDescent="0.25">
      <c r="A346" s="38" t="s">
        <v>418</v>
      </c>
      <c r="B346" s="13">
        <v>5</v>
      </c>
      <c r="C346" s="14" t="s">
        <v>7</v>
      </c>
      <c r="D346" s="13" t="s">
        <v>27</v>
      </c>
      <c r="E346" s="26" t="str">
        <f>VLOOKUP(C346,Resources!B:G,3,FALSE)</f>
        <v>L</v>
      </c>
      <c r="F346" s="15">
        <v>4</v>
      </c>
      <c r="G346" s="15">
        <f>G342</f>
        <v>66.667000000000002</v>
      </c>
      <c r="H346" s="15">
        <f>H342</f>
        <v>10221.6</v>
      </c>
      <c r="I346" s="15">
        <f>VLOOKUP(C346,Resources!B:G,6,FALSE)</f>
        <v>48</v>
      </c>
      <c r="J346" s="27">
        <f t="shared" si="411"/>
        <v>29438.060809695948</v>
      </c>
      <c r="K346" s="27">
        <f t="shared" si="412"/>
        <v>613.29293353533228</v>
      </c>
      <c r="L346" s="157">
        <f t="shared" si="413"/>
        <v>153.32323338383307</v>
      </c>
      <c r="M346" s="28">
        <f t="shared" si="414"/>
        <v>29438.060809695948</v>
      </c>
      <c r="N346" s="28">
        <f t="shared" si="415"/>
        <v>0</v>
      </c>
      <c r="O346" s="28">
        <f t="shared" si="416"/>
        <v>0</v>
      </c>
      <c r="P346" s="28">
        <f t="shared" si="417"/>
        <v>0</v>
      </c>
      <c r="Q346" s="28">
        <f t="shared" si="418"/>
        <v>29438.060809695948</v>
      </c>
      <c r="R346" s="26">
        <v>61</v>
      </c>
      <c r="T346" s="67"/>
      <c r="U346"/>
    </row>
    <row r="347" spans="1:21" ht="15" x14ac:dyDescent="0.25">
      <c r="A347" s="38" t="s">
        <v>418</v>
      </c>
      <c r="B347" s="13">
        <v>6</v>
      </c>
      <c r="C347" s="14" t="s">
        <v>32</v>
      </c>
      <c r="D347" s="13" t="s">
        <v>27</v>
      </c>
      <c r="E347" s="26" t="str">
        <f>VLOOKUP(C347,Resources!B:G,3,FALSE)</f>
        <v>P</v>
      </c>
      <c r="F347" s="15">
        <v>1</v>
      </c>
      <c r="G347" s="15">
        <f>G342</f>
        <v>66.667000000000002</v>
      </c>
      <c r="H347" s="15">
        <f>H342</f>
        <v>10221.6</v>
      </c>
      <c r="I347" s="15">
        <f>VLOOKUP(C347,Resources!B:G,6,FALSE)</f>
        <v>35</v>
      </c>
      <c r="J347" s="27">
        <f t="shared" si="411"/>
        <v>5366.3131684341579</v>
      </c>
      <c r="K347" s="27">
        <f t="shared" si="412"/>
        <v>153.32323338383307</v>
      </c>
      <c r="L347" s="157">
        <f t="shared" si="413"/>
        <v>153.32323338383307</v>
      </c>
      <c r="M347" s="28">
        <f t="shared" si="414"/>
        <v>0</v>
      </c>
      <c r="N347" s="28">
        <f t="shared" si="415"/>
        <v>0</v>
      </c>
      <c r="O347" s="28">
        <f t="shared" si="416"/>
        <v>5366.3131684341579</v>
      </c>
      <c r="P347" s="28">
        <f t="shared" si="417"/>
        <v>0</v>
      </c>
      <c r="Q347" s="28">
        <f t="shared" si="418"/>
        <v>5366.3131684341579</v>
      </c>
      <c r="R347" s="26">
        <v>61</v>
      </c>
      <c r="T347" s="67"/>
      <c r="U347"/>
    </row>
    <row r="348" spans="1:21" ht="15" x14ac:dyDescent="0.25">
      <c r="A348" s="38" t="s">
        <v>418</v>
      </c>
      <c r="F348" s="11"/>
      <c r="G348" s="11"/>
      <c r="H348" s="11"/>
      <c r="I348" s="11"/>
      <c r="J348" s="11"/>
      <c r="K348" s="31"/>
      <c r="M348" s="12"/>
      <c r="N348" s="12"/>
      <c r="O348" s="12"/>
      <c r="P348" s="12"/>
      <c r="Q348" s="12"/>
      <c r="T348" s="67"/>
      <c r="U348"/>
    </row>
    <row r="349" spans="1:21" ht="45" x14ac:dyDescent="0.25">
      <c r="A349" s="38">
        <v>58</v>
      </c>
      <c r="B349" s="5" t="s">
        <v>119</v>
      </c>
      <c r="C349" s="5" t="s">
        <v>120</v>
      </c>
      <c r="D349" s="6" t="s">
        <v>112</v>
      </c>
      <c r="E349" s="25"/>
      <c r="F349" s="7"/>
      <c r="G349" s="7"/>
      <c r="H349" s="36">
        <f>VLOOKUP($A349,'Model Inputs'!$A:$C,3,FALSE)</f>
        <v>10648</v>
      </c>
      <c r="I349" s="7"/>
      <c r="J349" s="8">
        <f>SUBTOTAL(9,J350)</f>
        <v>26353.800000000003</v>
      </c>
      <c r="K349" s="29"/>
      <c r="L349" s="156">
        <f>MAX(L350)</f>
        <v>0</v>
      </c>
      <c r="M349" s="8">
        <f>SUBTOTAL(9,M350)</f>
        <v>0</v>
      </c>
      <c r="N349" s="8">
        <f t="shared" ref="N349:Q349" si="419">SUBTOTAL(9,N350)</f>
        <v>26353.800000000003</v>
      </c>
      <c r="O349" s="8">
        <f t="shared" si="419"/>
        <v>0</v>
      </c>
      <c r="P349" s="8">
        <f t="shared" si="419"/>
        <v>0</v>
      </c>
      <c r="Q349" s="8">
        <f t="shared" si="419"/>
        <v>26353.800000000003</v>
      </c>
      <c r="R349" s="25"/>
      <c r="T349" s="67"/>
      <c r="U349"/>
    </row>
    <row r="350" spans="1:21" ht="15" x14ac:dyDescent="0.25">
      <c r="A350" s="38" t="s">
        <v>418</v>
      </c>
      <c r="B350" s="13">
        <v>1</v>
      </c>
      <c r="C350" s="14" t="s">
        <v>121</v>
      </c>
      <c r="D350" s="13" t="s">
        <v>122</v>
      </c>
      <c r="E350" s="26" t="str">
        <f>VLOOKUP(C350,Resources!B:G,3,FALSE)</f>
        <v>M</v>
      </c>
      <c r="F350" s="15">
        <v>1</v>
      </c>
      <c r="G350" s="15">
        <v>1</v>
      </c>
      <c r="H350" s="15">
        <f>H349*1.1</f>
        <v>11712.800000000001</v>
      </c>
      <c r="I350" s="15">
        <f>VLOOKUP(C350,Resources!B:G,6,FALSE)</f>
        <v>2.25</v>
      </c>
      <c r="J350" s="27">
        <f>(H350/G350)*I350*F350</f>
        <v>26353.800000000003</v>
      </c>
      <c r="K350" s="27" t="str">
        <f t="shared" ref="K350" si="420">IF(E350="M"," ",L350*F350)</f>
        <v xml:space="preserve"> </v>
      </c>
      <c r="L350" s="157" t="str">
        <f t="shared" ref="L350" si="421">IF(E350="M"," ",H350/G350)</f>
        <v xml:space="preserve"> </v>
      </c>
      <c r="M350" s="28">
        <f t="shared" ref="M350" si="422">IF($E350="L",$J350,0)</f>
        <v>0</v>
      </c>
      <c r="N350" s="28">
        <f t="shared" ref="N350" si="423">IF($E350="M",$J350,0)</f>
        <v>26353.800000000003</v>
      </c>
      <c r="O350" s="28">
        <f t="shared" ref="O350" si="424">IF($E350="P",$J350,0)</f>
        <v>0</v>
      </c>
      <c r="P350" s="28">
        <f t="shared" ref="P350" si="425">IF($E350="S",$J350,0)</f>
        <v>0</v>
      </c>
      <c r="Q350" s="28">
        <f t="shared" ref="Q350" si="426">SUM(M350:P350)</f>
        <v>26353.800000000003</v>
      </c>
      <c r="R350" s="26">
        <v>222</v>
      </c>
      <c r="T350" s="67"/>
      <c r="U350"/>
    </row>
    <row r="351" spans="1:21" ht="15" x14ac:dyDescent="0.25">
      <c r="A351" s="38" t="s">
        <v>418</v>
      </c>
      <c r="F351" s="11"/>
      <c r="G351" s="11"/>
      <c r="H351" s="11"/>
      <c r="I351" s="11"/>
      <c r="J351" s="11"/>
      <c r="K351" s="31"/>
      <c r="M351" s="12"/>
      <c r="N351" s="12"/>
      <c r="O351" s="12"/>
      <c r="P351" s="12"/>
      <c r="Q351" s="12"/>
      <c r="T351" s="67"/>
      <c r="U351"/>
    </row>
    <row r="352" spans="1:21" ht="56.25" x14ac:dyDescent="0.25">
      <c r="A352" s="38">
        <v>59</v>
      </c>
      <c r="B352" s="5" t="s">
        <v>123</v>
      </c>
      <c r="C352" s="5" t="s">
        <v>124</v>
      </c>
      <c r="D352" s="6" t="s">
        <v>112</v>
      </c>
      <c r="E352" s="25"/>
      <c r="F352" s="7"/>
      <c r="G352" s="7"/>
      <c r="H352" s="36">
        <f>VLOOKUP($A352,'Model Inputs'!$A:$C,3,FALSE)</f>
        <v>8</v>
      </c>
      <c r="I352" s="7"/>
      <c r="J352" s="8">
        <f>SUBTOTAL(9,J353)</f>
        <v>19.8</v>
      </c>
      <c r="K352" s="29"/>
      <c r="L352" s="156">
        <f>MAX(L353)</f>
        <v>0</v>
      </c>
      <c r="M352" s="8">
        <f>SUBTOTAL(9,M353)</f>
        <v>0</v>
      </c>
      <c r="N352" s="8">
        <f t="shared" ref="N352:Q352" si="427">SUBTOTAL(9,N353)</f>
        <v>19.8</v>
      </c>
      <c r="O352" s="8">
        <f t="shared" si="427"/>
        <v>0</v>
      </c>
      <c r="P352" s="8">
        <f t="shared" si="427"/>
        <v>0</v>
      </c>
      <c r="Q352" s="8">
        <f t="shared" si="427"/>
        <v>19.8</v>
      </c>
      <c r="R352" s="25"/>
      <c r="T352" s="67"/>
      <c r="U352"/>
    </row>
    <row r="353" spans="1:21" ht="15" x14ac:dyDescent="0.25">
      <c r="A353" s="38" t="s">
        <v>418</v>
      </c>
      <c r="B353" s="13">
        <v>1</v>
      </c>
      <c r="C353" s="14" t="s">
        <v>121</v>
      </c>
      <c r="D353" s="13" t="s">
        <v>122</v>
      </c>
      <c r="E353" s="26" t="str">
        <f>VLOOKUP(C353,Resources!B:G,3,FALSE)</f>
        <v>M</v>
      </c>
      <c r="F353" s="15">
        <v>1</v>
      </c>
      <c r="G353" s="15">
        <v>1</v>
      </c>
      <c r="H353" s="15">
        <f>H352*1.1</f>
        <v>8.8000000000000007</v>
      </c>
      <c r="I353" s="15">
        <f>VLOOKUP(C353,Resources!B:G,6,FALSE)</f>
        <v>2.25</v>
      </c>
      <c r="J353" s="27">
        <f>(H353/G353)*I353*F353</f>
        <v>19.8</v>
      </c>
      <c r="K353" s="27" t="str">
        <f t="shared" ref="K353" si="428">IF(E353="M"," ",L353*F353)</f>
        <v xml:space="preserve"> </v>
      </c>
      <c r="L353" s="157" t="str">
        <f t="shared" ref="L353" si="429">IF(E353="M"," ",H353/G353)</f>
        <v xml:space="preserve"> </v>
      </c>
      <c r="M353" s="28">
        <f t="shared" ref="M353" si="430">IF($E353="L",$J353,0)</f>
        <v>0</v>
      </c>
      <c r="N353" s="28">
        <f t="shared" ref="N353" si="431">IF($E353="M",$J353,0)</f>
        <v>19.8</v>
      </c>
      <c r="O353" s="28">
        <f t="shared" ref="O353" si="432">IF($E353="P",$J353,0)</f>
        <v>0</v>
      </c>
      <c r="P353" s="28">
        <f t="shared" ref="P353" si="433">IF($E353="S",$J353,0)</f>
        <v>0</v>
      </c>
      <c r="Q353" s="28">
        <f t="shared" ref="Q353" si="434">SUM(M353:P353)</f>
        <v>19.8</v>
      </c>
      <c r="R353" s="26">
        <v>222</v>
      </c>
      <c r="T353" s="67"/>
      <c r="U353"/>
    </row>
    <row r="354" spans="1:21" ht="15" x14ac:dyDescent="0.25">
      <c r="A354" s="38" t="s">
        <v>418</v>
      </c>
      <c r="F354" s="11"/>
      <c r="G354" s="11"/>
      <c r="H354" s="11"/>
      <c r="I354" s="11"/>
      <c r="J354" s="11"/>
      <c r="K354" s="31"/>
      <c r="M354" s="12"/>
      <c r="N354" s="12"/>
      <c r="O354" s="12"/>
      <c r="P354" s="12"/>
      <c r="Q354" s="12"/>
      <c r="T354" s="67"/>
      <c r="U354"/>
    </row>
    <row r="355" spans="1:21" ht="45" x14ac:dyDescent="0.25">
      <c r="A355" s="38">
        <v>60</v>
      </c>
      <c r="B355" s="5" t="s">
        <v>125</v>
      </c>
      <c r="C355" s="5" t="s">
        <v>126</v>
      </c>
      <c r="D355" s="6" t="s">
        <v>127</v>
      </c>
      <c r="E355" s="25"/>
      <c r="F355" s="7"/>
      <c r="G355" s="7"/>
      <c r="H355" s="36">
        <f>VLOOKUP($A355,'Model Inputs'!$A:$C,3,FALSE)</f>
        <v>71570</v>
      </c>
      <c r="I355" s="7"/>
      <c r="J355" s="8">
        <f>SUBTOTAL(9,J356)</f>
        <v>49469.184000000001</v>
      </c>
      <c r="K355" s="29"/>
      <c r="L355" s="156">
        <f>MAX(L356)</f>
        <v>0</v>
      </c>
      <c r="M355" s="8">
        <f>SUBTOTAL(9,M356)</f>
        <v>0</v>
      </c>
      <c r="N355" s="8">
        <f t="shared" ref="N355:Q355" si="435">SUBTOTAL(9,N356)</f>
        <v>0</v>
      </c>
      <c r="O355" s="8">
        <f t="shared" si="435"/>
        <v>0</v>
      </c>
      <c r="P355" s="8">
        <f t="shared" si="435"/>
        <v>49469.184000000001</v>
      </c>
      <c r="Q355" s="8">
        <f t="shared" si="435"/>
        <v>49469.184000000001</v>
      </c>
      <c r="R355" s="25"/>
      <c r="T355" s="67"/>
      <c r="U355"/>
    </row>
    <row r="356" spans="1:21" ht="15" x14ac:dyDescent="0.25">
      <c r="A356" s="38" t="s">
        <v>418</v>
      </c>
      <c r="B356" s="13">
        <v>1</v>
      </c>
      <c r="C356" s="14" t="s">
        <v>128</v>
      </c>
      <c r="D356" s="13" t="s">
        <v>99</v>
      </c>
      <c r="E356" s="26" t="str">
        <f>VLOOKUP(C356,Resources!B:G,3,FALSE)</f>
        <v>S</v>
      </c>
      <c r="F356" s="15">
        <v>1</v>
      </c>
      <c r="G356" s="15">
        <v>1</v>
      </c>
      <c r="H356" s="15">
        <f>H355*2.88</f>
        <v>206121.60000000001</v>
      </c>
      <c r="I356" s="15">
        <f>VLOOKUP(C356,Resources!B:G,6,FALSE)</f>
        <v>0.24</v>
      </c>
      <c r="J356" s="27">
        <f>(H356/G356)*I356*F356</f>
        <v>49469.184000000001</v>
      </c>
      <c r="K356" s="27">
        <f t="shared" ref="K356" si="436">IF(E356="M"," ",L356*F356)</f>
        <v>0</v>
      </c>
      <c r="L356" s="157"/>
      <c r="M356" s="28">
        <f t="shared" ref="M356" si="437">IF($E356="L",$J356,0)</f>
        <v>0</v>
      </c>
      <c r="N356" s="28">
        <f t="shared" ref="N356" si="438">IF($E356="M",$J356,0)</f>
        <v>0</v>
      </c>
      <c r="O356" s="28">
        <f t="shared" ref="O356" si="439">IF($E356="P",$J356,0)</f>
        <v>0</v>
      </c>
      <c r="P356" s="28">
        <f t="shared" ref="P356" si="440">IF($E356="S",$J356,0)</f>
        <v>49469.184000000001</v>
      </c>
      <c r="Q356" s="28">
        <f t="shared" ref="Q356" si="441">SUM(M356:P356)</f>
        <v>49469.184000000001</v>
      </c>
      <c r="R356" s="26">
        <v>57</v>
      </c>
      <c r="T356" s="67"/>
      <c r="U356"/>
    </row>
    <row r="357" spans="1:21" ht="15" x14ac:dyDescent="0.25">
      <c r="A357" s="38" t="s">
        <v>418</v>
      </c>
      <c r="F357" s="11"/>
      <c r="G357" s="11"/>
      <c r="H357" s="11"/>
      <c r="I357" s="11"/>
      <c r="J357" s="11"/>
      <c r="K357" s="31"/>
      <c r="M357" s="12"/>
      <c r="N357" s="12"/>
      <c r="O357" s="12"/>
      <c r="P357" s="12"/>
      <c r="Q357" s="12"/>
      <c r="T357" s="67"/>
      <c r="U357"/>
    </row>
    <row r="358" spans="1:21" ht="33.75" x14ac:dyDescent="0.25">
      <c r="A358" s="38">
        <v>61</v>
      </c>
      <c r="B358" s="5" t="s">
        <v>129</v>
      </c>
      <c r="C358" s="5" t="s">
        <v>130</v>
      </c>
      <c r="D358" s="6" t="s">
        <v>127</v>
      </c>
      <c r="E358" s="25"/>
      <c r="F358" s="7"/>
      <c r="G358" s="7"/>
      <c r="H358" s="36">
        <f>VLOOKUP($A358,'Model Inputs'!$A:$C,3,FALSE)</f>
        <v>59212</v>
      </c>
      <c r="I358" s="7"/>
      <c r="J358" s="8">
        <f>SUBTOTAL(9,J359)</f>
        <v>40927.3344</v>
      </c>
      <c r="K358" s="29"/>
      <c r="L358" s="156">
        <f>MAX(L359)</f>
        <v>0</v>
      </c>
      <c r="M358" s="8">
        <f>SUBTOTAL(9,M359)</f>
        <v>0</v>
      </c>
      <c r="N358" s="8">
        <f t="shared" ref="N358:Q358" si="442">SUBTOTAL(9,N359)</f>
        <v>0</v>
      </c>
      <c r="O358" s="8">
        <f t="shared" si="442"/>
        <v>0</v>
      </c>
      <c r="P358" s="8">
        <f t="shared" si="442"/>
        <v>40927.3344</v>
      </c>
      <c r="Q358" s="8">
        <f t="shared" si="442"/>
        <v>40927.3344</v>
      </c>
      <c r="R358" s="25"/>
      <c r="T358" s="67"/>
      <c r="U358"/>
    </row>
    <row r="359" spans="1:21" ht="15" x14ac:dyDescent="0.25">
      <c r="A359" s="38" t="s">
        <v>418</v>
      </c>
      <c r="B359" s="13">
        <v>1</v>
      </c>
      <c r="C359" s="14" t="s">
        <v>128</v>
      </c>
      <c r="D359" s="13" t="s">
        <v>99</v>
      </c>
      <c r="E359" s="26" t="str">
        <f>VLOOKUP(C359,Resources!B:G,3,FALSE)</f>
        <v>S</v>
      </c>
      <c r="F359" s="15">
        <v>1</v>
      </c>
      <c r="G359" s="15">
        <v>1</v>
      </c>
      <c r="H359" s="15">
        <f>H358*2.88</f>
        <v>170530.56</v>
      </c>
      <c r="I359" s="15">
        <f>VLOOKUP(C359,Resources!B:G,6,FALSE)</f>
        <v>0.24</v>
      </c>
      <c r="J359" s="27">
        <f>(H359/G359)*I359*F359</f>
        <v>40927.3344</v>
      </c>
      <c r="K359" s="27">
        <f t="shared" ref="K359" si="443">IF(E359="M"," ",L359*F359)</f>
        <v>0</v>
      </c>
      <c r="L359" s="157"/>
      <c r="M359" s="28">
        <f t="shared" ref="M359" si="444">IF($E359="L",$J359,0)</f>
        <v>0</v>
      </c>
      <c r="N359" s="28">
        <f t="shared" ref="N359" si="445">IF($E359="M",$J359,0)</f>
        <v>0</v>
      </c>
      <c r="O359" s="28">
        <f t="shared" ref="O359" si="446">IF($E359="P",$J359,0)</f>
        <v>0</v>
      </c>
      <c r="P359" s="28">
        <f t="shared" ref="P359" si="447">IF($E359="S",$J359,0)</f>
        <v>40927.3344</v>
      </c>
      <c r="Q359" s="28">
        <f t="shared" ref="Q359" si="448">SUM(M359:P359)</f>
        <v>40927.3344</v>
      </c>
      <c r="R359" s="26">
        <v>613</v>
      </c>
      <c r="T359" s="67"/>
      <c r="U359"/>
    </row>
    <row r="360" spans="1:21" ht="15" x14ac:dyDescent="0.25">
      <c r="A360" s="38" t="s">
        <v>418</v>
      </c>
      <c r="F360" s="11"/>
      <c r="G360" s="11"/>
      <c r="H360" s="11"/>
      <c r="I360" s="11"/>
      <c r="J360" s="11"/>
      <c r="K360" s="31"/>
      <c r="M360" s="12"/>
      <c r="N360" s="12"/>
      <c r="O360" s="12"/>
      <c r="P360" s="12"/>
      <c r="Q360" s="12"/>
      <c r="T360" s="67"/>
      <c r="U360"/>
    </row>
    <row r="361" spans="1:21" ht="22.5" x14ac:dyDescent="0.25">
      <c r="A361" s="38">
        <v>62</v>
      </c>
      <c r="B361" s="5" t="s">
        <v>131</v>
      </c>
      <c r="C361" s="5" t="s">
        <v>132</v>
      </c>
      <c r="D361" s="6"/>
      <c r="E361" s="25"/>
      <c r="F361" s="7"/>
      <c r="G361" s="7"/>
      <c r="H361" s="7"/>
      <c r="I361" s="7"/>
      <c r="J361" s="7"/>
      <c r="K361" s="29"/>
      <c r="L361" s="156"/>
      <c r="M361" s="8"/>
      <c r="N361" s="8"/>
      <c r="O361" s="8"/>
      <c r="P361" s="8"/>
      <c r="Q361" s="8"/>
      <c r="R361" s="25"/>
      <c r="T361" s="67"/>
      <c r="U361"/>
    </row>
    <row r="362" spans="1:21" ht="33.75" x14ac:dyDescent="0.25">
      <c r="A362" s="38">
        <v>63</v>
      </c>
      <c r="B362" s="5" t="s">
        <v>133</v>
      </c>
      <c r="C362" s="5" t="s">
        <v>134</v>
      </c>
      <c r="D362" s="6" t="s">
        <v>23</v>
      </c>
      <c r="E362" s="25"/>
      <c r="F362" s="7"/>
      <c r="G362" s="7"/>
      <c r="H362" s="36">
        <f>VLOOKUP($A362,'Model Inputs'!$A:$C,3,FALSE)</f>
        <v>10</v>
      </c>
      <c r="I362" s="7"/>
      <c r="J362" s="8">
        <f>SUBTOTAL(9,J363:J365)</f>
        <v>2723.4553089382125</v>
      </c>
      <c r="K362" s="29"/>
      <c r="L362" s="156">
        <f>ROUNDUP(MAX(L363:L365)/Work,0)</f>
        <v>1</v>
      </c>
      <c r="M362" s="8">
        <f>SUBTOTAL(9,M363:M365)</f>
        <v>863.82723455308928</v>
      </c>
      <c r="N362" s="8">
        <f t="shared" ref="N362:Q362" si="449">SUBTOTAL(9,N363:N365)</f>
        <v>0</v>
      </c>
      <c r="O362" s="8">
        <f t="shared" si="449"/>
        <v>1859.628074385123</v>
      </c>
      <c r="P362" s="8">
        <f t="shared" si="449"/>
        <v>0</v>
      </c>
      <c r="Q362" s="8">
        <f t="shared" si="449"/>
        <v>2723.4553089382125</v>
      </c>
      <c r="R362" s="25"/>
      <c r="T362" s="67"/>
      <c r="U362"/>
    </row>
    <row r="363" spans="1:21" ht="15" x14ac:dyDescent="0.25">
      <c r="A363" s="38">
        <v>63.1</v>
      </c>
      <c r="B363" s="13">
        <v>1</v>
      </c>
      <c r="C363" s="14" t="s">
        <v>73</v>
      </c>
      <c r="D363" s="13" t="s">
        <v>27</v>
      </c>
      <c r="E363" s="26" t="str">
        <f>VLOOKUP(C363,Resources!B:G,3,FALSE)</f>
        <v>P</v>
      </c>
      <c r="F363" s="15">
        <v>1</v>
      </c>
      <c r="G363" s="36">
        <f>VLOOKUP($A363,'Model Inputs'!$A:$C,3,FALSE)</f>
        <v>1.667</v>
      </c>
      <c r="H363" s="15">
        <f>H362</f>
        <v>10</v>
      </c>
      <c r="I363" s="15">
        <f>VLOOKUP(C363,Resources!B:G,6,FALSE)</f>
        <v>130</v>
      </c>
      <c r="J363" s="27">
        <f>(H363/G363)*I363*F363</f>
        <v>779.84403119376123</v>
      </c>
      <c r="K363" s="27">
        <f t="shared" ref="K363:K365" si="450">IF(E363="M"," ",L363*F363)</f>
        <v>5.9988002399520095</v>
      </c>
      <c r="L363" s="157">
        <f t="shared" ref="L363:L365" si="451">IF(E363="M"," ",H363/G363)</f>
        <v>5.9988002399520095</v>
      </c>
      <c r="M363" s="28">
        <f t="shared" ref="M363:M365" si="452">IF($E363="L",$J363,0)</f>
        <v>0</v>
      </c>
      <c r="N363" s="28">
        <f t="shared" ref="N363:N365" si="453">IF($E363="M",$J363,0)</f>
        <v>0</v>
      </c>
      <c r="O363" s="28">
        <f t="shared" ref="O363:O365" si="454">IF($E363="P",$J363,0)</f>
        <v>779.84403119376123</v>
      </c>
      <c r="P363" s="28">
        <f t="shared" ref="P363:P365" si="455">IF($E363="S",$J363,0)</f>
        <v>0</v>
      </c>
      <c r="Q363" s="28">
        <f t="shared" ref="Q363:Q365" si="456">SUM(M363:P363)</f>
        <v>779.84403119376123</v>
      </c>
      <c r="R363" s="26">
        <v>41</v>
      </c>
      <c r="T363" s="67"/>
      <c r="U363"/>
    </row>
    <row r="364" spans="1:21" ht="15" x14ac:dyDescent="0.25">
      <c r="A364" s="38" t="s">
        <v>418</v>
      </c>
      <c r="B364" s="13">
        <v>2</v>
      </c>
      <c r="C364" s="14" t="s">
        <v>74</v>
      </c>
      <c r="D364" s="13" t="s">
        <v>27</v>
      </c>
      <c r="E364" s="26" t="str">
        <f>VLOOKUP(C364,Resources!B:G,3,FALSE)</f>
        <v>P</v>
      </c>
      <c r="F364" s="15">
        <v>2</v>
      </c>
      <c r="G364" s="15">
        <f>G363</f>
        <v>1.667</v>
      </c>
      <c r="H364" s="15">
        <f>H363</f>
        <v>10</v>
      </c>
      <c r="I364" s="15">
        <f>VLOOKUP(C364,Resources!B:G,6,FALSE)</f>
        <v>90</v>
      </c>
      <c r="J364" s="27">
        <f>(H364/G364)*I364*F364</f>
        <v>1079.7840431913617</v>
      </c>
      <c r="K364" s="27">
        <f t="shared" si="450"/>
        <v>11.997600479904019</v>
      </c>
      <c r="L364" s="157">
        <f t="shared" si="451"/>
        <v>5.9988002399520095</v>
      </c>
      <c r="M364" s="28">
        <f t="shared" si="452"/>
        <v>0</v>
      </c>
      <c r="N364" s="28">
        <f t="shared" si="453"/>
        <v>0</v>
      </c>
      <c r="O364" s="28">
        <f t="shared" si="454"/>
        <v>1079.7840431913617</v>
      </c>
      <c r="P364" s="28">
        <f t="shared" si="455"/>
        <v>0</v>
      </c>
      <c r="Q364" s="28">
        <f t="shared" si="456"/>
        <v>1079.7840431913617</v>
      </c>
      <c r="R364" s="26">
        <v>41</v>
      </c>
      <c r="T364" s="67"/>
      <c r="U364"/>
    </row>
    <row r="365" spans="1:21" ht="15" x14ac:dyDescent="0.25">
      <c r="A365" s="38" t="s">
        <v>418</v>
      </c>
      <c r="B365" s="13">
        <v>3</v>
      </c>
      <c r="C365" s="14" t="s">
        <v>7</v>
      </c>
      <c r="D365" s="13" t="s">
        <v>27</v>
      </c>
      <c r="E365" s="26" t="str">
        <f>VLOOKUP(C365,Resources!B:G,3,FALSE)</f>
        <v>L</v>
      </c>
      <c r="F365" s="15">
        <v>3</v>
      </c>
      <c r="G365" s="15">
        <f>G363</f>
        <v>1.667</v>
      </c>
      <c r="H365" s="15">
        <f>H363</f>
        <v>10</v>
      </c>
      <c r="I365" s="15">
        <f>VLOOKUP(C365,Resources!B:G,6,FALSE)</f>
        <v>48</v>
      </c>
      <c r="J365" s="27">
        <f>(H365/G365)*I365*F365</f>
        <v>863.82723455308928</v>
      </c>
      <c r="K365" s="27">
        <f t="shared" si="450"/>
        <v>17.996400719856027</v>
      </c>
      <c r="L365" s="157">
        <f t="shared" si="451"/>
        <v>5.9988002399520095</v>
      </c>
      <c r="M365" s="28">
        <f t="shared" si="452"/>
        <v>863.82723455308928</v>
      </c>
      <c r="N365" s="28">
        <f t="shared" si="453"/>
        <v>0</v>
      </c>
      <c r="O365" s="28">
        <f t="shared" si="454"/>
        <v>0</v>
      </c>
      <c r="P365" s="28">
        <f t="shared" si="455"/>
        <v>0</v>
      </c>
      <c r="Q365" s="28">
        <f t="shared" si="456"/>
        <v>863.82723455308928</v>
      </c>
      <c r="R365" s="26">
        <v>41</v>
      </c>
      <c r="T365" s="67"/>
      <c r="U365"/>
    </row>
    <row r="366" spans="1:21" ht="15" x14ac:dyDescent="0.25">
      <c r="A366" s="38" t="s">
        <v>418</v>
      </c>
      <c r="F366" s="11"/>
      <c r="G366" s="11"/>
      <c r="H366" s="11"/>
      <c r="I366" s="11"/>
      <c r="J366" s="11"/>
      <c r="K366" s="31"/>
      <c r="M366" s="12"/>
      <c r="N366" s="12"/>
      <c r="O366" s="12"/>
      <c r="P366" s="12"/>
      <c r="Q366" s="12"/>
      <c r="T366" s="67"/>
      <c r="U366"/>
    </row>
    <row r="367" spans="1:21" ht="33.75" x14ac:dyDescent="0.25">
      <c r="A367" s="38">
        <v>64</v>
      </c>
      <c r="B367" s="5" t="s">
        <v>135</v>
      </c>
      <c r="C367" s="5" t="s">
        <v>136</v>
      </c>
      <c r="D367" s="6" t="s">
        <v>23</v>
      </c>
      <c r="E367" s="25"/>
      <c r="F367" s="7"/>
      <c r="G367" s="7"/>
      <c r="H367" s="36">
        <f>VLOOKUP($A367,'Model Inputs'!$A:$C,3,FALSE)</f>
        <v>24</v>
      </c>
      <c r="I367" s="7"/>
      <c r="J367" s="8">
        <f>SUBTOTAL(9,J368:J370)</f>
        <v>4085.4893138357706</v>
      </c>
      <c r="K367" s="29"/>
      <c r="L367" s="156">
        <f>ROUNDUP(MAX(L368:L370)/Work,0)</f>
        <v>1</v>
      </c>
      <c r="M367" s="8">
        <f>SUBTOTAL(9,M368:M370)</f>
        <v>1295.8380202474691</v>
      </c>
      <c r="N367" s="8">
        <f t="shared" ref="N367" si="457">SUBTOTAL(9,N368:N370)</f>
        <v>0</v>
      </c>
      <c r="O367" s="8">
        <f t="shared" ref="O367" si="458">SUBTOTAL(9,O368:O370)</f>
        <v>2789.6512935883015</v>
      </c>
      <c r="P367" s="8">
        <f t="shared" ref="P367" si="459">SUBTOTAL(9,P368:P370)</f>
        <v>0</v>
      </c>
      <c r="Q367" s="8">
        <f t="shared" ref="Q367" si="460">SUBTOTAL(9,Q368:Q370)</f>
        <v>4085.4893138357706</v>
      </c>
      <c r="R367" s="25"/>
      <c r="T367" s="67"/>
      <c r="U367"/>
    </row>
    <row r="368" spans="1:21" ht="15" x14ac:dyDescent="0.25">
      <c r="A368" s="38">
        <v>64.099999999999994</v>
      </c>
      <c r="B368" s="13">
        <v>1</v>
      </c>
      <c r="C368" s="14" t="s">
        <v>73</v>
      </c>
      <c r="D368" s="13" t="s">
        <v>27</v>
      </c>
      <c r="E368" s="26" t="str">
        <f>VLOOKUP(C368,Resources!B:G,3,FALSE)</f>
        <v>P</v>
      </c>
      <c r="F368" s="15">
        <v>1</v>
      </c>
      <c r="G368" s="36">
        <f>VLOOKUP($A368,'Model Inputs'!$A:$C,3,FALSE)</f>
        <v>2.6669999999999998</v>
      </c>
      <c r="H368" s="15">
        <f>H367</f>
        <v>24</v>
      </c>
      <c r="I368" s="15">
        <f>VLOOKUP(C368,Resources!B:G,6,FALSE)</f>
        <v>130</v>
      </c>
      <c r="J368" s="27">
        <f>(H368/G368)*I368*F368</f>
        <v>1169.8537682789652</v>
      </c>
      <c r="K368" s="27">
        <f t="shared" ref="K368:K370" si="461">IF(E368="M"," ",L368*F368)</f>
        <v>8.9988751406074243</v>
      </c>
      <c r="L368" s="157">
        <f t="shared" ref="L368:L370" si="462">IF(E368="M"," ",H368/G368)</f>
        <v>8.9988751406074243</v>
      </c>
      <c r="M368" s="28">
        <f t="shared" ref="M368:M370" si="463">IF($E368="L",$J368,0)</f>
        <v>0</v>
      </c>
      <c r="N368" s="28">
        <f t="shared" ref="N368:N370" si="464">IF($E368="M",$J368,0)</f>
        <v>0</v>
      </c>
      <c r="O368" s="28">
        <f t="shared" ref="O368:O370" si="465">IF($E368="P",$J368,0)</f>
        <v>1169.8537682789652</v>
      </c>
      <c r="P368" s="28">
        <f t="shared" ref="P368:P370" si="466">IF($E368="S",$J368,0)</f>
        <v>0</v>
      </c>
      <c r="Q368" s="28">
        <f t="shared" ref="Q368:Q370" si="467">SUM(M368:P368)</f>
        <v>1169.8537682789652</v>
      </c>
      <c r="R368" s="26">
        <v>41</v>
      </c>
      <c r="T368" s="67"/>
      <c r="U368"/>
    </row>
    <row r="369" spans="1:21" ht="15" x14ac:dyDescent="0.25">
      <c r="A369" s="38" t="s">
        <v>418</v>
      </c>
      <c r="B369" s="13">
        <v>2</v>
      </c>
      <c r="C369" s="14" t="s">
        <v>74</v>
      </c>
      <c r="D369" s="13" t="s">
        <v>27</v>
      </c>
      <c r="E369" s="26" t="str">
        <f>VLOOKUP(C369,Resources!B:G,3,FALSE)</f>
        <v>P</v>
      </c>
      <c r="F369" s="15">
        <v>2</v>
      </c>
      <c r="G369" s="15">
        <f>G368</f>
        <v>2.6669999999999998</v>
      </c>
      <c r="H369" s="15">
        <f>H367</f>
        <v>24</v>
      </c>
      <c r="I369" s="15">
        <f>VLOOKUP(C369,Resources!B:G,6,FALSE)</f>
        <v>90</v>
      </c>
      <c r="J369" s="27">
        <f>(H369/G369)*I369*F369</f>
        <v>1619.7975253093364</v>
      </c>
      <c r="K369" s="27">
        <f t="shared" si="461"/>
        <v>17.997750281214849</v>
      </c>
      <c r="L369" s="157">
        <f t="shared" si="462"/>
        <v>8.9988751406074243</v>
      </c>
      <c r="M369" s="28">
        <f t="shared" si="463"/>
        <v>0</v>
      </c>
      <c r="N369" s="28">
        <f t="shared" si="464"/>
        <v>0</v>
      </c>
      <c r="O369" s="28">
        <f t="shared" si="465"/>
        <v>1619.7975253093364</v>
      </c>
      <c r="P369" s="28">
        <f t="shared" si="466"/>
        <v>0</v>
      </c>
      <c r="Q369" s="28">
        <f t="shared" si="467"/>
        <v>1619.7975253093364</v>
      </c>
      <c r="R369" s="26">
        <v>41</v>
      </c>
      <c r="T369" s="67"/>
      <c r="U369"/>
    </row>
    <row r="370" spans="1:21" ht="15" x14ac:dyDescent="0.25">
      <c r="A370" s="38" t="s">
        <v>418</v>
      </c>
      <c r="B370" s="13">
        <v>3</v>
      </c>
      <c r="C370" s="14" t="s">
        <v>7</v>
      </c>
      <c r="D370" s="13" t="s">
        <v>27</v>
      </c>
      <c r="E370" s="26" t="str">
        <f>VLOOKUP(C370,Resources!B:G,3,FALSE)</f>
        <v>L</v>
      </c>
      <c r="F370" s="15">
        <v>3</v>
      </c>
      <c r="G370" s="15">
        <f>G368</f>
        <v>2.6669999999999998</v>
      </c>
      <c r="H370" s="15">
        <f>H367</f>
        <v>24</v>
      </c>
      <c r="I370" s="15">
        <f>VLOOKUP(C370,Resources!B:G,6,FALSE)</f>
        <v>48</v>
      </c>
      <c r="J370" s="27">
        <f>(H370/G370)*I370*F370</f>
        <v>1295.8380202474691</v>
      </c>
      <c r="K370" s="27">
        <f t="shared" si="461"/>
        <v>26.996625421822273</v>
      </c>
      <c r="L370" s="157">
        <f t="shared" si="462"/>
        <v>8.9988751406074243</v>
      </c>
      <c r="M370" s="28">
        <f t="shared" si="463"/>
        <v>1295.8380202474691</v>
      </c>
      <c r="N370" s="28">
        <f t="shared" si="464"/>
        <v>0</v>
      </c>
      <c r="O370" s="28">
        <f t="shared" si="465"/>
        <v>0</v>
      </c>
      <c r="P370" s="28">
        <f t="shared" si="466"/>
        <v>0</v>
      </c>
      <c r="Q370" s="28">
        <f t="shared" si="467"/>
        <v>1295.8380202474691</v>
      </c>
      <c r="R370" s="26">
        <v>41</v>
      </c>
      <c r="T370" s="67"/>
      <c r="U370"/>
    </row>
    <row r="371" spans="1:21" ht="15" x14ac:dyDescent="0.25">
      <c r="A371" s="38" t="s">
        <v>418</v>
      </c>
      <c r="F371" s="11"/>
      <c r="G371" s="11"/>
      <c r="H371" s="11"/>
      <c r="I371" s="11"/>
      <c r="J371" s="11"/>
      <c r="K371" s="31"/>
      <c r="M371" s="12"/>
      <c r="N371" s="12"/>
      <c r="O371" s="12"/>
      <c r="P371" s="12"/>
      <c r="Q371" s="12"/>
      <c r="T371" s="67"/>
      <c r="U371"/>
    </row>
    <row r="372" spans="1:21" ht="33.75" x14ac:dyDescent="0.25">
      <c r="A372" s="38">
        <v>65</v>
      </c>
      <c r="B372" s="5" t="s">
        <v>137</v>
      </c>
      <c r="C372" s="5" t="s">
        <v>138</v>
      </c>
      <c r="D372" s="6" t="s">
        <v>67</v>
      </c>
      <c r="E372" s="25"/>
      <c r="F372" s="7"/>
      <c r="G372" s="7"/>
      <c r="H372" s="7">
        <v>2</v>
      </c>
      <c r="I372" s="7"/>
      <c r="J372" s="8">
        <f>SUBTOTAL(9,J373:J375)</f>
        <v>817.28172817281734</v>
      </c>
      <c r="K372" s="29"/>
      <c r="L372" s="156">
        <f>ROUNDUP(MAX(L373:L375)/Work,0)</f>
        <v>1</v>
      </c>
      <c r="M372" s="8">
        <f>SUBTOTAL(9,M373:M375)</f>
        <v>259.22592259225922</v>
      </c>
      <c r="N372" s="8">
        <f t="shared" ref="N372" si="468">SUBTOTAL(9,N373:N375)</f>
        <v>0</v>
      </c>
      <c r="O372" s="8">
        <f t="shared" ref="O372" si="469">SUBTOTAL(9,O373:O375)</f>
        <v>558.05580558055806</v>
      </c>
      <c r="P372" s="8">
        <f t="shared" ref="P372" si="470">SUBTOTAL(9,P373:P375)</f>
        <v>0</v>
      </c>
      <c r="Q372" s="8">
        <f t="shared" ref="Q372" si="471">SUBTOTAL(9,Q373:Q375)</f>
        <v>817.28172817281734</v>
      </c>
      <c r="R372" s="25"/>
      <c r="T372" s="67"/>
      <c r="U372"/>
    </row>
    <row r="373" spans="1:21" ht="15" x14ac:dyDescent="0.25">
      <c r="A373" s="38">
        <v>65.099999999999994</v>
      </c>
      <c r="B373" s="13">
        <v>1</v>
      </c>
      <c r="C373" s="14" t="s">
        <v>73</v>
      </c>
      <c r="D373" s="13" t="s">
        <v>27</v>
      </c>
      <c r="E373" s="26" t="str">
        <f>VLOOKUP(C373,Resources!B:G,3,FALSE)</f>
        <v>P</v>
      </c>
      <c r="F373" s="15">
        <v>1</v>
      </c>
      <c r="G373" s="36">
        <f>VLOOKUP($A373,'Model Inputs'!$A:$C,3,FALSE)</f>
        <v>1.111</v>
      </c>
      <c r="H373" s="15">
        <f>H372</f>
        <v>2</v>
      </c>
      <c r="I373" s="15">
        <f>VLOOKUP(C373,Resources!B:G,6,FALSE)</f>
        <v>130</v>
      </c>
      <c r="J373" s="27">
        <f>(H373/G373)*I373*F373</f>
        <v>234.02340234023401</v>
      </c>
      <c r="K373" s="27">
        <f t="shared" ref="K373:K375" si="472">IF(E373="M"," ",L373*F373)</f>
        <v>1.8001800180018002</v>
      </c>
      <c r="L373" s="157">
        <f t="shared" ref="L373:L375" si="473">IF(E373="M"," ",H373/G373)</f>
        <v>1.8001800180018002</v>
      </c>
      <c r="M373" s="28">
        <f t="shared" ref="M373:M375" si="474">IF($E373="L",$J373,0)</f>
        <v>0</v>
      </c>
      <c r="N373" s="28">
        <f t="shared" ref="N373:N375" si="475">IF($E373="M",$J373,0)</f>
        <v>0</v>
      </c>
      <c r="O373" s="28">
        <f t="shared" ref="O373:O375" si="476">IF($E373="P",$J373,0)</f>
        <v>234.02340234023401</v>
      </c>
      <c r="P373" s="28">
        <f t="shared" ref="P373:P375" si="477">IF($E373="S",$J373,0)</f>
        <v>0</v>
      </c>
      <c r="Q373" s="28">
        <f t="shared" ref="Q373:Q375" si="478">SUM(M373:P373)</f>
        <v>234.02340234023401</v>
      </c>
      <c r="R373" s="26">
        <v>41</v>
      </c>
      <c r="T373" s="67"/>
      <c r="U373"/>
    </row>
    <row r="374" spans="1:21" ht="15" x14ac:dyDescent="0.25">
      <c r="A374" s="38" t="s">
        <v>418</v>
      </c>
      <c r="B374" s="13">
        <v>2</v>
      </c>
      <c r="C374" s="14" t="s">
        <v>74</v>
      </c>
      <c r="D374" s="13" t="s">
        <v>27</v>
      </c>
      <c r="E374" s="26" t="str">
        <f>VLOOKUP(C374,Resources!B:G,3,FALSE)</f>
        <v>P</v>
      </c>
      <c r="F374" s="15">
        <v>2</v>
      </c>
      <c r="G374" s="15">
        <f>G373</f>
        <v>1.111</v>
      </c>
      <c r="H374" s="15">
        <f>H372</f>
        <v>2</v>
      </c>
      <c r="I374" s="15">
        <f>VLOOKUP(C374,Resources!B:G,6,FALSE)</f>
        <v>90</v>
      </c>
      <c r="J374" s="27">
        <f>(H374/G374)*I374*F374</f>
        <v>324.03240324032402</v>
      </c>
      <c r="K374" s="27">
        <f t="shared" si="472"/>
        <v>3.6003600360036003</v>
      </c>
      <c r="L374" s="157">
        <f t="shared" si="473"/>
        <v>1.8001800180018002</v>
      </c>
      <c r="M374" s="28">
        <f t="shared" si="474"/>
        <v>0</v>
      </c>
      <c r="N374" s="28">
        <f t="shared" si="475"/>
        <v>0</v>
      </c>
      <c r="O374" s="28">
        <f t="shared" si="476"/>
        <v>324.03240324032402</v>
      </c>
      <c r="P374" s="28">
        <f t="shared" si="477"/>
        <v>0</v>
      </c>
      <c r="Q374" s="28">
        <f t="shared" si="478"/>
        <v>324.03240324032402</v>
      </c>
      <c r="R374" s="26">
        <v>41</v>
      </c>
      <c r="T374" s="67"/>
      <c r="U374"/>
    </row>
    <row r="375" spans="1:21" ht="15" x14ac:dyDescent="0.25">
      <c r="A375" s="38" t="s">
        <v>418</v>
      </c>
      <c r="B375" s="13">
        <v>3</v>
      </c>
      <c r="C375" s="14" t="s">
        <v>7</v>
      </c>
      <c r="D375" s="13" t="s">
        <v>27</v>
      </c>
      <c r="E375" s="26" t="str">
        <f>VLOOKUP(C375,Resources!B:G,3,FALSE)</f>
        <v>L</v>
      </c>
      <c r="F375" s="15">
        <v>3</v>
      </c>
      <c r="G375" s="15">
        <f>G373</f>
        <v>1.111</v>
      </c>
      <c r="H375" s="15">
        <f>H372</f>
        <v>2</v>
      </c>
      <c r="I375" s="15">
        <f>VLOOKUP(C375,Resources!B:G,6,FALSE)</f>
        <v>48</v>
      </c>
      <c r="J375" s="27">
        <f>(H375/G375)*I375*F375</f>
        <v>259.22592259225922</v>
      </c>
      <c r="K375" s="27">
        <f t="shared" si="472"/>
        <v>5.4005400540054005</v>
      </c>
      <c r="L375" s="157">
        <f t="shared" si="473"/>
        <v>1.8001800180018002</v>
      </c>
      <c r="M375" s="28">
        <f t="shared" si="474"/>
        <v>259.22592259225922</v>
      </c>
      <c r="N375" s="28">
        <f t="shared" si="475"/>
        <v>0</v>
      </c>
      <c r="O375" s="28">
        <f t="shared" si="476"/>
        <v>0</v>
      </c>
      <c r="P375" s="28">
        <f t="shared" si="477"/>
        <v>0</v>
      </c>
      <c r="Q375" s="28">
        <f t="shared" si="478"/>
        <v>259.22592259225922</v>
      </c>
      <c r="R375" s="26">
        <v>41</v>
      </c>
      <c r="T375" s="67"/>
      <c r="U375"/>
    </row>
    <row r="376" spans="1:21" ht="15" x14ac:dyDescent="0.25">
      <c r="A376" s="38" t="s">
        <v>418</v>
      </c>
      <c r="F376" s="11"/>
      <c r="G376" s="11"/>
      <c r="H376" s="11"/>
      <c r="I376" s="11"/>
      <c r="J376" s="11"/>
      <c r="K376" s="31"/>
      <c r="M376" s="12"/>
      <c r="N376" s="12"/>
      <c r="O376" s="12"/>
      <c r="P376" s="12"/>
      <c r="Q376" s="12"/>
      <c r="T376" s="67"/>
      <c r="U376"/>
    </row>
    <row r="377" spans="1:21" ht="33.75" x14ac:dyDescent="0.25">
      <c r="A377" s="38">
        <v>65.5</v>
      </c>
      <c r="B377" s="5" t="s">
        <v>139</v>
      </c>
      <c r="C377" s="5" t="s">
        <v>140</v>
      </c>
      <c r="D377" s="6" t="s">
        <v>23</v>
      </c>
      <c r="E377" s="25"/>
      <c r="F377" s="7"/>
      <c r="G377" s="7"/>
      <c r="H377" s="36">
        <v>10</v>
      </c>
      <c r="I377" s="7"/>
      <c r="J377" s="8">
        <f>SUBTOTAL(9,J378:J380)</f>
        <v>4086.4086408640865</v>
      </c>
      <c r="K377" s="29"/>
      <c r="L377" s="156">
        <f>ROUNDUP(MAX(L378:L380)/Work,0)</f>
        <v>2</v>
      </c>
      <c r="M377" s="8">
        <f>SUBTOTAL(9,M378:M380)</f>
        <v>1296.1296129612961</v>
      </c>
      <c r="N377" s="8">
        <f t="shared" ref="N377" si="479">SUBTOTAL(9,N378:N380)</f>
        <v>0</v>
      </c>
      <c r="O377" s="8">
        <f t="shared" ref="O377" si="480">SUBTOTAL(9,O378:O380)</f>
        <v>2790.2790279027904</v>
      </c>
      <c r="P377" s="8">
        <f t="shared" ref="P377" si="481">SUBTOTAL(9,P378:P380)</f>
        <v>0</v>
      </c>
      <c r="Q377" s="8">
        <f t="shared" ref="Q377" si="482">SUBTOTAL(9,Q378:Q380)</f>
        <v>4086.4086408640865</v>
      </c>
      <c r="R377" s="25"/>
      <c r="T377" s="67"/>
      <c r="U377"/>
    </row>
    <row r="378" spans="1:21" ht="15" x14ac:dyDescent="0.25">
      <c r="A378" s="38">
        <v>65.599999999999994</v>
      </c>
      <c r="B378" s="13">
        <v>1</v>
      </c>
      <c r="C378" s="14" t="s">
        <v>73</v>
      </c>
      <c r="D378" s="13" t="s">
        <v>27</v>
      </c>
      <c r="E378" s="26" t="str">
        <f>VLOOKUP(C378,Resources!B:G,3,FALSE)</f>
        <v>P</v>
      </c>
      <c r="F378" s="15">
        <v>1</v>
      </c>
      <c r="G378" s="36">
        <f>VLOOKUP($A378,'Model Inputs'!$A:$C,3,FALSE)</f>
        <v>1.111</v>
      </c>
      <c r="H378" s="15">
        <f>H377</f>
        <v>10</v>
      </c>
      <c r="I378" s="15">
        <f>VLOOKUP(C378,Resources!B:G,6,FALSE)</f>
        <v>130</v>
      </c>
      <c r="J378" s="27">
        <f>(H378/G378)*I378*F378</f>
        <v>1170.1170117011702</v>
      </c>
      <c r="K378" s="27">
        <f t="shared" ref="K378:K380" si="483">IF(E378="M"," ",L378*F378)</f>
        <v>9.0009000900090008</v>
      </c>
      <c r="L378" s="157">
        <f t="shared" ref="L378:L380" si="484">IF(E378="M"," ",H378/G378)</f>
        <v>9.0009000900090008</v>
      </c>
      <c r="M378" s="28">
        <f t="shared" ref="M378:M380" si="485">IF($E378="L",$J378,0)</f>
        <v>0</v>
      </c>
      <c r="N378" s="28">
        <f t="shared" ref="N378:N380" si="486">IF($E378="M",$J378,0)</f>
        <v>0</v>
      </c>
      <c r="O378" s="28">
        <f t="shared" ref="O378:O380" si="487">IF($E378="P",$J378,0)</f>
        <v>1170.1170117011702</v>
      </c>
      <c r="P378" s="28">
        <f t="shared" ref="P378:P380" si="488">IF($E378="S",$J378,0)</f>
        <v>0</v>
      </c>
      <c r="Q378" s="28">
        <f t="shared" ref="Q378:Q380" si="489">SUM(M378:P378)</f>
        <v>1170.1170117011702</v>
      </c>
      <c r="R378" s="26">
        <v>82</v>
      </c>
      <c r="T378" s="67"/>
      <c r="U378"/>
    </row>
    <row r="379" spans="1:21" ht="15" x14ac:dyDescent="0.25">
      <c r="A379" s="38" t="s">
        <v>418</v>
      </c>
      <c r="B379" s="13">
        <v>2</v>
      </c>
      <c r="C379" s="14" t="s">
        <v>74</v>
      </c>
      <c r="D379" s="13" t="s">
        <v>27</v>
      </c>
      <c r="E379" s="26" t="str">
        <f>VLOOKUP(C379,Resources!B:G,3,FALSE)</f>
        <v>P</v>
      </c>
      <c r="F379" s="15">
        <v>2</v>
      </c>
      <c r="G379" s="15">
        <f>G378</f>
        <v>1.111</v>
      </c>
      <c r="H379" s="15">
        <f>H377</f>
        <v>10</v>
      </c>
      <c r="I379" s="15">
        <f>VLOOKUP(C379,Resources!B:G,6,FALSE)</f>
        <v>90</v>
      </c>
      <c r="J379" s="27">
        <f>(H379/G379)*I379*F379</f>
        <v>1620.1620162016202</v>
      </c>
      <c r="K379" s="27">
        <f t="shared" si="483"/>
        <v>18.001800180018002</v>
      </c>
      <c r="L379" s="157">
        <f t="shared" si="484"/>
        <v>9.0009000900090008</v>
      </c>
      <c r="M379" s="28">
        <f t="shared" si="485"/>
        <v>0</v>
      </c>
      <c r="N379" s="28">
        <f t="shared" si="486"/>
        <v>0</v>
      </c>
      <c r="O379" s="28">
        <f t="shared" si="487"/>
        <v>1620.1620162016202</v>
      </c>
      <c r="P379" s="28">
        <f t="shared" si="488"/>
        <v>0</v>
      </c>
      <c r="Q379" s="28">
        <f t="shared" si="489"/>
        <v>1620.1620162016202</v>
      </c>
      <c r="R379" s="26">
        <v>82</v>
      </c>
      <c r="T379" s="67"/>
      <c r="U379"/>
    </row>
    <row r="380" spans="1:21" ht="15" x14ac:dyDescent="0.25">
      <c r="A380" s="38" t="s">
        <v>418</v>
      </c>
      <c r="B380" s="13">
        <v>3</v>
      </c>
      <c r="C380" s="14" t="s">
        <v>7</v>
      </c>
      <c r="D380" s="13" t="s">
        <v>27</v>
      </c>
      <c r="E380" s="26" t="str">
        <f>VLOOKUP(C380,Resources!B:G,3,FALSE)</f>
        <v>L</v>
      </c>
      <c r="F380" s="15">
        <v>3</v>
      </c>
      <c r="G380" s="15">
        <f>G378</f>
        <v>1.111</v>
      </c>
      <c r="H380" s="15">
        <f>H377</f>
        <v>10</v>
      </c>
      <c r="I380" s="15">
        <f>VLOOKUP(C380,Resources!B:G,6,FALSE)</f>
        <v>48</v>
      </c>
      <c r="J380" s="27">
        <f>(H380/G380)*I380*F380</f>
        <v>1296.1296129612961</v>
      </c>
      <c r="K380" s="27">
        <f t="shared" si="483"/>
        <v>27.002700270027002</v>
      </c>
      <c r="L380" s="157">
        <f t="shared" si="484"/>
        <v>9.0009000900090008</v>
      </c>
      <c r="M380" s="28">
        <f t="shared" si="485"/>
        <v>1296.1296129612961</v>
      </c>
      <c r="N380" s="28">
        <f t="shared" si="486"/>
        <v>0</v>
      </c>
      <c r="O380" s="28">
        <f t="shared" si="487"/>
        <v>0</v>
      </c>
      <c r="P380" s="28">
        <f t="shared" si="488"/>
        <v>0</v>
      </c>
      <c r="Q380" s="28">
        <f t="shared" si="489"/>
        <v>1296.1296129612961</v>
      </c>
      <c r="R380" s="26">
        <v>82</v>
      </c>
      <c r="T380" s="67"/>
      <c r="U380"/>
    </row>
    <row r="381" spans="1:21" ht="15" x14ac:dyDescent="0.25">
      <c r="A381" s="38" t="s">
        <v>418</v>
      </c>
      <c r="F381" s="11"/>
      <c r="G381" s="11"/>
      <c r="H381" s="11"/>
      <c r="I381" s="11"/>
      <c r="J381" s="11"/>
      <c r="K381" s="31"/>
      <c r="M381" s="12"/>
      <c r="N381" s="12"/>
      <c r="O381" s="12"/>
      <c r="P381" s="12"/>
      <c r="Q381" s="12"/>
      <c r="T381" s="67"/>
      <c r="U381"/>
    </row>
    <row r="382" spans="1:21" ht="33.75" x14ac:dyDescent="0.25">
      <c r="A382" s="38">
        <v>66</v>
      </c>
      <c r="B382" s="5" t="s">
        <v>141</v>
      </c>
      <c r="C382" s="5" t="s">
        <v>142</v>
      </c>
      <c r="D382" s="6" t="s">
        <v>23</v>
      </c>
      <c r="E382" s="25"/>
      <c r="F382" s="7"/>
      <c r="G382" s="7"/>
      <c r="H382" s="36">
        <f>VLOOKUP($A382,'Model Inputs'!$A:$C,3,FALSE)</f>
        <v>7.2</v>
      </c>
      <c r="I382" s="7"/>
      <c r="J382" s="8">
        <f>SUBTOTAL(9,J384:J389)</f>
        <v>2859.0480000000002</v>
      </c>
      <c r="K382" s="29"/>
      <c r="L382" s="156">
        <f>ROUNDUP(MAX(L384:L389)/Work,0)</f>
        <v>1</v>
      </c>
      <c r="M382" s="8">
        <f>SUBTOTAL(9,M384:M389)</f>
        <v>864</v>
      </c>
      <c r="N382" s="8">
        <f t="shared" ref="N382:Q382" si="490">SUBTOTAL(9,N384:N389)</f>
        <v>735.04800000000012</v>
      </c>
      <c r="O382" s="8">
        <f t="shared" si="490"/>
        <v>1260</v>
      </c>
      <c r="P382" s="8">
        <f t="shared" si="490"/>
        <v>0</v>
      </c>
      <c r="Q382" s="8">
        <f t="shared" si="490"/>
        <v>2859.0480000000002</v>
      </c>
      <c r="R382" s="25"/>
      <c r="T382" s="67"/>
      <c r="U382"/>
    </row>
    <row r="383" spans="1:21" ht="15" x14ac:dyDescent="0.25">
      <c r="A383" s="38" t="s">
        <v>418</v>
      </c>
      <c r="B383" s="13">
        <v>1</v>
      </c>
      <c r="C383" s="14" t="s">
        <v>143</v>
      </c>
      <c r="D383" s="13"/>
      <c r="E383" s="26"/>
      <c r="F383" s="15"/>
      <c r="G383" s="15"/>
      <c r="H383" s="15"/>
      <c r="I383" s="15"/>
      <c r="J383" s="15"/>
      <c r="K383" s="30"/>
      <c r="L383" s="157"/>
      <c r="M383" s="16"/>
      <c r="N383" s="16"/>
      <c r="O383" s="16"/>
      <c r="P383" s="16"/>
      <c r="Q383" s="16"/>
      <c r="R383" s="26"/>
      <c r="T383" s="67"/>
      <c r="U383"/>
    </row>
    <row r="384" spans="1:21" ht="15" x14ac:dyDescent="0.25">
      <c r="A384" s="38" t="s">
        <v>418</v>
      </c>
      <c r="B384" s="13">
        <v>2</v>
      </c>
      <c r="C384" s="14" t="s">
        <v>144</v>
      </c>
      <c r="D384" s="13" t="s">
        <v>23</v>
      </c>
      <c r="E384" s="26" t="str">
        <f>VLOOKUP(C384,Resources!B:G,3,FALSE)</f>
        <v>M</v>
      </c>
      <c r="F384" s="15">
        <v>1</v>
      </c>
      <c r="G384" s="15">
        <v>1</v>
      </c>
      <c r="H384" s="15">
        <f>H382</f>
        <v>7.2</v>
      </c>
      <c r="I384" s="15">
        <f>VLOOKUP(C384,Resources!B:G,6,FALSE)</f>
        <v>96.09</v>
      </c>
      <c r="J384" s="27">
        <f>(H384/G384)*I384*F384</f>
        <v>691.84800000000007</v>
      </c>
      <c r="K384" s="27" t="str">
        <f t="shared" ref="K384:K385" si="491">IF(E384="M"," ",L384*F384)</f>
        <v xml:space="preserve"> </v>
      </c>
      <c r="L384" s="157" t="str">
        <f t="shared" ref="L384:L385" si="492">IF(E384="M"," ",H384/G384)</f>
        <v xml:space="preserve"> </v>
      </c>
      <c r="M384" s="28">
        <f t="shared" ref="M384:M385" si="493">IF($E384="L",$J384,0)</f>
        <v>0</v>
      </c>
      <c r="N384" s="28">
        <f t="shared" ref="N384:N385" si="494">IF($E384="M",$J384,0)</f>
        <v>691.84800000000007</v>
      </c>
      <c r="O384" s="28">
        <f t="shared" ref="O384:O385" si="495">IF($E384="P",$J384,0)</f>
        <v>0</v>
      </c>
      <c r="P384" s="28">
        <f t="shared" ref="P384:P385" si="496">IF($E384="S",$J384,0)</f>
        <v>0</v>
      </c>
      <c r="Q384" s="28">
        <f t="shared" ref="Q384:Q385" si="497">SUM(M384:P384)</f>
        <v>691.84800000000007</v>
      </c>
      <c r="R384" s="26" t="s">
        <v>475</v>
      </c>
      <c r="T384" s="67"/>
      <c r="U384"/>
    </row>
    <row r="385" spans="1:21" ht="15" x14ac:dyDescent="0.25">
      <c r="A385" s="38" t="s">
        <v>418</v>
      </c>
      <c r="B385" s="13">
        <v>3</v>
      </c>
      <c r="C385" s="14" t="s">
        <v>145</v>
      </c>
      <c r="D385" s="13" t="s">
        <v>26</v>
      </c>
      <c r="E385" s="26" t="str">
        <f>VLOOKUP(C385,Resources!B:G,3,FALSE)</f>
        <v>M</v>
      </c>
      <c r="F385" s="15">
        <v>1</v>
      </c>
      <c r="G385" s="15">
        <v>1</v>
      </c>
      <c r="H385" s="15">
        <f>H382/4</f>
        <v>1.8</v>
      </c>
      <c r="I385" s="15">
        <f>VLOOKUP(C385,Resources!B:G,6,FALSE)</f>
        <v>24</v>
      </c>
      <c r="J385" s="27">
        <f>(H385/G385)*I385*F385</f>
        <v>43.2</v>
      </c>
      <c r="K385" s="27" t="str">
        <f t="shared" si="491"/>
        <v xml:space="preserve"> </v>
      </c>
      <c r="L385" s="157" t="str">
        <f t="shared" si="492"/>
        <v xml:space="preserve"> </v>
      </c>
      <c r="M385" s="28">
        <f t="shared" si="493"/>
        <v>0</v>
      </c>
      <c r="N385" s="28">
        <f t="shared" si="494"/>
        <v>43.2</v>
      </c>
      <c r="O385" s="28">
        <f t="shared" si="495"/>
        <v>0</v>
      </c>
      <c r="P385" s="28">
        <f t="shared" si="496"/>
        <v>0</v>
      </c>
      <c r="Q385" s="28">
        <f t="shared" si="497"/>
        <v>43.2</v>
      </c>
      <c r="R385" s="26" t="s">
        <v>476</v>
      </c>
      <c r="T385" s="67"/>
      <c r="U385"/>
    </row>
    <row r="386" spans="1:21" ht="15" x14ac:dyDescent="0.25">
      <c r="A386" s="38" t="s">
        <v>418</v>
      </c>
      <c r="B386" s="13">
        <v>4</v>
      </c>
      <c r="C386" s="14" t="s">
        <v>146</v>
      </c>
      <c r="D386" s="13"/>
      <c r="E386" s="26"/>
      <c r="F386" s="15"/>
      <c r="G386" s="15"/>
      <c r="H386" s="15"/>
      <c r="I386" s="15"/>
      <c r="J386" s="15"/>
      <c r="K386" s="30"/>
      <c r="L386" s="157"/>
      <c r="M386" s="16"/>
      <c r="N386" s="16"/>
      <c r="O386" s="16"/>
      <c r="P386" s="16"/>
      <c r="Q386" s="16"/>
      <c r="R386" s="26"/>
      <c r="T386" s="67"/>
      <c r="U386"/>
    </row>
    <row r="387" spans="1:21" ht="15" x14ac:dyDescent="0.25">
      <c r="A387" s="38">
        <v>66.099999999999994</v>
      </c>
      <c r="B387" s="13">
        <v>5</v>
      </c>
      <c r="C387" s="14" t="s">
        <v>73</v>
      </c>
      <c r="D387" s="13" t="s">
        <v>27</v>
      </c>
      <c r="E387" s="26" t="str">
        <f>VLOOKUP(C387,Resources!B:G,3,FALSE)</f>
        <v>P</v>
      </c>
      <c r="F387" s="15">
        <v>1</v>
      </c>
      <c r="G387" s="36">
        <f>VLOOKUP($A387,'Model Inputs'!$A:$C,3,FALSE)</f>
        <v>0.8</v>
      </c>
      <c r="H387" s="15">
        <f>H382</f>
        <v>7.2</v>
      </c>
      <c r="I387" s="15">
        <f>VLOOKUP(C387,Resources!B:G,6,FALSE)</f>
        <v>130</v>
      </c>
      <c r="J387" s="27">
        <f>(H387/G387)*I387*F387</f>
        <v>1170</v>
      </c>
      <c r="K387" s="27">
        <f t="shared" ref="K387:K389" si="498">IF(E387="M"," ",L387*F387)</f>
        <v>9</v>
      </c>
      <c r="L387" s="157">
        <f t="shared" ref="L387:L389" si="499">IF(E387="M"," ",H387/G387)</f>
        <v>9</v>
      </c>
      <c r="M387" s="28">
        <f t="shared" ref="M387:M389" si="500">IF($E387="L",$J387,0)</f>
        <v>0</v>
      </c>
      <c r="N387" s="28">
        <f t="shared" ref="N387:N389" si="501">IF($E387="M",$J387,0)</f>
        <v>0</v>
      </c>
      <c r="O387" s="28">
        <f t="shared" ref="O387:O389" si="502">IF($E387="P",$J387,0)</f>
        <v>1170</v>
      </c>
      <c r="P387" s="28">
        <f t="shared" ref="P387:P389" si="503">IF($E387="S",$J387,0)</f>
        <v>0</v>
      </c>
      <c r="Q387" s="28">
        <f t="shared" ref="Q387:Q389" si="504">SUM(M387:P387)</f>
        <v>1170</v>
      </c>
      <c r="R387" s="26">
        <v>81</v>
      </c>
      <c r="T387" s="67"/>
      <c r="U387"/>
    </row>
    <row r="388" spans="1:21" ht="15" x14ac:dyDescent="0.25">
      <c r="A388" s="38" t="s">
        <v>418</v>
      </c>
      <c r="B388" s="13">
        <v>6</v>
      </c>
      <c r="C388" s="14" t="s">
        <v>7</v>
      </c>
      <c r="D388" s="13" t="s">
        <v>27</v>
      </c>
      <c r="E388" s="26" t="str">
        <f>VLOOKUP(C388,Resources!B:G,3,FALSE)</f>
        <v>L</v>
      </c>
      <c r="F388" s="15">
        <v>2</v>
      </c>
      <c r="G388" s="15">
        <f>G387</f>
        <v>0.8</v>
      </c>
      <c r="H388" s="15">
        <f>H382</f>
        <v>7.2</v>
      </c>
      <c r="I388" s="15">
        <f>VLOOKUP(C388,Resources!B:G,6,FALSE)</f>
        <v>48</v>
      </c>
      <c r="J388" s="27">
        <f>(H388/G388)*I388*F388</f>
        <v>864</v>
      </c>
      <c r="K388" s="27">
        <f t="shared" si="498"/>
        <v>18</v>
      </c>
      <c r="L388" s="157">
        <f t="shared" si="499"/>
        <v>9</v>
      </c>
      <c r="M388" s="28">
        <f t="shared" si="500"/>
        <v>864</v>
      </c>
      <c r="N388" s="28">
        <f t="shared" si="501"/>
        <v>0</v>
      </c>
      <c r="O388" s="28">
        <f t="shared" si="502"/>
        <v>0</v>
      </c>
      <c r="P388" s="28">
        <f t="shared" si="503"/>
        <v>0</v>
      </c>
      <c r="Q388" s="28">
        <f t="shared" si="504"/>
        <v>864</v>
      </c>
      <c r="R388" s="26">
        <v>81</v>
      </c>
      <c r="T388" s="67"/>
      <c r="U388"/>
    </row>
    <row r="389" spans="1:21" ht="15" x14ac:dyDescent="0.25">
      <c r="A389" s="38" t="s">
        <v>418</v>
      </c>
      <c r="B389" s="13">
        <v>7</v>
      </c>
      <c r="C389" s="14" t="s">
        <v>147</v>
      </c>
      <c r="D389" s="13" t="s">
        <v>27</v>
      </c>
      <c r="E389" s="26" t="str">
        <f>VLOOKUP(C389,Resources!B:G,3,FALSE)</f>
        <v>P</v>
      </c>
      <c r="F389" s="15">
        <v>1</v>
      </c>
      <c r="G389" s="15">
        <f>G387</f>
        <v>0.8</v>
      </c>
      <c r="H389" s="15">
        <f>H382</f>
        <v>7.2</v>
      </c>
      <c r="I389" s="15">
        <f>VLOOKUP(C389,Resources!B:G,6,FALSE)</f>
        <v>10</v>
      </c>
      <c r="J389" s="27">
        <f>(H389/G389)*I389*F389</f>
        <v>90</v>
      </c>
      <c r="K389" s="27">
        <f t="shared" si="498"/>
        <v>9</v>
      </c>
      <c r="L389" s="157">
        <f t="shared" si="499"/>
        <v>9</v>
      </c>
      <c r="M389" s="28">
        <f t="shared" si="500"/>
        <v>0</v>
      </c>
      <c r="N389" s="28">
        <f t="shared" si="501"/>
        <v>0</v>
      </c>
      <c r="O389" s="28">
        <f t="shared" si="502"/>
        <v>90</v>
      </c>
      <c r="P389" s="28">
        <f t="shared" si="503"/>
        <v>0</v>
      </c>
      <c r="Q389" s="28">
        <f t="shared" si="504"/>
        <v>90</v>
      </c>
      <c r="R389" s="26">
        <v>81</v>
      </c>
      <c r="T389" s="67"/>
      <c r="U389"/>
    </row>
    <row r="390" spans="1:21" ht="15" x14ac:dyDescent="0.25">
      <c r="A390" s="38" t="s">
        <v>418</v>
      </c>
      <c r="F390" s="11"/>
      <c r="G390" s="11"/>
      <c r="H390" s="11"/>
      <c r="I390" s="11"/>
      <c r="J390" s="11"/>
      <c r="K390" s="31"/>
      <c r="M390" s="12"/>
      <c r="N390" s="12"/>
      <c r="O390" s="12"/>
      <c r="P390" s="12"/>
      <c r="Q390" s="12"/>
      <c r="T390" s="67"/>
      <c r="U390"/>
    </row>
    <row r="391" spans="1:21" ht="33.75" x14ac:dyDescent="0.25">
      <c r="A391" s="38">
        <v>67</v>
      </c>
      <c r="B391" s="5" t="s">
        <v>148</v>
      </c>
      <c r="C391" s="5" t="s">
        <v>149</v>
      </c>
      <c r="D391" s="6" t="s">
        <v>23</v>
      </c>
      <c r="E391" s="25"/>
      <c r="F391" s="7"/>
      <c r="G391" s="7"/>
      <c r="H391" s="36">
        <f>VLOOKUP($A391,'Model Inputs'!$A:$C,3,FALSE)</f>
        <v>6</v>
      </c>
      <c r="I391" s="7"/>
      <c r="J391" s="8">
        <f>SUBTOTAL(9,J393:J398)</f>
        <v>2974.9385307346329</v>
      </c>
      <c r="K391" s="29"/>
      <c r="L391" s="156">
        <f>ROUNDUP(MAX(L393:L398)/Work,0)</f>
        <v>1</v>
      </c>
      <c r="M391" s="8">
        <f>SUBTOTAL(9,M393:M398)</f>
        <v>863.56821589205401</v>
      </c>
      <c r="N391" s="8">
        <f t="shared" ref="N391:Q391" si="505">SUBTOTAL(9,N393:N398)</f>
        <v>852</v>
      </c>
      <c r="O391" s="8">
        <f t="shared" si="505"/>
        <v>1259.3703148425789</v>
      </c>
      <c r="P391" s="8">
        <f t="shared" si="505"/>
        <v>0</v>
      </c>
      <c r="Q391" s="8">
        <f t="shared" si="505"/>
        <v>2974.9385307346329</v>
      </c>
      <c r="R391" s="25"/>
      <c r="T391" s="67"/>
      <c r="U391"/>
    </row>
    <row r="392" spans="1:21" ht="15" x14ac:dyDescent="0.25">
      <c r="A392" s="38" t="s">
        <v>418</v>
      </c>
      <c r="B392" s="13">
        <v>1</v>
      </c>
      <c r="C392" s="14" t="s">
        <v>143</v>
      </c>
      <c r="D392" s="13"/>
      <c r="E392" s="26"/>
      <c r="F392" s="15"/>
      <c r="G392" s="15"/>
      <c r="H392" s="15"/>
      <c r="I392" s="15"/>
      <c r="J392" s="15"/>
      <c r="K392" s="30"/>
      <c r="L392" s="157"/>
      <c r="M392" s="16"/>
      <c r="N392" s="16"/>
      <c r="O392" s="16"/>
      <c r="P392" s="16"/>
      <c r="Q392" s="16"/>
      <c r="R392" s="26"/>
      <c r="T392" s="67"/>
      <c r="U392"/>
    </row>
    <row r="393" spans="1:21" ht="15" x14ac:dyDescent="0.25">
      <c r="A393" s="38" t="s">
        <v>418</v>
      </c>
      <c r="B393" s="13">
        <v>2</v>
      </c>
      <c r="C393" s="14" t="s">
        <v>150</v>
      </c>
      <c r="D393" s="13" t="s">
        <v>23</v>
      </c>
      <c r="E393" s="26" t="str">
        <f>VLOOKUP(C393,Resources!B:G,3,FALSE)</f>
        <v>M</v>
      </c>
      <c r="F393" s="15">
        <v>1</v>
      </c>
      <c r="G393" s="15">
        <v>1</v>
      </c>
      <c r="H393" s="15">
        <f>H391</f>
        <v>6</v>
      </c>
      <c r="I393" s="15">
        <f>VLOOKUP(C393,Resources!B:G,6,FALSE)</f>
        <v>136</v>
      </c>
      <c r="J393" s="27">
        <f>(H393/G393)*I393*F393</f>
        <v>816</v>
      </c>
      <c r="K393" s="27" t="str">
        <f t="shared" ref="K393:K394" si="506">IF(E393="M"," ",L393*F393)</f>
        <v xml:space="preserve"> </v>
      </c>
      <c r="L393" s="157" t="str">
        <f t="shared" ref="L393:L394" si="507">IF(E393="M"," ",H393/G393)</f>
        <v xml:space="preserve"> </v>
      </c>
      <c r="M393" s="28">
        <f t="shared" ref="M393:M394" si="508">IF($E393="L",$J393,0)</f>
        <v>0</v>
      </c>
      <c r="N393" s="28">
        <f t="shared" ref="N393:N394" si="509">IF($E393="M",$J393,0)</f>
        <v>816</v>
      </c>
      <c r="O393" s="28">
        <f t="shared" ref="O393:O394" si="510">IF($E393="P",$J393,0)</f>
        <v>0</v>
      </c>
      <c r="P393" s="28">
        <f t="shared" ref="P393:P394" si="511">IF($E393="S",$J393,0)</f>
        <v>0</v>
      </c>
      <c r="Q393" s="28">
        <f t="shared" ref="Q393:Q394" si="512">SUM(M393:P393)</f>
        <v>816</v>
      </c>
      <c r="R393" s="26" t="s">
        <v>475</v>
      </c>
      <c r="T393" s="67"/>
      <c r="U393"/>
    </row>
    <row r="394" spans="1:21" ht="15" x14ac:dyDescent="0.25">
      <c r="A394" s="38" t="s">
        <v>418</v>
      </c>
      <c r="B394" s="13">
        <v>3</v>
      </c>
      <c r="C394" s="14" t="s">
        <v>145</v>
      </c>
      <c r="D394" s="13" t="s">
        <v>26</v>
      </c>
      <c r="E394" s="26" t="str">
        <f>VLOOKUP(C394,Resources!B:G,3,FALSE)</f>
        <v>M</v>
      </c>
      <c r="F394" s="15">
        <v>1</v>
      </c>
      <c r="G394" s="15">
        <v>1</v>
      </c>
      <c r="H394" s="15">
        <f>H391/4</f>
        <v>1.5</v>
      </c>
      <c r="I394" s="15">
        <f>VLOOKUP(C394,Resources!B:G,6,FALSE)</f>
        <v>24</v>
      </c>
      <c r="J394" s="27">
        <f>(H394/G394)*I394*F394</f>
        <v>36</v>
      </c>
      <c r="K394" s="27" t="str">
        <f t="shared" si="506"/>
        <v xml:space="preserve"> </v>
      </c>
      <c r="L394" s="157" t="str">
        <f t="shared" si="507"/>
        <v xml:space="preserve"> </v>
      </c>
      <c r="M394" s="28">
        <f t="shared" si="508"/>
        <v>0</v>
      </c>
      <c r="N394" s="28">
        <f t="shared" si="509"/>
        <v>36</v>
      </c>
      <c r="O394" s="28">
        <f t="shared" si="510"/>
        <v>0</v>
      </c>
      <c r="P394" s="28">
        <f t="shared" si="511"/>
        <v>0</v>
      </c>
      <c r="Q394" s="28">
        <f t="shared" si="512"/>
        <v>36</v>
      </c>
      <c r="R394" s="26" t="s">
        <v>476</v>
      </c>
      <c r="T394" s="67"/>
      <c r="U394"/>
    </row>
    <row r="395" spans="1:21" ht="15" x14ac:dyDescent="0.25">
      <c r="A395" s="38" t="s">
        <v>418</v>
      </c>
      <c r="B395" s="13">
        <v>4</v>
      </c>
      <c r="C395" s="14" t="s">
        <v>146</v>
      </c>
      <c r="D395" s="13"/>
      <c r="E395" s="26"/>
      <c r="F395" s="15"/>
      <c r="G395" s="15"/>
      <c r="H395" s="15"/>
      <c r="I395" s="15"/>
      <c r="J395" s="15"/>
      <c r="K395" s="30"/>
      <c r="L395" s="157"/>
      <c r="M395" s="16"/>
      <c r="N395" s="16"/>
      <c r="O395" s="16"/>
      <c r="P395" s="16"/>
      <c r="Q395" s="16"/>
      <c r="R395" s="26"/>
      <c r="T395" s="67"/>
      <c r="U395"/>
    </row>
    <row r="396" spans="1:21" ht="15" x14ac:dyDescent="0.25">
      <c r="A396" s="38">
        <v>67.099999999999994</v>
      </c>
      <c r="B396" s="13">
        <v>5</v>
      </c>
      <c r="C396" s="14" t="s">
        <v>73</v>
      </c>
      <c r="D396" s="13" t="s">
        <v>27</v>
      </c>
      <c r="E396" s="26" t="str">
        <f>VLOOKUP(C396,Resources!B:G,3,FALSE)</f>
        <v>P</v>
      </c>
      <c r="F396" s="15">
        <v>1</v>
      </c>
      <c r="G396" s="36">
        <f>VLOOKUP($A396,'Model Inputs'!$A:$C,3,FALSE)</f>
        <v>0.66700000000000004</v>
      </c>
      <c r="H396" s="15">
        <f>H391</f>
        <v>6</v>
      </c>
      <c r="I396" s="15">
        <f>VLOOKUP(C396,Resources!B:G,6,FALSE)</f>
        <v>130</v>
      </c>
      <c r="J396" s="27">
        <f>(H396/G396)*I396*F396</f>
        <v>1169.4152923538231</v>
      </c>
      <c r="K396" s="27">
        <f t="shared" ref="K396:K398" si="513">IF(E396="M"," ",L396*F396)</f>
        <v>8.995502248875562</v>
      </c>
      <c r="L396" s="157">
        <f t="shared" ref="L396:L398" si="514">IF(E396="M"," ",H396/G396)</f>
        <v>8.995502248875562</v>
      </c>
      <c r="M396" s="28">
        <f t="shared" ref="M396:M398" si="515">IF($E396="L",$J396,0)</f>
        <v>0</v>
      </c>
      <c r="N396" s="28">
        <f t="shared" ref="N396:N398" si="516">IF($E396="M",$J396,0)</f>
        <v>0</v>
      </c>
      <c r="O396" s="28">
        <f t="shared" ref="O396:O398" si="517">IF($E396="P",$J396,0)</f>
        <v>1169.4152923538231</v>
      </c>
      <c r="P396" s="28">
        <f t="shared" ref="P396:P398" si="518">IF($E396="S",$J396,0)</f>
        <v>0</v>
      </c>
      <c r="Q396" s="28">
        <f t="shared" ref="Q396:Q398" si="519">SUM(M396:P396)</f>
        <v>1169.4152923538231</v>
      </c>
      <c r="R396" s="26">
        <v>81</v>
      </c>
      <c r="T396" s="67"/>
      <c r="U396"/>
    </row>
    <row r="397" spans="1:21" ht="15" x14ac:dyDescent="0.25">
      <c r="A397" s="38" t="s">
        <v>418</v>
      </c>
      <c r="B397" s="13">
        <v>6</v>
      </c>
      <c r="C397" s="14" t="s">
        <v>7</v>
      </c>
      <c r="D397" s="13" t="s">
        <v>27</v>
      </c>
      <c r="E397" s="26" t="str">
        <f>VLOOKUP(C397,Resources!B:G,3,FALSE)</f>
        <v>L</v>
      </c>
      <c r="F397" s="15">
        <v>2</v>
      </c>
      <c r="G397" s="15">
        <f>G396</f>
        <v>0.66700000000000004</v>
      </c>
      <c r="H397" s="15">
        <f>H391</f>
        <v>6</v>
      </c>
      <c r="I397" s="15">
        <f>VLOOKUP(C397,Resources!B:G,6,FALSE)</f>
        <v>48</v>
      </c>
      <c r="J397" s="27">
        <f>(H397/G397)*I397*F397</f>
        <v>863.56821589205401</v>
      </c>
      <c r="K397" s="27">
        <f t="shared" si="513"/>
        <v>17.991004497751124</v>
      </c>
      <c r="L397" s="157">
        <f t="shared" si="514"/>
        <v>8.995502248875562</v>
      </c>
      <c r="M397" s="28">
        <f t="shared" si="515"/>
        <v>863.56821589205401</v>
      </c>
      <c r="N397" s="28">
        <f t="shared" si="516"/>
        <v>0</v>
      </c>
      <c r="O397" s="28">
        <f t="shared" si="517"/>
        <v>0</v>
      </c>
      <c r="P397" s="28">
        <f t="shared" si="518"/>
        <v>0</v>
      </c>
      <c r="Q397" s="28">
        <f t="shared" si="519"/>
        <v>863.56821589205401</v>
      </c>
      <c r="R397" s="26">
        <v>81</v>
      </c>
      <c r="T397" s="67"/>
      <c r="U397"/>
    </row>
    <row r="398" spans="1:21" ht="15" x14ac:dyDescent="0.25">
      <c r="A398" s="38" t="s">
        <v>418</v>
      </c>
      <c r="B398" s="13">
        <v>7</v>
      </c>
      <c r="C398" s="14" t="s">
        <v>147</v>
      </c>
      <c r="D398" s="13" t="s">
        <v>27</v>
      </c>
      <c r="E398" s="26" t="str">
        <f>VLOOKUP(C398,Resources!B:G,3,FALSE)</f>
        <v>P</v>
      </c>
      <c r="F398" s="15">
        <v>1</v>
      </c>
      <c r="G398" s="15">
        <f>G396</f>
        <v>0.66700000000000004</v>
      </c>
      <c r="H398" s="15">
        <f>H391</f>
        <v>6</v>
      </c>
      <c r="I398" s="15">
        <f>VLOOKUP(C398,Resources!B:G,6,FALSE)</f>
        <v>10</v>
      </c>
      <c r="J398" s="27">
        <f>(H398/G398)*I398*F398</f>
        <v>89.955022488755617</v>
      </c>
      <c r="K398" s="27">
        <f t="shared" si="513"/>
        <v>8.995502248875562</v>
      </c>
      <c r="L398" s="157">
        <f t="shared" si="514"/>
        <v>8.995502248875562</v>
      </c>
      <c r="M398" s="28">
        <f t="shared" si="515"/>
        <v>0</v>
      </c>
      <c r="N398" s="28">
        <f t="shared" si="516"/>
        <v>0</v>
      </c>
      <c r="O398" s="28">
        <f t="shared" si="517"/>
        <v>89.955022488755617</v>
      </c>
      <c r="P398" s="28">
        <f t="shared" si="518"/>
        <v>0</v>
      </c>
      <c r="Q398" s="28">
        <f t="shared" si="519"/>
        <v>89.955022488755617</v>
      </c>
      <c r="R398" s="26">
        <v>81</v>
      </c>
      <c r="T398" s="67"/>
      <c r="U398"/>
    </row>
    <row r="399" spans="1:21" ht="15" x14ac:dyDescent="0.25">
      <c r="A399" s="38" t="s">
        <v>418</v>
      </c>
      <c r="F399" s="11"/>
      <c r="G399" s="11"/>
      <c r="H399" s="11"/>
      <c r="I399" s="11"/>
      <c r="J399" s="11"/>
      <c r="K399" s="31"/>
      <c r="M399" s="12"/>
      <c r="N399" s="12"/>
      <c r="O399" s="12"/>
      <c r="P399" s="12"/>
      <c r="Q399" s="12"/>
      <c r="T399" s="67"/>
      <c r="U399"/>
    </row>
    <row r="400" spans="1:21" ht="33.75" x14ac:dyDescent="0.25">
      <c r="A400" s="38">
        <v>68</v>
      </c>
      <c r="B400" s="5" t="s">
        <v>151</v>
      </c>
      <c r="C400" s="5" t="s">
        <v>152</v>
      </c>
      <c r="D400" s="6" t="s">
        <v>23</v>
      </c>
      <c r="E400" s="25"/>
      <c r="F400" s="7"/>
      <c r="G400" s="7"/>
      <c r="H400" s="36">
        <f>VLOOKUP($A400,'Model Inputs'!$A:$C,3,FALSE)</f>
        <v>6</v>
      </c>
      <c r="I400" s="7"/>
      <c r="J400" s="8">
        <f>SUBTOTAL(9,J402:J407)</f>
        <v>3268.9385307346329</v>
      </c>
      <c r="K400" s="29"/>
      <c r="L400" s="156">
        <f>ROUNDUP(MAX(L402:L407)/Work,0)</f>
        <v>1</v>
      </c>
      <c r="M400" s="8">
        <f>SUBTOTAL(9,M402:M407)</f>
        <v>863.56821589205401</v>
      </c>
      <c r="N400" s="8">
        <f t="shared" ref="N400:Q400" si="520">SUBTOTAL(9,N402:N407)</f>
        <v>1146</v>
      </c>
      <c r="O400" s="8">
        <f t="shared" si="520"/>
        <v>1259.3703148425789</v>
      </c>
      <c r="P400" s="8">
        <f t="shared" si="520"/>
        <v>0</v>
      </c>
      <c r="Q400" s="8">
        <f t="shared" si="520"/>
        <v>3268.9385307346329</v>
      </c>
      <c r="R400" s="25"/>
      <c r="T400" s="67"/>
      <c r="U400"/>
    </row>
    <row r="401" spans="1:21" ht="15" x14ac:dyDescent="0.25">
      <c r="A401" s="38" t="s">
        <v>418</v>
      </c>
      <c r="B401" s="13">
        <v>1</v>
      </c>
      <c r="C401" s="14" t="s">
        <v>143</v>
      </c>
      <c r="D401" s="13"/>
      <c r="E401" s="26"/>
      <c r="F401" s="15"/>
      <c r="G401" s="15"/>
      <c r="H401" s="15"/>
      <c r="I401" s="15"/>
      <c r="J401" s="15"/>
      <c r="K401" s="30"/>
      <c r="L401" s="157"/>
      <c r="M401" s="16"/>
      <c r="N401" s="16"/>
      <c r="O401" s="16"/>
      <c r="P401" s="16"/>
      <c r="Q401" s="16"/>
      <c r="R401" s="26"/>
      <c r="T401" s="67"/>
      <c r="U401"/>
    </row>
    <row r="402" spans="1:21" ht="15" x14ac:dyDescent="0.25">
      <c r="A402" s="38" t="s">
        <v>418</v>
      </c>
      <c r="B402" s="13">
        <v>2</v>
      </c>
      <c r="C402" s="14" t="s">
        <v>270</v>
      </c>
      <c r="D402" s="13" t="s">
        <v>23</v>
      </c>
      <c r="E402" s="26" t="str">
        <f>VLOOKUP(C402,Resources!B:G,3,FALSE)</f>
        <v>M</v>
      </c>
      <c r="F402" s="15">
        <v>1</v>
      </c>
      <c r="G402" s="15">
        <v>1</v>
      </c>
      <c r="H402" s="15">
        <f>H400</f>
        <v>6</v>
      </c>
      <c r="I402" s="15">
        <f>VLOOKUP(C402,Resources!B:G,6,FALSE)</f>
        <v>185</v>
      </c>
      <c r="J402" s="27">
        <f>(H402/G402)*I402*F402</f>
        <v>1110</v>
      </c>
      <c r="K402" s="27" t="str">
        <f t="shared" ref="K402:K403" si="521">IF(E402="M"," ",L402*F402)</f>
        <v xml:space="preserve"> </v>
      </c>
      <c r="L402" s="157" t="str">
        <f t="shared" ref="L402:L403" si="522">IF(E402="M"," ",H402/G402)</f>
        <v xml:space="preserve"> </v>
      </c>
      <c r="M402" s="28">
        <f t="shared" ref="M402:M403" si="523">IF($E402="L",$J402,0)</f>
        <v>0</v>
      </c>
      <c r="N402" s="28">
        <f t="shared" ref="N402:N403" si="524">IF($E402="M",$J402,0)</f>
        <v>1110</v>
      </c>
      <c r="O402" s="28">
        <f t="shared" ref="O402:O403" si="525">IF($E402="P",$J402,0)</f>
        <v>0</v>
      </c>
      <c r="P402" s="28">
        <f t="shared" ref="P402:P403" si="526">IF($E402="S",$J402,0)</f>
        <v>0</v>
      </c>
      <c r="Q402" s="28">
        <f t="shared" ref="Q402:Q403" si="527">SUM(M402:P402)</f>
        <v>1110</v>
      </c>
      <c r="R402" s="26" t="s">
        <v>475</v>
      </c>
      <c r="T402" s="67"/>
      <c r="U402"/>
    </row>
    <row r="403" spans="1:21" ht="15" x14ac:dyDescent="0.25">
      <c r="A403" s="38" t="s">
        <v>418</v>
      </c>
      <c r="B403" s="13">
        <v>3</v>
      </c>
      <c r="C403" s="14" t="s">
        <v>145</v>
      </c>
      <c r="D403" s="13" t="s">
        <v>26</v>
      </c>
      <c r="E403" s="26" t="str">
        <f>VLOOKUP(C403,Resources!B:G,3,FALSE)</f>
        <v>M</v>
      </c>
      <c r="F403" s="15">
        <v>1</v>
      </c>
      <c r="G403" s="15">
        <v>1</v>
      </c>
      <c r="H403" s="15">
        <f>H400/4</f>
        <v>1.5</v>
      </c>
      <c r="I403" s="15">
        <f>VLOOKUP(C403,Resources!B:G,6,FALSE)</f>
        <v>24</v>
      </c>
      <c r="J403" s="27">
        <f>(H403/G403)*I403*F403</f>
        <v>36</v>
      </c>
      <c r="K403" s="27" t="str">
        <f t="shared" si="521"/>
        <v xml:space="preserve"> </v>
      </c>
      <c r="L403" s="157" t="str">
        <f t="shared" si="522"/>
        <v xml:space="preserve"> </v>
      </c>
      <c r="M403" s="28">
        <f t="shared" si="523"/>
        <v>0</v>
      </c>
      <c r="N403" s="28">
        <f t="shared" si="524"/>
        <v>36</v>
      </c>
      <c r="O403" s="28">
        <f t="shared" si="525"/>
        <v>0</v>
      </c>
      <c r="P403" s="28">
        <f t="shared" si="526"/>
        <v>0</v>
      </c>
      <c r="Q403" s="28">
        <f t="shared" si="527"/>
        <v>36</v>
      </c>
      <c r="R403" s="26" t="s">
        <v>476</v>
      </c>
      <c r="T403" s="67"/>
      <c r="U403"/>
    </row>
    <row r="404" spans="1:21" ht="15" x14ac:dyDescent="0.25">
      <c r="A404" s="38" t="s">
        <v>418</v>
      </c>
      <c r="B404" s="13">
        <v>4</v>
      </c>
      <c r="C404" s="14" t="s">
        <v>146</v>
      </c>
      <c r="D404" s="13"/>
      <c r="E404" s="26"/>
      <c r="F404" s="15"/>
      <c r="G404" s="15"/>
      <c r="H404" s="15"/>
      <c r="I404" s="15"/>
      <c r="J404" s="15"/>
      <c r="K404" s="30"/>
      <c r="L404" s="157"/>
      <c r="M404" s="16"/>
      <c r="N404" s="16"/>
      <c r="O404" s="16"/>
      <c r="P404" s="16"/>
      <c r="Q404" s="16"/>
      <c r="R404" s="26"/>
      <c r="T404" s="67"/>
      <c r="U404"/>
    </row>
    <row r="405" spans="1:21" ht="15" x14ac:dyDescent="0.25">
      <c r="A405" s="38">
        <v>68.099999999999994</v>
      </c>
      <c r="B405" s="13">
        <v>5</v>
      </c>
      <c r="C405" s="14" t="s">
        <v>73</v>
      </c>
      <c r="D405" s="13" t="s">
        <v>27</v>
      </c>
      <c r="E405" s="26" t="str">
        <f>VLOOKUP(C405,Resources!B:G,3,FALSE)</f>
        <v>P</v>
      </c>
      <c r="F405" s="15">
        <v>1</v>
      </c>
      <c r="G405" s="36">
        <f>VLOOKUP($A405,'Model Inputs'!$A:$C,3,FALSE)</f>
        <v>0.66700000000000004</v>
      </c>
      <c r="H405" s="15">
        <f>H400</f>
        <v>6</v>
      </c>
      <c r="I405" s="15">
        <f>VLOOKUP(C405,Resources!B:G,6,FALSE)</f>
        <v>130</v>
      </c>
      <c r="J405" s="27">
        <f>(H405/G405)*I405*F405</f>
        <v>1169.4152923538231</v>
      </c>
      <c r="K405" s="27">
        <f t="shared" ref="K405:K407" si="528">IF(E405="M"," ",L405*F405)</f>
        <v>8.995502248875562</v>
      </c>
      <c r="L405" s="157">
        <f t="shared" ref="L405:L407" si="529">IF(E405="M"," ",H405/G405)</f>
        <v>8.995502248875562</v>
      </c>
      <c r="M405" s="28">
        <f t="shared" ref="M405:M407" si="530">IF($E405="L",$J405,0)</f>
        <v>0</v>
      </c>
      <c r="N405" s="28">
        <f t="shared" ref="N405:N407" si="531">IF($E405="M",$J405,0)</f>
        <v>0</v>
      </c>
      <c r="O405" s="28">
        <f t="shared" ref="O405:O407" si="532">IF($E405="P",$J405,0)</f>
        <v>1169.4152923538231</v>
      </c>
      <c r="P405" s="28">
        <f t="shared" ref="P405:P407" si="533">IF($E405="S",$J405,0)</f>
        <v>0</v>
      </c>
      <c r="Q405" s="28">
        <f t="shared" ref="Q405:Q407" si="534">SUM(M405:P405)</f>
        <v>1169.4152923538231</v>
      </c>
      <c r="R405" s="26">
        <v>82</v>
      </c>
      <c r="T405" s="67"/>
      <c r="U405"/>
    </row>
    <row r="406" spans="1:21" ht="15" x14ac:dyDescent="0.25">
      <c r="A406" s="38" t="s">
        <v>418</v>
      </c>
      <c r="B406" s="13">
        <v>6</v>
      </c>
      <c r="C406" s="14" t="s">
        <v>7</v>
      </c>
      <c r="D406" s="13" t="s">
        <v>27</v>
      </c>
      <c r="E406" s="26" t="str">
        <f>VLOOKUP(C406,Resources!B:G,3,FALSE)</f>
        <v>L</v>
      </c>
      <c r="F406" s="15">
        <v>2</v>
      </c>
      <c r="G406" s="15">
        <f>G405</f>
        <v>0.66700000000000004</v>
      </c>
      <c r="H406" s="15">
        <f>H400</f>
        <v>6</v>
      </c>
      <c r="I406" s="15">
        <f>VLOOKUP(C406,Resources!B:G,6,FALSE)</f>
        <v>48</v>
      </c>
      <c r="J406" s="27">
        <f>(H406/G406)*I406*F406</f>
        <v>863.56821589205401</v>
      </c>
      <c r="K406" s="27">
        <f t="shared" si="528"/>
        <v>17.991004497751124</v>
      </c>
      <c r="L406" s="157">
        <f t="shared" si="529"/>
        <v>8.995502248875562</v>
      </c>
      <c r="M406" s="28">
        <f t="shared" si="530"/>
        <v>863.56821589205401</v>
      </c>
      <c r="N406" s="28">
        <f t="shared" si="531"/>
        <v>0</v>
      </c>
      <c r="O406" s="28">
        <f t="shared" si="532"/>
        <v>0</v>
      </c>
      <c r="P406" s="28">
        <f t="shared" si="533"/>
        <v>0</v>
      </c>
      <c r="Q406" s="28">
        <f t="shared" si="534"/>
        <v>863.56821589205401</v>
      </c>
      <c r="R406" s="26">
        <v>82</v>
      </c>
      <c r="T406" s="67"/>
      <c r="U406"/>
    </row>
    <row r="407" spans="1:21" ht="15" x14ac:dyDescent="0.25">
      <c r="A407" s="38" t="s">
        <v>418</v>
      </c>
      <c r="B407" s="13">
        <v>7</v>
      </c>
      <c r="C407" s="14" t="s">
        <v>147</v>
      </c>
      <c r="D407" s="13" t="s">
        <v>27</v>
      </c>
      <c r="E407" s="26" t="str">
        <f>VLOOKUP(C407,Resources!B:G,3,FALSE)</f>
        <v>P</v>
      </c>
      <c r="F407" s="15">
        <v>1</v>
      </c>
      <c r="G407" s="15">
        <f>G405</f>
        <v>0.66700000000000004</v>
      </c>
      <c r="H407" s="15">
        <f>H400</f>
        <v>6</v>
      </c>
      <c r="I407" s="15">
        <f>VLOOKUP(C407,Resources!B:G,6,FALSE)</f>
        <v>10</v>
      </c>
      <c r="J407" s="27">
        <f>(H407/G407)*I407*F407</f>
        <v>89.955022488755617</v>
      </c>
      <c r="K407" s="27">
        <f t="shared" si="528"/>
        <v>8.995502248875562</v>
      </c>
      <c r="L407" s="157">
        <f t="shared" si="529"/>
        <v>8.995502248875562</v>
      </c>
      <c r="M407" s="28">
        <f t="shared" si="530"/>
        <v>0</v>
      </c>
      <c r="N407" s="28">
        <f t="shared" si="531"/>
        <v>0</v>
      </c>
      <c r="O407" s="28">
        <f t="shared" si="532"/>
        <v>89.955022488755617</v>
      </c>
      <c r="P407" s="28">
        <f t="shared" si="533"/>
        <v>0</v>
      </c>
      <c r="Q407" s="28">
        <f t="shared" si="534"/>
        <v>89.955022488755617</v>
      </c>
      <c r="R407" s="26">
        <v>82</v>
      </c>
      <c r="T407" s="67"/>
      <c r="U407"/>
    </row>
    <row r="408" spans="1:21" ht="15" x14ac:dyDescent="0.25">
      <c r="A408" s="38" t="s">
        <v>418</v>
      </c>
      <c r="F408" s="11"/>
      <c r="G408" s="11"/>
      <c r="H408" s="11"/>
      <c r="I408" s="11"/>
      <c r="J408" s="11"/>
      <c r="K408" s="31"/>
      <c r="M408" s="12"/>
      <c r="N408" s="12"/>
      <c r="O408" s="12"/>
      <c r="P408" s="12"/>
      <c r="Q408" s="12"/>
      <c r="T408" s="67"/>
      <c r="U408"/>
    </row>
    <row r="409" spans="1:21" ht="33.75" x14ac:dyDescent="0.25">
      <c r="A409" s="38">
        <v>69</v>
      </c>
      <c r="B409" s="5" t="s">
        <v>153</v>
      </c>
      <c r="C409" s="5" t="s">
        <v>154</v>
      </c>
      <c r="D409" s="6" t="s">
        <v>23</v>
      </c>
      <c r="E409" s="25"/>
      <c r="F409" s="7"/>
      <c r="G409" s="7"/>
      <c r="H409" s="36">
        <f>VLOOKUP($A409,'Model Inputs'!$A:$C,3,FALSE)</f>
        <v>6</v>
      </c>
      <c r="I409" s="7"/>
      <c r="J409" s="8">
        <f>SUBTOTAL(9,J411:J416)</f>
        <v>3568.9385307346329</v>
      </c>
      <c r="K409" s="29"/>
      <c r="L409" s="156">
        <f>ROUNDUP(MAX(L411:L416)/Work,0)</f>
        <v>1</v>
      </c>
      <c r="M409" s="8">
        <f>SUBTOTAL(9,M411:M416)</f>
        <v>863.56821589205401</v>
      </c>
      <c r="N409" s="8">
        <f t="shared" ref="N409:Q409" si="535">SUBTOTAL(9,N411:N416)</f>
        <v>1446</v>
      </c>
      <c r="O409" s="8">
        <f t="shared" si="535"/>
        <v>1259.3703148425789</v>
      </c>
      <c r="P409" s="8">
        <f t="shared" si="535"/>
        <v>0</v>
      </c>
      <c r="Q409" s="8">
        <f t="shared" si="535"/>
        <v>3568.9385307346329</v>
      </c>
      <c r="R409" s="25"/>
      <c r="T409" s="67"/>
      <c r="U409"/>
    </row>
    <row r="410" spans="1:21" ht="15" x14ac:dyDescent="0.25">
      <c r="A410" s="38" t="s">
        <v>418</v>
      </c>
      <c r="B410" s="13">
        <v>1</v>
      </c>
      <c r="C410" s="14" t="s">
        <v>143</v>
      </c>
      <c r="D410" s="13"/>
      <c r="E410" s="26"/>
      <c r="F410" s="15"/>
      <c r="G410" s="15"/>
      <c r="H410" s="15"/>
      <c r="I410" s="15"/>
      <c r="J410" s="15"/>
      <c r="K410" s="30"/>
      <c r="L410" s="157"/>
      <c r="M410" s="16"/>
      <c r="N410" s="16"/>
      <c r="O410" s="16"/>
      <c r="P410" s="16"/>
      <c r="Q410" s="16"/>
      <c r="R410" s="26"/>
      <c r="T410" s="67"/>
      <c r="U410"/>
    </row>
    <row r="411" spans="1:21" ht="15" x14ac:dyDescent="0.25">
      <c r="A411" s="38" t="s">
        <v>418</v>
      </c>
      <c r="B411" s="13">
        <v>2</v>
      </c>
      <c r="C411" s="14" t="s">
        <v>271</v>
      </c>
      <c r="D411" s="13" t="s">
        <v>23</v>
      </c>
      <c r="E411" s="26" t="str">
        <f>VLOOKUP(C411,Resources!B:G,3,FALSE)</f>
        <v>M</v>
      </c>
      <c r="F411" s="15">
        <v>1</v>
      </c>
      <c r="G411" s="15">
        <v>1</v>
      </c>
      <c r="H411" s="15">
        <f>H409</f>
        <v>6</v>
      </c>
      <c r="I411" s="15">
        <f>VLOOKUP(C411,Resources!B:G,6,FALSE)</f>
        <v>235</v>
      </c>
      <c r="J411" s="27">
        <f>(H411/G411)*I411*F411</f>
        <v>1410</v>
      </c>
      <c r="K411" s="27" t="str">
        <f t="shared" ref="K411:K412" si="536">IF(E411="M"," ",L411*F411)</f>
        <v xml:space="preserve"> </v>
      </c>
      <c r="L411" s="157" t="str">
        <f t="shared" ref="L411:L412" si="537">IF(E411="M"," ",H411/G411)</f>
        <v xml:space="preserve"> </v>
      </c>
      <c r="M411" s="28">
        <f t="shared" ref="M411:M412" si="538">IF($E411="L",$J411,0)</f>
        <v>0</v>
      </c>
      <c r="N411" s="28">
        <f t="shared" ref="N411:N412" si="539">IF($E411="M",$J411,0)</f>
        <v>1410</v>
      </c>
      <c r="O411" s="28">
        <f t="shared" ref="O411:O412" si="540">IF($E411="P",$J411,0)</f>
        <v>0</v>
      </c>
      <c r="P411" s="28">
        <f t="shared" ref="P411:P412" si="541">IF($E411="S",$J411,0)</f>
        <v>0</v>
      </c>
      <c r="Q411" s="28">
        <f t="shared" ref="Q411:Q412" si="542">SUM(M411:P411)</f>
        <v>1410</v>
      </c>
      <c r="R411" s="26" t="s">
        <v>475</v>
      </c>
      <c r="T411" s="67"/>
      <c r="U411"/>
    </row>
    <row r="412" spans="1:21" ht="15" x14ac:dyDescent="0.25">
      <c r="A412" s="38" t="s">
        <v>418</v>
      </c>
      <c r="B412" s="13">
        <v>3</v>
      </c>
      <c r="C412" s="14" t="s">
        <v>145</v>
      </c>
      <c r="D412" s="13" t="s">
        <v>26</v>
      </c>
      <c r="E412" s="26" t="str">
        <f>VLOOKUP(C412,Resources!B:G,3,FALSE)</f>
        <v>M</v>
      </c>
      <c r="F412" s="15">
        <v>1</v>
      </c>
      <c r="G412" s="15">
        <v>1</v>
      </c>
      <c r="H412" s="15">
        <f>H409/4</f>
        <v>1.5</v>
      </c>
      <c r="I412" s="15">
        <f>VLOOKUP(C412,Resources!B:G,6,FALSE)</f>
        <v>24</v>
      </c>
      <c r="J412" s="27">
        <f>(H412/G412)*I412*F412</f>
        <v>36</v>
      </c>
      <c r="K412" s="27" t="str">
        <f t="shared" si="536"/>
        <v xml:space="preserve"> </v>
      </c>
      <c r="L412" s="157" t="str">
        <f t="shared" si="537"/>
        <v xml:space="preserve"> </v>
      </c>
      <c r="M412" s="28">
        <f t="shared" si="538"/>
        <v>0</v>
      </c>
      <c r="N412" s="28">
        <f t="shared" si="539"/>
        <v>36</v>
      </c>
      <c r="O412" s="28">
        <f t="shared" si="540"/>
        <v>0</v>
      </c>
      <c r="P412" s="28">
        <f t="shared" si="541"/>
        <v>0</v>
      </c>
      <c r="Q412" s="28">
        <f t="shared" si="542"/>
        <v>36</v>
      </c>
      <c r="R412" s="26" t="s">
        <v>476</v>
      </c>
      <c r="T412" s="67"/>
      <c r="U412"/>
    </row>
    <row r="413" spans="1:21" ht="15" x14ac:dyDescent="0.25">
      <c r="A413" s="38" t="s">
        <v>418</v>
      </c>
      <c r="B413" s="13">
        <v>4</v>
      </c>
      <c r="C413" s="14" t="s">
        <v>146</v>
      </c>
      <c r="D413" s="13"/>
      <c r="E413" s="26"/>
      <c r="F413" s="15"/>
      <c r="G413" s="15"/>
      <c r="H413" s="15"/>
      <c r="I413" s="15"/>
      <c r="J413" s="15"/>
      <c r="K413" s="30"/>
      <c r="L413" s="157"/>
      <c r="M413" s="16"/>
      <c r="N413" s="16"/>
      <c r="O413" s="16"/>
      <c r="P413" s="16"/>
      <c r="Q413" s="16"/>
      <c r="R413" s="26"/>
      <c r="T413" s="67"/>
      <c r="U413"/>
    </row>
    <row r="414" spans="1:21" ht="15" x14ac:dyDescent="0.25">
      <c r="A414" s="38">
        <v>69.099999999999994</v>
      </c>
      <c r="B414" s="13">
        <v>5</v>
      </c>
      <c r="C414" s="14" t="s">
        <v>73</v>
      </c>
      <c r="D414" s="13" t="s">
        <v>27</v>
      </c>
      <c r="E414" s="26" t="str">
        <f>VLOOKUP(C414,Resources!B:G,3,FALSE)</f>
        <v>P</v>
      </c>
      <c r="F414" s="15">
        <v>1</v>
      </c>
      <c r="G414" s="36">
        <f>VLOOKUP($A414,'Model Inputs'!$A:$C,3,FALSE)</f>
        <v>0.66700000000000004</v>
      </c>
      <c r="H414" s="15">
        <f>H409</f>
        <v>6</v>
      </c>
      <c r="I414" s="15">
        <f>VLOOKUP(C414,Resources!B:G,6,FALSE)</f>
        <v>130</v>
      </c>
      <c r="J414" s="27">
        <f>(H414/G414)*I414*F414</f>
        <v>1169.4152923538231</v>
      </c>
      <c r="K414" s="27">
        <f t="shared" ref="K414:K416" si="543">IF(E414="M"," ",L414*F414)</f>
        <v>8.995502248875562</v>
      </c>
      <c r="L414" s="157">
        <f t="shared" ref="L414:L416" si="544">IF(E414="M"," ",H414/G414)</f>
        <v>8.995502248875562</v>
      </c>
      <c r="M414" s="28">
        <f t="shared" ref="M414:M416" si="545">IF($E414="L",$J414,0)</f>
        <v>0</v>
      </c>
      <c r="N414" s="28">
        <f t="shared" ref="N414:N416" si="546">IF($E414="M",$J414,0)</f>
        <v>0</v>
      </c>
      <c r="O414" s="28">
        <f t="shared" ref="O414:O416" si="547">IF($E414="P",$J414,0)</f>
        <v>1169.4152923538231</v>
      </c>
      <c r="P414" s="28">
        <f t="shared" ref="P414:P416" si="548">IF($E414="S",$J414,0)</f>
        <v>0</v>
      </c>
      <c r="Q414" s="28">
        <f t="shared" ref="Q414:Q416" si="549">SUM(M414:P414)</f>
        <v>1169.4152923538231</v>
      </c>
      <c r="R414" s="26">
        <v>82</v>
      </c>
      <c r="T414" s="67"/>
      <c r="U414"/>
    </row>
    <row r="415" spans="1:21" ht="15" x14ac:dyDescent="0.25">
      <c r="A415" s="38" t="s">
        <v>418</v>
      </c>
      <c r="B415" s="13">
        <v>6</v>
      </c>
      <c r="C415" s="14" t="s">
        <v>7</v>
      </c>
      <c r="D415" s="13" t="s">
        <v>27</v>
      </c>
      <c r="E415" s="26" t="str">
        <f>VLOOKUP(C415,Resources!B:G,3,FALSE)</f>
        <v>L</v>
      </c>
      <c r="F415" s="15">
        <v>2</v>
      </c>
      <c r="G415" s="15">
        <f>G414</f>
        <v>0.66700000000000004</v>
      </c>
      <c r="H415" s="15">
        <f>H409</f>
        <v>6</v>
      </c>
      <c r="I415" s="15">
        <f>VLOOKUP(C415,Resources!B:G,6,FALSE)</f>
        <v>48</v>
      </c>
      <c r="J415" s="27">
        <f>(H415/G415)*I415*F415</f>
        <v>863.56821589205401</v>
      </c>
      <c r="K415" s="27">
        <f t="shared" si="543"/>
        <v>17.991004497751124</v>
      </c>
      <c r="L415" s="157">
        <f t="shared" si="544"/>
        <v>8.995502248875562</v>
      </c>
      <c r="M415" s="28">
        <f t="shared" si="545"/>
        <v>863.56821589205401</v>
      </c>
      <c r="N415" s="28">
        <f t="shared" si="546"/>
        <v>0</v>
      </c>
      <c r="O415" s="28">
        <f t="shared" si="547"/>
        <v>0</v>
      </c>
      <c r="P415" s="28">
        <f t="shared" si="548"/>
        <v>0</v>
      </c>
      <c r="Q415" s="28">
        <f t="shared" si="549"/>
        <v>863.56821589205401</v>
      </c>
      <c r="R415" s="26">
        <v>82</v>
      </c>
      <c r="T415" s="67"/>
      <c r="U415"/>
    </row>
    <row r="416" spans="1:21" ht="15" x14ac:dyDescent="0.25">
      <c r="A416" s="38" t="s">
        <v>418</v>
      </c>
      <c r="B416" s="13">
        <v>7</v>
      </c>
      <c r="C416" s="14" t="s">
        <v>147</v>
      </c>
      <c r="D416" s="13" t="s">
        <v>27</v>
      </c>
      <c r="E416" s="26" t="str">
        <f>VLOOKUP(C416,Resources!B:G,3,FALSE)</f>
        <v>P</v>
      </c>
      <c r="F416" s="15">
        <v>1</v>
      </c>
      <c r="G416" s="15">
        <f>G414</f>
        <v>0.66700000000000004</v>
      </c>
      <c r="H416" s="15">
        <f>H409</f>
        <v>6</v>
      </c>
      <c r="I416" s="15">
        <f>VLOOKUP(C416,Resources!B:G,6,FALSE)</f>
        <v>10</v>
      </c>
      <c r="J416" s="27">
        <f>(H416/G416)*I416*F416</f>
        <v>89.955022488755617</v>
      </c>
      <c r="K416" s="27">
        <f t="shared" si="543"/>
        <v>8.995502248875562</v>
      </c>
      <c r="L416" s="157">
        <f t="shared" si="544"/>
        <v>8.995502248875562</v>
      </c>
      <c r="M416" s="28">
        <f t="shared" si="545"/>
        <v>0</v>
      </c>
      <c r="N416" s="28">
        <f t="shared" si="546"/>
        <v>0</v>
      </c>
      <c r="O416" s="28">
        <f t="shared" si="547"/>
        <v>89.955022488755617</v>
      </c>
      <c r="P416" s="28">
        <f t="shared" si="548"/>
        <v>0</v>
      </c>
      <c r="Q416" s="28">
        <f t="shared" si="549"/>
        <v>89.955022488755617</v>
      </c>
      <c r="R416" s="26">
        <v>82</v>
      </c>
      <c r="T416" s="67"/>
      <c r="U416"/>
    </row>
    <row r="417" spans="1:21" ht="15" x14ac:dyDescent="0.25">
      <c r="A417" s="38" t="s">
        <v>418</v>
      </c>
      <c r="F417" s="11"/>
      <c r="G417" s="11"/>
      <c r="H417" s="11"/>
      <c r="I417" s="11"/>
      <c r="J417" s="11"/>
      <c r="K417" s="31"/>
      <c r="M417" s="12"/>
      <c r="N417" s="12"/>
      <c r="O417" s="12"/>
      <c r="P417" s="12"/>
      <c r="Q417" s="12"/>
      <c r="T417" s="67"/>
      <c r="U417"/>
    </row>
    <row r="418" spans="1:21" ht="33.75" x14ac:dyDescent="0.25">
      <c r="A418" s="38">
        <v>70</v>
      </c>
      <c r="B418" s="5" t="s">
        <v>155</v>
      </c>
      <c r="C418" s="5" t="s">
        <v>156</v>
      </c>
      <c r="D418" s="6" t="s">
        <v>67</v>
      </c>
      <c r="E418" s="25"/>
      <c r="F418" s="7"/>
      <c r="G418" s="7"/>
      <c r="H418" s="36">
        <f>VLOOKUP($A418,'Model Inputs'!$A:$C,3,FALSE)</f>
        <v>2</v>
      </c>
      <c r="I418" s="7"/>
      <c r="J418" s="8">
        <f>SUBTOTAL(9,J419)</f>
        <v>2200</v>
      </c>
      <c r="K418" s="29"/>
      <c r="L418" s="156">
        <f>MAX(L419)</f>
        <v>2</v>
      </c>
      <c r="M418" s="8">
        <f>SUBTOTAL(9,M419)</f>
        <v>0</v>
      </c>
      <c r="N418" s="8">
        <f t="shared" ref="N418:Q418" si="550">SUBTOTAL(9,N419)</f>
        <v>0</v>
      </c>
      <c r="O418" s="8">
        <f t="shared" si="550"/>
        <v>0</v>
      </c>
      <c r="P418" s="8">
        <f t="shared" si="550"/>
        <v>2200</v>
      </c>
      <c r="Q418" s="8">
        <f t="shared" si="550"/>
        <v>2200</v>
      </c>
      <c r="R418" s="25"/>
      <c r="T418" s="67"/>
      <c r="U418"/>
    </row>
    <row r="419" spans="1:21" ht="15" x14ac:dyDescent="0.25">
      <c r="A419" s="38">
        <v>70.099999999999994</v>
      </c>
      <c r="B419" s="13">
        <v>1</v>
      </c>
      <c r="C419" s="14" t="s">
        <v>157</v>
      </c>
      <c r="D419" s="13" t="s">
        <v>122</v>
      </c>
      <c r="E419" s="26" t="str">
        <f>VLOOKUP(C419,Resources!B:G,3,FALSE)</f>
        <v>S</v>
      </c>
      <c r="F419" s="15">
        <v>1</v>
      </c>
      <c r="G419" s="36">
        <f>VLOOKUP($A419,'Model Inputs'!$A:$C,3,FALSE)</f>
        <v>1</v>
      </c>
      <c r="H419" s="15">
        <f>H418</f>
        <v>2</v>
      </c>
      <c r="I419" s="15">
        <f>VLOOKUP(C419,Resources!B:G,6,FALSE)</f>
        <v>1100</v>
      </c>
      <c r="J419" s="27">
        <f>(H419/G419)*I419*F419</f>
        <v>2200</v>
      </c>
      <c r="K419" s="27">
        <f t="shared" ref="K419" si="551">IF(E419="M"," ",L419*F419)</f>
        <v>2</v>
      </c>
      <c r="L419" s="157">
        <f t="shared" ref="L419" si="552">IF(E419="M"," ",H419/G419)</f>
        <v>2</v>
      </c>
      <c r="M419" s="28">
        <f t="shared" ref="M419" si="553">IF($E419="L",$J419,0)</f>
        <v>0</v>
      </c>
      <c r="N419" s="28">
        <f t="shared" ref="N419" si="554">IF($E419="M",$J419,0)</f>
        <v>0</v>
      </c>
      <c r="O419" s="28">
        <f t="shared" ref="O419" si="555">IF($E419="P",$J419,0)</f>
        <v>0</v>
      </c>
      <c r="P419" s="28">
        <f t="shared" ref="P419" si="556">IF($E419="S",$J419,0)</f>
        <v>2200</v>
      </c>
      <c r="Q419" s="28">
        <f t="shared" ref="Q419" si="557">SUM(M419:P419)</f>
        <v>2200</v>
      </c>
      <c r="R419" s="26">
        <v>72</v>
      </c>
      <c r="T419" s="67"/>
      <c r="U419"/>
    </row>
    <row r="420" spans="1:21" ht="15" x14ac:dyDescent="0.25">
      <c r="A420" s="38" t="s">
        <v>418</v>
      </c>
      <c r="F420" s="11"/>
      <c r="G420" s="11"/>
      <c r="H420" s="11"/>
      <c r="I420" s="11"/>
      <c r="J420" s="11"/>
      <c r="K420" s="31"/>
      <c r="M420" s="12"/>
      <c r="N420" s="12"/>
      <c r="O420" s="12"/>
      <c r="P420" s="12"/>
      <c r="Q420" s="12"/>
      <c r="T420" s="67"/>
      <c r="U420"/>
    </row>
    <row r="421" spans="1:21" ht="33.75" x14ac:dyDescent="0.25">
      <c r="A421" s="38">
        <v>71</v>
      </c>
      <c r="B421" s="5" t="s">
        <v>158</v>
      </c>
      <c r="C421" s="5" t="s">
        <v>159</v>
      </c>
      <c r="D421" s="6"/>
      <c r="E421" s="25"/>
      <c r="F421" s="7"/>
      <c r="G421" s="7"/>
      <c r="H421" s="7"/>
      <c r="I421" s="7"/>
      <c r="J421" s="7"/>
      <c r="K421" s="29"/>
      <c r="L421" s="156"/>
      <c r="M421" s="8"/>
      <c r="N421" s="8"/>
      <c r="O421" s="8"/>
      <c r="P421" s="8"/>
      <c r="Q421" s="8"/>
      <c r="R421" s="25"/>
      <c r="T421" s="67"/>
      <c r="U421"/>
    </row>
    <row r="422" spans="1:21" ht="33.75" x14ac:dyDescent="0.25">
      <c r="A422" s="38">
        <v>72</v>
      </c>
      <c r="B422" s="5" t="s">
        <v>160</v>
      </c>
      <c r="C422" s="5" t="s">
        <v>161</v>
      </c>
      <c r="D422" s="6" t="s">
        <v>67</v>
      </c>
      <c r="E422" s="25"/>
      <c r="F422" s="7"/>
      <c r="G422" s="7"/>
      <c r="H422" s="36">
        <f>VLOOKUP($A422,'Model Inputs'!$A:$C,3,FALSE)</f>
        <v>6</v>
      </c>
      <c r="I422" s="7"/>
      <c r="J422" s="8">
        <f>SUBTOTAL(9,J425)</f>
        <v>62.207999999999991</v>
      </c>
      <c r="K422" s="29"/>
      <c r="L422" s="156">
        <f>ROUNDUP(MAX(L425)/Work,0)</f>
        <v>2</v>
      </c>
      <c r="M422" s="8">
        <f>SUBTOTAL(9,M425)</f>
        <v>0</v>
      </c>
      <c r="N422" s="8">
        <f t="shared" ref="N422:Q422" si="558">SUBTOTAL(9,N425)</f>
        <v>0</v>
      </c>
      <c r="O422" s="8">
        <f t="shared" si="558"/>
        <v>0</v>
      </c>
      <c r="P422" s="8">
        <f t="shared" si="558"/>
        <v>62.207999999999991</v>
      </c>
      <c r="Q422" s="8">
        <f t="shared" si="558"/>
        <v>62.207999999999991</v>
      </c>
      <c r="R422" s="25"/>
      <c r="T422" s="67"/>
      <c r="U422"/>
    </row>
    <row r="423" spans="1:21" ht="15" x14ac:dyDescent="0.25">
      <c r="A423" s="38" t="s">
        <v>418</v>
      </c>
      <c r="B423" s="13">
        <v>1</v>
      </c>
      <c r="C423" s="14" t="s">
        <v>251</v>
      </c>
      <c r="D423" s="13"/>
      <c r="E423" s="26"/>
      <c r="F423" s="15"/>
      <c r="G423" s="15"/>
      <c r="H423" s="15">
        <f>H422*2.4</f>
        <v>14.399999999999999</v>
      </c>
      <c r="I423" s="15"/>
      <c r="J423" s="15"/>
      <c r="K423" s="30"/>
      <c r="L423" s="157"/>
      <c r="M423" s="16"/>
      <c r="N423" s="16"/>
      <c r="O423" s="16"/>
      <c r="P423" s="16"/>
      <c r="Q423" s="16"/>
      <c r="R423" s="26"/>
      <c r="T423" s="67"/>
      <c r="U423"/>
    </row>
    <row r="424" spans="1:21" ht="15" x14ac:dyDescent="0.25">
      <c r="A424" s="38" t="s">
        <v>418</v>
      </c>
      <c r="B424" s="13">
        <v>2</v>
      </c>
      <c r="C424" s="14" t="s">
        <v>252</v>
      </c>
      <c r="D424" s="13"/>
      <c r="E424" s="26"/>
      <c r="F424" s="15">
        <v>18</v>
      </c>
      <c r="G424" s="15"/>
      <c r="H424" s="15"/>
      <c r="I424" s="15"/>
      <c r="J424" s="15"/>
      <c r="K424" s="30"/>
      <c r="L424" s="157"/>
      <c r="M424" s="16"/>
      <c r="N424" s="16"/>
      <c r="O424" s="16"/>
      <c r="P424" s="16"/>
      <c r="Q424" s="16"/>
      <c r="R424" s="26"/>
      <c r="T424" s="67"/>
      <c r="U424"/>
    </row>
    <row r="425" spans="1:21" ht="15" x14ac:dyDescent="0.25">
      <c r="A425" s="38" t="s">
        <v>418</v>
      </c>
      <c r="B425" s="13">
        <v>3</v>
      </c>
      <c r="C425" s="14" t="s">
        <v>128</v>
      </c>
      <c r="D425" s="13" t="s">
        <v>99</v>
      </c>
      <c r="E425" s="26" t="str">
        <f>VLOOKUP(C425,Resources!B:G,3,FALSE)</f>
        <v>S</v>
      </c>
      <c r="F425" s="15">
        <v>18</v>
      </c>
      <c r="G425" s="15">
        <v>1</v>
      </c>
      <c r="H425" s="15">
        <f>H423</f>
        <v>14.399999999999999</v>
      </c>
      <c r="I425" s="15">
        <f>VLOOKUP(C425,Resources!B:G,6,FALSE)</f>
        <v>0.24</v>
      </c>
      <c r="J425" s="27">
        <f>(H425/G425)*I425*F425</f>
        <v>62.207999999999991</v>
      </c>
      <c r="K425" s="27">
        <f t="shared" ref="K425" si="559">IF(E425="M"," ",L425*F425)</f>
        <v>259.2</v>
      </c>
      <c r="L425" s="157">
        <f t="shared" ref="L425" si="560">IF(E425="M"," ",H425/G425)</f>
        <v>14.399999999999999</v>
      </c>
      <c r="M425" s="28">
        <f t="shared" ref="M425" si="561">IF($E425="L",$J425,0)</f>
        <v>0</v>
      </c>
      <c r="N425" s="28">
        <f t="shared" ref="N425" si="562">IF($E425="M",$J425,0)</f>
        <v>0</v>
      </c>
      <c r="O425" s="28">
        <f t="shared" ref="O425" si="563">IF($E425="P",$J425,0)</f>
        <v>0</v>
      </c>
      <c r="P425" s="28">
        <f t="shared" ref="P425" si="564">IF($E425="S",$J425,0)</f>
        <v>62.207999999999991</v>
      </c>
      <c r="Q425" s="28">
        <f t="shared" ref="Q425" si="565">SUM(M425:P425)</f>
        <v>62.207999999999991</v>
      </c>
      <c r="R425" s="26">
        <v>613</v>
      </c>
      <c r="T425" s="67"/>
      <c r="U425"/>
    </row>
    <row r="426" spans="1:21" ht="15" x14ac:dyDescent="0.25">
      <c r="A426" s="38" t="s">
        <v>418</v>
      </c>
      <c r="F426" s="11"/>
      <c r="G426" s="11"/>
      <c r="H426" s="11"/>
      <c r="I426" s="11"/>
      <c r="J426" s="11"/>
      <c r="K426" s="31"/>
      <c r="M426" s="12"/>
      <c r="N426" s="12"/>
      <c r="O426" s="12"/>
      <c r="P426" s="12"/>
      <c r="Q426" s="12"/>
      <c r="T426" s="67"/>
      <c r="U426"/>
    </row>
    <row r="427" spans="1:21" ht="33.75" x14ac:dyDescent="0.25">
      <c r="A427" s="38">
        <v>73</v>
      </c>
      <c r="B427" s="5" t="s">
        <v>162</v>
      </c>
      <c r="C427" s="5" t="s">
        <v>163</v>
      </c>
      <c r="D427" s="6" t="s">
        <v>67</v>
      </c>
      <c r="E427" s="25"/>
      <c r="F427" s="7"/>
      <c r="G427" s="7"/>
      <c r="H427" s="36">
        <f>VLOOKUP($A427,'Model Inputs'!$A:$C,3,FALSE)</f>
        <v>6</v>
      </c>
      <c r="I427" s="7"/>
      <c r="J427" s="8">
        <f>SUBTOTAL(9,J428:J429)</f>
        <v>1356</v>
      </c>
      <c r="K427" s="29"/>
      <c r="L427" s="156">
        <f>ROUNDUP(MAX(L428:L429)/Work,0)</f>
        <v>1</v>
      </c>
      <c r="M427" s="8">
        <f>SUBTOTAL(9,M428:M429)</f>
        <v>576</v>
      </c>
      <c r="N427" s="8">
        <f t="shared" ref="N427:Q427" si="566">SUBTOTAL(9,N428:N429)</f>
        <v>0</v>
      </c>
      <c r="O427" s="8">
        <f t="shared" si="566"/>
        <v>780</v>
      </c>
      <c r="P427" s="8">
        <f t="shared" si="566"/>
        <v>0</v>
      </c>
      <c r="Q427" s="8">
        <f t="shared" si="566"/>
        <v>1356</v>
      </c>
      <c r="R427" s="25"/>
      <c r="T427" s="67"/>
      <c r="U427"/>
    </row>
    <row r="428" spans="1:21" ht="15" x14ac:dyDescent="0.25">
      <c r="A428" s="38">
        <v>73.099999999999994</v>
      </c>
      <c r="B428" s="13">
        <v>1</v>
      </c>
      <c r="C428" s="14" t="s">
        <v>73</v>
      </c>
      <c r="D428" s="13" t="s">
        <v>27</v>
      </c>
      <c r="E428" s="26" t="str">
        <f>VLOOKUP(C428,Resources!B:G,3,FALSE)</f>
        <v>P</v>
      </c>
      <c r="F428" s="15">
        <v>1</v>
      </c>
      <c r="G428" s="36">
        <f>VLOOKUP($A428,'Model Inputs'!$A:$C,3,FALSE)</f>
        <v>1</v>
      </c>
      <c r="H428" s="15">
        <f>H427</f>
        <v>6</v>
      </c>
      <c r="I428" s="15">
        <f>VLOOKUP(C428,Resources!B:G,6,FALSE)</f>
        <v>130</v>
      </c>
      <c r="J428" s="27">
        <f>(H428/G428)*I428*F428</f>
        <v>780</v>
      </c>
      <c r="K428" s="27">
        <f t="shared" ref="K428:K429" si="567">IF(E428="M"," ",L428*F428)</f>
        <v>6</v>
      </c>
      <c r="L428" s="157">
        <f t="shared" ref="L428:L429" si="568">IF(E428="M"," ",H428/G428)</f>
        <v>6</v>
      </c>
      <c r="M428" s="28">
        <f t="shared" ref="M428:M429" si="569">IF($E428="L",$J428,0)</f>
        <v>0</v>
      </c>
      <c r="N428" s="28">
        <f t="shared" ref="N428:N429" si="570">IF($E428="M",$J428,0)</f>
        <v>0</v>
      </c>
      <c r="O428" s="28">
        <f t="shared" ref="O428:O429" si="571">IF($E428="P",$J428,0)</f>
        <v>780</v>
      </c>
      <c r="P428" s="28">
        <f t="shared" ref="P428:P429" si="572">IF($E428="S",$J428,0)</f>
        <v>0</v>
      </c>
      <c r="Q428" s="28">
        <f t="shared" ref="Q428:Q429" si="573">SUM(M428:P428)</f>
        <v>780</v>
      </c>
      <c r="R428" s="26">
        <v>221</v>
      </c>
      <c r="T428" s="67"/>
      <c r="U428"/>
    </row>
    <row r="429" spans="1:21" ht="15" x14ac:dyDescent="0.25">
      <c r="A429" s="38" t="s">
        <v>418</v>
      </c>
      <c r="B429" s="13">
        <v>2</v>
      </c>
      <c r="C429" s="14" t="s">
        <v>7</v>
      </c>
      <c r="D429" s="13" t="s">
        <v>27</v>
      </c>
      <c r="E429" s="26" t="str">
        <f>VLOOKUP(C429,Resources!B:G,3,FALSE)</f>
        <v>L</v>
      </c>
      <c r="F429" s="15">
        <v>2</v>
      </c>
      <c r="G429" s="15">
        <f>G428</f>
        <v>1</v>
      </c>
      <c r="H429" s="15">
        <f>H427</f>
        <v>6</v>
      </c>
      <c r="I429" s="15">
        <f>VLOOKUP(C429,Resources!B:G,6,FALSE)</f>
        <v>48</v>
      </c>
      <c r="J429" s="27">
        <f>(H429/G429)*I429*F429</f>
        <v>576</v>
      </c>
      <c r="K429" s="27">
        <f t="shared" si="567"/>
        <v>12</v>
      </c>
      <c r="L429" s="157">
        <f t="shared" si="568"/>
        <v>6</v>
      </c>
      <c r="M429" s="28">
        <f t="shared" si="569"/>
        <v>576</v>
      </c>
      <c r="N429" s="28">
        <f t="shared" si="570"/>
        <v>0</v>
      </c>
      <c r="O429" s="28">
        <f t="shared" si="571"/>
        <v>0</v>
      </c>
      <c r="P429" s="28">
        <f t="shared" si="572"/>
        <v>0</v>
      </c>
      <c r="Q429" s="28">
        <f t="shared" si="573"/>
        <v>576</v>
      </c>
      <c r="R429" s="26">
        <v>221</v>
      </c>
      <c r="T429" s="67"/>
      <c r="U429"/>
    </row>
    <row r="430" spans="1:21" ht="15" x14ac:dyDescent="0.25">
      <c r="A430" s="38" t="s">
        <v>418</v>
      </c>
      <c r="F430" s="11"/>
      <c r="G430" s="11"/>
      <c r="H430" s="11"/>
      <c r="I430" s="11"/>
      <c r="J430" s="11"/>
      <c r="K430" s="31"/>
      <c r="M430" s="12"/>
      <c r="N430" s="12"/>
      <c r="O430" s="12"/>
      <c r="P430" s="12"/>
      <c r="Q430" s="12"/>
      <c r="T430" s="67"/>
      <c r="U430"/>
    </row>
    <row r="431" spans="1:21" ht="22.5" x14ac:dyDescent="0.25">
      <c r="A431" s="38">
        <v>74</v>
      </c>
      <c r="B431" s="5" t="s">
        <v>164</v>
      </c>
      <c r="C431" s="5" t="s">
        <v>165</v>
      </c>
      <c r="D431" s="6"/>
      <c r="E431" s="25"/>
      <c r="F431" s="7"/>
      <c r="G431" s="7"/>
      <c r="H431" s="7"/>
      <c r="I431" s="7"/>
      <c r="J431" s="7"/>
      <c r="K431" s="29"/>
      <c r="L431" s="156"/>
      <c r="M431" s="8"/>
      <c r="N431" s="8"/>
      <c r="O431" s="8"/>
      <c r="P431" s="8"/>
      <c r="Q431" s="8"/>
      <c r="R431" s="25"/>
      <c r="T431" s="67"/>
      <c r="U431"/>
    </row>
    <row r="432" spans="1:21" ht="33.75" x14ac:dyDescent="0.25">
      <c r="A432" s="38">
        <v>75</v>
      </c>
      <c r="B432" s="5" t="s">
        <v>166</v>
      </c>
      <c r="C432" s="5" t="s">
        <v>167</v>
      </c>
      <c r="D432" s="6" t="s">
        <v>26</v>
      </c>
      <c r="E432" s="25"/>
      <c r="F432" s="7"/>
      <c r="G432" s="7"/>
      <c r="H432" s="36">
        <f>VLOOKUP($A432,'Model Inputs'!$A:$C,3,FALSE)</f>
        <v>20</v>
      </c>
      <c r="I432" s="7"/>
      <c r="J432" s="8">
        <f>SUBTOTAL(9,J433)</f>
        <v>8000</v>
      </c>
      <c r="K432" s="29"/>
      <c r="L432" s="156">
        <f>MAX(L433)</f>
        <v>1</v>
      </c>
      <c r="M432" s="8">
        <f>SUBTOTAL(9,M433)</f>
        <v>0</v>
      </c>
      <c r="N432" s="8">
        <f t="shared" ref="N432:Q432" si="574">SUBTOTAL(9,N433)</f>
        <v>8000</v>
      </c>
      <c r="O432" s="8">
        <f t="shared" si="574"/>
        <v>0</v>
      </c>
      <c r="P432" s="8">
        <f t="shared" si="574"/>
        <v>0</v>
      </c>
      <c r="Q432" s="8">
        <f t="shared" si="574"/>
        <v>8000</v>
      </c>
      <c r="R432" s="25"/>
      <c r="T432" s="67"/>
      <c r="U432"/>
    </row>
    <row r="433" spans="1:21" ht="15" x14ac:dyDescent="0.25">
      <c r="A433" s="38" t="s">
        <v>418</v>
      </c>
      <c r="B433" s="13">
        <v>1</v>
      </c>
      <c r="C433" s="14" t="s">
        <v>272</v>
      </c>
      <c r="D433" s="13" t="s">
        <v>26</v>
      </c>
      <c r="E433" s="26" t="str">
        <f>VLOOKUP(C433,Resources!B:G,3,FALSE)</f>
        <v>M</v>
      </c>
      <c r="F433" s="15">
        <v>1</v>
      </c>
      <c r="G433" s="15">
        <v>1</v>
      </c>
      <c r="H433" s="15">
        <f>H432</f>
        <v>20</v>
      </c>
      <c r="I433" s="15">
        <f>VLOOKUP(C433,Resources!B:G,6,FALSE)</f>
        <v>400</v>
      </c>
      <c r="J433" s="27">
        <f>(H433/G433)*I433*F433</f>
        <v>8000</v>
      </c>
      <c r="K433" s="27" t="str">
        <f t="shared" ref="K433" si="575">IF(E433="M"," ",L433*F433)</f>
        <v xml:space="preserve"> </v>
      </c>
      <c r="L433" s="157">
        <v>1</v>
      </c>
      <c r="M433" s="28">
        <f t="shared" ref="M433" si="576">IF($E433="L",$J433,0)</f>
        <v>0</v>
      </c>
      <c r="N433" s="28">
        <f t="shared" ref="N433" si="577">IF($E433="M",$J433,0)</f>
        <v>8000</v>
      </c>
      <c r="O433" s="28">
        <f t="shared" ref="O433" si="578">IF($E433="P",$J433,0)</f>
        <v>0</v>
      </c>
      <c r="P433" s="28">
        <f t="shared" ref="P433" si="579">IF($E433="S",$J433,0)</f>
        <v>0</v>
      </c>
      <c r="Q433" s="28">
        <f t="shared" ref="Q433" si="580">SUM(M433:P433)</f>
        <v>8000</v>
      </c>
      <c r="R433" s="26">
        <v>65</v>
      </c>
      <c r="T433" s="67"/>
      <c r="U433"/>
    </row>
    <row r="434" spans="1:21" ht="15" x14ac:dyDescent="0.25">
      <c r="A434" s="38" t="s">
        <v>418</v>
      </c>
      <c r="F434" s="11"/>
      <c r="G434" s="11"/>
      <c r="H434" s="11"/>
      <c r="I434" s="11"/>
      <c r="J434" s="11"/>
      <c r="K434" s="31"/>
      <c r="M434" s="12"/>
      <c r="N434" s="12"/>
      <c r="O434" s="12"/>
      <c r="P434" s="12"/>
      <c r="Q434" s="12"/>
      <c r="T434" s="67"/>
      <c r="U434"/>
    </row>
    <row r="435" spans="1:21" ht="22.5" x14ac:dyDescent="0.25">
      <c r="A435" s="38">
        <v>76</v>
      </c>
      <c r="B435" s="5" t="s">
        <v>168</v>
      </c>
      <c r="C435" s="5" t="s">
        <v>169</v>
      </c>
      <c r="D435" s="6"/>
      <c r="E435" s="25"/>
      <c r="F435" s="7"/>
      <c r="G435" s="7"/>
      <c r="H435" s="7"/>
      <c r="I435" s="7"/>
      <c r="J435" s="7"/>
      <c r="K435" s="29"/>
      <c r="L435" s="156"/>
      <c r="M435" s="8"/>
      <c r="N435" s="8"/>
      <c r="O435" s="8"/>
      <c r="P435" s="8"/>
      <c r="Q435" s="8"/>
      <c r="R435" s="25"/>
      <c r="T435" s="67"/>
      <c r="U435"/>
    </row>
    <row r="436" spans="1:21" ht="33.75" x14ac:dyDescent="0.25">
      <c r="A436" s="38">
        <v>77</v>
      </c>
      <c r="B436" s="5" t="s">
        <v>170</v>
      </c>
      <c r="C436" s="5" t="s">
        <v>171</v>
      </c>
      <c r="D436" s="6"/>
      <c r="E436" s="25"/>
      <c r="F436" s="7"/>
      <c r="G436" s="7"/>
      <c r="H436" s="7"/>
      <c r="I436" s="7"/>
      <c r="J436" s="7"/>
      <c r="K436" s="29"/>
      <c r="L436" s="156"/>
      <c r="M436" s="8"/>
      <c r="N436" s="8"/>
      <c r="O436" s="8"/>
      <c r="P436" s="8"/>
      <c r="Q436" s="8"/>
      <c r="R436" s="25"/>
      <c r="T436" s="67"/>
      <c r="U436"/>
    </row>
    <row r="437" spans="1:21" ht="45" x14ac:dyDescent="0.25">
      <c r="A437" s="38">
        <v>78</v>
      </c>
      <c r="B437" s="5" t="s">
        <v>172</v>
      </c>
      <c r="C437" s="5" t="s">
        <v>173</v>
      </c>
      <c r="D437" s="6" t="s">
        <v>67</v>
      </c>
      <c r="E437" s="25"/>
      <c r="F437" s="7"/>
      <c r="G437" s="7"/>
      <c r="H437" s="36">
        <f>VLOOKUP($A437,'Model Inputs'!$A:$C,3,FALSE)</f>
        <v>3993</v>
      </c>
      <c r="I437" s="7"/>
      <c r="J437" s="8">
        <f>SUBTOTAL(9,J440)</f>
        <v>41399.423999999999</v>
      </c>
      <c r="K437" s="29"/>
      <c r="L437" s="156">
        <f>ROUNDUP(MAX(L440)/Work,0)</f>
        <v>3</v>
      </c>
      <c r="M437" s="8">
        <f>SUBTOTAL(9,M440)</f>
        <v>0</v>
      </c>
      <c r="N437" s="8">
        <f t="shared" ref="N437:Q437" si="581">SUBTOTAL(9,N440)</f>
        <v>0</v>
      </c>
      <c r="O437" s="8">
        <f t="shared" si="581"/>
        <v>0</v>
      </c>
      <c r="P437" s="8">
        <f t="shared" si="581"/>
        <v>41399.423999999999</v>
      </c>
      <c r="Q437" s="8">
        <f t="shared" si="581"/>
        <v>41399.423999999999</v>
      </c>
      <c r="R437" s="25"/>
      <c r="T437" s="67"/>
      <c r="U437"/>
    </row>
    <row r="438" spans="1:21" ht="15" x14ac:dyDescent="0.25">
      <c r="A438" s="38" t="s">
        <v>418</v>
      </c>
      <c r="B438" s="13">
        <v>1</v>
      </c>
      <c r="C438" s="14" t="s">
        <v>251</v>
      </c>
      <c r="D438" s="13"/>
      <c r="E438" s="26"/>
      <c r="F438" s="15"/>
      <c r="G438" s="15"/>
      <c r="H438" s="15">
        <f>H437*2.4</f>
        <v>9583.1999999999989</v>
      </c>
      <c r="I438" s="15"/>
      <c r="J438" s="15"/>
      <c r="K438" s="30"/>
      <c r="L438" s="157"/>
      <c r="M438" s="16"/>
      <c r="N438" s="16"/>
      <c r="O438" s="16"/>
      <c r="P438" s="16"/>
      <c r="Q438" s="16"/>
      <c r="R438" s="26"/>
      <c r="T438" s="67"/>
      <c r="U438"/>
    </row>
    <row r="439" spans="1:21" ht="15" x14ac:dyDescent="0.25">
      <c r="A439" s="38" t="s">
        <v>418</v>
      </c>
      <c r="B439" s="13">
        <v>2</v>
      </c>
      <c r="C439" s="14" t="s">
        <v>252</v>
      </c>
      <c r="D439" s="13"/>
      <c r="E439" s="26"/>
      <c r="F439" s="15">
        <v>18</v>
      </c>
      <c r="G439" s="15"/>
      <c r="H439" s="15"/>
      <c r="I439" s="15"/>
      <c r="J439" s="15"/>
      <c r="K439" s="30"/>
      <c r="L439" s="157"/>
      <c r="M439" s="16"/>
      <c r="N439" s="16"/>
      <c r="O439" s="16"/>
      <c r="P439" s="16"/>
      <c r="Q439" s="16"/>
      <c r="R439" s="26"/>
      <c r="T439" s="67"/>
      <c r="U439"/>
    </row>
    <row r="440" spans="1:21" ht="15" x14ac:dyDescent="0.25">
      <c r="A440" s="38" t="s">
        <v>418</v>
      </c>
      <c r="B440" s="13">
        <v>3</v>
      </c>
      <c r="C440" s="14" t="s">
        <v>128</v>
      </c>
      <c r="D440" s="13" t="s">
        <v>99</v>
      </c>
      <c r="E440" s="26" t="str">
        <f>VLOOKUP(C440,Resources!B:G,3,FALSE)</f>
        <v>S</v>
      </c>
      <c r="F440" s="15">
        <v>18</v>
      </c>
      <c r="G440" s="15">
        <v>1</v>
      </c>
      <c r="H440" s="15">
        <f>H438</f>
        <v>9583.1999999999989</v>
      </c>
      <c r="I440" s="15">
        <f>VLOOKUP(C440,Resources!B:G,6,FALSE)</f>
        <v>0.24</v>
      </c>
      <c r="J440" s="27">
        <f>(H440/G440)*I440*F440</f>
        <v>41399.423999999999</v>
      </c>
      <c r="K440" s="27">
        <f t="shared" ref="K440" si="582">IF(E440="M"," ",L440*F440)</f>
        <v>360</v>
      </c>
      <c r="L440" s="157">
        <f>SUM(L443:L455)</f>
        <v>20</v>
      </c>
      <c r="M440" s="28">
        <f t="shared" ref="M440" si="583">IF($E440="L",$J440,0)</f>
        <v>0</v>
      </c>
      <c r="N440" s="28">
        <f t="shared" ref="N440" si="584">IF($E440="M",$J440,0)</f>
        <v>0</v>
      </c>
      <c r="O440" s="28">
        <f t="shared" ref="O440" si="585">IF($E440="P",$J440,0)</f>
        <v>0</v>
      </c>
      <c r="P440" s="28">
        <f t="shared" ref="P440" si="586">IF($E440="S",$J440,0)</f>
        <v>41399.423999999999</v>
      </c>
      <c r="Q440" s="28">
        <f t="shared" ref="Q440" si="587">SUM(M440:P440)</f>
        <v>41399.423999999999</v>
      </c>
      <c r="R440" s="26">
        <v>613</v>
      </c>
      <c r="T440" s="67"/>
      <c r="U440"/>
    </row>
    <row r="441" spans="1:21" ht="15" x14ac:dyDescent="0.25">
      <c r="A441" s="38" t="s">
        <v>418</v>
      </c>
      <c r="F441" s="11"/>
      <c r="G441" s="11"/>
      <c r="H441" s="11"/>
      <c r="I441" s="11"/>
      <c r="J441" s="11"/>
      <c r="K441" s="31"/>
      <c r="M441" s="12"/>
      <c r="N441" s="12"/>
      <c r="O441" s="12"/>
      <c r="P441" s="12"/>
      <c r="Q441" s="12"/>
      <c r="T441" s="67"/>
      <c r="U441"/>
    </row>
    <row r="442" spans="1:21" ht="33.75" x14ac:dyDescent="0.25">
      <c r="A442" s="38">
        <v>79</v>
      </c>
      <c r="B442" s="5" t="s">
        <v>174</v>
      </c>
      <c r="C442" s="5" t="s">
        <v>175</v>
      </c>
      <c r="D442" s="6" t="s">
        <v>67</v>
      </c>
      <c r="E442" s="25"/>
      <c r="F442" s="7"/>
      <c r="G442" s="7"/>
      <c r="H442" s="36">
        <f>VLOOKUP($A442,'Model Inputs'!$A:$C,3,FALSE)</f>
        <v>3993</v>
      </c>
      <c r="I442" s="7"/>
      <c r="J442" s="8">
        <f>SUBTOTAL(9,J456:J465)</f>
        <v>84519.202172925856</v>
      </c>
      <c r="K442" s="29"/>
      <c r="L442" s="156"/>
      <c r="M442" s="8">
        <f>SUBTOTAL(9,M456:M465)</f>
        <v>21000.878879758544</v>
      </c>
      <c r="N442" s="8">
        <f t="shared" ref="N442:Q442" si="588">SUBTOTAL(9,N456:N465)</f>
        <v>0</v>
      </c>
      <c r="O442" s="8">
        <f t="shared" si="588"/>
        <v>63518.323293167319</v>
      </c>
      <c r="P442" s="8">
        <f t="shared" si="588"/>
        <v>0</v>
      </c>
      <c r="Q442" s="8">
        <f t="shared" si="588"/>
        <v>84519.202172925856</v>
      </c>
      <c r="R442" s="25"/>
      <c r="T442" s="67"/>
      <c r="U442"/>
    </row>
    <row r="443" spans="1:21" ht="15" x14ac:dyDescent="0.25">
      <c r="A443" s="38">
        <v>79.010000000000005</v>
      </c>
      <c r="B443" s="5">
        <v>4</v>
      </c>
      <c r="C443" s="5" t="s">
        <v>237</v>
      </c>
      <c r="D443" s="6" t="s">
        <v>299</v>
      </c>
      <c r="E443" s="25"/>
      <c r="F443" s="7"/>
      <c r="G443" s="39">
        <v>3.7360335195530725E-2</v>
      </c>
      <c r="H443" s="7">
        <f>H$473*G443</f>
        <v>149.17981843575419</v>
      </c>
      <c r="I443" s="7"/>
      <c r="J443" s="7"/>
      <c r="K443" s="29"/>
      <c r="L443" s="156">
        <f t="shared" ref="L443:L455" si="589">ROUNDUP(MAX(L$456:L$465)*G443/Work,0)</f>
        <v>1</v>
      </c>
      <c r="M443" s="8">
        <f t="shared" ref="M443:Q455" si="590">SUBTOTAL(9,M$456:M$465)*$G443</f>
        <v>784.59987434852098</v>
      </c>
      <c r="N443" s="8">
        <f t="shared" si="590"/>
        <v>0</v>
      </c>
      <c r="O443" s="8">
        <f t="shared" si="590"/>
        <v>2373.0658492908183</v>
      </c>
      <c r="P443" s="8">
        <f t="shared" si="590"/>
        <v>0</v>
      </c>
      <c r="Q443" s="8">
        <f t="shared" si="590"/>
        <v>3157.6657236393389</v>
      </c>
      <c r="R443" s="25"/>
      <c r="T443" s="67"/>
      <c r="U443"/>
    </row>
    <row r="444" spans="1:21" ht="15" x14ac:dyDescent="0.25">
      <c r="A444" s="38">
        <v>79.02</v>
      </c>
      <c r="B444" s="5">
        <v>11</v>
      </c>
      <c r="C444" s="5" t="s">
        <v>236</v>
      </c>
      <c r="D444" s="6" t="s">
        <v>299</v>
      </c>
      <c r="E444" s="25"/>
      <c r="F444" s="7"/>
      <c r="G444" s="39">
        <v>3.4043296089385472E-2</v>
      </c>
      <c r="H444" s="7">
        <f t="shared" ref="H444:H455" si="591">H$473*G444</f>
        <v>135.9348812849162</v>
      </c>
      <c r="I444" s="7"/>
      <c r="J444" s="7"/>
      <c r="K444" s="29"/>
      <c r="L444" s="156">
        <f t="shared" si="589"/>
        <v>1</v>
      </c>
      <c r="M444" s="8">
        <f t="shared" si="590"/>
        <v>714.93913784094195</v>
      </c>
      <c r="N444" s="8">
        <f t="shared" si="590"/>
        <v>0</v>
      </c>
      <c r="O444" s="8">
        <f t="shared" si="590"/>
        <v>2162.3730869706051</v>
      </c>
      <c r="P444" s="8">
        <f t="shared" si="590"/>
        <v>0</v>
      </c>
      <c r="Q444" s="8">
        <f t="shared" si="590"/>
        <v>2877.3122248115469</v>
      </c>
      <c r="R444" s="25"/>
      <c r="T444" s="67"/>
      <c r="U444"/>
    </row>
    <row r="445" spans="1:21" ht="15" x14ac:dyDescent="0.25">
      <c r="A445" s="38">
        <v>79.03</v>
      </c>
      <c r="B445" s="5">
        <v>18</v>
      </c>
      <c r="C445" s="5" t="s">
        <v>239</v>
      </c>
      <c r="D445" s="6" t="s">
        <v>299</v>
      </c>
      <c r="E445" s="25"/>
      <c r="F445" s="7"/>
      <c r="G445" s="39">
        <v>4.5565642458100561E-2</v>
      </c>
      <c r="H445" s="7">
        <f t="shared" si="591"/>
        <v>181.94361033519553</v>
      </c>
      <c r="I445" s="7"/>
      <c r="J445" s="7"/>
      <c r="K445" s="29"/>
      <c r="L445" s="156">
        <f t="shared" si="589"/>
        <v>1</v>
      </c>
      <c r="M445" s="8">
        <f t="shared" si="590"/>
        <v>956.91853834095321</v>
      </c>
      <c r="N445" s="8">
        <f t="shared" si="590"/>
        <v>0</v>
      </c>
      <c r="O445" s="8">
        <f t="shared" si="590"/>
        <v>2894.2532087145028</v>
      </c>
      <c r="P445" s="8">
        <f t="shared" si="590"/>
        <v>0</v>
      </c>
      <c r="Q445" s="8">
        <f t="shared" si="590"/>
        <v>3851.1717470554554</v>
      </c>
      <c r="R445" s="25"/>
      <c r="T445" s="67"/>
      <c r="U445"/>
    </row>
    <row r="446" spans="1:21" ht="15" x14ac:dyDescent="0.25">
      <c r="A446" s="38">
        <v>79.040000000000006</v>
      </c>
      <c r="B446" s="5">
        <v>25</v>
      </c>
      <c r="C446" s="5" t="s">
        <v>238</v>
      </c>
      <c r="D446" s="6" t="s">
        <v>299</v>
      </c>
      <c r="E446" s="25"/>
      <c r="F446" s="7"/>
      <c r="G446" s="39">
        <v>7.3324022346368714E-2</v>
      </c>
      <c r="H446" s="7">
        <f t="shared" si="591"/>
        <v>292.78282122905028</v>
      </c>
      <c r="I446" s="7"/>
      <c r="J446" s="7"/>
      <c r="K446" s="29"/>
      <c r="L446" s="156">
        <f t="shared" si="589"/>
        <v>1</v>
      </c>
      <c r="M446" s="8">
        <f t="shared" si="590"/>
        <v>1539.8689122727983</v>
      </c>
      <c r="N446" s="8">
        <f t="shared" si="590"/>
        <v>0</v>
      </c>
      <c r="O446" s="8">
        <f t="shared" si="590"/>
        <v>4657.4189565520728</v>
      </c>
      <c r="P446" s="8">
        <f t="shared" si="590"/>
        <v>0</v>
      </c>
      <c r="Q446" s="8">
        <f t="shared" si="590"/>
        <v>6197.2878688248702</v>
      </c>
      <c r="R446" s="25"/>
      <c r="T446" s="67"/>
      <c r="U446"/>
    </row>
    <row r="447" spans="1:21" ht="15" x14ac:dyDescent="0.25">
      <c r="A447" s="38">
        <v>79.05</v>
      </c>
      <c r="B447" s="5">
        <v>32</v>
      </c>
      <c r="C447" s="5" t="s">
        <v>240</v>
      </c>
      <c r="D447" s="6" t="s">
        <v>67</v>
      </c>
      <c r="E447" s="25"/>
      <c r="F447" s="7"/>
      <c r="G447" s="39">
        <v>6.9832402234636867E-3</v>
      </c>
      <c r="H447" s="7">
        <f t="shared" si="591"/>
        <v>27.8840782122905</v>
      </c>
      <c r="I447" s="7"/>
      <c r="J447" s="7"/>
      <c r="K447" s="29"/>
      <c r="L447" s="156">
        <f t="shared" si="589"/>
        <v>1</v>
      </c>
      <c r="M447" s="8">
        <f t="shared" si="590"/>
        <v>146.65418212121887</v>
      </c>
      <c r="N447" s="8">
        <f t="shared" si="590"/>
        <v>0</v>
      </c>
      <c r="O447" s="8">
        <f t="shared" si="590"/>
        <v>443.56371014781644</v>
      </c>
      <c r="P447" s="8">
        <f t="shared" si="590"/>
        <v>0</v>
      </c>
      <c r="Q447" s="8">
        <f t="shared" si="590"/>
        <v>590.21789226903525</v>
      </c>
      <c r="R447" s="25"/>
      <c r="T447" s="67"/>
      <c r="U447"/>
    </row>
    <row r="448" spans="1:21" ht="15" x14ac:dyDescent="0.25">
      <c r="A448" s="38">
        <v>79.06</v>
      </c>
      <c r="B448" s="5">
        <v>39</v>
      </c>
      <c r="C448" s="5" t="s">
        <v>241</v>
      </c>
      <c r="D448" s="6" t="s">
        <v>67</v>
      </c>
      <c r="E448" s="25"/>
      <c r="F448" s="7"/>
      <c r="G448" s="39">
        <v>2.7932960893854747E-2</v>
      </c>
      <c r="H448" s="7">
        <f t="shared" si="591"/>
        <v>111.536312849162</v>
      </c>
      <c r="I448" s="7"/>
      <c r="J448" s="7"/>
      <c r="K448" s="29"/>
      <c r="L448" s="156">
        <f t="shared" si="589"/>
        <v>1</v>
      </c>
      <c r="M448" s="8">
        <f t="shared" si="590"/>
        <v>586.61672848487547</v>
      </c>
      <c r="N448" s="8">
        <f t="shared" si="590"/>
        <v>0</v>
      </c>
      <c r="O448" s="8">
        <f t="shared" si="590"/>
        <v>1774.2548405912657</v>
      </c>
      <c r="P448" s="8">
        <f t="shared" si="590"/>
        <v>0</v>
      </c>
      <c r="Q448" s="8">
        <f t="shared" si="590"/>
        <v>2360.871569076141</v>
      </c>
      <c r="R448" s="25"/>
      <c r="T448" s="67"/>
      <c r="U448"/>
    </row>
    <row r="449" spans="1:21" ht="15" x14ac:dyDescent="0.25">
      <c r="A449" s="38">
        <v>79.069999999999993</v>
      </c>
      <c r="B449" s="5">
        <v>46</v>
      </c>
      <c r="C449" s="5" t="s">
        <v>242</v>
      </c>
      <c r="D449" s="6" t="s">
        <v>67</v>
      </c>
      <c r="E449" s="25"/>
      <c r="F449" s="7"/>
      <c r="G449" s="39">
        <v>1.0474860335195531E-3</v>
      </c>
      <c r="H449" s="7">
        <f t="shared" si="591"/>
        <v>4.1826117318435756</v>
      </c>
      <c r="I449" s="7"/>
      <c r="J449" s="7"/>
      <c r="K449" s="29"/>
      <c r="L449" s="156">
        <f t="shared" si="589"/>
        <v>1</v>
      </c>
      <c r="M449" s="8">
        <f t="shared" si="590"/>
        <v>21.998127318182831</v>
      </c>
      <c r="N449" s="8">
        <f t="shared" si="590"/>
        <v>0</v>
      </c>
      <c r="O449" s="8">
        <f t="shared" si="590"/>
        <v>66.534556522172466</v>
      </c>
      <c r="P449" s="8">
        <f t="shared" si="590"/>
        <v>0</v>
      </c>
      <c r="Q449" s="8">
        <f t="shared" si="590"/>
        <v>88.53268384035529</v>
      </c>
      <c r="R449" s="25"/>
      <c r="T449" s="67"/>
      <c r="U449"/>
    </row>
    <row r="450" spans="1:21" ht="15" x14ac:dyDescent="0.25">
      <c r="A450" s="38">
        <v>79.08</v>
      </c>
      <c r="B450" s="5">
        <v>53</v>
      </c>
      <c r="C450" s="5" t="s">
        <v>243</v>
      </c>
      <c r="D450" s="6" t="s">
        <v>67</v>
      </c>
      <c r="E450" s="25"/>
      <c r="F450" s="7"/>
      <c r="G450" s="39">
        <v>0.46438547486033521</v>
      </c>
      <c r="H450" s="7">
        <f t="shared" si="591"/>
        <v>1854.2912011173185</v>
      </c>
      <c r="I450" s="7"/>
      <c r="J450" s="7"/>
      <c r="K450" s="29"/>
      <c r="L450" s="156">
        <f t="shared" si="589"/>
        <v>6</v>
      </c>
      <c r="M450" s="8">
        <f t="shared" si="590"/>
        <v>9752.5031110610562</v>
      </c>
      <c r="N450" s="8">
        <f t="shared" si="590"/>
        <v>0</v>
      </c>
      <c r="O450" s="8">
        <f t="shared" si="590"/>
        <v>29496.986724829796</v>
      </c>
      <c r="P450" s="8">
        <f t="shared" si="590"/>
        <v>0</v>
      </c>
      <c r="Q450" s="8">
        <f t="shared" si="590"/>
        <v>39249.489835890847</v>
      </c>
      <c r="R450" s="25"/>
      <c r="T450" s="67"/>
      <c r="U450"/>
    </row>
    <row r="451" spans="1:21" ht="15" x14ac:dyDescent="0.25">
      <c r="A451" s="38">
        <v>79.09</v>
      </c>
      <c r="B451" s="5">
        <v>61</v>
      </c>
      <c r="C451" s="5" t="s">
        <v>244</v>
      </c>
      <c r="D451" s="6" t="s">
        <v>67</v>
      </c>
      <c r="E451" s="25"/>
      <c r="F451" s="7"/>
      <c r="G451" s="39">
        <v>4.6089385474860335E-2</v>
      </c>
      <c r="H451" s="7">
        <f t="shared" si="591"/>
        <v>184.03491620111731</v>
      </c>
      <c r="I451" s="7"/>
      <c r="J451" s="7"/>
      <c r="K451" s="29"/>
      <c r="L451" s="156">
        <f t="shared" si="589"/>
        <v>1</v>
      </c>
      <c r="M451" s="8">
        <f t="shared" si="590"/>
        <v>967.91760200004467</v>
      </c>
      <c r="N451" s="8">
        <f t="shared" si="590"/>
        <v>0</v>
      </c>
      <c r="O451" s="8">
        <f t="shared" si="590"/>
        <v>2927.5204869755889</v>
      </c>
      <c r="P451" s="8">
        <f t="shared" si="590"/>
        <v>0</v>
      </c>
      <c r="Q451" s="8">
        <f t="shared" si="590"/>
        <v>3895.438088975633</v>
      </c>
      <c r="R451" s="25"/>
      <c r="T451" s="67"/>
      <c r="U451"/>
    </row>
    <row r="452" spans="1:21" ht="15" x14ac:dyDescent="0.25">
      <c r="A452" s="38">
        <v>79.099999999999994</v>
      </c>
      <c r="B452" s="5">
        <v>68</v>
      </c>
      <c r="C452" s="5" t="s">
        <v>245</v>
      </c>
      <c r="D452" s="6" t="s">
        <v>67</v>
      </c>
      <c r="E452" s="25"/>
      <c r="F452" s="7"/>
      <c r="G452" s="39">
        <v>0.14141061452513967</v>
      </c>
      <c r="H452" s="7">
        <f t="shared" si="591"/>
        <v>564.65258379888269</v>
      </c>
      <c r="I452" s="7"/>
      <c r="J452" s="7"/>
      <c r="K452" s="29"/>
      <c r="L452" s="156">
        <f t="shared" si="589"/>
        <v>2</v>
      </c>
      <c r="M452" s="8">
        <f t="shared" si="590"/>
        <v>2969.7471879546824</v>
      </c>
      <c r="N452" s="8">
        <f t="shared" si="590"/>
        <v>0</v>
      </c>
      <c r="O452" s="8">
        <f t="shared" si="590"/>
        <v>8982.1651304932839</v>
      </c>
      <c r="P452" s="8">
        <f t="shared" si="590"/>
        <v>0</v>
      </c>
      <c r="Q452" s="8">
        <f t="shared" si="590"/>
        <v>11951.912318447965</v>
      </c>
      <c r="R452" s="25"/>
      <c r="T452" s="67"/>
      <c r="U452"/>
    </row>
    <row r="453" spans="1:21" ht="15" x14ac:dyDescent="0.25">
      <c r="A453" s="38">
        <v>79.11</v>
      </c>
      <c r="B453" s="5">
        <v>76</v>
      </c>
      <c r="C453" s="5" t="s">
        <v>246</v>
      </c>
      <c r="D453" s="6" t="s">
        <v>67</v>
      </c>
      <c r="E453" s="25"/>
      <c r="F453" s="7"/>
      <c r="G453" s="39">
        <v>3.3170391061452514E-3</v>
      </c>
      <c r="H453" s="7">
        <f t="shared" si="591"/>
        <v>13.244937150837989</v>
      </c>
      <c r="I453" s="7"/>
      <c r="J453" s="7"/>
      <c r="K453" s="29"/>
      <c r="L453" s="156">
        <f t="shared" si="589"/>
        <v>1</v>
      </c>
      <c r="M453" s="8">
        <f t="shared" si="590"/>
        <v>69.660736507578974</v>
      </c>
      <c r="N453" s="8">
        <f t="shared" si="590"/>
        <v>0</v>
      </c>
      <c r="O453" s="8">
        <f t="shared" si="590"/>
        <v>210.69276232021284</v>
      </c>
      <c r="P453" s="8">
        <f t="shared" si="590"/>
        <v>0</v>
      </c>
      <c r="Q453" s="8">
        <f t="shared" si="590"/>
        <v>280.35349882779178</v>
      </c>
      <c r="R453" s="25"/>
      <c r="T453" s="67"/>
      <c r="U453"/>
    </row>
    <row r="454" spans="1:21" ht="15" x14ac:dyDescent="0.25">
      <c r="A454" s="38">
        <v>79.12</v>
      </c>
      <c r="B454" s="5">
        <v>83</v>
      </c>
      <c r="C454" s="5" t="s">
        <v>250</v>
      </c>
      <c r="D454" s="6" t="s">
        <v>67</v>
      </c>
      <c r="E454" s="25"/>
      <c r="F454" s="7"/>
      <c r="G454" s="39">
        <v>3.1424581005586594E-2</v>
      </c>
      <c r="H454" s="7">
        <f t="shared" si="591"/>
        <v>125.47835195530728</v>
      </c>
      <c r="I454" s="7"/>
      <c r="J454" s="7"/>
      <c r="K454" s="29"/>
      <c r="L454" s="156">
        <f t="shared" si="589"/>
        <v>1</v>
      </c>
      <c r="M454" s="8">
        <f t="shared" si="590"/>
        <v>659.94381954548498</v>
      </c>
      <c r="N454" s="8">
        <f t="shared" si="590"/>
        <v>0</v>
      </c>
      <c r="O454" s="8">
        <f t="shared" si="590"/>
        <v>1996.0366956651742</v>
      </c>
      <c r="P454" s="8">
        <f t="shared" si="590"/>
        <v>0</v>
      </c>
      <c r="Q454" s="8">
        <f t="shared" si="590"/>
        <v>2655.9805152106592</v>
      </c>
      <c r="R454" s="25"/>
      <c r="T454" s="67"/>
      <c r="U454"/>
    </row>
    <row r="455" spans="1:21" ht="15" x14ac:dyDescent="0.25">
      <c r="A455" s="38">
        <v>79.13</v>
      </c>
      <c r="B455" s="5">
        <v>90</v>
      </c>
      <c r="C455" s="5" t="s">
        <v>248</v>
      </c>
      <c r="D455" s="6" t="s">
        <v>67</v>
      </c>
      <c r="E455" s="25"/>
      <c r="F455" s="7"/>
      <c r="G455" s="39">
        <v>8.7115921787709494E-2</v>
      </c>
      <c r="H455" s="7">
        <f t="shared" si="591"/>
        <v>347.85387569832403</v>
      </c>
      <c r="I455" s="7"/>
      <c r="J455" s="7"/>
      <c r="K455" s="29"/>
      <c r="L455" s="156">
        <f t="shared" si="589"/>
        <v>2</v>
      </c>
      <c r="M455" s="8">
        <f t="shared" si="590"/>
        <v>1829.5109219622054</v>
      </c>
      <c r="N455" s="8">
        <f t="shared" si="590"/>
        <v>0</v>
      </c>
      <c r="O455" s="8">
        <f t="shared" si="590"/>
        <v>5533.45728409401</v>
      </c>
      <c r="P455" s="8">
        <f t="shared" si="590"/>
        <v>0</v>
      </c>
      <c r="Q455" s="8">
        <f t="shared" si="590"/>
        <v>7362.9682060562154</v>
      </c>
      <c r="R455" s="25"/>
      <c r="T455" s="67"/>
      <c r="U455"/>
    </row>
    <row r="456" spans="1:21" ht="15" x14ac:dyDescent="0.25">
      <c r="A456" s="38">
        <v>79.2</v>
      </c>
      <c r="B456" s="13">
        <v>1</v>
      </c>
      <c r="C456" s="14" t="s">
        <v>31</v>
      </c>
      <c r="D456" s="13" t="s">
        <v>27</v>
      </c>
      <c r="E456" s="26" t="str">
        <f>VLOOKUP(C456,Resources!B:G,3,FALSE)</f>
        <v>P</v>
      </c>
      <c r="F456" s="15">
        <v>1</v>
      </c>
      <c r="G456" s="36">
        <f>VLOOKUP($A456,'Model Inputs'!$A:$C,3,FALSE)</f>
        <v>88.888999999999996</v>
      </c>
      <c r="H456" s="15">
        <f>H442*2.4</f>
        <v>9583.1999999999989</v>
      </c>
      <c r="I456" s="15">
        <f>VLOOKUP(C456,Resources!B:G,6,FALSE)</f>
        <v>165</v>
      </c>
      <c r="J456" s="27">
        <f>(H456/G456)*I456*F456</f>
        <v>17788.792764009046</v>
      </c>
      <c r="K456" s="27">
        <f t="shared" ref="K456:K460" si="592">IF(E456="M"," ",L456*F456)</f>
        <v>107.81086523641845</v>
      </c>
      <c r="L456" s="157">
        <f t="shared" ref="L456:L460" si="593">IF(E456="M"," ",H456/G456)</f>
        <v>107.81086523641845</v>
      </c>
      <c r="M456" s="28">
        <f t="shared" ref="M456:M460" si="594">IF($E456="L",$J456,0)</f>
        <v>0</v>
      </c>
      <c r="N456" s="28">
        <f t="shared" ref="N456:N460" si="595">IF($E456="M",$J456,0)</f>
        <v>0</v>
      </c>
      <c r="O456" s="28">
        <f t="shared" ref="O456:O460" si="596">IF($E456="P",$J456,0)</f>
        <v>17788.792764009046</v>
      </c>
      <c r="P456" s="28">
        <f t="shared" ref="P456:P460" si="597">IF($E456="S",$J456,0)</f>
        <v>0</v>
      </c>
      <c r="Q456" s="28">
        <f t="shared" ref="Q456:Q460" si="598">SUM(M456:P456)</f>
        <v>17788.792764009046</v>
      </c>
      <c r="R456" s="26">
        <v>62</v>
      </c>
      <c r="T456" s="67"/>
      <c r="U456"/>
    </row>
    <row r="457" spans="1:21" ht="15" x14ac:dyDescent="0.25">
      <c r="A457" s="38" t="s">
        <v>418</v>
      </c>
      <c r="B457" s="13">
        <v>2</v>
      </c>
      <c r="C457" s="14" t="s">
        <v>45</v>
      </c>
      <c r="D457" s="13" t="s">
        <v>27</v>
      </c>
      <c r="E457" s="26" t="str">
        <f>VLOOKUP(C457,Resources!B:G,3,FALSE)</f>
        <v>P</v>
      </c>
      <c r="F457" s="15">
        <v>2</v>
      </c>
      <c r="G457" s="15">
        <f>G456</f>
        <v>88.888999999999996</v>
      </c>
      <c r="H457" s="15">
        <f>H456</f>
        <v>9583.1999999999989</v>
      </c>
      <c r="I457" s="15">
        <f>VLOOKUP(C457,Resources!B:G,6,FALSE)</f>
        <v>100</v>
      </c>
      <c r="J457" s="27">
        <f>(H457/G457)*I457*F457</f>
        <v>21562.17304728369</v>
      </c>
      <c r="K457" s="27">
        <f t="shared" si="592"/>
        <v>215.6217304728369</v>
      </c>
      <c r="L457" s="157">
        <f t="shared" si="593"/>
        <v>107.81086523641845</v>
      </c>
      <c r="M457" s="28">
        <f t="shared" si="594"/>
        <v>0</v>
      </c>
      <c r="N457" s="28">
        <f t="shared" si="595"/>
        <v>0</v>
      </c>
      <c r="O457" s="28">
        <f t="shared" si="596"/>
        <v>21562.17304728369</v>
      </c>
      <c r="P457" s="28">
        <f t="shared" si="597"/>
        <v>0</v>
      </c>
      <c r="Q457" s="28">
        <f t="shared" si="598"/>
        <v>21562.17304728369</v>
      </c>
      <c r="R457" s="26">
        <v>62</v>
      </c>
      <c r="T457" s="67"/>
      <c r="U457"/>
    </row>
    <row r="458" spans="1:21" ht="15" x14ac:dyDescent="0.25">
      <c r="A458" s="38" t="s">
        <v>418</v>
      </c>
      <c r="B458" s="13">
        <v>3</v>
      </c>
      <c r="C458" s="14" t="s">
        <v>102</v>
      </c>
      <c r="D458" s="13" t="s">
        <v>54</v>
      </c>
      <c r="E458" s="26" t="str">
        <f>VLOOKUP(C458,Resources!B:G,3,FALSE)</f>
        <v>P</v>
      </c>
      <c r="F458" s="15">
        <v>1</v>
      </c>
      <c r="G458" s="15">
        <f>G456*9</f>
        <v>800.00099999999998</v>
      </c>
      <c r="H458" s="15">
        <f>H456</f>
        <v>9583.1999999999989</v>
      </c>
      <c r="I458" s="15">
        <f>VLOOKUP(C458,Resources!B:G,6,FALSE)</f>
        <v>365</v>
      </c>
      <c r="J458" s="27">
        <f>(H458/G458)*I458*F458</f>
        <v>4372.3295345880815</v>
      </c>
      <c r="K458" s="27">
        <f t="shared" si="592"/>
        <v>11.978985026268717</v>
      </c>
      <c r="L458" s="157">
        <f t="shared" si="593"/>
        <v>11.978985026268717</v>
      </c>
      <c r="M458" s="28">
        <f t="shared" si="594"/>
        <v>0</v>
      </c>
      <c r="N458" s="28">
        <f t="shared" si="595"/>
        <v>0</v>
      </c>
      <c r="O458" s="28">
        <f t="shared" si="596"/>
        <v>4372.3295345880815</v>
      </c>
      <c r="P458" s="28">
        <f t="shared" si="597"/>
        <v>0</v>
      </c>
      <c r="Q458" s="28">
        <f t="shared" si="598"/>
        <v>4372.3295345880815</v>
      </c>
      <c r="R458" s="26">
        <v>62</v>
      </c>
      <c r="T458" s="67"/>
      <c r="U458"/>
    </row>
    <row r="459" spans="1:21" ht="15" x14ac:dyDescent="0.25">
      <c r="A459" s="38" t="s">
        <v>418</v>
      </c>
      <c r="B459" s="13">
        <v>4</v>
      </c>
      <c r="C459" s="14" t="s">
        <v>176</v>
      </c>
      <c r="D459" s="13" t="s">
        <v>54</v>
      </c>
      <c r="E459" s="26" t="str">
        <f>VLOOKUP(C459,Resources!B:G,3,FALSE)</f>
        <v>P</v>
      </c>
      <c r="F459" s="15">
        <v>1</v>
      </c>
      <c r="G459" s="15">
        <f>G456*9</f>
        <v>800.00099999999998</v>
      </c>
      <c r="H459" s="15">
        <f>H456</f>
        <v>9583.1999999999989</v>
      </c>
      <c r="I459" s="15">
        <f>VLOOKUP(C459,Resources!B:G,6,FALSE)</f>
        <v>365</v>
      </c>
      <c r="J459" s="27">
        <f>(H459/G459)*I459*F459</f>
        <v>4372.3295345880815</v>
      </c>
      <c r="K459" s="27">
        <f t="shared" si="592"/>
        <v>11.978985026268717</v>
      </c>
      <c r="L459" s="157">
        <f t="shared" si="593"/>
        <v>11.978985026268717</v>
      </c>
      <c r="M459" s="28">
        <f t="shared" si="594"/>
        <v>0</v>
      </c>
      <c r="N459" s="28">
        <f t="shared" si="595"/>
        <v>0</v>
      </c>
      <c r="O459" s="28">
        <f t="shared" si="596"/>
        <v>4372.3295345880815</v>
      </c>
      <c r="P459" s="28">
        <f t="shared" si="597"/>
        <v>0</v>
      </c>
      <c r="Q459" s="28">
        <f t="shared" si="598"/>
        <v>4372.3295345880815</v>
      </c>
      <c r="R459" s="26">
        <v>62</v>
      </c>
      <c r="T459" s="67"/>
      <c r="U459"/>
    </row>
    <row r="460" spans="1:21" ht="15" x14ac:dyDescent="0.25">
      <c r="A460" s="38" t="s">
        <v>418</v>
      </c>
      <c r="B460" s="13">
        <v>5</v>
      </c>
      <c r="C460" s="14" t="s">
        <v>7</v>
      </c>
      <c r="D460" s="13" t="s">
        <v>27</v>
      </c>
      <c r="E460" s="26" t="str">
        <f>VLOOKUP(C460,Resources!B:G,3,FALSE)</f>
        <v>L</v>
      </c>
      <c r="F460" s="15">
        <v>3</v>
      </c>
      <c r="G460" s="15">
        <f>G456</f>
        <v>88.888999999999996</v>
      </c>
      <c r="H460" s="15">
        <f>H456</f>
        <v>9583.1999999999989</v>
      </c>
      <c r="I460" s="15">
        <f>VLOOKUP(C460,Resources!B:G,6,FALSE)</f>
        <v>48</v>
      </c>
      <c r="J460" s="27">
        <f>(H460/G460)*I460*F460</f>
        <v>15524.764594044256</v>
      </c>
      <c r="K460" s="27">
        <f t="shared" si="592"/>
        <v>323.43259570925534</v>
      </c>
      <c r="L460" s="157">
        <f t="shared" si="593"/>
        <v>107.81086523641845</v>
      </c>
      <c r="M460" s="28">
        <f t="shared" si="594"/>
        <v>15524.764594044256</v>
      </c>
      <c r="N460" s="28">
        <f t="shared" si="595"/>
        <v>0</v>
      </c>
      <c r="O460" s="28">
        <f t="shared" si="596"/>
        <v>0</v>
      </c>
      <c r="P460" s="28">
        <f t="shared" si="597"/>
        <v>0</v>
      </c>
      <c r="Q460" s="28">
        <f t="shared" si="598"/>
        <v>15524.764594044256</v>
      </c>
      <c r="R460" s="26">
        <v>62</v>
      </c>
      <c r="T460" s="67"/>
      <c r="U460"/>
    </row>
    <row r="461" spans="1:21" ht="15" x14ac:dyDescent="0.25">
      <c r="A461" s="38">
        <v>79.3</v>
      </c>
      <c r="B461" s="13">
        <v>6</v>
      </c>
      <c r="C461" s="14" t="s">
        <v>301</v>
      </c>
      <c r="D461" s="13"/>
      <c r="E461" s="26"/>
      <c r="F461" s="15"/>
      <c r="G461" s="15"/>
      <c r="H461" s="36">
        <f>VLOOKUP($A461,'Model Inputs'!$A:$C,3,FALSE)</f>
        <v>0.3</v>
      </c>
      <c r="I461" s="15"/>
      <c r="J461" s="15"/>
      <c r="K461" s="30"/>
      <c r="L461" s="157"/>
      <c r="M461" s="16"/>
      <c r="N461" s="16"/>
      <c r="O461" s="16"/>
      <c r="P461" s="16"/>
      <c r="Q461" s="16"/>
      <c r="R461" s="26"/>
      <c r="T461" s="67"/>
      <c r="U461"/>
    </row>
    <row r="462" spans="1:21" ht="15" x14ac:dyDescent="0.25">
      <c r="A462" s="38">
        <v>79.400000000000006</v>
      </c>
      <c r="B462" s="13">
        <v>7</v>
      </c>
      <c r="C462" s="14" t="s">
        <v>31</v>
      </c>
      <c r="D462" s="13" t="s">
        <v>27</v>
      </c>
      <c r="E462" s="26" t="str">
        <f>VLOOKUP(C462,Resources!B:G,3,FALSE)</f>
        <v>P</v>
      </c>
      <c r="F462" s="15">
        <v>1</v>
      </c>
      <c r="G462" s="36">
        <f>VLOOKUP($A462,'Model Inputs'!$A:$C,3,FALSE)</f>
        <v>350</v>
      </c>
      <c r="H462" s="15">
        <f>H442/H461</f>
        <v>13310</v>
      </c>
      <c r="I462" s="15">
        <f>VLOOKUP(C462,Resources!B:G,6,FALSE)</f>
        <v>165</v>
      </c>
      <c r="J462" s="27">
        <f>(H462/G462)*I462*F462</f>
        <v>6274.7142857142862</v>
      </c>
      <c r="K462" s="27">
        <f t="shared" ref="K462:K465" si="599">IF(E462="M"," ",L462*F462)</f>
        <v>38.028571428571432</v>
      </c>
      <c r="L462" s="157">
        <f t="shared" ref="L462:L465" si="600">IF(E462="M"," ",H462/G462)</f>
        <v>38.028571428571432</v>
      </c>
      <c r="M462" s="28">
        <f t="shared" ref="M462:M465" si="601">IF($E462="L",$J462,0)</f>
        <v>0</v>
      </c>
      <c r="N462" s="28">
        <f t="shared" ref="N462:N465" si="602">IF($E462="M",$J462,0)</f>
        <v>0</v>
      </c>
      <c r="O462" s="28">
        <f t="shared" ref="O462:O465" si="603">IF($E462="P",$J462,0)</f>
        <v>6274.7142857142862</v>
      </c>
      <c r="P462" s="28">
        <f t="shared" ref="P462:P465" si="604">IF($E462="S",$J462,0)</f>
        <v>0</v>
      </c>
      <c r="Q462" s="28">
        <f t="shared" ref="Q462:Q465" si="605">SUM(M462:P462)</f>
        <v>6274.7142857142862</v>
      </c>
      <c r="R462" s="26">
        <v>63</v>
      </c>
      <c r="T462" s="67"/>
      <c r="U462"/>
    </row>
    <row r="463" spans="1:21" ht="15" x14ac:dyDescent="0.25">
      <c r="A463" s="38" t="s">
        <v>418</v>
      </c>
      <c r="B463" s="13">
        <v>8</v>
      </c>
      <c r="C463" s="14" t="s">
        <v>45</v>
      </c>
      <c r="D463" s="13" t="s">
        <v>27</v>
      </c>
      <c r="E463" s="26" t="str">
        <f>VLOOKUP(C463,Resources!B:G,3,FALSE)</f>
        <v>P</v>
      </c>
      <c r="F463" s="15">
        <v>2</v>
      </c>
      <c r="G463" s="15">
        <f>G462</f>
        <v>350</v>
      </c>
      <c r="H463" s="15">
        <f>H462</f>
        <v>13310</v>
      </c>
      <c r="I463" s="15">
        <f>VLOOKUP(C463,Resources!B:G,6,FALSE)</f>
        <v>100</v>
      </c>
      <c r="J463" s="27">
        <f>(H463/G463)*I463*F463</f>
        <v>7605.7142857142862</v>
      </c>
      <c r="K463" s="27">
        <f t="shared" si="599"/>
        <v>76.057142857142864</v>
      </c>
      <c r="L463" s="157">
        <f t="shared" si="600"/>
        <v>38.028571428571432</v>
      </c>
      <c r="M463" s="28">
        <f t="shared" si="601"/>
        <v>0</v>
      </c>
      <c r="N463" s="28">
        <f t="shared" si="602"/>
        <v>0</v>
      </c>
      <c r="O463" s="28">
        <f t="shared" si="603"/>
        <v>7605.7142857142862</v>
      </c>
      <c r="P463" s="28">
        <f t="shared" si="604"/>
        <v>0</v>
      </c>
      <c r="Q463" s="28">
        <f t="shared" si="605"/>
        <v>7605.7142857142862</v>
      </c>
      <c r="R463" s="26">
        <v>63</v>
      </c>
      <c r="T463" s="67"/>
      <c r="U463"/>
    </row>
    <row r="464" spans="1:21" ht="15" x14ac:dyDescent="0.25">
      <c r="A464" s="38" t="s">
        <v>418</v>
      </c>
      <c r="B464" s="13">
        <v>9</v>
      </c>
      <c r="C464" s="14" t="s">
        <v>176</v>
      </c>
      <c r="D464" s="13" t="s">
        <v>54</v>
      </c>
      <c r="E464" s="26" t="str">
        <f>VLOOKUP(C464,Resources!B:G,3,FALSE)</f>
        <v>P</v>
      </c>
      <c r="F464" s="15">
        <v>1</v>
      </c>
      <c r="G464" s="15">
        <f>G462*9</f>
        <v>3150</v>
      </c>
      <c r="H464" s="15">
        <f>H462</f>
        <v>13310</v>
      </c>
      <c r="I464" s="15">
        <f>VLOOKUP(C464,Resources!B:G,6,FALSE)</f>
        <v>365</v>
      </c>
      <c r="J464" s="27">
        <f>(H464/G464)*I464*F464</f>
        <v>1542.2698412698412</v>
      </c>
      <c r="K464" s="27">
        <f t="shared" si="599"/>
        <v>4.2253968253968255</v>
      </c>
      <c r="L464" s="157">
        <f t="shared" si="600"/>
        <v>4.2253968253968255</v>
      </c>
      <c r="M464" s="28">
        <f t="shared" si="601"/>
        <v>0</v>
      </c>
      <c r="N464" s="28">
        <f t="shared" si="602"/>
        <v>0</v>
      </c>
      <c r="O464" s="28">
        <f t="shared" si="603"/>
        <v>1542.2698412698412</v>
      </c>
      <c r="P464" s="28">
        <f t="shared" si="604"/>
        <v>0</v>
      </c>
      <c r="Q464" s="28">
        <f t="shared" si="605"/>
        <v>1542.2698412698412</v>
      </c>
      <c r="R464" s="26">
        <v>63</v>
      </c>
      <c r="T464" s="67"/>
      <c r="U464"/>
    </row>
    <row r="465" spans="1:21" ht="15" x14ac:dyDescent="0.25">
      <c r="A465" s="38" t="s">
        <v>418</v>
      </c>
      <c r="B465" s="13">
        <v>10</v>
      </c>
      <c r="C465" s="14" t="s">
        <v>7</v>
      </c>
      <c r="D465" s="13" t="s">
        <v>27</v>
      </c>
      <c r="E465" s="26" t="str">
        <f>VLOOKUP(C465,Resources!B:G,3,FALSE)</f>
        <v>L</v>
      </c>
      <c r="F465" s="15">
        <v>3</v>
      </c>
      <c r="G465" s="15">
        <f>G462</f>
        <v>350</v>
      </c>
      <c r="H465" s="15">
        <f>H462</f>
        <v>13310</v>
      </c>
      <c r="I465" s="15">
        <f>VLOOKUP(C465,Resources!B:G,6,FALSE)</f>
        <v>48</v>
      </c>
      <c r="J465" s="27">
        <f>(H465/G465)*I465*F465</f>
        <v>5476.1142857142859</v>
      </c>
      <c r="K465" s="27">
        <f t="shared" si="599"/>
        <v>114.08571428571429</v>
      </c>
      <c r="L465" s="157">
        <f t="shared" si="600"/>
        <v>38.028571428571432</v>
      </c>
      <c r="M465" s="28">
        <f t="shared" si="601"/>
        <v>5476.1142857142859</v>
      </c>
      <c r="N465" s="28">
        <f t="shared" si="602"/>
        <v>0</v>
      </c>
      <c r="O465" s="28">
        <f t="shared" si="603"/>
        <v>0</v>
      </c>
      <c r="P465" s="28">
        <f t="shared" si="604"/>
        <v>0</v>
      </c>
      <c r="Q465" s="28">
        <f t="shared" si="605"/>
        <v>5476.1142857142859</v>
      </c>
      <c r="R465" s="26">
        <v>63</v>
      </c>
      <c r="T465" s="67"/>
      <c r="U465"/>
    </row>
    <row r="466" spans="1:21" ht="15" x14ac:dyDescent="0.25">
      <c r="A466" s="38" t="s">
        <v>418</v>
      </c>
      <c r="F466" s="11"/>
      <c r="G466" s="11"/>
      <c r="H466" s="11"/>
      <c r="I466" s="11"/>
      <c r="J466" s="11"/>
      <c r="K466" s="31"/>
      <c r="M466" s="12"/>
      <c r="N466" s="12"/>
      <c r="O466" s="12"/>
      <c r="P466" s="12"/>
      <c r="Q466" s="12"/>
      <c r="T466" s="67"/>
      <c r="U466"/>
    </row>
    <row r="467" spans="1:21" ht="33.75" x14ac:dyDescent="0.25">
      <c r="A467" s="38">
        <v>80</v>
      </c>
      <c r="B467" s="5" t="s">
        <v>177</v>
      </c>
      <c r="C467" s="5" t="s">
        <v>178</v>
      </c>
      <c r="D467" s="6"/>
      <c r="E467" s="25"/>
      <c r="F467" s="7"/>
      <c r="G467" s="7"/>
      <c r="H467" s="7"/>
      <c r="I467" s="7"/>
      <c r="J467" s="7"/>
      <c r="K467" s="29"/>
      <c r="L467" s="156"/>
      <c r="M467" s="8"/>
      <c r="N467" s="8"/>
      <c r="O467" s="8"/>
      <c r="P467" s="8"/>
      <c r="Q467" s="8"/>
      <c r="R467" s="25"/>
      <c r="T467" s="67"/>
      <c r="U467"/>
    </row>
    <row r="468" spans="1:21" ht="45" x14ac:dyDescent="0.25">
      <c r="A468" s="38">
        <v>81</v>
      </c>
      <c r="B468" s="5" t="s">
        <v>179</v>
      </c>
      <c r="C468" s="5" t="s">
        <v>180</v>
      </c>
      <c r="D468" s="6" t="s">
        <v>67</v>
      </c>
      <c r="E468" s="25"/>
      <c r="F468" s="7"/>
      <c r="G468" s="7"/>
      <c r="H468" s="36">
        <f>VLOOKUP($A468,'Model Inputs'!$A:$C,3,FALSE)</f>
        <v>3993</v>
      </c>
      <c r="I468" s="7"/>
      <c r="J468" s="7"/>
      <c r="K468" s="29"/>
      <c r="L468" s="156">
        <f>ROUNDUP(MAX(L471)/Work,0)</f>
        <v>3</v>
      </c>
      <c r="M468" s="8">
        <f>SUBTOTAL(9,M471)</f>
        <v>0</v>
      </c>
      <c r="N468" s="8">
        <f t="shared" ref="N468:Q468" si="606">SUBTOTAL(9,N471)</f>
        <v>0</v>
      </c>
      <c r="O468" s="8">
        <f t="shared" si="606"/>
        <v>0</v>
      </c>
      <c r="P468" s="8">
        <f t="shared" si="606"/>
        <v>41399.423999999999</v>
      </c>
      <c r="Q468" s="8">
        <f t="shared" si="606"/>
        <v>41399.423999999999</v>
      </c>
      <c r="R468" s="25"/>
      <c r="T468" s="67"/>
      <c r="U468"/>
    </row>
    <row r="469" spans="1:21" ht="15" x14ac:dyDescent="0.25">
      <c r="A469" s="38" t="s">
        <v>418</v>
      </c>
      <c r="B469" s="13">
        <v>1</v>
      </c>
      <c r="C469" s="14" t="s">
        <v>251</v>
      </c>
      <c r="D469" s="13"/>
      <c r="E469" s="26"/>
      <c r="F469" s="15"/>
      <c r="G469" s="15"/>
      <c r="H469" s="15">
        <f>H468*2.4</f>
        <v>9583.1999999999989</v>
      </c>
      <c r="I469" s="15"/>
      <c r="J469" s="15"/>
      <c r="K469" s="30"/>
      <c r="L469" s="157"/>
      <c r="M469" s="16"/>
      <c r="N469" s="16"/>
      <c r="O469" s="16"/>
      <c r="P469" s="16"/>
      <c r="Q469" s="16"/>
      <c r="R469" s="26"/>
      <c r="T469" s="67"/>
      <c r="U469"/>
    </row>
    <row r="470" spans="1:21" ht="15" x14ac:dyDescent="0.25">
      <c r="A470" s="38" t="s">
        <v>418</v>
      </c>
      <c r="B470" s="13">
        <v>2</v>
      </c>
      <c r="C470" s="14" t="s">
        <v>252</v>
      </c>
      <c r="D470" s="13"/>
      <c r="E470" s="26"/>
      <c r="F470" s="15">
        <v>18</v>
      </c>
      <c r="G470" s="15"/>
      <c r="H470" s="15"/>
      <c r="I470" s="15"/>
      <c r="J470" s="15"/>
      <c r="K470" s="30"/>
      <c r="L470" s="157"/>
      <c r="M470" s="16"/>
      <c r="N470" s="16"/>
      <c r="O470" s="16"/>
      <c r="P470" s="16"/>
      <c r="Q470" s="16"/>
      <c r="R470" s="26"/>
      <c r="T470" s="67"/>
      <c r="U470"/>
    </row>
    <row r="471" spans="1:21" ht="15" x14ac:dyDescent="0.25">
      <c r="A471" s="38" t="s">
        <v>418</v>
      </c>
      <c r="B471" s="13">
        <v>3</v>
      </c>
      <c r="C471" s="14" t="s">
        <v>128</v>
      </c>
      <c r="D471" s="13" t="s">
        <v>99</v>
      </c>
      <c r="E471" s="26" t="str">
        <f>VLOOKUP(C471,Resources!B:G,3,FALSE)</f>
        <v>S</v>
      </c>
      <c r="F471" s="15">
        <v>18</v>
      </c>
      <c r="G471" s="15">
        <v>1</v>
      </c>
      <c r="H471" s="15">
        <f>H469</f>
        <v>9583.1999999999989</v>
      </c>
      <c r="I471" s="15">
        <f>VLOOKUP(C471,Resources!B:G,6,FALSE)</f>
        <v>0.24</v>
      </c>
      <c r="J471" s="27">
        <f>(H471/G471)*I471*F471</f>
        <v>41399.423999999999</v>
      </c>
      <c r="K471" s="27">
        <f t="shared" ref="K471" si="607">IF(E471="M"," ",L471*F471)</f>
        <v>360</v>
      </c>
      <c r="L471" s="157">
        <f>SUM(L474:L486)</f>
        <v>20</v>
      </c>
      <c r="M471" s="28">
        <f t="shared" ref="M471" si="608">IF($E471="L",$J471,0)</f>
        <v>0</v>
      </c>
      <c r="N471" s="28">
        <f t="shared" ref="N471" si="609">IF($E471="M",$J471,0)</f>
        <v>0</v>
      </c>
      <c r="O471" s="28">
        <f t="shared" ref="O471" si="610">IF($E471="P",$J471,0)</f>
        <v>0</v>
      </c>
      <c r="P471" s="28">
        <f t="shared" ref="P471" si="611">IF($E471="S",$J471,0)</f>
        <v>41399.423999999999</v>
      </c>
      <c r="Q471" s="28">
        <f t="shared" ref="Q471" si="612">SUM(M471:P471)</f>
        <v>41399.423999999999</v>
      </c>
      <c r="R471" s="26">
        <v>613</v>
      </c>
      <c r="T471" s="67"/>
      <c r="U471"/>
    </row>
    <row r="472" spans="1:21" ht="15" x14ac:dyDescent="0.25">
      <c r="A472" s="38" t="s">
        <v>418</v>
      </c>
      <c r="F472" s="11"/>
      <c r="G472" s="11"/>
      <c r="H472" s="11"/>
      <c r="I472" s="11"/>
      <c r="J472" s="11"/>
      <c r="K472" s="31"/>
      <c r="M472" s="12"/>
      <c r="N472" s="12"/>
      <c r="O472" s="12"/>
      <c r="P472" s="12"/>
      <c r="Q472" s="12"/>
      <c r="T472" s="67"/>
      <c r="U472"/>
    </row>
    <row r="473" spans="1:21" ht="33.75" x14ac:dyDescent="0.25">
      <c r="A473" s="38">
        <v>82</v>
      </c>
      <c r="B473" s="5" t="s">
        <v>181</v>
      </c>
      <c r="C473" s="5" t="s">
        <v>182</v>
      </c>
      <c r="D473" s="6" t="s">
        <v>67</v>
      </c>
      <c r="E473" s="25"/>
      <c r="F473" s="7"/>
      <c r="G473" s="7"/>
      <c r="H473" s="36">
        <f>VLOOKUP($A473,'Model Inputs'!$A:$C,3,FALSE)</f>
        <v>3993</v>
      </c>
      <c r="I473" s="7"/>
      <c r="J473" s="8">
        <f>SUBTOTAL(9,J487:J496)</f>
        <v>84519.202172925856</v>
      </c>
      <c r="K473" s="29"/>
      <c r="L473" s="156"/>
      <c r="M473" s="8">
        <f>SUBTOTAL(9,M487:M496)</f>
        <v>21000.878879758544</v>
      </c>
      <c r="N473" s="8">
        <f t="shared" ref="N473:Q473" si="613">SUBTOTAL(9,N487:N496)</f>
        <v>0</v>
      </c>
      <c r="O473" s="8">
        <f t="shared" si="613"/>
        <v>63518.323293167319</v>
      </c>
      <c r="P473" s="8">
        <f t="shared" si="613"/>
        <v>0</v>
      </c>
      <c r="Q473" s="8">
        <f t="shared" si="613"/>
        <v>84519.202172925856</v>
      </c>
      <c r="R473" s="25"/>
      <c r="T473" s="67"/>
      <c r="U473"/>
    </row>
    <row r="474" spans="1:21" ht="15" x14ac:dyDescent="0.25">
      <c r="A474" s="38">
        <v>82.01</v>
      </c>
      <c r="B474" s="5">
        <v>4</v>
      </c>
      <c r="C474" s="5" t="s">
        <v>237</v>
      </c>
      <c r="D474" s="6" t="s">
        <v>299</v>
      </c>
      <c r="E474" s="25"/>
      <c r="F474" s="7"/>
      <c r="G474" s="39">
        <v>3.7360335195530725E-2</v>
      </c>
      <c r="H474" s="7">
        <f>H$473*G474</f>
        <v>149.17981843575419</v>
      </c>
      <c r="I474" s="7"/>
      <c r="J474" s="7"/>
      <c r="K474" s="29"/>
      <c r="L474" s="156">
        <f>ROUNDUP(MAX(L$487:L$496)*$G474/Work,0)</f>
        <v>1</v>
      </c>
      <c r="M474" s="8">
        <f t="shared" ref="M474:Q486" si="614">SUBTOTAL(9,M$487:M$496)*$G474</f>
        <v>784.59987434852098</v>
      </c>
      <c r="N474" s="8">
        <f t="shared" si="614"/>
        <v>0</v>
      </c>
      <c r="O474" s="8">
        <f t="shared" si="614"/>
        <v>2373.0658492908183</v>
      </c>
      <c r="P474" s="8">
        <f t="shared" si="614"/>
        <v>0</v>
      </c>
      <c r="Q474" s="8">
        <f t="shared" si="614"/>
        <v>3157.6657236393389</v>
      </c>
      <c r="R474" s="25"/>
      <c r="T474" s="67"/>
      <c r="U474"/>
    </row>
    <row r="475" spans="1:21" ht="15" x14ac:dyDescent="0.25">
      <c r="A475" s="38">
        <v>82.02</v>
      </c>
      <c r="B475" s="5">
        <v>11</v>
      </c>
      <c r="C475" s="5" t="s">
        <v>236</v>
      </c>
      <c r="D475" s="6" t="s">
        <v>299</v>
      </c>
      <c r="E475" s="25"/>
      <c r="F475" s="7"/>
      <c r="G475" s="39">
        <v>3.4043296089385472E-2</v>
      </c>
      <c r="H475" s="7">
        <f t="shared" ref="H475:H486" si="615">H$473*G475</f>
        <v>135.9348812849162</v>
      </c>
      <c r="I475" s="7"/>
      <c r="J475" s="7"/>
      <c r="K475" s="29"/>
      <c r="L475" s="156">
        <f>ROUNDUP(MAX(L$487:L$496)*$G475/Work,0)</f>
        <v>1</v>
      </c>
      <c r="M475" s="8">
        <f t="shared" si="614"/>
        <v>714.93913784094195</v>
      </c>
      <c r="N475" s="8">
        <f t="shared" si="614"/>
        <v>0</v>
      </c>
      <c r="O475" s="8">
        <f t="shared" si="614"/>
        <v>2162.3730869706051</v>
      </c>
      <c r="P475" s="8">
        <f t="shared" si="614"/>
        <v>0</v>
      </c>
      <c r="Q475" s="8">
        <f t="shared" si="614"/>
        <v>2877.3122248115469</v>
      </c>
      <c r="R475" s="25"/>
      <c r="T475" s="67"/>
      <c r="U475"/>
    </row>
    <row r="476" spans="1:21" ht="15" x14ac:dyDescent="0.25">
      <c r="A476" s="38">
        <v>82.03</v>
      </c>
      <c r="B476" s="5">
        <v>18</v>
      </c>
      <c r="C476" s="5" t="s">
        <v>239</v>
      </c>
      <c r="D476" s="6" t="s">
        <v>299</v>
      </c>
      <c r="E476" s="25"/>
      <c r="F476" s="7"/>
      <c r="G476" s="39">
        <v>4.5565642458100561E-2</v>
      </c>
      <c r="H476" s="7">
        <f t="shared" si="615"/>
        <v>181.94361033519553</v>
      </c>
      <c r="I476" s="7"/>
      <c r="J476" s="7"/>
      <c r="K476" s="29"/>
      <c r="L476" s="156">
        <f>ROUNDUP(MAX(L$487:L$496)*$G476/Work,0)</f>
        <v>1</v>
      </c>
      <c r="M476" s="8">
        <f t="shared" si="614"/>
        <v>956.91853834095321</v>
      </c>
      <c r="N476" s="8">
        <f t="shared" si="614"/>
        <v>0</v>
      </c>
      <c r="O476" s="8">
        <f t="shared" si="614"/>
        <v>2894.2532087145028</v>
      </c>
      <c r="P476" s="8">
        <f t="shared" si="614"/>
        <v>0</v>
      </c>
      <c r="Q476" s="8">
        <f t="shared" si="614"/>
        <v>3851.1717470554554</v>
      </c>
      <c r="R476" s="25"/>
      <c r="T476" s="67"/>
      <c r="U476"/>
    </row>
    <row r="477" spans="1:21" ht="15" x14ac:dyDescent="0.25">
      <c r="A477" s="38">
        <v>82.04</v>
      </c>
      <c r="B477" s="5">
        <v>25</v>
      </c>
      <c r="C477" s="5" t="s">
        <v>238</v>
      </c>
      <c r="D477" s="6" t="s">
        <v>299</v>
      </c>
      <c r="E477" s="25"/>
      <c r="F477" s="7"/>
      <c r="G477" s="39">
        <v>7.3324022346368714E-2</v>
      </c>
      <c r="H477" s="7">
        <f t="shared" si="615"/>
        <v>292.78282122905028</v>
      </c>
      <c r="I477" s="7"/>
      <c r="J477" s="7"/>
      <c r="K477" s="29"/>
      <c r="L477" s="156">
        <f>ROUNDUP(MAX(L$487:L$496)*$G477/Work,0)</f>
        <v>1</v>
      </c>
      <c r="M477" s="8">
        <f t="shared" si="614"/>
        <v>1539.8689122727983</v>
      </c>
      <c r="N477" s="8">
        <f t="shared" si="614"/>
        <v>0</v>
      </c>
      <c r="O477" s="8">
        <f t="shared" si="614"/>
        <v>4657.4189565520728</v>
      </c>
      <c r="P477" s="8">
        <f t="shared" si="614"/>
        <v>0</v>
      </c>
      <c r="Q477" s="8">
        <f t="shared" si="614"/>
        <v>6197.2878688248702</v>
      </c>
      <c r="R477" s="25"/>
      <c r="T477" s="67"/>
      <c r="U477"/>
    </row>
    <row r="478" spans="1:21" ht="15" x14ac:dyDescent="0.25">
      <c r="A478" s="38">
        <v>82.05</v>
      </c>
      <c r="B478" s="5">
        <v>32</v>
      </c>
      <c r="C478" s="5" t="s">
        <v>240</v>
      </c>
      <c r="D478" s="6" t="s">
        <v>67</v>
      </c>
      <c r="E478" s="25"/>
      <c r="F478" s="7"/>
      <c r="G478" s="39">
        <v>6.9832402234636867E-3</v>
      </c>
      <c r="H478" s="7">
        <f t="shared" si="615"/>
        <v>27.8840782122905</v>
      </c>
      <c r="I478" s="7"/>
      <c r="J478" s="7"/>
      <c r="K478" s="29"/>
      <c r="L478" s="156">
        <f>ROUNDUP(MAX(L$487:L$496)*$G478,0)</f>
        <v>1</v>
      </c>
      <c r="M478" s="8">
        <f t="shared" si="614"/>
        <v>146.65418212121887</v>
      </c>
      <c r="N478" s="8">
        <f t="shared" si="614"/>
        <v>0</v>
      </c>
      <c r="O478" s="8">
        <f t="shared" si="614"/>
        <v>443.56371014781644</v>
      </c>
      <c r="P478" s="8">
        <f t="shared" si="614"/>
        <v>0</v>
      </c>
      <c r="Q478" s="8">
        <f t="shared" si="614"/>
        <v>590.21789226903525</v>
      </c>
      <c r="R478" s="25"/>
      <c r="T478" s="67"/>
      <c r="U478"/>
    </row>
    <row r="479" spans="1:21" ht="15" x14ac:dyDescent="0.25">
      <c r="A479" s="38">
        <v>82.06</v>
      </c>
      <c r="B479" s="5">
        <v>39</v>
      </c>
      <c r="C479" s="5" t="s">
        <v>241</v>
      </c>
      <c r="D479" s="6" t="s">
        <v>67</v>
      </c>
      <c r="E479" s="25"/>
      <c r="F479" s="7"/>
      <c r="G479" s="39">
        <v>2.7932960893854747E-2</v>
      </c>
      <c r="H479" s="7">
        <f t="shared" si="615"/>
        <v>111.536312849162</v>
      </c>
      <c r="I479" s="7"/>
      <c r="J479" s="7"/>
      <c r="K479" s="29"/>
      <c r="L479" s="156">
        <f>ROUNDUP(MAX(L$487:L$496)*$G479/Work,0)</f>
        <v>1</v>
      </c>
      <c r="M479" s="8">
        <f t="shared" si="614"/>
        <v>586.61672848487547</v>
      </c>
      <c r="N479" s="8">
        <f t="shared" si="614"/>
        <v>0</v>
      </c>
      <c r="O479" s="8">
        <f t="shared" si="614"/>
        <v>1774.2548405912657</v>
      </c>
      <c r="P479" s="8">
        <f t="shared" si="614"/>
        <v>0</v>
      </c>
      <c r="Q479" s="8">
        <f t="shared" si="614"/>
        <v>2360.871569076141</v>
      </c>
      <c r="R479" s="25"/>
      <c r="T479" s="67"/>
      <c r="U479"/>
    </row>
    <row r="480" spans="1:21" ht="15" x14ac:dyDescent="0.25">
      <c r="A480" s="38">
        <v>82.07</v>
      </c>
      <c r="B480" s="5">
        <v>46</v>
      </c>
      <c r="C480" s="5" t="s">
        <v>242</v>
      </c>
      <c r="D480" s="6" t="s">
        <v>67</v>
      </c>
      <c r="E480" s="25"/>
      <c r="F480" s="7"/>
      <c r="G480" s="39">
        <v>1.0474860335195531E-3</v>
      </c>
      <c r="H480" s="7">
        <f t="shared" si="615"/>
        <v>4.1826117318435756</v>
      </c>
      <c r="I480" s="7"/>
      <c r="J480" s="7"/>
      <c r="K480" s="29"/>
      <c r="L480" s="156">
        <f>ROUNDUP(MAX(L$487:L$496)*$G480,0)</f>
        <v>1</v>
      </c>
      <c r="M480" s="8">
        <f t="shared" si="614"/>
        <v>21.998127318182831</v>
      </c>
      <c r="N480" s="8">
        <f t="shared" si="614"/>
        <v>0</v>
      </c>
      <c r="O480" s="8">
        <f t="shared" si="614"/>
        <v>66.534556522172466</v>
      </c>
      <c r="P480" s="8">
        <f t="shared" si="614"/>
        <v>0</v>
      </c>
      <c r="Q480" s="8">
        <f t="shared" si="614"/>
        <v>88.53268384035529</v>
      </c>
      <c r="R480" s="25"/>
      <c r="T480" s="67"/>
      <c r="U480"/>
    </row>
    <row r="481" spans="1:21" ht="15" x14ac:dyDescent="0.25">
      <c r="A481" s="38">
        <v>82.08</v>
      </c>
      <c r="B481" s="5">
        <v>53</v>
      </c>
      <c r="C481" s="5" t="s">
        <v>243</v>
      </c>
      <c r="D481" s="6" t="s">
        <v>67</v>
      </c>
      <c r="E481" s="25"/>
      <c r="F481" s="7"/>
      <c r="G481" s="39">
        <v>0.46438547486033521</v>
      </c>
      <c r="H481" s="7">
        <f t="shared" si="615"/>
        <v>1854.2912011173185</v>
      </c>
      <c r="I481" s="7"/>
      <c r="J481" s="7"/>
      <c r="K481" s="29"/>
      <c r="L481" s="156">
        <f>ROUNDUP(MAX(L$487:L$496)*$G481/Work,0)</f>
        <v>6</v>
      </c>
      <c r="M481" s="8">
        <f t="shared" si="614"/>
        <v>9752.5031110610562</v>
      </c>
      <c r="N481" s="8">
        <f t="shared" si="614"/>
        <v>0</v>
      </c>
      <c r="O481" s="8">
        <f t="shared" si="614"/>
        <v>29496.986724829796</v>
      </c>
      <c r="P481" s="8">
        <f t="shared" si="614"/>
        <v>0</v>
      </c>
      <c r="Q481" s="8">
        <f t="shared" si="614"/>
        <v>39249.489835890847</v>
      </c>
      <c r="R481" s="25"/>
      <c r="T481" s="67"/>
      <c r="U481"/>
    </row>
    <row r="482" spans="1:21" ht="15" x14ac:dyDescent="0.25">
      <c r="A482" s="38">
        <v>82.09</v>
      </c>
      <c r="B482" s="5">
        <v>61</v>
      </c>
      <c r="C482" s="5" t="s">
        <v>244</v>
      </c>
      <c r="D482" s="6" t="s">
        <v>67</v>
      </c>
      <c r="E482" s="25"/>
      <c r="F482" s="7"/>
      <c r="G482" s="39">
        <v>4.6089385474860335E-2</v>
      </c>
      <c r="H482" s="7">
        <f t="shared" si="615"/>
        <v>184.03491620111731</v>
      </c>
      <c r="I482" s="7"/>
      <c r="J482" s="7"/>
      <c r="K482" s="29"/>
      <c r="L482" s="156">
        <f>ROUNDUP(MAX(L$487:L$496)*$G482/Work,0)</f>
        <v>1</v>
      </c>
      <c r="M482" s="8">
        <f t="shared" si="614"/>
        <v>967.91760200004467</v>
      </c>
      <c r="N482" s="8">
        <f t="shared" si="614"/>
        <v>0</v>
      </c>
      <c r="O482" s="8">
        <f t="shared" si="614"/>
        <v>2927.5204869755889</v>
      </c>
      <c r="P482" s="8">
        <f t="shared" si="614"/>
        <v>0</v>
      </c>
      <c r="Q482" s="8">
        <f t="shared" si="614"/>
        <v>3895.438088975633</v>
      </c>
      <c r="R482" s="25"/>
      <c r="T482" s="67"/>
      <c r="U482"/>
    </row>
    <row r="483" spans="1:21" ht="15" x14ac:dyDescent="0.25">
      <c r="A483" s="38">
        <v>82.1</v>
      </c>
      <c r="B483" s="5">
        <v>68</v>
      </c>
      <c r="C483" s="5" t="s">
        <v>245</v>
      </c>
      <c r="D483" s="6" t="s">
        <v>67</v>
      </c>
      <c r="E483" s="25"/>
      <c r="F483" s="7"/>
      <c r="G483" s="39">
        <v>0.14141061452513967</v>
      </c>
      <c r="H483" s="7">
        <f t="shared" si="615"/>
        <v>564.65258379888269</v>
      </c>
      <c r="I483" s="7"/>
      <c r="J483" s="7"/>
      <c r="K483" s="29"/>
      <c r="L483" s="156">
        <f>ROUNDUP(MAX(L$487:L$496)*$G483/Work,0)</f>
        <v>2</v>
      </c>
      <c r="M483" s="8">
        <f t="shared" si="614"/>
        <v>2969.7471879546824</v>
      </c>
      <c r="N483" s="8">
        <f t="shared" si="614"/>
        <v>0</v>
      </c>
      <c r="O483" s="8">
        <f t="shared" si="614"/>
        <v>8982.1651304932839</v>
      </c>
      <c r="P483" s="8">
        <f t="shared" si="614"/>
        <v>0</v>
      </c>
      <c r="Q483" s="8">
        <f t="shared" si="614"/>
        <v>11951.912318447965</v>
      </c>
      <c r="R483" s="25"/>
      <c r="T483" s="67"/>
      <c r="U483"/>
    </row>
    <row r="484" spans="1:21" ht="15" x14ac:dyDescent="0.25">
      <c r="A484" s="38">
        <v>82.11</v>
      </c>
      <c r="B484" s="5">
        <v>76</v>
      </c>
      <c r="C484" s="5" t="s">
        <v>246</v>
      </c>
      <c r="D484" s="6" t="s">
        <v>67</v>
      </c>
      <c r="E484" s="25"/>
      <c r="F484" s="7"/>
      <c r="G484" s="39">
        <v>3.3170391061452514E-3</v>
      </c>
      <c r="H484" s="7">
        <f t="shared" si="615"/>
        <v>13.244937150837989</v>
      </c>
      <c r="I484" s="7"/>
      <c r="J484" s="7"/>
      <c r="K484" s="29"/>
      <c r="L484" s="156">
        <f>ROUNDUP(MAX(L$487:L$496)*$G484,0)</f>
        <v>1</v>
      </c>
      <c r="M484" s="8">
        <f t="shared" si="614"/>
        <v>69.660736507578974</v>
      </c>
      <c r="N484" s="8">
        <f t="shared" si="614"/>
        <v>0</v>
      </c>
      <c r="O484" s="8">
        <f t="shared" si="614"/>
        <v>210.69276232021284</v>
      </c>
      <c r="P484" s="8">
        <f t="shared" si="614"/>
        <v>0</v>
      </c>
      <c r="Q484" s="8">
        <f t="shared" si="614"/>
        <v>280.35349882779178</v>
      </c>
      <c r="R484" s="25"/>
      <c r="T484" s="67"/>
      <c r="U484"/>
    </row>
    <row r="485" spans="1:21" ht="15" x14ac:dyDescent="0.25">
      <c r="A485" s="38">
        <v>82.12</v>
      </c>
      <c r="B485" s="5">
        <v>83</v>
      </c>
      <c r="C485" s="5" t="s">
        <v>250</v>
      </c>
      <c r="D485" s="6" t="s">
        <v>67</v>
      </c>
      <c r="E485" s="25"/>
      <c r="F485" s="7"/>
      <c r="G485" s="39">
        <v>3.1424581005586594E-2</v>
      </c>
      <c r="H485" s="7">
        <f t="shared" si="615"/>
        <v>125.47835195530728</v>
      </c>
      <c r="I485" s="7"/>
      <c r="J485" s="7"/>
      <c r="K485" s="29"/>
      <c r="L485" s="156">
        <f>ROUNDUP(MAX(L$487:L$496)*$G485/Work,0)</f>
        <v>1</v>
      </c>
      <c r="M485" s="8">
        <f t="shared" si="614"/>
        <v>659.94381954548498</v>
      </c>
      <c r="N485" s="8">
        <f t="shared" si="614"/>
        <v>0</v>
      </c>
      <c r="O485" s="8">
        <f t="shared" si="614"/>
        <v>1996.0366956651742</v>
      </c>
      <c r="P485" s="8">
        <f t="shared" si="614"/>
        <v>0</v>
      </c>
      <c r="Q485" s="8">
        <f t="shared" si="614"/>
        <v>2655.9805152106592</v>
      </c>
      <c r="R485" s="25"/>
      <c r="T485" s="67"/>
      <c r="U485"/>
    </row>
    <row r="486" spans="1:21" ht="15" x14ac:dyDescent="0.25">
      <c r="A486" s="38">
        <v>82.13</v>
      </c>
      <c r="B486" s="5">
        <v>90</v>
      </c>
      <c r="C486" s="5" t="s">
        <v>248</v>
      </c>
      <c r="D486" s="6" t="s">
        <v>67</v>
      </c>
      <c r="E486" s="25"/>
      <c r="F486" s="7"/>
      <c r="G486" s="39">
        <v>8.7115921787709494E-2</v>
      </c>
      <c r="H486" s="7">
        <f t="shared" si="615"/>
        <v>347.85387569832403</v>
      </c>
      <c r="I486" s="7"/>
      <c r="J486" s="7"/>
      <c r="K486" s="29"/>
      <c r="L486" s="156">
        <f>ROUNDUP(MAX(L$487:L$496)*$G486/Work,0)</f>
        <v>2</v>
      </c>
      <c r="M486" s="8">
        <f t="shared" si="614"/>
        <v>1829.5109219622054</v>
      </c>
      <c r="N486" s="8">
        <f t="shared" si="614"/>
        <v>0</v>
      </c>
      <c r="O486" s="8">
        <f t="shared" si="614"/>
        <v>5533.45728409401</v>
      </c>
      <c r="P486" s="8">
        <f t="shared" si="614"/>
        <v>0</v>
      </c>
      <c r="Q486" s="8">
        <f t="shared" si="614"/>
        <v>7362.9682060562154</v>
      </c>
      <c r="R486" s="25"/>
      <c r="T486" s="67"/>
      <c r="U486"/>
    </row>
    <row r="487" spans="1:21" ht="15" x14ac:dyDescent="0.25">
      <c r="A487" s="38">
        <v>82.2</v>
      </c>
      <c r="B487" s="13">
        <v>1</v>
      </c>
      <c r="C487" s="14" t="s">
        <v>31</v>
      </c>
      <c r="D487" s="13" t="s">
        <v>27</v>
      </c>
      <c r="E487" s="26" t="str">
        <f>VLOOKUP(C487,Resources!B:G,3,FALSE)</f>
        <v>P</v>
      </c>
      <c r="F487" s="15">
        <v>1</v>
      </c>
      <c r="G487" s="36">
        <f>VLOOKUP($A487,'Model Inputs'!$A:$C,3,FALSE)</f>
        <v>88.888999999999996</v>
      </c>
      <c r="H487" s="15">
        <f>H473*2.4</f>
        <v>9583.1999999999989</v>
      </c>
      <c r="I487" s="15">
        <f>VLOOKUP(C487,Resources!B:G,6,FALSE)</f>
        <v>165</v>
      </c>
      <c r="J487" s="27">
        <f>(H487/G487)*I487*F487</f>
        <v>17788.792764009046</v>
      </c>
      <c r="K487" s="27">
        <f t="shared" ref="K487:K491" si="616">IF(E487="M"," ",L487*F487)</f>
        <v>107.81086523641845</v>
      </c>
      <c r="L487" s="157">
        <f t="shared" ref="L487:L491" si="617">IF(E487="M"," ",H487/G487)</f>
        <v>107.81086523641845</v>
      </c>
      <c r="M487" s="28">
        <f t="shared" ref="M487:M491" si="618">IF($E487="L",$J487,0)</f>
        <v>0</v>
      </c>
      <c r="N487" s="28">
        <f t="shared" ref="N487:N491" si="619">IF($E487="M",$J487,0)</f>
        <v>0</v>
      </c>
      <c r="O487" s="28">
        <f t="shared" ref="O487:O491" si="620">IF($E487="P",$J487,0)</f>
        <v>17788.792764009046</v>
      </c>
      <c r="P487" s="28">
        <f t="shared" ref="P487:P491" si="621">IF($E487="S",$J487,0)</f>
        <v>0</v>
      </c>
      <c r="Q487" s="28">
        <f t="shared" ref="Q487:Q491" si="622">SUM(M487:P487)</f>
        <v>17788.792764009046</v>
      </c>
      <c r="R487" s="26">
        <v>62</v>
      </c>
      <c r="T487" s="67"/>
      <c r="U487"/>
    </row>
    <row r="488" spans="1:21" ht="15" x14ac:dyDescent="0.25">
      <c r="A488" s="38" t="s">
        <v>418</v>
      </c>
      <c r="B488" s="13">
        <v>2</v>
      </c>
      <c r="C488" s="14" t="s">
        <v>45</v>
      </c>
      <c r="D488" s="13" t="s">
        <v>27</v>
      </c>
      <c r="E488" s="26" t="str">
        <f>VLOOKUP(C488,Resources!B:G,3,FALSE)</f>
        <v>P</v>
      </c>
      <c r="F488" s="15">
        <v>2</v>
      </c>
      <c r="G488" s="15">
        <f>G487</f>
        <v>88.888999999999996</v>
      </c>
      <c r="H488" s="15">
        <f>H487</f>
        <v>9583.1999999999989</v>
      </c>
      <c r="I488" s="15">
        <f>VLOOKUP(C488,Resources!B:G,6,FALSE)</f>
        <v>100</v>
      </c>
      <c r="J488" s="27">
        <f>(H488/G488)*I488*F488</f>
        <v>21562.17304728369</v>
      </c>
      <c r="K488" s="27">
        <f t="shared" si="616"/>
        <v>215.6217304728369</v>
      </c>
      <c r="L488" s="157">
        <f t="shared" si="617"/>
        <v>107.81086523641845</v>
      </c>
      <c r="M488" s="28">
        <f t="shared" si="618"/>
        <v>0</v>
      </c>
      <c r="N488" s="28">
        <f t="shared" si="619"/>
        <v>0</v>
      </c>
      <c r="O488" s="28">
        <f t="shared" si="620"/>
        <v>21562.17304728369</v>
      </c>
      <c r="P488" s="28">
        <f t="shared" si="621"/>
        <v>0</v>
      </c>
      <c r="Q488" s="28">
        <f t="shared" si="622"/>
        <v>21562.17304728369</v>
      </c>
      <c r="R488" s="26">
        <v>62</v>
      </c>
      <c r="T488" s="67"/>
      <c r="U488"/>
    </row>
    <row r="489" spans="1:21" ht="15" x14ac:dyDescent="0.25">
      <c r="A489" s="38" t="s">
        <v>418</v>
      </c>
      <c r="B489" s="13">
        <v>3</v>
      </c>
      <c r="C489" s="14" t="s">
        <v>102</v>
      </c>
      <c r="D489" s="13" t="s">
        <v>54</v>
      </c>
      <c r="E489" s="26" t="str">
        <f>VLOOKUP(C489,Resources!B:G,3,FALSE)</f>
        <v>P</v>
      </c>
      <c r="F489" s="15">
        <v>1</v>
      </c>
      <c r="G489" s="15">
        <f>G487*9</f>
        <v>800.00099999999998</v>
      </c>
      <c r="H489" s="15">
        <f>H487</f>
        <v>9583.1999999999989</v>
      </c>
      <c r="I489" s="15">
        <f>VLOOKUP(C489,Resources!B:G,6,FALSE)</f>
        <v>365</v>
      </c>
      <c r="J489" s="27">
        <f>(H489/G489)*I489*F489</f>
        <v>4372.3295345880815</v>
      </c>
      <c r="K489" s="27">
        <f t="shared" si="616"/>
        <v>11.978985026268717</v>
      </c>
      <c r="L489" s="157">
        <f t="shared" si="617"/>
        <v>11.978985026268717</v>
      </c>
      <c r="M489" s="28">
        <f t="shared" si="618"/>
        <v>0</v>
      </c>
      <c r="N489" s="28">
        <f t="shared" si="619"/>
        <v>0</v>
      </c>
      <c r="O489" s="28">
        <f t="shared" si="620"/>
        <v>4372.3295345880815</v>
      </c>
      <c r="P489" s="28">
        <f t="shared" si="621"/>
        <v>0</v>
      </c>
      <c r="Q489" s="28">
        <f t="shared" si="622"/>
        <v>4372.3295345880815</v>
      </c>
      <c r="R489" s="26">
        <v>62</v>
      </c>
      <c r="T489" s="67"/>
      <c r="U489"/>
    </row>
    <row r="490" spans="1:21" ht="15" x14ac:dyDescent="0.25">
      <c r="A490" s="38" t="s">
        <v>418</v>
      </c>
      <c r="B490" s="13">
        <v>4</v>
      </c>
      <c r="C490" s="14" t="s">
        <v>176</v>
      </c>
      <c r="D490" s="13" t="s">
        <v>54</v>
      </c>
      <c r="E490" s="26" t="str">
        <f>VLOOKUP(C490,Resources!B:G,3,FALSE)</f>
        <v>P</v>
      </c>
      <c r="F490" s="15">
        <v>1</v>
      </c>
      <c r="G490" s="15">
        <f>G487*9</f>
        <v>800.00099999999998</v>
      </c>
      <c r="H490" s="15">
        <f>H487</f>
        <v>9583.1999999999989</v>
      </c>
      <c r="I490" s="15">
        <f>VLOOKUP(C490,Resources!B:G,6,FALSE)</f>
        <v>365</v>
      </c>
      <c r="J490" s="27">
        <f>(H490/G490)*I490*F490</f>
        <v>4372.3295345880815</v>
      </c>
      <c r="K490" s="27">
        <f t="shared" si="616"/>
        <v>11.978985026268717</v>
      </c>
      <c r="L490" s="157">
        <f t="shared" si="617"/>
        <v>11.978985026268717</v>
      </c>
      <c r="M490" s="28">
        <f t="shared" si="618"/>
        <v>0</v>
      </c>
      <c r="N490" s="28">
        <f t="shared" si="619"/>
        <v>0</v>
      </c>
      <c r="O490" s="28">
        <f t="shared" si="620"/>
        <v>4372.3295345880815</v>
      </c>
      <c r="P490" s="28">
        <f t="shared" si="621"/>
        <v>0</v>
      </c>
      <c r="Q490" s="28">
        <f t="shared" si="622"/>
        <v>4372.3295345880815</v>
      </c>
      <c r="R490" s="26">
        <v>62</v>
      </c>
      <c r="T490" s="67"/>
      <c r="U490"/>
    </row>
    <row r="491" spans="1:21" ht="15" x14ac:dyDescent="0.25">
      <c r="A491" s="38" t="s">
        <v>418</v>
      </c>
      <c r="B491" s="13">
        <v>5</v>
      </c>
      <c r="C491" s="14" t="s">
        <v>7</v>
      </c>
      <c r="D491" s="13" t="s">
        <v>27</v>
      </c>
      <c r="E491" s="26" t="str">
        <f>VLOOKUP(C491,Resources!B:G,3,FALSE)</f>
        <v>L</v>
      </c>
      <c r="F491" s="15">
        <v>3</v>
      </c>
      <c r="G491" s="15">
        <f>G487</f>
        <v>88.888999999999996</v>
      </c>
      <c r="H491" s="15">
        <f>H487</f>
        <v>9583.1999999999989</v>
      </c>
      <c r="I491" s="15">
        <f>VLOOKUP(C491,Resources!B:G,6,FALSE)</f>
        <v>48</v>
      </c>
      <c r="J491" s="27">
        <f>(H491/G491)*I491*F491</f>
        <v>15524.764594044256</v>
      </c>
      <c r="K491" s="27">
        <f t="shared" si="616"/>
        <v>323.43259570925534</v>
      </c>
      <c r="L491" s="157">
        <f t="shared" si="617"/>
        <v>107.81086523641845</v>
      </c>
      <c r="M491" s="28">
        <f t="shared" si="618"/>
        <v>15524.764594044256</v>
      </c>
      <c r="N491" s="28">
        <f t="shared" si="619"/>
        <v>0</v>
      </c>
      <c r="O491" s="28">
        <f t="shared" si="620"/>
        <v>0</v>
      </c>
      <c r="P491" s="28">
        <f t="shared" si="621"/>
        <v>0</v>
      </c>
      <c r="Q491" s="28">
        <f t="shared" si="622"/>
        <v>15524.764594044256</v>
      </c>
      <c r="R491" s="26">
        <v>62</v>
      </c>
      <c r="T491" s="67"/>
      <c r="U491"/>
    </row>
    <row r="492" spans="1:21" ht="15" x14ac:dyDescent="0.25">
      <c r="A492" s="38">
        <v>82.3</v>
      </c>
      <c r="B492" s="13">
        <v>6</v>
      </c>
      <c r="C492" s="14" t="s">
        <v>301</v>
      </c>
      <c r="D492" s="13"/>
      <c r="E492" s="26"/>
      <c r="F492" s="15"/>
      <c r="G492" s="15"/>
      <c r="H492" s="36">
        <f>VLOOKUP($A492,'Model Inputs'!$A:$C,3,FALSE)</f>
        <v>0.3</v>
      </c>
      <c r="I492" s="15"/>
      <c r="J492" s="15"/>
      <c r="K492" s="30"/>
      <c r="L492" s="157"/>
      <c r="M492" s="16"/>
      <c r="N492" s="16"/>
      <c r="O492" s="16"/>
      <c r="P492" s="16"/>
      <c r="Q492" s="16"/>
      <c r="R492" s="26"/>
      <c r="T492" s="67"/>
      <c r="U492"/>
    </row>
    <row r="493" spans="1:21" ht="15" x14ac:dyDescent="0.25">
      <c r="A493" s="38">
        <v>82.4</v>
      </c>
      <c r="B493" s="13">
        <v>7</v>
      </c>
      <c r="C493" s="14" t="s">
        <v>31</v>
      </c>
      <c r="D493" s="13" t="s">
        <v>27</v>
      </c>
      <c r="E493" s="26" t="str">
        <f>VLOOKUP(C493,Resources!B:G,3,FALSE)</f>
        <v>P</v>
      </c>
      <c r="F493" s="15">
        <v>1</v>
      </c>
      <c r="G493" s="36">
        <f>VLOOKUP($A493,'Model Inputs'!$A:$C,3,FALSE)</f>
        <v>350</v>
      </c>
      <c r="H493" s="15">
        <f>H473/H492</f>
        <v>13310</v>
      </c>
      <c r="I493" s="15">
        <f>VLOOKUP(C493,Resources!B:G,6,FALSE)</f>
        <v>165</v>
      </c>
      <c r="J493" s="27">
        <f>(H493/G493)*I493*F493</f>
        <v>6274.7142857142862</v>
      </c>
      <c r="K493" s="27">
        <f t="shared" ref="K493:K496" si="623">IF(E493="M"," ",L493*F493)</f>
        <v>38.028571428571432</v>
      </c>
      <c r="L493" s="157">
        <f t="shared" ref="L493:L496" si="624">IF(E493="M"," ",H493/G493)</f>
        <v>38.028571428571432</v>
      </c>
      <c r="M493" s="28">
        <f t="shared" ref="M493:M496" si="625">IF($E493="L",$J493,0)</f>
        <v>0</v>
      </c>
      <c r="N493" s="28">
        <f t="shared" ref="N493:N496" si="626">IF($E493="M",$J493,0)</f>
        <v>0</v>
      </c>
      <c r="O493" s="28">
        <f t="shared" ref="O493:O496" si="627">IF($E493="P",$J493,0)</f>
        <v>6274.7142857142862</v>
      </c>
      <c r="P493" s="28">
        <f t="shared" ref="P493:P496" si="628">IF($E493="S",$J493,0)</f>
        <v>0</v>
      </c>
      <c r="Q493" s="28">
        <f t="shared" ref="Q493:Q496" si="629">SUM(M493:P493)</f>
        <v>6274.7142857142862</v>
      </c>
      <c r="R493" s="26">
        <v>63</v>
      </c>
      <c r="T493" s="67"/>
      <c r="U493"/>
    </row>
    <row r="494" spans="1:21" ht="15" x14ac:dyDescent="0.25">
      <c r="A494" s="38" t="s">
        <v>418</v>
      </c>
      <c r="B494" s="13">
        <v>8</v>
      </c>
      <c r="C494" s="14" t="s">
        <v>45</v>
      </c>
      <c r="D494" s="13" t="s">
        <v>27</v>
      </c>
      <c r="E494" s="26" t="str">
        <f>VLOOKUP(C494,Resources!B:G,3,FALSE)</f>
        <v>P</v>
      </c>
      <c r="F494" s="15">
        <v>2</v>
      </c>
      <c r="G494" s="15">
        <f>G493</f>
        <v>350</v>
      </c>
      <c r="H494" s="15">
        <f>H493</f>
        <v>13310</v>
      </c>
      <c r="I494" s="15">
        <f>VLOOKUP(C494,Resources!B:G,6,FALSE)</f>
        <v>100</v>
      </c>
      <c r="J494" s="27">
        <f>(H494/G494)*I494*F494</f>
        <v>7605.7142857142862</v>
      </c>
      <c r="K494" s="27">
        <f t="shared" si="623"/>
        <v>76.057142857142864</v>
      </c>
      <c r="L494" s="157">
        <f t="shared" si="624"/>
        <v>38.028571428571432</v>
      </c>
      <c r="M494" s="28">
        <f t="shared" si="625"/>
        <v>0</v>
      </c>
      <c r="N494" s="28">
        <f t="shared" si="626"/>
        <v>0</v>
      </c>
      <c r="O494" s="28">
        <f t="shared" si="627"/>
        <v>7605.7142857142862</v>
      </c>
      <c r="P494" s="28">
        <f t="shared" si="628"/>
        <v>0</v>
      </c>
      <c r="Q494" s="28">
        <f t="shared" si="629"/>
        <v>7605.7142857142862</v>
      </c>
      <c r="R494" s="26">
        <v>63</v>
      </c>
      <c r="T494" s="67"/>
      <c r="U494"/>
    </row>
    <row r="495" spans="1:21" ht="15" x14ac:dyDescent="0.25">
      <c r="A495" s="38" t="s">
        <v>418</v>
      </c>
      <c r="B495" s="13">
        <v>9</v>
      </c>
      <c r="C495" s="14" t="s">
        <v>176</v>
      </c>
      <c r="D495" s="13" t="s">
        <v>54</v>
      </c>
      <c r="E495" s="26" t="str">
        <f>VLOOKUP(C495,Resources!B:G,3,FALSE)</f>
        <v>P</v>
      </c>
      <c r="F495" s="15">
        <v>1</v>
      </c>
      <c r="G495" s="15">
        <f>G493*9</f>
        <v>3150</v>
      </c>
      <c r="H495" s="15">
        <f>H493</f>
        <v>13310</v>
      </c>
      <c r="I495" s="15">
        <f>VLOOKUP(C495,Resources!B:G,6,FALSE)</f>
        <v>365</v>
      </c>
      <c r="J495" s="27">
        <f>(H495/G495)*I495*F495</f>
        <v>1542.2698412698412</v>
      </c>
      <c r="K495" s="27">
        <f t="shared" si="623"/>
        <v>4.2253968253968255</v>
      </c>
      <c r="L495" s="157">
        <f t="shared" si="624"/>
        <v>4.2253968253968255</v>
      </c>
      <c r="M495" s="28">
        <f t="shared" si="625"/>
        <v>0</v>
      </c>
      <c r="N495" s="28">
        <f t="shared" si="626"/>
        <v>0</v>
      </c>
      <c r="O495" s="28">
        <f t="shared" si="627"/>
        <v>1542.2698412698412</v>
      </c>
      <c r="P495" s="28">
        <f t="shared" si="628"/>
        <v>0</v>
      </c>
      <c r="Q495" s="28">
        <f t="shared" si="629"/>
        <v>1542.2698412698412</v>
      </c>
      <c r="R495" s="26">
        <v>63</v>
      </c>
      <c r="T495" s="67"/>
      <c r="U495"/>
    </row>
    <row r="496" spans="1:21" ht="15" x14ac:dyDescent="0.25">
      <c r="A496" s="38" t="s">
        <v>418</v>
      </c>
      <c r="B496" s="13">
        <v>10</v>
      </c>
      <c r="C496" s="14" t="s">
        <v>7</v>
      </c>
      <c r="D496" s="13" t="s">
        <v>27</v>
      </c>
      <c r="E496" s="26" t="str">
        <f>VLOOKUP(C496,Resources!B:G,3,FALSE)</f>
        <v>L</v>
      </c>
      <c r="F496" s="15">
        <v>3</v>
      </c>
      <c r="G496" s="15">
        <f>G493</f>
        <v>350</v>
      </c>
      <c r="H496" s="15">
        <f>H493</f>
        <v>13310</v>
      </c>
      <c r="I496" s="15">
        <f>VLOOKUP(C496,Resources!B:G,6,FALSE)</f>
        <v>48</v>
      </c>
      <c r="J496" s="27">
        <f>(H496/G496)*I496*F496</f>
        <v>5476.1142857142859</v>
      </c>
      <c r="K496" s="27">
        <f t="shared" si="623"/>
        <v>114.08571428571429</v>
      </c>
      <c r="L496" s="157">
        <f t="shared" si="624"/>
        <v>38.028571428571432</v>
      </c>
      <c r="M496" s="28">
        <f t="shared" si="625"/>
        <v>5476.1142857142859</v>
      </c>
      <c r="N496" s="28">
        <f t="shared" si="626"/>
        <v>0</v>
      </c>
      <c r="O496" s="28">
        <f t="shared" si="627"/>
        <v>0</v>
      </c>
      <c r="P496" s="28">
        <f t="shared" si="628"/>
        <v>0</v>
      </c>
      <c r="Q496" s="28">
        <f t="shared" si="629"/>
        <v>5476.1142857142859</v>
      </c>
      <c r="R496" s="26">
        <v>63</v>
      </c>
      <c r="T496" s="67"/>
      <c r="U496"/>
    </row>
    <row r="497" spans="1:21" ht="15" x14ac:dyDescent="0.25">
      <c r="A497" s="38" t="s">
        <v>418</v>
      </c>
      <c r="F497" s="11"/>
      <c r="G497" s="11"/>
      <c r="H497" s="11"/>
      <c r="I497" s="11"/>
      <c r="J497" s="11"/>
      <c r="K497" s="31"/>
      <c r="M497" s="12"/>
      <c r="N497" s="12"/>
      <c r="O497" s="12"/>
      <c r="P497" s="12"/>
      <c r="Q497" s="12"/>
      <c r="T497" s="67"/>
      <c r="U497"/>
    </row>
    <row r="498" spans="1:21" ht="33.75" x14ac:dyDescent="0.25">
      <c r="A498" s="38">
        <v>83</v>
      </c>
      <c r="B498" s="5" t="s">
        <v>183</v>
      </c>
      <c r="C498" s="5" t="s">
        <v>184</v>
      </c>
      <c r="D498" s="6"/>
      <c r="E498" s="25"/>
      <c r="F498" s="7"/>
      <c r="G498" s="7"/>
      <c r="H498" s="7"/>
      <c r="I498" s="7"/>
      <c r="J498" s="7"/>
      <c r="K498" s="29"/>
      <c r="L498" s="156"/>
      <c r="M498" s="8"/>
      <c r="N498" s="8"/>
      <c r="O498" s="8"/>
      <c r="P498" s="8"/>
      <c r="Q498" s="8"/>
      <c r="R498" s="25"/>
      <c r="T498" s="67"/>
      <c r="U498"/>
    </row>
    <row r="499" spans="1:21" ht="45" x14ac:dyDescent="0.25">
      <c r="A499" s="38">
        <v>84</v>
      </c>
      <c r="B499" s="5" t="s">
        <v>185</v>
      </c>
      <c r="C499" s="5" t="s">
        <v>186</v>
      </c>
      <c r="D499" s="6" t="s">
        <v>67</v>
      </c>
      <c r="E499" s="25"/>
      <c r="F499" s="7"/>
      <c r="G499" s="7"/>
      <c r="H499" s="36">
        <f>VLOOKUP($A499,'Model Inputs'!$A:$C,3,FALSE)</f>
        <v>2152</v>
      </c>
      <c r="I499" s="7"/>
      <c r="J499" s="7"/>
      <c r="K499" s="29"/>
      <c r="L499" s="156">
        <f>ROUNDUP(MAX(L502)/Work,0)</f>
        <v>2</v>
      </c>
      <c r="M499" s="8">
        <f>SUBTOTAL(9,M502)</f>
        <v>0</v>
      </c>
      <c r="N499" s="8">
        <f t="shared" ref="N499:Q499" si="630">SUBTOTAL(9,N502)</f>
        <v>0</v>
      </c>
      <c r="O499" s="8">
        <f t="shared" si="630"/>
        <v>0</v>
      </c>
      <c r="P499" s="8">
        <f t="shared" si="630"/>
        <v>22311.935999999998</v>
      </c>
      <c r="Q499" s="8">
        <f t="shared" si="630"/>
        <v>22311.935999999998</v>
      </c>
      <c r="R499" s="25"/>
      <c r="T499" s="67"/>
      <c r="U499"/>
    </row>
    <row r="500" spans="1:21" ht="15" x14ac:dyDescent="0.25">
      <c r="A500" s="38" t="s">
        <v>418</v>
      </c>
      <c r="B500" s="13">
        <v>1</v>
      </c>
      <c r="C500" s="14" t="s">
        <v>251</v>
      </c>
      <c r="D500" s="13"/>
      <c r="E500" s="26"/>
      <c r="F500" s="15"/>
      <c r="G500" s="15"/>
      <c r="H500" s="15">
        <f>H499*2.4</f>
        <v>5164.8</v>
      </c>
      <c r="I500" s="15"/>
      <c r="J500" s="15"/>
      <c r="K500" s="30"/>
      <c r="L500" s="157"/>
      <c r="M500" s="16"/>
      <c r="N500" s="16"/>
      <c r="O500" s="16"/>
      <c r="P500" s="16"/>
      <c r="Q500" s="16"/>
      <c r="R500" s="26"/>
      <c r="T500" s="67"/>
      <c r="U500"/>
    </row>
    <row r="501" spans="1:21" ht="15" x14ac:dyDescent="0.25">
      <c r="A501" s="38" t="s">
        <v>418</v>
      </c>
      <c r="B501" s="13">
        <v>2</v>
      </c>
      <c r="C501" s="14" t="s">
        <v>252</v>
      </c>
      <c r="D501" s="13"/>
      <c r="E501" s="26"/>
      <c r="F501" s="15">
        <v>18</v>
      </c>
      <c r="G501" s="15"/>
      <c r="H501" s="15"/>
      <c r="I501" s="15"/>
      <c r="J501" s="15"/>
      <c r="K501" s="30"/>
      <c r="L501" s="157"/>
      <c r="M501" s="16"/>
      <c r="N501" s="16"/>
      <c r="O501" s="16"/>
      <c r="P501" s="16"/>
      <c r="Q501" s="16"/>
      <c r="R501" s="26"/>
      <c r="T501" s="67"/>
      <c r="U501"/>
    </row>
    <row r="502" spans="1:21" ht="15" x14ac:dyDescent="0.25">
      <c r="A502" s="38" t="s">
        <v>418</v>
      </c>
      <c r="B502" s="13">
        <v>3</v>
      </c>
      <c r="C502" s="14" t="s">
        <v>128</v>
      </c>
      <c r="D502" s="13" t="s">
        <v>99</v>
      </c>
      <c r="E502" s="26" t="str">
        <f>VLOOKUP(C502,Resources!B:G,3,FALSE)</f>
        <v>S</v>
      </c>
      <c r="F502" s="15">
        <v>18</v>
      </c>
      <c r="G502" s="15">
        <v>1</v>
      </c>
      <c r="H502" s="15">
        <f>H500</f>
        <v>5164.8</v>
      </c>
      <c r="I502" s="15">
        <f>VLOOKUP(C502,Resources!B:G,6,FALSE)</f>
        <v>0.24</v>
      </c>
      <c r="J502" s="27">
        <f>(H502/G502)*I502*F502</f>
        <v>22311.935999999998</v>
      </c>
      <c r="K502" s="27">
        <f t="shared" ref="K502" si="631">IF(E502="M"," ",L502*F502)</f>
        <v>306</v>
      </c>
      <c r="L502" s="157">
        <f>SUM(L505:L517)</f>
        <v>17</v>
      </c>
      <c r="M502" s="28">
        <f t="shared" ref="M502" si="632">IF($E502="L",$J502,0)</f>
        <v>0</v>
      </c>
      <c r="N502" s="28">
        <f t="shared" ref="N502" si="633">IF($E502="M",$J502,0)</f>
        <v>0</v>
      </c>
      <c r="O502" s="28">
        <f t="shared" ref="O502" si="634">IF($E502="P",$J502,0)</f>
        <v>0</v>
      </c>
      <c r="P502" s="28">
        <f t="shared" ref="P502" si="635">IF($E502="S",$J502,0)</f>
        <v>22311.935999999998</v>
      </c>
      <c r="Q502" s="28">
        <f t="shared" ref="Q502" si="636">SUM(M502:P502)</f>
        <v>22311.935999999998</v>
      </c>
      <c r="R502" s="26">
        <v>613</v>
      </c>
      <c r="T502" s="67"/>
      <c r="U502"/>
    </row>
    <row r="503" spans="1:21" ht="15" x14ac:dyDescent="0.25">
      <c r="A503" s="38" t="s">
        <v>418</v>
      </c>
      <c r="F503" s="11"/>
      <c r="G503" s="11"/>
      <c r="H503" s="11"/>
      <c r="I503" s="11"/>
      <c r="J503" s="11"/>
      <c r="K503" s="31"/>
      <c r="M503" s="12"/>
      <c r="N503" s="12"/>
      <c r="O503" s="12"/>
      <c r="P503" s="12"/>
      <c r="Q503" s="12"/>
      <c r="T503" s="67"/>
      <c r="U503"/>
    </row>
    <row r="504" spans="1:21" ht="33.75" x14ac:dyDescent="0.25">
      <c r="A504" s="38">
        <v>85</v>
      </c>
      <c r="B504" s="5" t="s">
        <v>187</v>
      </c>
      <c r="C504" s="5" t="s">
        <v>188</v>
      </c>
      <c r="D504" s="6" t="s">
        <v>67</v>
      </c>
      <c r="E504" s="25"/>
      <c r="F504" s="7"/>
      <c r="G504" s="7"/>
      <c r="H504" s="36">
        <f>VLOOKUP($A504,'Model Inputs'!$A:$C,3,FALSE)</f>
        <v>2152</v>
      </c>
      <c r="I504" s="7"/>
      <c r="J504" s="8">
        <f>SUBTOTAL(9,J518:J527)</f>
        <v>68243.403331046837</v>
      </c>
      <c r="K504" s="29"/>
      <c r="L504" s="156"/>
      <c r="M504" s="8">
        <f>SUBTOTAL(9,M518:M527)</f>
        <v>17058.540791867468</v>
      </c>
      <c r="N504" s="8">
        <f t="shared" ref="N504:Q504" si="637">SUBTOTAL(9,N518:N527)</f>
        <v>0</v>
      </c>
      <c r="O504" s="8">
        <f t="shared" si="637"/>
        <v>51184.862539179368</v>
      </c>
      <c r="P504" s="8">
        <f t="shared" si="637"/>
        <v>0</v>
      </c>
      <c r="Q504" s="8">
        <f t="shared" si="637"/>
        <v>68243.403331046837</v>
      </c>
      <c r="R504" s="25"/>
      <c r="T504" s="67"/>
      <c r="U504"/>
    </row>
    <row r="505" spans="1:21" ht="15" x14ac:dyDescent="0.25">
      <c r="A505" s="38">
        <v>85.01</v>
      </c>
      <c r="B505" s="5">
        <v>4</v>
      </c>
      <c r="C505" s="5" t="s">
        <v>237</v>
      </c>
      <c r="D505" s="6" t="s">
        <v>299</v>
      </c>
      <c r="E505" s="25"/>
      <c r="F505" s="7"/>
      <c r="G505" s="39">
        <v>3.7360335195530725E-2</v>
      </c>
      <c r="H505" s="7">
        <f>H$473*G505</f>
        <v>149.17981843575419</v>
      </c>
      <c r="I505" s="7"/>
      <c r="J505" s="7"/>
      <c r="K505" s="29"/>
      <c r="L505" s="156">
        <f t="shared" ref="L505:L517" si="638">ROUNDUP(MAX(L$518:L$527)*G505/Work,0)</f>
        <v>1</v>
      </c>
      <c r="M505" s="8">
        <f t="shared" ref="M505:Q517" si="639">SUBTOTAL(9,M$518:M$527)*$G505</f>
        <v>637.31280193080272</v>
      </c>
      <c r="N505" s="8">
        <f t="shared" si="639"/>
        <v>0</v>
      </c>
      <c r="O505" s="8">
        <f t="shared" si="639"/>
        <v>1912.2836214009051</v>
      </c>
      <c r="P505" s="8">
        <f t="shared" si="639"/>
        <v>0</v>
      </c>
      <c r="Q505" s="8">
        <f t="shared" si="639"/>
        <v>2549.5964233317077</v>
      </c>
      <c r="R505" s="25"/>
      <c r="T505" s="67"/>
      <c r="U505"/>
    </row>
    <row r="506" spans="1:21" ht="15" x14ac:dyDescent="0.25">
      <c r="A506" s="38">
        <v>85.02</v>
      </c>
      <c r="B506" s="5">
        <v>11</v>
      </c>
      <c r="C506" s="5" t="s">
        <v>236</v>
      </c>
      <c r="D506" s="6" t="s">
        <v>299</v>
      </c>
      <c r="E506" s="25"/>
      <c r="F506" s="7"/>
      <c r="G506" s="39">
        <v>3.4043296089385472E-2</v>
      </c>
      <c r="H506" s="7">
        <f t="shared" ref="H506:H517" si="640">H$473*G506</f>
        <v>135.9348812849162</v>
      </c>
      <c r="I506" s="7"/>
      <c r="J506" s="7"/>
      <c r="K506" s="29"/>
      <c r="L506" s="156">
        <f t="shared" si="638"/>
        <v>1</v>
      </c>
      <c r="M506" s="8">
        <f t="shared" si="639"/>
        <v>580.72895503040434</v>
      </c>
      <c r="N506" s="8">
        <f t="shared" si="639"/>
        <v>0</v>
      </c>
      <c r="O506" s="8">
        <f t="shared" si="639"/>
        <v>1742.501430715778</v>
      </c>
      <c r="P506" s="8">
        <f t="shared" si="639"/>
        <v>0</v>
      </c>
      <c r="Q506" s="8">
        <f t="shared" si="639"/>
        <v>2323.230385746182</v>
      </c>
      <c r="R506" s="25"/>
      <c r="T506" s="67"/>
      <c r="U506"/>
    </row>
    <row r="507" spans="1:21" ht="15" x14ac:dyDescent="0.25">
      <c r="A507" s="38">
        <v>85.03</v>
      </c>
      <c r="B507" s="5">
        <v>18</v>
      </c>
      <c r="C507" s="5" t="s">
        <v>239</v>
      </c>
      <c r="D507" s="6" t="s">
        <v>299</v>
      </c>
      <c r="E507" s="25"/>
      <c r="F507" s="7"/>
      <c r="G507" s="39">
        <v>4.5565642458100561E-2</v>
      </c>
      <c r="H507" s="7">
        <f t="shared" si="640"/>
        <v>181.94361033519553</v>
      </c>
      <c r="I507" s="7"/>
      <c r="J507" s="7"/>
      <c r="K507" s="29"/>
      <c r="L507" s="156">
        <f t="shared" si="638"/>
        <v>1</v>
      </c>
      <c r="M507" s="8">
        <f t="shared" si="639"/>
        <v>777.28337057915667</v>
      </c>
      <c r="N507" s="8">
        <f t="shared" si="639"/>
        <v>0</v>
      </c>
      <c r="O507" s="8">
        <f t="shared" si="639"/>
        <v>2332.2711457272721</v>
      </c>
      <c r="P507" s="8">
        <f t="shared" si="639"/>
        <v>0</v>
      </c>
      <c r="Q507" s="8">
        <f t="shared" si="639"/>
        <v>3109.5545163064289</v>
      </c>
      <c r="R507" s="25"/>
      <c r="T507" s="67"/>
      <c r="U507"/>
    </row>
    <row r="508" spans="1:21" ht="15" x14ac:dyDescent="0.25">
      <c r="A508" s="38">
        <v>85.04</v>
      </c>
      <c r="B508" s="5">
        <v>25</v>
      </c>
      <c r="C508" s="5" t="s">
        <v>238</v>
      </c>
      <c r="D508" s="6" t="s">
        <v>299</v>
      </c>
      <c r="E508" s="25"/>
      <c r="F508" s="7"/>
      <c r="G508" s="39">
        <v>7.3324022346368714E-2</v>
      </c>
      <c r="H508" s="7">
        <f t="shared" si="640"/>
        <v>292.78282122905028</v>
      </c>
      <c r="I508" s="7"/>
      <c r="J508" s="7"/>
      <c r="K508" s="29"/>
      <c r="L508" s="156">
        <f t="shared" si="638"/>
        <v>1</v>
      </c>
      <c r="M508" s="8">
        <f t="shared" si="639"/>
        <v>1250.8008262193325</v>
      </c>
      <c r="N508" s="8">
        <f t="shared" si="639"/>
        <v>0</v>
      </c>
      <c r="O508" s="8">
        <f t="shared" si="639"/>
        <v>3753.0800046185991</v>
      </c>
      <c r="P508" s="8">
        <f t="shared" si="639"/>
        <v>0</v>
      </c>
      <c r="Q508" s="8">
        <f t="shared" si="639"/>
        <v>5003.8808308379312</v>
      </c>
      <c r="R508" s="25"/>
      <c r="T508" s="67"/>
      <c r="U508"/>
    </row>
    <row r="509" spans="1:21" ht="15" x14ac:dyDescent="0.25">
      <c r="A509" s="38">
        <v>85.05</v>
      </c>
      <c r="B509" s="5">
        <v>32</v>
      </c>
      <c r="C509" s="5" t="s">
        <v>240</v>
      </c>
      <c r="D509" s="6" t="s">
        <v>67</v>
      </c>
      <c r="E509" s="25"/>
      <c r="F509" s="7"/>
      <c r="G509" s="39">
        <v>6.9832402234636867E-3</v>
      </c>
      <c r="H509" s="7">
        <f t="shared" si="640"/>
        <v>27.8840782122905</v>
      </c>
      <c r="I509" s="7"/>
      <c r="J509" s="7"/>
      <c r="K509" s="29"/>
      <c r="L509" s="156">
        <f t="shared" si="638"/>
        <v>1</v>
      </c>
      <c r="M509" s="8">
        <f t="shared" si="639"/>
        <v>119.123888211365</v>
      </c>
      <c r="N509" s="8">
        <f t="shared" si="639"/>
        <v>0</v>
      </c>
      <c r="O509" s="8">
        <f t="shared" si="639"/>
        <v>357.436190916057</v>
      </c>
      <c r="P509" s="8">
        <f t="shared" si="639"/>
        <v>0</v>
      </c>
      <c r="Q509" s="8">
        <f t="shared" si="639"/>
        <v>476.560079127422</v>
      </c>
      <c r="R509" s="25"/>
      <c r="T509" s="67"/>
      <c r="U509"/>
    </row>
    <row r="510" spans="1:21" ht="15" x14ac:dyDescent="0.25">
      <c r="A510" s="38">
        <v>85.06</v>
      </c>
      <c r="B510" s="5">
        <v>39</v>
      </c>
      <c r="C510" s="5" t="s">
        <v>241</v>
      </c>
      <c r="D510" s="6" t="s">
        <v>67</v>
      </c>
      <c r="E510" s="25"/>
      <c r="F510" s="7"/>
      <c r="G510" s="39">
        <v>2.7932960893854747E-2</v>
      </c>
      <c r="H510" s="7">
        <f t="shared" si="640"/>
        <v>111.536312849162</v>
      </c>
      <c r="I510" s="7"/>
      <c r="J510" s="7"/>
      <c r="K510" s="29"/>
      <c r="L510" s="156">
        <f t="shared" si="638"/>
        <v>1</v>
      </c>
      <c r="M510" s="8">
        <f t="shared" si="639"/>
        <v>476.49555284546</v>
      </c>
      <c r="N510" s="8">
        <f t="shared" si="639"/>
        <v>0</v>
      </c>
      <c r="O510" s="8">
        <f t="shared" si="639"/>
        <v>1429.744763664228</v>
      </c>
      <c r="P510" s="8">
        <f t="shared" si="639"/>
        <v>0</v>
      </c>
      <c r="Q510" s="8">
        <f t="shared" si="639"/>
        <v>1906.240316509688</v>
      </c>
      <c r="R510" s="25"/>
      <c r="T510" s="67"/>
      <c r="U510"/>
    </row>
    <row r="511" spans="1:21" ht="15" x14ac:dyDescent="0.25">
      <c r="A511" s="38">
        <v>85.07</v>
      </c>
      <c r="B511" s="5">
        <v>46</v>
      </c>
      <c r="C511" s="5" t="s">
        <v>242</v>
      </c>
      <c r="D511" s="6" t="s">
        <v>67</v>
      </c>
      <c r="E511" s="25"/>
      <c r="F511" s="7"/>
      <c r="G511" s="39">
        <v>1.0474860335195531E-3</v>
      </c>
      <c r="H511" s="7">
        <f t="shared" si="640"/>
        <v>4.1826117318435756</v>
      </c>
      <c r="I511" s="7"/>
      <c r="J511" s="7"/>
      <c r="K511" s="29"/>
      <c r="L511" s="156">
        <f t="shared" si="638"/>
        <v>1</v>
      </c>
      <c r="M511" s="8">
        <f t="shared" si="639"/>
        <v>17.868583231704751</v>
      </c>
      <c r="N511" s="8">
        <f t="shared" si="639"/>
        <v>0</v>
      </c>
      <c r="O511" s="8">
        <f t="shared" si="639"/>
        <v>53.615428637408556</v>
      </c>
      <c r="P511" s="8">
        <f t="shared" si="639"/>
        <v>0</v>
      </c>
      <c r="Q511" s="8">
        <f t="shared" si="639"/>
        <v>71.484011869113303</v>
      </c>
      <c r="R511" s="25"/>
      <c r="T511" s="67"/>
      <c r="U511"/>
    </row>
    <row r="512" spans="1:21" ht="15" x14ac:dyDescent="0.25">
      <c r="A512" s="38">
        <v>85.08</v>
      </c>
      <c r="B512" s="5">
        <v>53</v>
      </c>
      <c r="C512" s="5" t="s">
        <v>243</v>
      </c>
      <c r="D512" s="6" t="s">
        <v>67</v>
      </c>
      <c r="E512" s="25"/>
      <c r="F512" s="7"/>
      <c r="G512" s="39">
        <v>0.46438547486033521</v>
      </c>
      <c r="H512" s="7">
        <f t="shared" si="640"/>
        <v>1854.2912011173185</v>
      </c>
      <c r="I512" s="7"/>
      <c r="J512" s="7"/>
      <c r="K512" s="29"/>
      <c r="L512" s="156">
        <f t="shared" si="638"/>
        <v>4</v>
      </c>
      <c r="M512" s="8">
        <f t="shared" si="639"/>
        <v>7921.7385660557729</v>
      </c>
      <c r="N512" s="8">
        <f t="shared" si="639"/>
        <v>0</v>
      </c>
      <c r="O512" s="8">
        <f t="shared" si="639"/>
        <v>23769.506695917793</v>
      </c>
      <c r="P512" s="8">
        <f t="shared" si="639"/>
        <v>0</v>
      </c>
      <c r="Q512" s="8">
        <f t="shared" si="639"/>
        <v>31691.245261973567</v>
      </c>
      <c r="R512" s="25"/>
      <c r="T512" s="67"/>
      <c r="U512"/>
    </row>
    <row r="513" spans="1:21" ht="15" x14ac:dyDescent="0.25">
      <c r="A513" s="38">
        <v>85.09</v>
      </c>
      <c r="B513" s="5">
        <v>61</v>
      </c>
      <c r="C513" s="5" t="s">
        <v>244</v>
      </c>
      <c r="D513" s="6" t="s">
        <v>67</v>
      </c>
      <c r="E513" s="25"/>
      <c r="F513" s="7"/>
      <c r="G513" s="39">
        <v>4.6089385474860335E-2</v>
      </c>
      <c r="H513" s="7">
        <f t="shared" si="640"/>
        <v>184.03491620111731</v>
      </c>
      <c r="I513" s="7"/>
      <c r="J513" s="7"/>
      <c r="K513" s="29"/>
      <c r="L513" s="156">
        <f t="shared" si="638"/>
        <v>1</v>
      </c>
      <c r="M513" s="8">
        <f t="shared" si="639"/>
        <v>786.21766219500898</v>
      </c>
      <c r="N513" s="8">
        <f t="shared" si="639"/>
        <v>0</v>
      </c>
      <c r="O513" s="8">
        <f t="shared" si="639"/>
        <v>2359.0788600459764</v>
      </c>
      <c r="P513" s="8">
        <f t="shared" si="639"/>
        <v>0</v>
      </c>
      <c r="Q513" s="8">
        <f t="shared" si="639"/>
        <v>3145.2965222409853</v>
      </c>
      <c r="R513" s="25"/>
      <c r="T513" s="67"/>
      <c r="U513"/>
    </row>
    <row r="514" spans="1:21" ht="15" x14ac:dyDescent="0.25">
      <c r="A514" s="38">
        <v>85.1</v>
      </c>
      <c r="B514" s="5">
        <v>68</v>
      </c>
      <c r="C514" s="5" t="s">
        <v>245</v>
      </c>
      <c r="D514" s="6" t="s">
        <v>67</v>
      </c>
      <c r="E514" s="25"/>
      <c r="F514" s="7"/>
      <c r="G514" s="39">
        <v>0.14141061452513967</v>
      </c>
      <c r="H514" s="7">
        <f t="shared" si="640"/>
        <v>564.65258379888269</v>
      </c>
      <c r="I514" s="7"/>
      <c r="J514" s="7"/>
      <c r="K514" s="29"/>
      <c r="L514" s="156">
        <f t="shared" si="638"/>
        <v>2</v>
      </c>
      <c r="M514" s="8">
        <f t="shared" si="639"/>
        <v>2412.2587362801414</v>
      </c>
      <c r="N514" s="8">
        <f t="shared" si="639"/>
        <v>0</v>
      </c>
      <c r="O514" s="8">
        <f t="shared" si="639"/>
        <v>7238.0828660501556</v>
      </c>
      <c r="P514" s="8">
        <f t="shared" si="639"/>
        <v>0</v>
      </c>
      <c r="Q514" s="8">
        <f t="shared" si="639"/>
        <v>9650.3416023302962</v>
      </c>
      <c r="R514" s="25"/>
      <c r="T514" s="67"/>
      <c r="U514"/>
    </row>
    <row r="515" spans="1:21" ht="15" x14ac:dyDescent="0.25">
      <c r="A515" s="38">
        <v>85.11</v>
      </c>
      <c r="B515" s="5">
        <v>76</v>
      </c>
      <c r="C515" s="5" t="s">
        <v>246</v>
      </c>
      <c r="D515" s="6" t="s">
        <v>67</v>
      </c>
      <c r="E515" s="25"/>
      <c r="F515" s="7"/>
      <c r="G515" s="39">
        <v>3.3170391061452514E-3</v>
      </c>
      <c r="H515" s="7">
        <f t="shared" si="640"/>
        <v>13.244937150837989</v>
      </c>
      <c r="I515" s="7"/>
      <c r="J515" s="7"/>
      <c r="K515" s="29"/>
      <c r="L515" s="156">
        <f t="shared" si="638"/>
        <v>1</v>
      </c>
      <c r="M515" s="8">
        <f t="shared" si="639"/>
        <v>56.583846900398377</v>
      </c>
      <c r="N515" s="8">
        <f t="shared" si="639"/>
        <v>0</v>
      </c>
      <c r="O515" s="8">
        <f t="shared" si="639"/>
        <v>169.78219068512709</v>
      </c>
      <c r="P515" s="8">
        <f t="shared" si="639"/>
        <v>0</v>
      </c>
      <c r="Q515" s="8">
        <f t="shared" si="639"/>
        <v>226.36603758552548</v>
      </c>
      <c r="R515" s="25"/>
      <c r="T515" s="67"/>
      <c r="U515"/>
    </row>
    <row r="516" spans="1:21" ht="15" x14ac:dyDescent="0.25">
      <c r="A516" s="38">
        <v>85.12</v>
      </c>
      <c r="B516" s="5">
        <v>83</v>
      </c>
      <c r="C516" s="5" t="s">
        <v>250</v>
      </c>
      <c r="D516" s="6" t="s">
        <v>67</v>
      </c>
      <c r="E516" s="25"/>
      <c r="F516" s="7"/>
      <c r="G516" s="39">
        <v>3.1424581005586594E-2</v>
      </c>
      <c r="H516" s="7">
        <f t="shared" si="640"/>
        <v>125.47835195530728</v>
      </c>
      <c r="I516" s="7"/>
      <c r="J516" s="7"/>
      <c r="K516" s="29"/>
      <c r="L516" s="156">
        <f t="shared" si="638"/>
        <v>1</v>
      </c>
      <c r="M516" s="8">
        <f t="shared" si="639"/>
        <v>536.05749695114253</v>
      </c>
      <c r="N516" s="8">
        <f t="shared" si="639"/>
        <v>0</v>
      </c>
      <c r="O516" s="8">
        <f t="shared" si="639"/>
        <v>1608.4628591222568</v>
      </c>
      <c r="P516" s="8">
        <f t="shared" si="639"/>
        <v>0</v>
      </c>
      <c r="Q516" s="8">
        <f t="shared" si="639"/>
        <v>2144.5203560733994</v>
      </c>
      <c r="R516" s="25"/>
      <c r="T516" s="67"/>
      <c r="U516"/>
    </row>
    <row r="517" spans="1:21" ht="15" x14ac:dyDescent="0.25">
      <c r="A517" s="38">
        <v>85.13</v>
      </c>
      <c r="B517" s="5">
        <v>90</v>
      </c>
      <c r="C517" s="5" t="s">
        <v>248</v>
      </c>
      <c r="D517" s="6" t="s">
        <v>67</v>
      </c>
      <c r="E517" s="25"/>
      <c r="F517" s="7"/>
      <c r="G517" s="39">
        <v>8.7115921787709494E-2</v>
      </c>
      <c r="H517" s="7">
        <f t="shared" si="640"/>
        <v>347.85387569832403</v>
      </c>
      <c r="I517" s="7"/>
      <c r="J517" s="7"/>
      <c r="K517" s="29"/>
      <c r="L517" s="156">
        <f t="shared" si="638"/>
        <v>1</v>
      </c>
      <c r="M517" s="8">
        <f t="shared" si="639"/>
        <v>1486.0705054367784</v>
      </c>
      <c r="N517" s="8">
        <f t="shared" si="639"/>
        <v>0</v>
      </c>
      <c r="O517" s="8">
        <f t="shared" si="639"/>
        <v>4459.0164816778115</v>
      </c>
      <c r="P517" s="8">
        <f t="shared" si="639"/>
        <v>0</v>
      </c>
      <c r="Q517" s="8">
        <f t="shared" si="639"/>
        <v>5945.0869871145896</v>
      </c>
      <c r="R517" s="25"/>
      <c r="T517" s="67"/>
      <c r="U517"/>
    </row>
    <row r="518" spans="1:21" ht="15" x14ac:dyDescent="0.25">
      <c r="A518" s="38">
        <v>85.2</v>
      </c>
      <c r="B518" s="13">
        <v>1</v>
      </c>
      <c r="C518" s="14" t="s">
        <v>31</v>
      </c>
      <c r="D518" s="13" t="s">
        <v>27</v>
      </c>
      <c r="E518" s="26" t="str">
        <f>VLOOKUP(C518,Resources!B:G,3,FALSE)</f>
        <v>P</v>
      </c>
      <c r="F518" s="15">
        <v>1</v>
      </c>
      <c r="G518" s="36">
        <f>VLOOKUP($A518,'Model Inputs'!$A:$C,3,FALSE)</f>
        <v>66.667000000000002</v>
      </c>
      <c r="H518" s="15">
        <f>H504*2.4</f>
        <v>5164.8</v>
      </c>
      <c r="I518" s="15">
        <f>VLOOKUP(C518,Resources!B:G,6,FALSE)</f>
        <v>165</v>
      </c>
      <c r="J518" s="27">
        <f>(H518/G518)*I518*F518</f>
        <v>12782.81608591957</v>
      </c>
      <c r="K518" s="27">
        <f t="shared" ref="K518:K522" si="641">IF(E518="M"," ",L518*F518)</f>
        <v>77.471612641936787</v>
      </c>
      <c r="L518" s="157">
        <f t="shared" ref="L518:L522" si="642">IF(E518="M"," ",H518/G518)</f>
        <v>77.471612641936787</v>
      </c>
      <c r="M518" s="28">
        <f t="shared" ref="M518:M522" si="643">IF($E518="L",$J518,0)</f>
        <v>0</v>
      </c>
      <c r="N518" s="28">
        <f t="shared" ref="N518:N522" si="644">IF($E518="M",$J518,0)</f>
        <v>0</v>
      </c>
      <c r="O518" s="28">
        <f t="shared" ref="O518:O522" si="645">IF($E518="P",$J518,0)</f>
        <v>12782.81608591957</v>
      </c>
      <c r="P518" s="28">
        <f t="shared" ref="P518:P522" si="646">IF($E518="S",$J518,0)</f>
        <v>0</v>
      </c>
      <c r="Q518" s="28">
        <f t="shared" ref="Q518:Q522" si="647">SUM(M518:P518)</f>
        <v>12782.81608591957</v>
      </c>
      <c r="R518" s="26">
        <v>62</v>
      </c>
      <c r="T518" s="67"/>
      <c r="U518"/>
    </row>
    <row r="519" spans="1:21" ht="15" x14ac:dyDescent="0.25">
      <c r="A519" s="38" t="s">
        <v>418</v>
      </c>
      <c r="B519" s="13">
        <v>2</v>
      </c>
      <c r="C519" s="14" t="s">
        <v>45</v>
      </c>
      <c r="D519" s="13" t="s">
        <v>27</v>
      </c>
      <c r="E519" s="26" t="str">
        <f>VLOOKUP(C519,Resources!B:G,3,FALSE)</f>
        <v>P</v>
      </c>
      <c r="F519" s="15">
        <v>2</v>
      </c>
      <c r="G519" s="15">
        <f>G518</f>
        <v>66.667000000000002</v>
      </c>
      <c r="H519" s="15">
        <f>H518</f>
        <v>5164.8</v>
      </c>
      <c r="I519" s="15">
        <f>VLOOKUP(C519,Resources!B:G,6,FALSE)</f>
        <v>100</v>
      </c>
      <c r="J519" s="27">
        <f>(H519/G519)*I519*F519</f>
        <v>15494.322528387358</v>
      </c>
      <c r="K519" s="27">
        <f t="shared" si="641"/>
        <v>154.94322528387357</v>
      </c>
      <c r="L519" s="157">
        <f t="shared" si="642"/>
        <v>77.471612641936787</v>
      </c>
      <c r="M519" s="28">
        <f t="shared" si="643"/>
        <v>0</v>
      </c>
      <c r="N519" s="28">
        <f t="shared" si="644"/>
        <v>0</v>
      </c>
      <c r="O519" s="28">
        <f t="shared" si="645"/>
        <v>15494.322528387358</v>
      </c>
      <c r="P519" s="28">
        <f t="shared" si="646"/>
        <v>0</v>
      </c>
      <c r="Q519" s="28">
        <f t="shared" si="647"/>
        <v>15494.322528387358</v>
      </c>
      <c r="R519" s="26">
        <v>62</v>
      </c>
      <c r="T519" s="67"/>
      <c r="U519"/>
    </row>
    <row r="520" spans="1:21" ht="15" x14ac:dyDescent="0.25">
      <c r="A520" s="38" t="s">
        <v>418</v>
      </c>
      <c r="B520" s="13">
        <v>3</v>
      </c>
      <c r="C520" s="14" t="s">
        <v>102</v>
      </c>
      <c r="D520" s="13" t="s">
        <v>54</v>
      </c>
      <c r="E520" s="26" t="str">
        <f>VLOOKUP(C520,Resources!B:G,3,FALSE)</f>
        <v>P</v>
      </c>
      <c r="F520" s="15">
        <v>1</v>
      </c>
      <c r="G520" s="15">
        <f>G518*9</f>
        <v>600.00300000000004</v>
      </c>
      <c r="H520" s="15">
        <f>H518</f>
        <v>5164.8</v>
      </c>
      <c r="I520" s="15">
        <f>VLOOKUP(C520,Resources!B:G,6,FALSE)</f>
        <v>365</v>
      </c>
      <c r="J520" s="27">
        <f>(H520/G520)*I520*F520</f>
        <v>3141.904290478547</v>
      </c>
      <c r="K520" s="27">
        <f t="shared" si="641"/>
        <v>8.6079569602151977</v>
      </c>
      <c r="L520" s="157">
        <f t="shared" si="642"/>
        <v>8.6079569602151977</v>
      </c>
      <c r="M520" s="28">
        <f t="shared" si="643"/>
        <v>0</v>
      </c>
      <c r="N520" s="28">
        <f t="shared" si="644"/>
        <v>0</v>
      </c>
      <c r="O520" s="28">
        <f t="shared" si="645"/>
        <v>3141.904290478547</v>
      </c>
      <c r="P520" s="28">
        <f t="shared" si="646"/>
        <v>0</v>
      </c>
      <c r="Q520" s="28">
        <f t="shared" si="647"/>
        <v>3141.904290478547</v>
      </c>
      <c r="R520" s="26">
        <v>62</v>
      </c>
      <c r="T520" s="67"/>
      <c r="U520"/>
    </row>
    <row r="521" spans="1:21" ht="15" x14ac:dyDescent="0.25">
      <c r="A521" s="38" t="s">
        <v>418</v>
      </c>
      <c r="B521" s="13">
        <v>4</v>
      </c>
      <c r="C521" s="14" t="s">
        <v>176</v>
      </c>
      <c r="D521" s="13" t="s">
        <v>54</v>
      </c>
      <c r="E521" s="26" t="str">
        <f>VLOOKUP(C521,Resources!B:G,3,FALSE)</f>
        <v>P</v>
      </c>
      <c r="F521" s="15">
        <v>1</v>
      </c>
      <c r="G521" s="15">
        <f>G518*9</f>
        <v>600.00300000000004</v>
      </c>
      <c r="H521" s="15">
        <f>H518</f>
        <v>5164.8</v>
      </c>
      <c r="I521" s="15">
        <f>VLOOKUP(C521,Resources!B:G,6,FALSE)</f>
        <v>365</v>
      </c>
      <c r="J521" s="27">
        <f>(H521/G521)*I521*F521</f>
        <v>3141.904290478547</v>
      </c>
      <c r="K521" s="27">
        <f t="shared" si="641"/>
        <v>8.6079569602151977</v>
      </c>
      <c r="L521" s="157">
        <f t="shared" si="642"/>
        <v>8.6079569602151977</v>
      </c>
      <c r="M521" s="28">
        <f t="shared" si="643"/>
        <v>0</v>
      </c>
      <c r="N521" s="28">
        <f t="shared" si="644"/>
        <v>0</v>
      </c>
      <c r="O521" s="28">
        <f t="shared" si="645"/>
        <v>3141.904290478547</v>
      </c>
      <c r="P521" s="28">
        <f t="shared" si="646"/>
        <v>0</v>
      </c>
      <c r="Q521" s="28">
        <f t="shared" si="647"/>
        <v>3141.904290478547</v>
      </c>
      <c r="R521" s="26">
        <v>62</v>
      </c>
      <c r="T521" s="67"/>
      <c r="U521"/>
    </row>
    <row r="522" spans="1:21" ht="15" x14ac:dyDescent="0.25">
      <c r="A522" s="38" t="s">
        <v>418</v>
      </c>
      <c r="B522" s="13">
        <v>5</v>
      </c>
      <c r="C522" s="14" t="s">
        <v>7</v>
      </c>
      <c r="D522" s="13" t="s">
        <v>27</v>
      </c>
      <c r="E522" s="26" t="str">
        <f>VLOOKUP(C522,Resources!B:G,3,FALSE)</f>
        <v>L</v>
      </c>
      <c r="F522" s="15">
        <v>3</v>
      </c>
      <c r="G522" s="15">
        <f>G518</f>
        <v>66.667000000000002</v>
      </c>
      <c r="H522" s="15">
        <f>H518</f>
        <v>5164.8</v>
      </c>
      <c r="I522" s="15">
        <f>VLOOKUP(C522,Resources!B:G,6,FALSE)</f>
        <v>48</v>
      </c>
      <c r="J522" s="27">
        <f>(H522/G522)*I522*F522</f>
        <v>11155.912220438897</v>
      </c>
      <c r="K522" s="27">
        <f t="shared" si="641"/>
        <v>232.41483792581036</v>
      </c>
      <c r="L522" s="157">
        <f t="shared" si="642"/>
        <v>77.471612641936787</v>
      </c>
      <c r="M522" s="28">
        <f t="shared" si="643"/>
        <v>11155.912220438897</v>
      </c>
      <c r="N522" s="28">
        <f t="shared" si="644"/>
        <v>0</v>
      </c>
      <c r="O522" s="28">
        <f t="shared" si="645"/>
        <v>0</v>
      </c>
      <c r="P522" s="28">
        <f t="shared" si="646"/>
        <v>0</v>
      </c>
      <c r="Q522" s="28">
        <f t="shared" si="647"/>
        <v>11155.912220438897</v>
      </c>
      <c r="R522" s="26">
        <v>62</v>
      </c>
      <c r="T522" s="67"/>
      <c r="U522"/>
    </row>
    <row r="523" spans="1:21" ht="15" x14ac:dyDescent="0.25">
      <c r="A523" s="38">
        <v>85.3</v>
      </c>
      <c r="B523" s="13">
        <v>6</v>
      </c>
      <c r="C523" s="14" t="s">
        <v>253</v>
      </c>
      <c r="D523" s="13"/>
      <c r="E523" s="26"/>
      <c r="F523" s="15"/>
      <c r="G523" s="15"/>
      <c r="H523" s="36">
        <f>VLOOKUP($A523,'Model Inputs'!$A:$C,3,FALSE)</f>
        <v>0.15</v>
      </c>
      <c r="I523" s="15"/>
      <c r="J523" s="15"/>
      <c r="K523" s="30"/>
      <c r="L523" s="157"/>
      <c r="M523" s="16"/>
      <c r="N523" s="16"/>
      <c r="O523" s="16"/>
      <c r="P523" s="16"/>
      <c r="Q523" s="16"/>
      <c r="R523" s="26"/>
      <c r="T523" s="67"/>
      <c r="U523"/>
    </row>
    <row r="524" spans="1:21" ht="15" x14ac:dyDescent="0.25">
      <c r="A524" s="38">
        <v>85.4</v>
      </c>
      <c r="B524" s="13">
        <v>7</v>
      </c>
      <c r="C524" s="14" t="s">
        <v>31</v>
      </c>
      <c r="D524" s="13" t="s">
        <v>27</v>
      </c>
      <c r="E524" s="26" t="str">
        <f>VLOOKUP(C524,Resources!B:G,3,FALSE)</f>
        <v>P</v>
      </c>
      <c r="F524" s="15">
        <v>1</v>
      </c>
      <c r="G524" s="36">
        <f>VLOOKUP($A524,'Model Inputs'!$A:$C,3,FALSE)</f>
        <v>350</v>
      </c>
      <c r="H524" s="15">
        <f>H504/H523</f>
        <v>14346.666666666668</v>
      </c>
      <c r="I524" s="15">
        <f>VLOOKUP(C524,Resources!B:G,6,FALSE)</f>
        <v>165</v>
      </c>
      <c r="J524" s="27">
        <f>(H524/G524)*I524*F524</f>
        <v>6763.4285714285725</v>
      </c>
      <c r="K524" s="27">
        <f t="shared" ref="K524:K527" si="648">IF(E524="M"," ",L524*F524)</f>
        <v>40.990476190476194</v>
      </c>
      <c r="L524" s="157">
        <f t="shared" ref="L524:L527" si="649">IF(E524="M"," ",H524/G524)</f>
        <v>40.990476190476194</v>
      </c>
      <c r="M524" s="28">
        <f t="shared" ref="M524:M527" si="650">IF($E524="L",$J524,0)</f>
        <v>0</v>
      </c>
      <c r="N524" s="28">
        <f t="shared" ref="N524:N527" si="651">IF($E524="M",$J524,0)</f>
        <v>0</v>
      </c>
      <c r="O524" s="28">
        <f t="shared" ref="O524:O527" si="652">IF($E524="P",$J524,0)</f>
        <v>6763.4285714285725</v>
      </c>
      <c r="P524" s="28">
        <f t="shared" ref="P524:P527" si="653">IF($E524="S",$J524,0)</f>
        <v>0</v>
      </c>
      <c r="Q524" s="28">
        <f t="shared" ref="Q524:Q527" si="654">SUM(M524:P524)</f>
        <v>6763.4285714285725</v>
      </c>
      <c r="R524" s="26">
        <v>63</v>
      </c>
      <c r="T524" s="67"/>
      <c r="U524"/>
    </row>
    <row r="525" spans="1:21" ht="15" x14ac:dyDescent="0.25">
      <c r="A525" s="38" t="s">
        <v>418</v>
      </c>
      <c r="B525" s="13">
        <v>8</v>
      </c>
      <c r="C525" s="14" t="s">
        <v>45</v>
      </c>
      <c r="D525" s="13" t="s">
        <v>27</v>
      </c>
      <c r="E525" s="26" t="str">
        <f>VLOOKUP(C525,Resources!B:G,3,FALSE)</f>
        <v>P</v>
      </c>
      <c r="F525" s="15">
        <v>2</v>
      </c>
      <c r="G525" s="15">
        <f>G524</f>
        <v>350</v>
      </c>
      <c r="H525" s="15">
        <f>H524</f>
        <v>14346.666666666668</v>
      </c>
      <c r="I525" s="15">
        <f>VLOOKUP(C525,Resources!B:G,6,FALSE)</f>
        <v>100</v>
      </c>
      <c r="J525" s="27">
        <f>(H525/G525)*I525*F525</f>
        <v>8198.0952380952385</v>
      </c>
      <c r="K525" s="27">
        <f t="shared" si="648"/>
        <v>81.980952380952388</v>
      </c>
      <c r="L525" s="157">
        <f t="shared" si="649"/>
        <v>40.990476190476194</v>
      </c>
      <c r="M525" s="28">
        <f t="shared" si="650"/>
        <v>0</v>
      </c>
      <c r="N525" s="28">
        <f t="shared" si="651"/>
        <v>0</v>
      </c>
      <c r="O525" s="28">
        <f t="shared" si="652"/>
        <v>8198.0952380952385</v>
      </c>
      <c r="P525" s="28">
        <f t="shared" si="653"/>
        <v>0</v>
      </c>
      <c r="Q525" s="28">
        <f t="shared" si="654"/>
        <v>8198.0952380952385</v>
      </c>
      <c r="R525" s="26">
        <v>63</v>
      </c>
      <c r="T525" s="67"/>
      <c r="U525"/>
    </row>
    <row r="526" spans="1:21" ht="15" x14ac:dyDescent="0.25">
      <c r="A526" s="38" t="s">
        <v>418</v>
      </c>
      <c r="B526" s="13">
        <v>9</v>
      </c>
      <c r="C526" s="14" t="s">
        <v>176</v>
      </c>
      <c r="D526" s="13" t="s">
        <v>54</v>
      </c>
      <c r="E526" s="26" t="str">
        <f>VLOOKUP(C526,Resources!B:G,3,FALSE)</f>
        <v>P</v>
      </c>
      <c r="F526" s="15">
        <v>1</v>
      </c>
      <c r="G526" s="15">
        <f>G524*9</f>
        <v>3150</v>
      </c>
      <c r="H526" s="15">
        <f>H524</f>
        <v>14346.666666666668</v>
      </c>
      <c r="I526" s="15">
        <f>VLOOKUP(C526,Resources!B:G,6,FALSE)</f>
        <v>365</v>
      </c>
      <c r="J526" s="27">
        <f>(H526/G526)*I526*F526</f>
        <v>1662.3915343915344</v>
      </c>
      <c r="K526" s="27">
        <f t="shared" si="648"/>
        <v>4.5544973544973546</v>
      </c>
      <c r="L526" s="157">
        <f t="shared" si="649"/>
        <v>4.5544973544973546</v>
      </c>
      <c r="M526" s="28">
        <f t="shared" si="650"/>
        <v>0</v>
      </c>
      <c r="N526" s="28">
        <f t="shared" si="651"/>
        <v>0</v>
      </c>
      <c r="O526" s="28">
        <f t="shared" si="652"/>
        <v>1662.3915343915344</v>
      </c>
      <c r="P526" s="28">
        <f t="shared" si="653"/>
        <v>0</v>
      </c>
      <c r="Q526" s="28">
        <f t="shared" si="654"/>
        <v>1662.3915343915344</v>
      </c>
      <c r="R526" s="26">
        <v>63</v>
      </c>
      <c r="T526" s="67"/>
      <c r="U526"/>
    </row>
    <row r="527" spans="1:21" ht="15" x14ac:dyDescent="0.25">
      <c r="A527" s="38" t="s">
        <v>418</v>
      </c>
      <c r="B527" s="13">
        <v>10</v>
      </c>
      <c r="C527" s="14" t="s">
        <v>7</v>
      </c>
      <c r="D527" s="13" t="s">
        <v>27</v>
      </c>
      <c r="E527" s="26" t="str">
        <f>VLOOKUP(C527,Resources!B:G,3,FALSE)</f>
        <v>L</v>
      </c>
      <c r="F527" s="15">
        <v>3</v>
      </c>
      <c r="G527" s="15">
        <f>G524</f>
        <v>350</v>
      </c>
      <c r="H527" s="15">
        <f>H524</f>
        <v>14346.666666666668</v>
      </c>
      <c r="I527" s="15">
        <f>VLOOKUP(C527,Resources!B:G,6,FALSE)</f>
        <v>48</v>
      </c>
      <c r="J527" s="27">
        <f>(H527/G527)*I527*F527</f>
        <v>5902.6285714285723</v>
      </c>
      <c r="K527" s="27">
        <f t="shared" si="648"/>
        <v>122.97142857142859</v>
      </c>
      <c r="L527" s="157">
        <f t="shared" si="649"/>
        <v>40.990476190476194</v>
      </c>
      <c r="M527" s="28">
        <f t="shared" si="650"/>
        <v>5902.6285714285723</v>
      </c>
      <c r="N527" s="28">
        <f t="shared" si="651"/>
        <v>0</v>
      </c>
      <c r="O527" s="28">
        <f t="shared" si="652"/>
        <v>0</v>
      </c>
      <c r="P527" s="28">
        <f t="shared" si="653"/>
        <v>0</v>
      </c>
      <c r="Q527" s="28">
        <f t="shared" si="654"/>
        <v>5902.6285714285723</v>
      </c>
      <c r="R527" s="26">
        <v>63</v>
      </c>
      <c r="T527" s="67"/>
      <c r="U527"/>
    </row>
    <row r="528" spans="1:21" ht="15" x14ac:dyDescent="0.25">
      <c r="A528" s="38" t="s">
        <v>418</v>
      </c>
      <c r="F528" s="11"/>
      <c r="G528" s="11"/>
      <c r="H528" s="11"/>
      <c r="I528" s="11"/>
      <c r="J528" s="11"/>
      <c r="K528" s="31"/>
      <c r="M528" s="12"/>
      <c r="N528" s="12"/>
      <c r="O528" s="12"/>
      <c r="P528" s="12"/>
      <c r="Q528" s="12"/>
      <c r="T528" s="67"/>
      <c r="U528"/>
    </row>
    <row r="529" spans="1:21" ht="33.75" x14ac:dyDescent="0.25">
      <c r="A529" s="38">
        <v>86</v>
      </c>
      <c r="B529" s="5" t="s">
        <v>189</v>
      </c>
      <c r="C529" s="5" t="s">
        <v>190</v>
      </c>
      <c r="D529" s="6" t="s">
        <v>127</v>
      </c>
      <c r="E529" s="25"/>
      <c r="F529" s="7"/>
      <c r="G529" s="7"/>
      <c r="H529" s="36">
        <f>VLOOKUP($A529,'Model Inputs'!$A:$C,3,FALSE)</f>
        <v>130017</v>
      </c>
      <c r="I529" s="7"/>
      <c r="J529" s="7"/>
      <c r="K529" s="29"/>
      <c r="L529" s="156">
        <f>MAX(L530)</f>
        <v>0</v>
      </c>
      <c r="M529" s="8">
        <f>SUBTOTAL(9,M530)</f>
        <v>0</v>
      </c>
      <c r="N529" s="8">
        <f t="shared" ref="N529:Q529" si="655">SUBTOTAL(9,N530)</f>
        <v>0</v>
      </c>
      <c r="O529" s="8">
        <f t="shared" si="655"/>
        <v>0</v>
      </c>
      <c r="P529" s="8">
        <f t="shared" si="655"/>
        <v>89867.75039999999</v>
      </c>
      <c r="Q529" s="8">
        <f t="shared" si="655"/>
        <v>89867.75039999999</v>
      </c>
      <c r="R529" s="25"/>
      <c r="T529" s="67"/>
      <c r="U529"/>
    </row>
    <row r="530" spans="1:21" ht="15" x14ac:dyDescent="0.25">
      <c r="A530" s="38" t="s">
        <v>418</v>
      </c>
      <c r="B530" s="13">
        <v>1</v>
      </c>
      <c r="C530" s="14" t="s">
        <v>128</v>
      </c>
      <c r="D530" s="13" t="s">
        <v>99</v>
      </c>
      <c r="E530" s="26" t="str">
        <f>VLOOKUP(C530,Resources!B:G,3,FALSE)</f>
        <v>S</v>
      </c>
      <c r="F530" s="15">
        <v>1</v>
      </c>
      <c r="G530" s="15">
        <v>1</v>
      </c>
      <c r="H530" s="15">
        <f>H529*2.88</f>
        <v>374448.95999999996</v>
      </c>
      <c r="I530" s="15">
        <f>VLOOKUP(C530,Resources!B:G,6,FALSE)</f>
        <v>0.24</v>
      </c>
      <c r="J530" s="27">
        <f>(H530/G530)*I530*F530</f>
        <v>89867.75039999999</v>
      </c>
      <c r="K530" s="27">
        <f t="shared" ref="K530" si="656">IF(E530="M"," ",L530*F530)</f>
        <v>0</v>
      </c>
      <c r="L530" s="157"/>
      <c r="M530" s="28">
        <f t="shared" ref="M530" si="657">IF($E530="L",$J530,0)</f>
        <v>0</v>
      </c>
      <c r="N530" s="28">
        <f t="shared" ref="N530" si="658">IF($E530="M",$J530,0)</f>
        <v>0</v>
      </c>
      <c r="O530" s="28">
        <f t="shared" ref="O530" si="659">IF($E530="P",$J530,0)</f>
        <v>0</v>
      </c>
      <c r="P530" s="28">
        <f t="shared" ref="P530" si="660">IF($E530="S",$J530,0)</f>
        <v>89867.75039999999</v>
      </c>
      <c r="Q530" s="28">
        <f t="shared" ref="Q530" si="661">SUM(M530:P530)</f>
        <v>89867.75039999999</v>
      </c>
      <c r="R530" s="26">
        <v>613</v>
      </c>
      <c r="T530" s="67"/>
      <c r="U530"/>
    </row>
    <row r="531" spans="1:21" ht="15" x14ac:dyDescent="0.25">
      <c r="A531" s="38" t="s">
        <v>418</v>
      </c>
      <c r="F531" s="11"/>
      <c r="G531" s="11"/>
      <c r="H531" s="11"/>
      <c r="I531" s="11"/>
      <c r="J531" s="11"/>
      <c r="K531" s="31"/>
      <c r="M531" s="12"/>
      <c r="N531" s="12"/>
      <c r="O531" s="12"/>
      <c r="P531" s="12"/>
      <c r="Q531" s="12"/>
      <c r="T531" s="67"/>
      <c r="U531"/>
    </row>
    <row r="532" spans="1:21" ht="22.5" x14ac:dyDescent="0.25">
      <c r="A532" s="38">
        <v>87</v>
      </c>
      <c r="B532" s="5" t="s">
        <v>191</v>
      </c>
      <c r="C532" s="5" t="s">
        <v>192</v>
      </c>
      <c r="D532" s="6"/>
      <c r="E532" s="25"/>
      <c r="F532" s="7"/>
      <c r="G532" s="7"/>
      <c r="H532" s="7"/>
      <c r="I532" s="7"/>
      <c r="J532" s="7"/>
      <c r="K532" s="29"/>
      <c r="L532" s="156"/>
      <c r="M532" s="8"/>
      <c r="N532" s="8"/>
      <c r="O532" s="8"/>
      <c r="P532" s="8"/>
      <c r="Q532" s="8"/>
      <c r="R532" s="25"/>
      <c r="T532" s="67"/>
      <c r="U532"/>
    </row>
    <row r="533" spans="1:21" ht="22.5" x14ac:dyDescent="0.25">
      <c r="A533" s="38">
        <v>88</v>
      </c>
      <c r="B533" s="5" t="s">
        <v>193</v>
      </c>
      <c r="C533" s="5" t="s">
        <v>194</v>
      </c>
      <c r="D533" s="6"/>
      <c r="E533" s="25"/>
      <c r="F533" s="7"/>
      <c r="G533" s="7"/>
      <c r="H533" s="7"/>
      <c r="I533" s="7"/>
      <c r="J533" s="7"/>
      <c r="K533" s="29"/>
      <c r="L533" s="156"/>
      <c r="M533" s="8"/>
      <c r="N533" s="8"/>
      <c r="O533" s="8"/>
      <c r="P533" s="8"/>
      <c r="Q533" s="8"/>
      <c r="R533" s="25"/>
      <c r="T533" s="67"/>
      <c r="U533"/>
    </row>
    <row r="534" spans="1:21" ht="33.75" x14ac:dyDescent="0.25">
      <c r="A534" s="38">
        <v>89</v>
      </c>
      <c r="B534" s="5" t="s">
        <v>195</v>
      </c>
      <c r="C534" s="5" t="s">
        <v>196</v>
      </c>
      <c r="D534" s="6" t="s">
        <v>197</v>
      </c>
      <c r="E534" s="25"/>
      <c r="F534" s="7"/>
      <c r="G534" s="7"/>
      <c r="H534" s="36">
        <f>VLOOKUP($A534,'Model Inputs'!$A:$C,3,FALSE)</f>
        <v>1500</v>
      </c>
      <c r="I534" s="7"/>
      <c r="J534" s="7"/>
      <c r="K534" s="29"/>
      <c r="L534" s="156">
        <f>MAX(L535)</f>
        <v>1</v>
      </c>
      <c r="M534" s="8">
        <f>SUBTOTAL(9,M535)</f>
        <v>0</v>
      </c>
      <c r="N534" s="8">
        <f t="shared" ref="N534:Q534" si="662">SUBTOTAL(9,N535)</f>
        <v>0</v>
      </c>
      <c r="O534" s="8">
        <f t="shared" si="662"/>
        <v>0</v>
      </c>
      <c r="P534" s="8">
        <f t="shared" si="662"/>
        <v>2565</v>
      </c>
      <c r="Q534" s="8">
        <f t="shared" si="662"/>
        <v>2565</v>
      </c>
      <c r="R534" s="25"/>
      <c r="T534" s="67"/>
      <c r="U534"/>
    </row>
    <row r="535" spans="1:21" ht="15" x14ac:dyDescent="0.25">
      <c r="A535" s="38" t="s">
        <v>418</v>
      </c>
      <c r="B535" s="13">
        <v>1</v>
      </c>
      <c r="C535" s="14" t="s">
        <v>297</v>
      </c>
      <c r="D535" s="13" t="s">
        <v>122</v>
      </c>
      <c r="E535" s="26" t="str">
        <f>VLOOKUP(C535,Resources!B:G,3,FALSE)</f>
        <v>S</v>
      </c>
      <c r="F535" s="15">
        <v>1</v>
      </c>
      <c r="G535" s="15">
        <v>1</v>
      </c>
      <c r="H535" s="15">
        <f>H534</f>
        <v>1500</v>
      </c>
      <c r="I535" s="15">
        <f>VLOOKUP(C535,Resources!B:G,6,FALSE)</f>
        <v>1.71</v>
      </c>
      <c r="J535" s="27">
        <f>(H535/G535)*I535*F535</f>
        <v>2565</v>
      </c>
      <c r="K535" s="27">
        <f t="shared" ref="K535" si="663">IF(E535="M"," ",L535*F535)</f>
        <v>1</v>
      </c>
      <c r="L535" s="157">
        <v>1</v>
      </c>
      <c r="M535" s="28">
        <f t="shared" ref="M535" si="664">IF($E535="L",$J535,0)</f>
        <v>0</v>
      </c>
      <c r="N535" s="28">
        <f t="shared" ref="N535" si="665">IF($E535="M",$J535,0)</f>
        <v>0</v>
      </c>
      <c r="O535" s="28">
        <f t="shared" ref="O535" si="666">IF($E535="P",$J535,0)</f>
        <v>0</v>
      </c>
      <c r="P535" s="28">
        <f t="shared" ref="P535" si="667">IF($E535="S",$J535,0)</f>
        <v>2565</v>
      </c>
      <c r="Q535" s="28">
        <f t="shared" ref="Q535" si="668">SUM(M535:P535)</f>
        <v>2565</v>
      </c>
      <c r="R535" s="26">
        <v>64</v>
      </c>
      <c r="T535" s="67"/>
      <c r="U535"/>
    </row>
    <row r="536" spans="1:21" ht="15" x14ac:dyDescent="0.25">
      <c r="A536" s="38" t="s">
        <v>418</v>
      </c>
      <c r="F536" s="11"/>
      <c r="G536" s="11"/>
      <c r="H536" s="11"/>
      <c r="I536" s="11"/>
      <c r="J536" s="11"/>
      <c r="K536" s="31"/>
      <c r="M536" s="12"/>
      <c r="N536" s="12"/>
      <c r="O536" s="12"/>
      <c r="P536" s="12"/>
      <c r="Q536" s="12"/>
      <c r="T536" s="67"/>
      <c r="U536"/>
    </row>
    <row r="537" spans="1:21" ht="33.75" x14ac:dyDescent="0.25">
      <c r="A537" s="38">
        <v>90</v>
      </c>
      <c r="B537" s="5" t="s">
        <v>198</v>
      </c>
      <c r="C537" s="5" t="s">
        <v>199</v>
      </c>
      <c r="D537" s="6" t="s">
        <v>197</v>
      </c>
      <c r="E537" s="25"/>
      <c r="F537" s="7"/>
      <c r="G537" s="7"/>
      <c r="H537" s="36">
        <f>VLOOKUP($A537,'Model Inputs'!$A:$C,3,FALSE)</f>
        <v>1350</v>
      </c>
      <c r="I537" s="7"/>
      <c r="J537" s="7"/>
      <c r="K537" s="29"/>
      <c r="L537" s="156">
        <f>MAX(L538)</f>
        <v>1</v>
      </c>
      <c r="M537" s="8">
        <f>SUBTOTAL(9,M538)</f>
        <v>0</v>
      </c>
      <c r="N537" s="8">
        <f t="shared" ref="N537" si="669">SUBTOTAL(9,N538)</f>
        <v>0</v>
      </c>
      <c r="O537" s="8">
        <f t="shared" ref="O537" si="670">SUBTOTAL(9,O538)</f>
        <v>0</v>
      </c>
      <c r="P537" s="8">
        <f t="shared" ref="P537" si="671">SUBTOTAL(9,P538)</f>
        <v>11785.5</v>
      </c>
      <c r="Q537" s="8">
        <f t="shared" ref="Q537" si="672">SUBTOTAL(9,Q538)</f>
        <v>11785.5</v>
      </c>
      <c r="R537" s="25"/>
      <c r="T537" s="67"/>
      <c r="U537"/>
    </row>
    <row r="538" spans="1:21" ht="15" x14ac:dyDescent="0.25">
      <c r="A538" s="38" t="s">
        <v>418</v>
      </c>
      <c r="B538" s="13">
        <v>1</v>
      </c>
      <c r="C538" s="14" t="s">
        <v>295</v>
      </c>
      <c r="D538" s="13" t="s">
        <v>197</v>
      </c>
      <c r="E538" s="26" t="str">
        <f>VLOOKUP(C538,Resources!B:G,3,FALSE)</f>
        <v>S</v>
      </c>
      <c r="F538" s="15">
        <v>1</v>
      </c>
      <c r="G538" s="15">
        <v>1</v>
      </c>
      <c r="H538" s="15">
        <f>H537</f>
        <v>1350</v>
      </c>
      <c r="I538" s="15">
        <f>VLOOKUP(C538,Resources!B:G,6,FALSE)</f>
        <v>8.73</v>
      </c>
      <c r="J538" s="27">
        <f>(H538/G538)*I538*F538</f>
        <v>11785.5</v>
      </c>
      <c r="K538" s="27">
        <f t="shared" ref="K538" si="673">IF(E538="M"," ",L538*F538)</f>
        <v>1</v>
      </c>
      <c r="L538" s="157">
        <v>1</v>
      </c>
      <c r="M538" s="28">
        <f t="shared" ref="M538" si="674">IF($E538="L",$J538,0)</f>
        <v>0</v>
      </c>
      <c r="N538" s="28">
        <f t="shared" ref="N538" si="675">IF($E538="M",$J538,0)</f>
        <v>0</v>
      </c>
      <c r="O538" s="28">
        <f t="shared" ref="O538" si="676">IF($E538="P",$J538,0)</f>
        <v>0</v>
      </c>
      <c r="P538" s="28">
        <f t="shared" ref="P538" si="677">IF($E538="S",$J538,0)</f>
        <v>11785.5</v>
      </c>
      <c r="Q538" s="28">
        <f t="shared" ref="Q538" si="678">SUM(M538:P538)</f>
        <v>11785.5</v>
      </c>
      <c r="R538" s="26">
        <v>64</v>
      </c>
      <c r="T538" s="67"/>
      <c r="U538"/>
    </row>
    <row r="539" spans="1:21" ht="15" x14ac:dyDescent="0.25">
      <c r="A539" s="38" t="s">
        <v>418</v>
      </c>
      <c r="F539" s="11"/>
      <c r="G539" s="11"/>
      <c r="H539" s="11"/>
      <c r="I539" s="11"/>
      <c r="J539" s="11"/>
      <c r="K539" s="31"/>
      <c r="M539" s="12"/>
      <c r="N539" s="12"/>
      <c r="O539" s="12"/>
      <c r="P539" s="12"/>
      <c r="Q539" s="12"/>
      <c r="T539" s="67"/>
      <c r="U539"/>
    </row>
    <row r="540" spans="1:21" ht="33.75" x14ac:dyDescent="0.25">
      <c r="A540" s="38">
        <v>91</v>
      </c>
      <c r="B540" s="5" t="s">
        <v>200</v>
      </c>
      <c r="C540" s="5" t="s">
        <v>201</v>
      </c>
      <c r="D540" s="6" t="s">
        <v>23</v>
      </c>
      <c r="E540" s="25"/>
      <c r="F540" s="7"/>
      <c r="G540" s="7"/>
      <c r="H540" s="36">
        <f>VLOOKUP($A540,'Model Inputs'!$A:$C,3,FALSE)</f>
        <v>142</v>
      </c>
      <c r="I540" s="7"/>
      <c r="J540" s="7"/>
      <c r="K540" s="29"/>
      <c r="L540" s="156">
        <f>MAX(L541)</f>
        <v>1</v>
      </c>
      <c r="M540" s="8">
        <f>SUBTOTAL(9,M541)</f>
        <v>0</v>
      </c>
      <c r="N540" s="8">
        <f t="shared" ref="N540" si="679">SUBTOTAL(9,N541)</f>
        <v>0</v>
      </c>
      <c r="O540" s="8">
        <f t="shared" ref="O540" si="680">SUBTOTAL(9,O541)</f>
        <v>0</v>
      </c>
      <c r="P540" s="8">
        <f t="shared" ref="P540" si="681">SUBTOTAL(9,P541)</f>
        <v>1485.3200000000002</v>
      </c>
      <c r="Q540" s="8">
        <f t="shared" ref="Q540" si="682">SUBTOTAL(9,Q541)</f>
        <v>1485.3200000000002</v>
      </c>
      <c r="R540" s="25"/>
      <c r="T540" s="67"/>
      <c r="U540"/>
    </row>
    <row r="541" spans="1:21" ht="15" x14ac:dyDescent="0.25">
      <c r="A541" s="38" t="s">
        <v>418</v>
      </c>
      <c r="B541" s="13">
        <v>1</v>
      </c>
      <c r="C541" s="14" t="s">
        <v>293</v>
      </c>
      <c r="D541" s="13" t="s">
        <v>23</v>
      </c>
      <c r="E541" s="26" t="str">
        <f>VLOOKUP(C541,Resources!B:G,3,FALSE)</f>
        <v>S</v>
      </c>
      <c r="F541" s="15">
        <v>1</v>
      </c>
      <c r="G541" s="15">
        <v>1</v>
      </c>
      <c r="H541" s="15">
        <f>H540</f>
        <v>142</v>
      </c>
      <c r="I541" s="15">
        <f>VLOOKUP(C541,Resources!B:G,6,FALSE)</f>
        <v>10.46</v>
      </c>
      <c r="J541" s="27">
        <f>(H541/G541)*I541*F541</f>
        <v>1485.3200000000002</v>
      </c>
      <c r="K541" s="27">
        <f t="shared" ref="K541" si="683">IF(E541="M"," ",L541*F541)</f>
        <v>1</v>
      </c>
      <c r="L541" s="157">
        <v>1</v>
      </c>
      <c r="M541" s="28">
        <f t="shared" ref="M541" si="684">IF($E541="L",$J541,0)</f>
        <v>0</v>
      </c>
      <c r="N541" s="28">
        <f t="shared" ref="N541" si="685">IF($E541="M",$J541,0)</f>
        <v>0</v>
      </c>
      <c r="O541" s="28">
        <f t="shared" ref="O541" si="686">IF($E541="P",$J541,0)</f>
        <v>0</v>
      </c>
      <c r="P541" s="28">
        <f t="shared" ref="P541" si="687">IF($E541="S",$J541,0)</f>
        <v>1485.3200000000002</v>
      </c>
      <c r="Q541" s="28">
        <f t="shared" ref="Q541" si="688">SUM(M541:P541)</f>
        <v>1485.3200000000002</v>
      </c>
      <c r="R541" s="26">
        <v>64</v>
      </c>
      <c r="T541" s="67"/>
      <c r="U541"/>
    </row>
    <row r="542" spans="1:21" ht="15" x14ac:dyDescent="0.25">
      <c r="A542" s="38" t="s">
        <v>418</v>
      </c>
      <c r="F542" s="11"/>
      <c r="G542" s="11"/>
      <c r="H542" s="11"/>
      <c r="I542" s="11"/>
      <c r="J542" s="11"/>
      <c r="K542" s="31"/>
      <c r="M542" s="12"/>
      <c r="N542" s="12"/>
      <c r="O542" s="12"/>
      <c r="P542" s="12"/>
      <c r="Q542" s="12"/>
      <c r="T542" s="67"/>
      <c r="U542"/>
    </row>
    <row r="543" spans="1:21" ht="33.75" x14ac:dyDescent="0.25">
      <c r="A543" s="38">
        <v>92</v>
      </c>
      <c r="B543" s="5" t="s">
        <v>202</v>
      </c>
      <c r="C543" s="5" t="s">
        <v>203</v>
      </c>
      <c r="D543" s="6" t="s">
        <v>23</v>
      </c>
      <c r="E543" s="25"/>
      <c r="F543" s="7"/>
      <c r="G543" s="7"/>
      <c r="H543" s="36">
        <f>VLOOKUP($A543,'Model Inputs'!$A:$C,3,FALSE)</f>
        <v>8</v>
      </c>
      <c r="I543" s="7"/>
      <c r="J543" s="7"/>
      <c r="K543" s="29"/>
      <c r="L543" s="156">
        <f>MAX(L544)</f>
        <v>1</v>
      </c>
      <c r="M543" s="8">
        <f>SUBTOTAL(9,M544)</f>
        <v>0</v>
      </c>
      <c r="N543" s="8">
        <f t="shared" ref="N543" si="689">SUBTOTAL(9,N544)</f>
        <v>0</v>
      </c>
      <c r="O543" s="8">
        <f t="shared" ref="O543" si="690">SUBTOTAL(9,O544)</f>
        <v>0</v>
      </c>
      <c r="P543" s="8">
        <f t="shared" ref="P543" si="691">SUBTOTAL(9,P544)</f>
        <v>64</v>
      </c>
      <c r="Q543" s="8">
        <f t="shared" ref="Q543" si="692">SUBTOTAL(9,Q544)</f>
        <v>64</v>
      </c>
      <c r="R543" s="25"/>
      <c r="T543" s="67"/>
      <c r="U543"/>
    </row>
    <row r="544" spans="1:21" ht="15" x14ac:dyDescent="0.25">
      <c r="A544" s="38" t="s">
        <v>418</v>
      </c>
      <c r="B544" s="13">
        <v>1</v>
      </c>
      <c r="C544" s="14" t="s">
        <v>204</v>
      </c>
      <c r="D544" s="13" t="s">
        <v>23</v>
      </c>
      <c r="E544" s="26" t="str">
        <f>VLOOKUP(C544,Resources!B:G,3,FALSE)</f>
        <v>S</v>
      </c>
      <c r="F544" s="15">
        <v>1</v>
      </c>
      <c r="G544" s="15">
        <v>1</v>
      </c>
      <c r="H544" s="15">
        <f>H543</f>
        <v>8</v>
      </c>
      <c r="I544" s="15">
        <f>VLOOKUP(C544,Resources!B:G,6,FALSE)</f>
        <v>8</v>
      </c>
      <c r="J544" s="27">
        <f>(H544/G544)*I544*F544</f>
        <v>64</v>
      </c>
      <c r="K544" s="27">
        <f t="shared" ref="K544" si="693">IF(E544="M"," ",L544*F544)</f>
        <v>1</v>
      </c>
      <c r="L544" s="157">
        <v>1</v>
      </c>
      <c r="M544" s="28">
        <f t="shared" ref="M544" si="694">IF($E544="L",$J544,0)</f>
        <v>0</v>
      </c>
      <c r="N544" s="28">
        <f t="shared" ref="N544" si="695">IF($E544="M",$J544,0)</f>
        <v>0</v>
      </c>
      <c r="O544" s="28">
        <f t="shared" ref="O544" si="696">IF($E544="P",$J544,0)</f>
        <v>0</v>
      </c>
      <c r="P544" s="28">
        <f t="shared" ref="P544" si="697">IF($E544="S",$J544,0)</f>
        <v>64</v>
      </c>
      <c r="Q544" s="28">
        <f t="shared" ref="Q544" si="698">SUM(M544:P544)</f>
        <v>64</v>
      </c>
      <c r="R544" s="26">
        <v>64</v>
      </c>
      <c r="T544" s="67"/>
      <c r="U544"/>
    </row>
    <row r="545" spans="1:21" ht="15" x14ac:dyDescent="0.25">
      <c r="A545" s="38" t="s">
        <v>418</v>
      </c>
      <c r="F545" s="11"/>
      <c r="G545" s="11"/>
      <c r="H545" s="11"/>
      <c r="I545" s="11"/>
      <c r="J545" s="11"/>
      <c r="K545" s="31"/>
      <c r="M545" s="12"/>
      <c r="N545" s="12"/>
      <c r="O545" s="12"/>
      <c r="P545" s="12"/>
      <c r="Q545" s="12"/>
      <c r="T545" s="67"/>
      <c r="U545"/>
    </row>
    <row r="546" spans="1:21" ht="33.75" x14ac:dyDescent="0.25">
      <c r="A546" s="38">
        <v>93</v>
      </c>
      <c r="B546" s="5" t="s">
        <v>205</v>
      </c>
      <c r="C546" s="5" t="s">
        <v>206</v>
      </c>
      <c r="D546" s="6" t="s">
        <v>197</v>
      </c>
      <c r="E546" s="25"/>
      <c r="F546" s="7"/>
      <c r="G546" s="7"/>
      <c r="H546" s="36">
        <f>VLOOKUP($A546,'Model Inputs'!$A:$C,3,FALSE)</f>
        <v>38375</v>
      </c>
      <c r="I546" s="7"/>
      <c r="J546" s="8">
        <f>SUBTOTAL(9,J560)</f>
        <v>66772.5</v>
      </c>
      <c r="K546" s="29"/>
      <c r="L546" s="156"/>
      <c r="M546" s="8">
        <f>SUBTOTAL(9,M560)</f>
        <v>0</v>
      </c>
      <c r="N546" s="8">
        <f t="shared" ref="N546:Q546" si="699">SUBTOTAL(9,N560)</f>
        <v>0</v>
      </c>
      <c r="O546" s="8">
        <f t="shared" si="699"/>
        <v>0</v>
      </c>
      <c r="P546" s="8">
        <f t="shared" si="699"/>
        <v>66772.5</v>
      </c>
      <c r="Q546" s="8">
        <f t="shared" si="699"/>
        <v>66772.5</v>
      </c>
      <c r="R546" s="25"/>
      <c r="T546" s="67"/>
      <c r="U546"/>
    </row>
    <row r="547" spans="1:21" ht="15" x14ac:dyDescent="0.25">
      <c r="A547" s="38">
        <v>93.01</v>
      </c>
      <c r="B547" s="5">
        <v>4</v>
      </c>
      <c r="C547" s="5" t="s">
        <v>237</v>
      </c>
      <c r="D547" s="6" t="s">
        <v>299</v>
      </c>
      <c r="E547" s="25"/>
      <c r="F547" s="7"/>
      <c r="G547" s="39">
        <v>3.7360335195530725E-2</v>
      </c>
      <c r="H547" s="7">
        <f>H$546*G547</f>
        <v>1433.7028631284916</v>
      </c>
      <c r="I547" s="7"/>
      <c r="J547" s="7"/>
      <c r="K547" s="29"/>
      <c r="L547" s="156">
        <f>ROUNDUP(H547/10000,0)</f>
        <v>1</v>
      </c>
      <c r="M547" s="7">
        <f>SUBTOTAL(9,M$560)*$G547</f>
        <v>0</v>
      </c>
      <c r="N547" s="7">
        <f t="shared" ref="N547:Q547" si="700">SUBTOTAL(9,N$560)*$G547</f>
        <v>0</v>
      </c>
      <c r="O547" s="7">
        <f t="shared" si="700"/>
        <v>0</v>
      </c>
      <c r="P547" s="7">
        <f t="shared" si="700"/>
        <v>2494.6429818435754</v>
      </c>
      <c r="Q547" s="7">
        <f t="shared" si="700"/>
        <v>2494.6429818435754</v>
      </c>
      <c r="R547" s="25"/>
      <c r="S547" s="4">
        <v>2494.6429818435754</v>
      </c>
      <c r="T547" s="67"/>
      <c r="U547"/>
    </row>
    <row r="548" spans="1:21" ht="15" x14ac:dyDescent="0.25">
      <c r="A548" s="38">
        <v>93.02</v>
      </c>
      <c r="B548" s="5">
        <v>11</v>
      </c>
      <c r="C548" s="5" t="s">
        <v>236</v>
      </c>
      <c r="D548" s="6" t="s">
        <v>299</v>
      </c>
      <c r="E548" s="25"/>
      <c r="F548" s="7"/>
      <c r="G548" s="39">
        <v>3.4043296089385472E-2</v>
      </c>
      <c r="H548" s="7">
        <f t="shared" ref="H548:H559" si="701">H$546*G548</f>
        <v>1306.4114874301674</v>
      </c>
      <c r="I548" s="7"/>
      <c r="J548" s="7"/>
      <c r="K548" s="29"/>
      <c r="L548" s="156">
        <f t="shared" ref="L548:L559" si="702">ROUNDUP(H548/10000,0)</f>
        <v>1</v>
      </c>
      <c r="M548" s="7">
        <f t="shared" ref="M548:Q559" si="703">SUBTOTAL(9,M$560)*$G548</f>
        <v>0</v>
      </c>
      <c r="N548" s="7">
        <f t="shared" si="703"/>
        <v>0</v>
      </c>
      <c r="O548" s="7">
        <f t="shared" si="703"/>
        <v>0</v>
      </c>
      <c r="P548" s="7">
        <f t="shared" si="703"/>
        <v>2273.1559881284916</v>
      </c>
      <c r="Q548" s="7">
        <f t="shared" si="703"/>
        <v>2273.1559881284916</v>
      </c>
      <c r="R548" s="25"/>
      <c r="T548" s="67"/>
      <c r="U548"/>
    </row>
    <row r="549" spans="1:21" ht="15" x14ac:dyDescent="0.25">
      <c r="A549" s="38">
        <v>93.03</v>
      </c>
      <c r="B549" s="5">
        <v>18</v>
      </c>
      <c r="C549" s="5" t="s">
        <v>239</v>
      </c>
      <c r="D549" s="6" t="s">
        <v>299</v>
      </c>
      <c r="E549" s="25"/>
      <c r="F549" s="7"/>
      <c r="G549" s="39">
        <v>4.5565642458100561E-2</v>
      </c>
      <c r="H549" s="7">
        <f t="shared" si="701"/>
        <v>1748.5815293296091</v>
      </c>
      <c r="I549" s="7"/>
      <c r="J549" s="7"/>
      <c r="K549" s="29"/>
      <c r="L549" s="156">
        <f t="shared" si="702"/>
        <v>1</v>
      </c>
      <c r="M549" s="7">
        <f t="shared" si="703"/>
        <v>0</v>
      </c>
      <c r="N549" s="7">
        <f t="shared" si="703"/>
        <v>0</v>
      </c>
      <c r="O549" s="7">
        <f t="shared" si="703"/>
        <v>0</v>
      </c>
      <c r="P549" s="7">
        <f t="shared" si="703"/>
        <v>3042.5318610335198</v>
      </c>
      <c r="Q549" s="7">
        <f t="shared" si="703"/>
        <v>3042.5318610335198</v>
      </c>
      <c r="R549" s="25"/>
      <c r="T549" s="67"/>
      <c r="U549"/>
    </row>
    <row r="550" spans="1:21" ht="15" x14ac:dyDescent="0.25">
      <c r="A550" s="38">
        <v>93.04</v>
      </c>
      <c r="B550" s="5">
        <v>25</v>
      </c>
      <c r="C550" s="5" t="s">
        <v>238</v>
      </c>
      <c r="D550" s="6" t="s">
        <v>299</v>
      </c>
      <c r="E550" s="25"/>
      <c r="F550" s="7"/>
      <c r="G550" s="39">
        <v>7.3324022346368714E-2</v>
      </c>
      <c r="H550" s="7">
        <f t="shared" si="701"/>
        <v>2813.8093575418993</v>
      </c>
      <c r="I550" s="7"/>
      <c r="J550" s="7"/>
      <c r="K550" s="29"/>
      <c r="L550" s="156">
        <f t="shared" si="702"/>
        <v>1</v>
      </c>
      <c r="M550" s="7">
        <f t="shared" si="703"/>
        <v>0</v>
      </c>
      <c r="N550" s="7">
        <f t="shared" si="703"/>
        <v>0</v>
      </c>
      <c r="O550" s="7">
        <f t="shared" si="703"/>
        <v>0</v>
      </c>
      <c r="P550" s="7">
        <f t="shared" si="703"/>
        <v>4896.0282821229048</v>
      </c>
      <c r="Q550" s="7">
        <f t="shared" si="703"/>
        <v>4896.0282821229048</v>
      </c>
      <c r="R550" s="25"/>
      <c r="T550" s="67"/>
      <c r="U550"/>
    </row>
    <row r="551" spans="1:21" ht="15" x14ac:dyDescent="0.25">
      <c r="A551" s="38">
        <v>93.05</v>
      </c>
      <c r="B551" s="5">
        <v>32</v>
      </c>
      <c r="C551" s="5" t="s">
        <v>240</v>
      </c>
      <c r="D551" s="6" t="s">
        <v>67</v>
      </c>
      <c r="E551" s="25"/>
      <c r="F551" s="7"/>
      <c r="G551" s="39">
        <v>6.9832402234636867E-3</v>
      </c>
      <c r="H551" s="7">
        <f t="shared" si="701"/>
        <v>267.98184357541896</v>
      </c>
      <c r="I551" s="7"/>
      <c r="J551" s="7"/>
      <c r="K551" s="29"/>
      <c r="L551" s="156">
        <f t="shared" si="702"/>
        <v>1</v>
      </c>
      <c r="M551" s="7">
        <f t="shared" si="703"/>
        <v>0</v>
      </c>
      <c r="N551" s="7">
        <f t="shared" si="703"/>
        <v>0</v>
      </c>
      <c r="O551" s="7">
        <f t="shared" si="703"/>
        <v>0</v>
      </c>
      <c r="P551" s="7">
        <f t="shared" si="703"/>
        <v>466.28840782122904</v>
      </c>
      <c r="Q551" s="7">
        <f t="shared" si="703"/>
        <v>466.28840782122904</v>
      </c>
      <c r="R551" s="25"/>
      <c r="T551" s="67"/>
      <c r="U551"/>
    </row>
    <row r="552" spans="1:21" ht="15" x14ac:dyDescent="0.25">
      <c r="A552" s="38">
        <v>93.06</v>
      </c>
      <c r="B552" s="5">
        <v>39</v>
      </c>
      <c r="C552" s="5" t="s">
        <v>241</v>
      </c>
      <c r="D552" s="6" t="s">
        <v>67</v>
      </c>
      <c r="E552" s="25"/>
      <c r="F552" s="7"/>
      <c r="G552" s="39">
        <v>2.7932960893854747E-2</v>
      </c>
      <c r="H552" s="7">
        <f t="shared" si="701"/>
        <v>1071.9273743016759</v>
      </c>
      <c r="I552" s="7"/>
      <c r="J552" s="7"/>
      <c r="K552" s="29"/>
      <c r="L552" s="156">
        <f t="shared" si="702"/>
        <v>1</v>
      </c>
      <c r="M552" s="7">
        <f t="shared" si="703"/>
        <v>0</v>
      </c>
      <c r="N552" s="7">
        <f t="shared" si="703"/>
        <v>0</v>
      </c>
      <c r="O552" s="7">
        <f t="shared" si="703"/>
        <v>0</v>
      </c>
      <c r="P552" s="7">
        <f t="shared" si="703"/>
        <v>1865.1536312849162</v>
      </c>
      <c r="Q552" s="7">
        <f t="shared" si="703"/>
        <v>1865.1536312849162</v>
      </c>
      <c r="R552" s="25"/>
      <c r="T552" s="67"/>
      <c r="U552"/>
    </row>
    <row r="553" spans="1:21" ht="15" x14ac:dyDescent="0.25">
      <c r="A553" s="38">
        <v>93.07</v>
      </c>
      <c r="B553" s="5">
        <v>46</v>
      </c>
      <c r="C553" s="5" t="s">
        <v>242</v>
      </c>
      <c r="D553" s="6" t="s">
        <v>67</v>
      </c>
      <c r="E553" s="25"/>
      <c r="F553" s="7"/>
      <c r="G553" s="39">
        <v>1.0474860335195531E-3</v>
      </c>
      <c r="H553" s="7">
        <f t="shared" si="701"/>
        <v>40.197276536312849</v>
      </c>
      <c r="I553" s="7"/>
      <c r="J553" s="7"/>
      <c r="K553" s="29"/>
      <c r="L553" s="156">
        <f t="shared" si="702"/>
        <v>1</v>
      </c>
      <c r="M553" s="7">
        <f t="shared" si="703"/>
        <v>0</v>
      </c>
      <c r="N553" s="7">
        <f t="shared" si="703"/>
        <v>0</v>
      </c>
      <c r="O553" s="7">
        <f t="shared" si="703"/>
        <v>0</v>
      </c>
      <c r="P553" s="7">
        <f t="shared" si="703"/>
        <v>69.943261173184354</v>
      </c>
      <c r="Q553" s="7">
        <f t="shared" si="703"/>
        <v>69.943261173184354</v>
      </c>
      <c r="R553" s="25"/>
      <c r="T553" s="67"/>
      <c r="U553"/>
    </row>
    <row r="554" spans="1:21" ht="15" x14ac:dyDescent="0.25">
      <c r="A554" s="38">
        <v>93.08</v>
      </c>
      <c r="B554" s="5">
        <v>53</v>
      </c>
      <c r="C554" s="5" t="s">
        <v>243</v>
      </c>
      <c r="D554" s="6" t="s">
        <v>67</v>
      </c>
      <c r="E554" s="25"/>
      <c r="F554" s="7"/>
      <c r="G554" s="39">
        <v>0.46438547486033521</v>
      </c>
      <c r="H554" s="7">
        <f t="shared" si="701"/>
        <v>17820.792597765365</v>
      </c>
      <c r="I554" s="7"/>
      <c r="J554" s="7"/>
      <c r="K554" s="29"/>
      <c r="L554" s="156">
        <f t="shared" si="702"/>
        <v>2</v>
      </c>
      <c r="M554" s="7">
        <f t="shared" si="703"/>
        <v>0</v>
      </c>
      <c r="N554" s="7">
        <f t="shared" si="703"/>
        <v>0</v>
      </c>
      <c r="O554" s="7">
        <f t="shared" si="703"/>
        <v>0</v>
      </c>
      <c r="P554" s="7">
        <f t="shared" si="703"/>
        <v>31008.179120111734</v>
      </c>
      <c r="Q554" s="7">
        <f t="shared" si="703"/>
        <v>31008.179120111734</v>
      </c>
      <c r="R554" s="25"/>
      <c r="T554" s="67"/>
      <c r="U554"/>
    </row>
    <row r="555" spans="1:21" ht="15" x14ac:dyDescent="0.25">
      <c r="A555" s="38">
        <v>93.09</v>
      </c>
      <c r="B555" s="5">
        <v>61</v>
      </c>
      <c r="C555" s="5" t="s">
        <v>244</v>
      </c>
      <c r="D555" s="6" t="s">
        <v>67</v>
      </c>
      <c r="E555" s="25"/>
      <c r="F555" s="7"/>
      <c r="G555" s="39">
        <v>4.6089385474860335E-2</v>
      </c>
      <c r="H555" s="7">
        <f t="shared" si="701"/>
        <v>1768.6801675977654</v>
      </c>
      <c r="I555" s="7"/>
      <c r="J555" s="7"/>
      <c r="K555" s="29"/>
      <c r="L555" s="156">
        <f t="shared" si="702"/>
        <v>1</v>
      </c>
      <c r="M555" s="7">
        <f t="shared" si="703"/>
        <v>0</v>
      </c>
      <c r="N555" s="7">
        <f t="shared" si="703"/>
        <v>0</v>
      </c>
      <c r="O555" s="7">
        <f t="shared" si="703"/>
        <v>0</v>
      </c>
      <c r="P555" s="7">
        <f t="shared" si="703"/>
        <v>3077.5034916201116</v>
      </c>
      <c r="Q555" s="7">
        <f t="shared" si="703"/>
        <v>3077.5034916201116</v>
      </c>
      <c r="R555" s="25"/>
      <c r="T555" s="67"/>
      <c r="U555"/>
    </row>
    <row r="556" spans="1:21" ht="15" x14ac:dyDescent="0.25">
      <c r="A556" s="38">
        <v>93.1</v>
      </c>
      <c r="B556" s="5">
        <v>68</v>
      </c>
      <c r="C556" s="5" t="s">
        <v>245</v>
      </c>
      <c r="D556" s="6" t="s">
        <v>67</v>
      </c>
      <c r="E556" s="25"/>
      <c r="F556" s="7"/>
      <c r="G556" s="39">
        <v>0.14141061452513967</v>
      </c>
      <c r="H556" s="7">
        <f t="shared" si="701"/>
        <v>5426.6323324022351</v>
      </c>
      <c r="I556" s="7"/>
      <c r="J556" s="7"/>
      <c r="K556" s="29"/>
      <c r="L556" s="156">
        <f t="shared" si="702"/>
        <v>1</v>
      </c>
      <c r="M556" s="7">
        <f t="shared" si="703"/>
        <v>0</v>
      </c>
      <c r="N556" s="7">
        <f t="shared" si="703"/>
        <v>0</v>
      </c>
      <c r="O556" s="7">
        <f t="shared" si="703"/>
        <v>0</v>
      </c>
      <c r="P556" s="7">
        <f t="shared" si="703"/>
        <v>9442.3402583798888</v>
      </c>
      <c r="Q556" s="7">
        <f t="shared" si="703"/>
        <v>9442.3402583798888</v>
      </c>
      <c r="R556" s="25"/>
      <c r="T556" s="67"/>
      <c r="U556"/>
    </row>
    <row r="557" spans="1:21" ht="15" x14ac:dyDescent="0.25">
      <c r="A557" s="38">
        <v>93.11</v>
      </c>
      <c r="B557" s="5">
        <v>76</v>
      </c>
      <c r="C557" s="5" t="s">
        <v>246</v>
      </c>
      <c r="D557" s="6" t="s">
        <v>67</v>
      </c>
      <c r="E557" s="25"/>
      <c r="F557" s="7"/>
      <c r="G557" s="39">
        <v>3.3170391061452514E-3</v>
      </c>
      <c r="H557" s="7">
        <f t="shared" si="701"/>
        <v>127.29137569832402</v>
      </c>
      <c r="I557" s="7"/>
      <c r="J557" s="7"/>
      <c r="K557" s="29"/>
      <c r="L557" s="156">
        <f t="shared" si="702"/>
        <v>1</v>
      </c>
      <c r="M557" s="7">
        <f t="shared" si="703"/>
        <v>0</v>
      </c>
      <c r="N557" s="7">
        <f t="shared" si="703"/>
        <v>0</v>
      </c>
      <c r="O557" s="7">
        <f t="shared" si="703"/>
        <v>0</v>
      </c>
      <c r="P557" s="7">
        <f t="shared" si="703"/>
        <v>221.4869937150838</v>
      </c>
      <c r="Q557" s="7">
        <f t="shared" si="703"/>
        <v>221.4869937150838</v>
      </c>
      <c r="R557" s="25"/>
      <c r="T557" s="67"/>
      <c r="U557"/>
    </row>
    <row r="558" spans="1:21" ht="15" x14ac:dyDescent="0.25">
      <c r="A558" s="38">
        <v>93.12</v>
      </c>
      <c r="B558" s="5">
        <v>83</v>
      </c>
      <c r="C558" s="5" t="s">
        <v>250</v>
      </c>
      <c r="D558" s="6" t="s">
        <v>67</v>
      </c>
      <c r="E558" s="25"/>
      <c r="F558" s="7"/>
      <c r="G558" s="39">
        <v>3.1424581005586594E-2</v>
      </c>
      <c r="H558" s="7">
        <f t="shared" si="701"/>
        <v>1205.9182960893854</v>
      </c>
      <c r="I558" s="7"/>
      <c r="J558" s="7"/>
      <c r="K558" s="29"/>
      <c r="L558" s="156">
        <f t="shared" si="702"/>
        <v>1</v>
      </c>
      <c r="M558" s="7">
        <f t="shared" si="703"/>
        <v>0</v>
      </c>
      <c r="N558" s="7">
        <f t="shared" si="703"/>
        <v>0</v>
      </c>
      <c r="O558" s="7">
        <f t="shared" si="703"/>
        <v>0</v>
      </c>
      <c r="P558" s="7">
        <f t="shared" si="703"/>
        <v>2098.2978351955308</v>
      </c>
      <c r="Q558" s="7">
        <f t="shared" si="703"/>
        <v>2098.2978351955308</v>
      </c>
      <c r="R558" s="25"/>
      <c r="T558" s="67"/>
      <c r="U558"/>
    </row>
    <row r="559" spans="1:21" ht="15" x14ac:dyDescent="0.25">
      <c r="A559" s="38">
        <v>93.13</v>
      </c>
      <c r="B559" s="5">
        <v>90</v>
      </c>
      <c r="C559" s="5" t="s">
        <v>248</v>
      </c>
      <c r="D559" s="6" t="s">
        <v>67</v>
      </c>
      <c r="E559" s="25"/>
      <c r="F559" s="7"/>
      <c r="G559" s="39">
        <v>8.7115921787709494E-2</v>
      </c>
      <c r="H559" s="7">
        <f t="shared" si="701"/>
        <v>3343.0734986033517</v>
      </c>
      <c r="I559" s="7"/>
      <c r="J559" s="7"/>
      <c r="K559" s="29"/>
      <c r="L559" s="156">
        <f t="shared" si="702"/>
        <v>1</v>
      </c>
      <c r="M559" s="7">
        <f t="shared" si="703"/>
        <v>0</v>
      </c>
      <c r="N559" s="7">
        <f t="shared" si="703"/>
        <v>0</v>
      </c>
      <c r="O559" s="7">
        <f t="shared" si="703"/>
        <v>0</v>
      </c>
      <c r="P559" s="7">
        <f t="shared" si="703"/>
        <v>5816.9478875698323</v>
      </c>
      <c r="Q559" s="7">
        <f t="shared" si="703"/>
        <v>5816.9478875698323</v>
      </c>
      <c r="R559" s="25"/>
      <c r="T559" s="67"/>
      <c r="U559"/>
    </row>
    <row r="560" spans="1:21" ht="15" x14ac:dyDescent="0.25">
      <c r="A560" s="38" t="s">
        <v>418</v>
      </c>
      <c r="B560" s="13">
        <v>1</v>
      </c>
      <c r="C560" s="14" t="s">
        <v>207</v>
      </c>
      <c r="D560" s="13" t="s">
        <v>197</v>
      </c>
      <c r="E560" s="26" t="str">
        <f>VLOOKUP(C560,Resources!B:G,3,FALSE)</f>
        <v>S</v>
      </c>
      <c r="F560" s="15">
        <v>1</v>
      </c>
      <c r="G560" s="15">
        <v>1</v>
      </c>
      <c r="H560" s="15">
        <f>H546</f>
        <v>38375</v>
      </c>
      <c r="I560" s="15">
        <f>VLOOKUP(C560,Resources!B:G,6,FALSE)</f>
        <v>1.74</v>
      </c>
      <c r="J560" s="27">
        <f>(H560/G560)*I560*F560</f>
        <v>66772.5</v>
      </c>
      <c r="K560" s="27">
        <f t="shared" ref="K560" si="704">IF(E560="M"," ",L560*F560)</f>
        <v>8.3465624999999992</v>
      </c>
      <c r="L560" s="157">
        <f>J560/8000</f>
        <v>8.3465624999999992</v>
      </c>
      <c r="M560" s="28">
        <f t="shared" ref="M560" si="705">IF($E560="L",$J560,0)</f>
        <v>0</v>
      </c>
      <c r="N560" s="28">
        <f t="shared" ref="N560" si="706">IF($E560="M",$J560,0)</f>
        <v>0</v>
      </c>
      <c r="O560" s="28">
        <f t="shared" ref="O560" si="707">IF($E560="P",$J560,0)</f>
        <v>0</v>
      </c>
      <c r="P560" s="28">
        <f t="shared" ref="P560" si="708">IF($E560="S",$J560,0)</f>
        <v>66772.5</v>
      </c>
      <c r="Q560" s="28">
        <f t="shared" ref="Q560" si="709">SUM(M560:P560)</f>
        <v>66772.5</v>
      </c>
      <c r="R560" s="26">
        <v>64</v>
      </c>
      <c r="T560" s="67"/>
      <c r="U560"/>
    </row>
    <row r="561" spans="1:21" ht="15" x14ac:dyDescent="0.25">
      <c r="A561" s="38" t="s">
        <v>418</v>
      </c>
      <c r="F561" s="11"/>
      <c r="G561" s="11"/>
      <c r="H561" s="11"/>
      <c r="I561" s="11"/>
      <c r="J561" s="11"/>
      <c r="K561" s="31"/>
      <c r="M561" s="12"/>
      <c r="N561" s="12"/>
      <c r="O561" s="12"/>
      <c r="P561" s="12"/>
      <c r="Q561" s="12"/>
      <c r="T561" s="67"/>
      <c r="U561"/>
    </row>
    <row r="562" spans="1:21" ht="33.75" x14ac:dyDescent="0.25">
      <c r="A562" s="38">
        <v>94</v>
      </c>
      <c r="B562" s="5" t="s">
        <v>208</v>
      </c>
      <c r="C562" s="5" t="s">
        <v>209</v>
      </c>
      <c r="D562" s="6" t="s">
        <v>197</v>
      </c>
      <c r="E562" s="25"/>
      <c r="F562" s="7"/>
      <c r="G562" s="7"/>
      <c r="H562" s="36">
        <f>VLOOKUP($A562,'Model Inputs'!$A:$C,3,FALSE)</f>
        <v>38375</v>
      </c>
      <c r="I562" s="7"/>
      <c r="J562" s="8">
        <f>SUBTOTAL(9,J576)</f>
        <v>61400</v>
      </c>
      <c r="K562" s="29"/>
      <c r="L562" s="156"/>
      <c r="M562" s="8">
        <f>SUBTOTAL(9,M576)</f>
        <v>0</v>
      </c>
      <c r="N562" s="8">
        <f t="shared" ref="N562:Q562" si="710">SUBTOTAL(9,N576)</f>
        <v>0</v>
      </c>
      <c r="O562" s="8">
        <f t="shared" si="710"/>
        <v>0</v>
      </c>
      <c r="P562" s="8">
        <f t="shared" si="710"/>
        <v>61400</v>
      </c>
      <c r="Q562" s="8">
        <f t="shared" si="710"/>
        <v>61400</v>
      </c>
      <c r="R562" s="25"/>
      <c r="T562" s="67"/>
      <c r="U562"/>
    </row>
    <row r="563" spans="1:21" ht="15" x14ac:dyDescent="0.25">
      <c r="A563" s="38">
        <v>94.01</v>
      </c>
      <c r="B563" s="5">
        <v>4</v>
      </c>
      <c r="C563" s="5" t="s">
        <v>237</v>
      </c>
      <c r="D563" s="6" t="s">
        <v>299</v>
      </c>
      <c r="E563" s="25"/>
      <c r="F563" s="7"/>
      <c r="G563" s="39">
        <v>3.7360335195530725E-2</v>
      </c>
      <c r="H563" s="7">
        <f>H$562*G563</f>
        <v>1433.7028631284916</v>
      </c>
      <c r="I563" s="7"/>
      <c r="J563" s="7"/>
      <c r="K563" s="29"/>
      <c r="L563" s="156">
        <f>ROUNDUP(H563/10000,0)</f>
        <v>1</v>
      </c>
      <c r="M563" s="7">
        <f>SUBTOTAL(9,M$576)*$G563</f>
        <v>0</v>
      </c>
      <c r="N563" s="7">
        <f t="shared" ref="N563:Q575" si="711">SUBTOTAL(9,N$576)*$G563</f>
        <v>0</v>
      </c>
      <c r="O563" s="7">
        <f t="shared" si="711"/>
        <v>0</v>
      </c>
      <c r="P563" s="7">
        <f t="shared" si="711"/>
        <v>2293.9245810055863</v>
      </c>
      <c r="Q563" s="7">
        <f t="shared" si="711"/>
        <v>2293.9245810055863</v>
      </c>
      <c r="R563" s="25"/>
      <c r="T563" s="67"/>
      <c r="U563"/>
    </row>
    <row r="564" spans="1:21" ht="15" x14ac:dyDescent="0.25">
      <c r="A564" s="38">
        <v>94.02</v>
      </c>
      <c r="B564" s="5">
        <v>11</v>
      </c>
      <c r="C564" s="5" t="s">
        <v>236</v>
      </c>
      <c r="D564" s="6" t="s">
        <v>299</v>
      </c>
      <c r="E564" s="25"/>
      <c r="F564" s="7"/>
      <c r="G564" s="39">
        <v>3.4043296089385472E-2</v>
      </c>
      <c r="H564" s="7">
        <f t="shared" ref="H564:H575" si="712">H$562*G564</f>
        <v>1306.4114874301674</v>
      </c>
      <c r="I564" s="7"/>
      <c r="J564" s="7"/>
      <c r="K564" s="29"/>
      <c r="L564" s="156">
        <f t="shared" ref="L564:L575" si="713">ROUNDUP(H564/10000,0)</f>
        <v>1</v>
      </c>
      <c r="M564" s="7">
        <f t="shared" ref="M564:M575" si="714">SUBTOTAL(9,M$576)*$G564</f>
        <v>0</v>
      </c>
      <c r="N564" s="7">
        <f t="shared" si="711"/>
        <v>0</v>
      </c>
      <c r="O564" s="7">
        <f t="shared" si="711"/>
        <v>0</v>
      </c>
      <c r="P564" s="7">
        <f t="shared" si="711"/>
        <v>2090.2583798882679</v>
      </c>
      <c r="Q564" s="7">
        <f t="shared" si="711"/>
        <v>2090.2583798882679</v>
      </c>
      <c r="R564" s="25"/>
      <c r="T564" s="67"/>
      <c r="U564"/>
    </row>
    <row r="565" spans="1:21" ht="15" x14ac:dyDescent="0.25">
      <c r="A565" s="38">
        <v>94.03</v>
      </c>
      <c r="B565" s="5">
        <v>18</v>
      </c>
      <c r="C565" s="5" t="s">
        <v>239</v>
      </c>
      <c r="D565" s="6" t="s">
        <v>299</v>
      </c>
      <c r="E565" s="25"/>
      <c r="F565" s="7"/>
      <c r="G565" s="39">
        <v>4.5565642458100561E-2</v>
      </c>
      <c r="H565" s="7">
        <f t="shared" si="712"/>
        <v>1748.5815293296091</v>
      </c>
      <c r="I565" s="7"/>
      <c r="J565" s="7"/>
      <c r="K565" s="29"/>
      <c r="L565" s="156">
        <f t="shared" si="713"/>
        <v>1</v>
      </c>
      <c r="M565" s="7">
        <f t="shared" si="714"/>
        <v>0</v>
      </c>
      <c r="N565" s="7">
        <f t="shared" si="711"/>
        <v>0</v>
      </c>
      <c r="O565" s="7">
        <f t="shared" si="711"/>
        <v>0</v>
      </c>
      <c r="P565" s="7">
        <f t="shared" si="711"/>
        <v>2797.7304469273745</v>
      </c>
      <c r="Q565" s="7">
        <f t="shared" si="711"/>
        <v>2797.7304469273745</v>
      </c>
      <c r="R565" s="25"/>
      <c r="T565" s="67"/>
      <c r="U565"/>
    </row>
    <row r="566" spans="1:21" ht="15" x14ac:dyDescent="0.25">
      <c r="A566" s="38">
        <v>94.04</v>
      </c>
      <c r="B566" s="5">
        <v>25</v>
      </c>
      <c r="C566" s="5" t="s">
        <v>238</v>
      </c>
      <c r="D566" s="6" t="s">
        <v>299</v>
      </c>
      <c r="E566" s="25"/>
      <c r="F566" s="7"/>
      <c r="G566" s="39">
        <v>7.3324022346368714E-2</v>
      </c>
      <c r="H566" s="7">
        <f t="shared" si="712"/>
        <v>2813.8093575418993</v>
      </c>
      <c r="I566" s="7"/>
      <c r="J566" s="7"/>
      <c r="K566" s="29"/>
      <c r="L566" s="156">
        <f t="shared" si="713"/>
        <v>1</v>
      </c>
      <c r="M566" s="7">
        <f t="shared" si="714"/>
        <v>0</v>
      </c>
      <c r="N566" s="7">
        <f t="shared" si="711"/>
        <v>0</v>
      </c>
      <c r="O566" s="7">
        <f t="shared" si="711"/>
        <v>0</v>
      </c>
      <c r="P566" s="7">
        <f t="shared" si="711"/>
        <v>4502.0949720670387</v>
      </c>
      <c r="Q566" s="7">
        <f t="shared" si="711"/>
        <v>4502.0949720670387</v>
      </c>
      <c r="R566" s="25"/>
      <c r="T566" s="67"/>
      <c r="U566"/>
    </row>
    <row r="567" spans="1:21" ht="15" x14ac:dyDescent="0.25">
      <c r="A567" s="38">
        <v>94.05</v>
      </c>
      <c r="B567" s="5">
        <v>32</v>
      </c>
      <c r="C567" s="5" t="s">
        <v>240</v>
      </c>
      <c r="D567" s="6" t="s">
        <v>67</v>
      </c>
      <c r="E567" s="25"/>
      <c r="F567" s="7"/>
      <c r="G567" s="39">
        <v>6.9832402234636867E-3</v>
      </c>
      <c r="H567" s="7">
        <f t="shared" si="712"/>
        <v>267.98184357541896</v>
      </c>
      <c r="I567" s="7"/>
      <c r="J567" s="7"/>
      <c r="K567" s="29"/>
      <c r="L567" s="156">
        <f t="shared" si="713"/>
        <v>1</v>
      </c>
      <c r="M567" s="7">
        <f t="shared" si="714"/>
        <v>0</v>
      </c>
      <c r="N567" s="7">
        <f t="shared" si="711"/>
        <v>0</v>
      </c>
      <c r="O567" s="7">
        <f t="shared" si="711"/>
        <v>0</v>
      </c>
      <c r="P567" s="7">
        <f t="shared" si="711"/>
        <v>428.77094972067039</v>
      </c>
      <c r="Q567" s="7">
        <f t="shared" si="711"/>
        <v>428.77094972067039</v>
      </c>
      <c r="R567" s="25"/>
      <c r="T567" s="67"/>
      <c r="U567"/>
    </row>
    <row r="568" spans="1:21" ht="15" x14ac:dyDescent="0.25">
      <c r="A568" s="38">
        <v>94.06</v>
      </c>
      <c r="B568" s="5">
        <v>39</v>
      </c>
      <c r="C568" s="5" t="s">
        <v>241</v>
      </c>
      <c r="D568" s="6" t="s">
        <v>67</v>
      </c>
      <c r="E568" s="25"/>
      <c r="F568" s="7"/>
      <c r="G568" s="39">
        <v>2.7932960893854747E-2</v>
      </c>
      <c r="H568" s="7">
        <f t="shared" si="712"/>
        <v>1071.9273743016759</v>
      </c>
      <c r="I568" s="7"/>
      <c r="J568" s="7"/>
      <c r="K568" s="29"/>
      <c r="L568" s="156">
        <f t="shared" si="713"/>
        <v>1</v>
      </c>
      <c r="M568" s="7">
        <f t="shared" si="714"/>
        <v>0</v>
      </c>
      <c r="N568" s="7">
        <f t="shared" si="711"/>
        <v>0</v>
      </c>
      <c r="O568" s="7">
        <f t="shared" si="711"/>
        <v>0</v>
      </c>
      <c r="P568" s="7">
        <f t="shared" si="711"/>
        <v>1715.0837988826815</v>
      </c>
      <c r="Q568" s="7">
        <f t="shared" si="711"/>
        <v>1715.0837988826815</v>
      </c>
      <c r="R568" s="25"/>
      <c r="T568" s="67"/>
      <c r="U568"/>
    </row>
    <row r="569" spans="1:21" ht="15" x14ac:dyDescent="0.25">
      <c r="A569" s="38">
        <v>94.07</v>
      </c>
      <c r="B569" s="5">
        <v>46</v>
      </c>
      <c r="C569" s="5" t="s">
        <v>242</v>
      </c>
      <c r="D569" s="6" t="s">
        <v>67</v>
      </c>
      <c r="E569" s="25"/>
      <c r="F569" s="7"/>
      <c r="G569" s="39">
        <v>1.0474860335195531E-3</v>
      </c>
      <c r="H569" s="7">
        <f t="shared" si="712"/>
        <v>40.197276536312849</v>
      </c>
      <c r="I569" s="7"/>
      <c r="J569" s="7"/>
      <c r="K569" s="29"/>
      <c r="L569" s="156">
        <f t="shared" si="713"/>
        <v>1</v>
      </c>
      <c r="M569" s="7">
        <f t="shared" si="714"/>
        <v>0</v>
      </c>
      <c r="N569" s="7">
        <f t="shared" si="711"/>
        <v>0</v>
      </c>
      <c r="O569" s="7">
        <f t="shared" si="711"/>
        <v>0</v>
      </c>
      <c r="P569" s="7">
        <f t="shared" si="711"/>
        <v>64.315642458100555</v>
      </c>
      <c r="Q569" s="7">
        <f t="shared" si="711"/>
        <v>64.315642458100555</v>
      </c>
      <c r="R569" s="25"/>
      <c r="T569" s="67"/>
      <c r="U569"/>
    </row>
    <row r="570" spans="1:21" ht="15" x14ac:dyDescent="0.25">
      <c r="A570" s="38">
        <v>94.08</v>
      </c>
      <c r="B570" s="5">
        <v>53</v>
      </c>
      <c r="C570" s="5" t="s">
        <v>243</v>
      </c>
      <c r="D570" s="6" t="s">
        <v>67</v>
      </c>
      <c r="E570" s="25"/>
      <c r="F570" s="7"/>
      <c r="G570" s="39">
        <v>0.46438547486033521</v>
      </c>
      <c r="H570" s="7">
        <f t="shared" si="712"/>
        <v>17820.792597765365</v>
      </c>
      <c r="I570" s="7"/>
      <c r="J570" s="7"/>
      <c r="K570" s="29"/>
      <c r="L570" s="156">
        <f t="shared" si="713"/>
        <v>2</v>
      </c>
      <c r="M570" s="7">
        <f t="shared" si="714"/>
        <v>0</v>
      </c>
      <c r="N570" s="7">
        <f t="shared" si="711"/>
        <v>0</v>
      </c>
      <c r="O570" s="7">
        <f t="shared" si="711"/>
        <v>0</v>
      </c>
      <c r="P570" s="7">
        <f t="shared" si="711"/>
        <v>28513.268156424583</v>
      </c>
      <c r="Q570" s="7">
        <f t="shared" si="711"/>
        <v>28513.268156424583</v>
      </c>
      <c r="R570" s="25"/>
      <c r="T570" s="67"/>
      <c r="U570"/>
    </row>
    <row r="571" spans="1:21" ht="15" x14ac:dyDescent="0.25">
      <c r="A571" s="38">
        <v>94.09</v>
      </c>
      <c r="B571" s="5">
        <v>61</v>
      </c>
      <c r="C571" s="5" t="s">
        <v>244</v>
      </c>
      <c r="D571" s="6" t="s">
        <v>67</v>
      </c>
      <c r="E571" s="25"/>
      <c r="F571" s="7"/>
      <c r="G571" s="39">
        <v>4.6089385474860335E-2</v>
      </c>
      <c r="H571" s="7">
        <f t="shared" si="712"/>
        <v>1768.6801675977654</v>
      </c>
      <c r="I571" s="7"/>
      <c r="J571" s="7"/>
      <c r="K571" s="29"/>
      <c r="L571" s="156">
        <f t="shared" si="713"/>
        <v>1</v>
      </c>
      <c r="M571" s="7">
        <f t="shared" si="714"/>
        <v>0</v>
      </c>
      <c r="N571" s="7">
        <f t="shared" si="711"/>
        <v>0</v>
      </c>
      <c r="O571" s="7">
        <f t="shared" si="711"/>
        <v>0</v>
      </c>
      <c r="P571" s="7">
        <f t="shared" si="711"/>
        <v>2829.8882681564246</v>
      </c>
      <c r="Q571" s="7">
        <f t="shared" si="711"/>
        <v>2829.8882681564246</v>
      </c>
      <c r="R571" s="25"/>
      <c r="T571" s="67"/>
      <c r="U571"/>
    </row>
    <row r="572" spans="1:21" ht="15" x14ac:dyDescent="0.25">
      <c r="A572" s="38">
        <v>94.1</v>
      </c>
      <c r="B572" s="5">
        <v>68</v>
      </c>
      <c r="C572" s="5" t="s">
        <v>245</v>
      </c>
      <c r="D572" s="6" t="s">
        <v>67</v>
      </c>
      <c r="E572" s="25"/>
      <c r="F572" s="7"/>
      <c r="G572" s="39">
        <v>0.14141061452513967</v>
      </c>
      <c r="H572" s="7">
        <f t="shared" si="712"/>
        <v>5426.6323324022351</v>
      </c>
      <c r="I572" s="7"/>
      <c r="J572" s="7"/>
      <c r="K572" s="29"/>
      <c r="L572" s="156">
        <f t="shared" si="713"/>
        <v>1</v>
      </c>
      <c r="M572" s="7">
        <f t="shared" si="714"/>
        <v>0</v>
      </c>
      <c r="N572" s="7">
        <f t="shared" si="711"/>
        <v>0</v>
      </c>
      <c r="O572" s="7">
        <f t="shared" si="711"/>
        <v>0</v>
      </c>
      <c r="P572" s="7">
        <f t="shared" si="711"/>
        <v>8682.6117318435754</v>
      </c>
      <c r="Q572" s="7">
        <f t="shared" si="711"/>
        <v>8682.6117318435754</v>
      </c>
      <c r="R572" s="25"/>
      <c r="T572" s="67"/>
      <c r="U572"/>
    </row>
    <row r="573" spans="1:21" ht="15" x14ac:dyDescent="0.25">
      <c r="A573" s="38">
        <v>94.11</v>
      </c>
      <c r="B573" s="5">
        <v>76</v>
      </c>
      <c r="C573" s="5" t="s">
        <v>246</v>
      </c>
      <c r="D573" s="6" t="s">
        <v>67</v>
      </c>
      <c r="E573" s="25"/>
      <c r="F573" s="7"/>
      <c r="G573" s="39">
        <v>3.3170391061452514E-3</v>
      </c>
      <c r="H573" s="7">
        <f t="shared" si="712"/>
        <v>127.29137569832402</v>
      </c>
      <c r="I573" s="7"/>
      <c r="J573" s="7"/>
      <c r="K573" s="29"/>
      <c r="L573" s="156">
        <f t="shared" si="713"/>
        <v>1</v>
      </c>
      <c r="M573" s="7">
        <f t="shared" si="714"/>
        <v>0</v>
      </c>
      <c r="N573" s="7">
        <f t="shared" si="711"/>
        <v>0</v>
      </c>
      <c r="O573" s="7">
        <f t="shared" si="711"/>
        <v>0</v>
      </c>
      <c r="P573" s="7">
        <f t="shared" si="711"/>
        <v>203.66620111731842</v>
      </c>
      <c r="Q573" s="7">
        <f t="shared" si="711"/>
        <v>203.66620111731842</v>
      </c>
      <c r="R573" s="25"/>
      <c r="T573" s="67"/>
      <c r="U573"/>
    </row>
    <row r="574" spans="1:21" ht="15" x14ac:dyDescent="0.25">
      <c r="A574" s="38">
        <v>94.12</v>
      </c>
      <c r="B574" s="5">
        <v>83</v>
      </c>
      <c r="C574" s="5" t="s">
        <v>250</v>
      </c>
      <c r="D574" s="6" t="s">
        <v>67</v>
      </c>
      <c r="E574" s="25"/>
      <c r="F574" s="7"/>
      <c r="G574" s="39">
        <v>3.1424581005586594E-2</v>
      </c>
      <c r="H574" s="7">
        <f t="shared" si="712"/>
        <v>1205.9182960893854</v>
      </c>
      <c r="I574" s="7"/>
      <c r="J574" s="7"/>
      <c r="K574" s="29"/>
      <c r="L574" s="156">
        <f t="shared" si="713"/>
        <v>1</v>
      </c>
      <c r="M574" s="7">
        <f t="shared" si="714"/>
        <v>0</v>
      </c>
      <c r="N574" s="7">
        <f t="shared" si="711"/>
        <v>0</v>
      </c>
      <c r="O574" s="7">
        <f t="shared" si="711"/>
        <v>0</v>
      </c>
      <c r="P574" s="7">
        <f t="shared" si="711"/>
        <v>1929.4692737430169</v>
      </c>
      <c r="Q574" s="7">
        <f t="shared" si="711"/>
        <v>1929.4692737430169</v>
      </c>
      <c r="R574" s="25"/>
      <c r="T574" s="67"/>
      <c r="U574"/>
    </row>
    <row r="575" spans="1:21" ht="15" x14ac:dyDescent="0.25">
      <c r="A575" s="38">
        <v>94.13</v>
      </c>
      <c r="B575" s="5">
        <v>90</v>
      </c>
      <c r="C575" s="5" t="s">
        <v>248</v>
      </c>
      <c r="D575" s="6" t="s">
        <v>67</v>
      </c>
      <c r="E575" s="25"/>
      <c r="F575" s="7"/>
      <c r="G575" s="39">
        <v>8.7115921787709494E-2</v>
      </c>
      <c r="H575" s="7">
        <f t="shared" si="712"/>
        <v>3343.0734986033517</v>
      </c>
      <c r="I575" s="7"/>
      <c r="J575" s="7"/>
      <c r="K575" s="29"/>
      <c r="L575" s="156">
        <f t="shared" si="713"/>
        <v>1</v>
      </c>
      <c r="M575" s="7">
        <f t="shared" si="714"/>
        <v>0</v>
      </c>
      <c r="N575" s="7">
        <f t="shared" si="711"/>
        <v>0</v>
      </c>
      <c r="O575" s="7">
        <f t="shared" si="711"/>
        <v>0</v>
      </c>
      <c r="P575" s="7">
        <f t="shared" si="711"/>
        <v>5348.9175977653631</v>
      </c>
      <c r="Q575" s="7">
        <f t="shared" si="711"/>
        <v>5348.9175977653631</v>
      </c>
      <c r="R575" s="25"/>
      <c r="T575" s="67"/>
      <c r="U575"/>
    </row>
    <row r="576" spans="1:21" ht="15" x14ac:dyDescent="0.25">
      <c r="A576" s="38" t="s">
        <v>418</v>
      </c>
      <c r="B576" s="13">
        <v>1</v>
      </c>
      <c r="C576" s="14" t="s">
        <v>210</v>
      </c>
      <c r="D576" s="13" t="s">
        <v>197</v>
      </c>
      <c r="E576" s="26" t="str">
        <f>VLOOKUP(C576,Resources!B:G,3,FALSE)</f>
        <v>S</v>
      </c>
      <c r="F576" s="15">
        <v>1</v>
      </c>
      <c r="G576" s="15">
        <v>1</v>
      </c>
      <c r="H576" s="15">
        <f>H562</f>
        <v>38375</v>
      </c>
      <c r="I576" s="15">
        <f>VLOOKUP(C576,Resources!B:G,6,FALSE)</f>
        <v>1.6</v>
      </c>
      <c r="J576" s="27">
        <f>(H576/G576)*I576*F576</f>
        <v>61400</v>
      </c>
      <c r="K576" s="27">
        <f t="shared" ref="K576" si="715">IF(E576="M"," ",L576*F576)</f>
        <v>4.9119999999999999</v>
      </c>
      <c r="L576" s="157">
        <f>J576/12500</f>
        <v>4.9119999999999999</v>
      </c>
      <c r="M576" s="28">
        <f t="shared" ref="M576" si="716">IF($E576="L",$J576,0)</f>
        <v>0</v>
      </c>
      <c r="N576" s="28">
        <f t="shared" ref="N576" si="717">IF($E576="M",$J576,0)</f>
        <v>0</v>
      </c>
      <c r="O576" s="28">
        <f t="shared" ref="O576" si="718">IF($E576="P",$J576,0)</f>
        <v>0</v>
      </c>
      <c r="P576" s="28">
        <f t="shared" ref="P576" si="719">IF($E576="S",$J576,0)</f>
        <v>61400</v>
      </c>
      <c r="Q576" s="28">
        <f t="shared" ref="Q576" si="720">SUM(M576:P576)</f>
        <v>61400</v>
      </c>
      <c r="R576" s="26">
        <v>64</v>
      </c>
      <c r="T576" s="67"/>
      <c r="U576"/>
    </row>
    <row r="577" spans="1:21" ht="15" x14ac:dyDescent="0.25">
      <c r="A577" s="38" t="s">
        <v>418</v>
      </c>
      <c r="F577" s="11"/>
      <c r="G577" s="11"/>
      <c r="H577" s="11"/>
      <c r="I577" s="11"/>
      <c r="J577" s="11"/>
      <c r="K577" s="31"/>
      <c r="M577" s="12"/>
      <c r="N577" s="12"/>
      <c r="O577" s="12"/>
      <c r="P577" s="12"/>
      <c r="Q577" s="12"/>
      <c r="T577" s="67"/>
      <c r="U577"/>
    </row>
    <row r="578" spans="1:21" ht="33.75" x14ac:dyDescent="0.25">
      <c r="A578" s="38">
        <v>95</v>
      </c>
      <c r="B578" s="5" t="s">
        <v>211</v>
      </c>
      <c r="C578" s="5" t="s">
        <v>212</v>
      </c>
      <c r="D578" s="6" t="s">
        <v>67</v>
      </c>
      <c r="E578" s="25"/>
      <c r="F578" s="7"/>
      <c r="G578" s="7"/>
      <c r="H578" s="36">
        <f>VLOOKUP($A578,'Model Inputs'!$A:$C,3,FALSE)</f>
        <v>233</v>
      </c>
      <c r="I578" s="7"/>
      <c r="J578" s="8">
        <f>SUBTOTAL(9,J592)</f>
        <v>126838.21</v>
      </c>
      <c r="K578" s="29"/>
      <c r="L578" s="156"/>
      <c r="M578" s="8">
        <f>SUBTOTAL(9,M592)</f>
        <v>0</v>
      </c>
      <c r="N578" s="8">
        <f t="shared" ref="N578:Q578" si="721">SUBTOTAL(9,N592)</f>
        <v>0</v>
      </c>
      <c r="O578" s="8">
        <f t="shared" si="721"/>
        <v>0</v>
      </c>
      <c r="P578" s="8">
        <f t="shared" si="721"/>
        <v>126838.21</v>
      </c>
      <c r="Q578" s="8">
        <f t="shared" si="721"/>
        <v>126838.21</v>
      </c>
      <c r="R578" s="25"/>
      <c r="T578" s="67"/>
      <c r="U578"/>
    </row>
    <row r="579" spans="1:21" ht="15" x14ac:dyDescent="0.25">
      <c r="A579" s="38">
        <v>95.01</v>
      </c>
      <c r="B579" s="5">
        <v>4</v>
      </c>
      <c r="C579" s="5" t="s">
        <v>237</v>
      </c>
      <c r="D579" s="6" t="s">
        <v>299</v>
      </c>
      <c r="E579" s="25"/>
      <c r="F579" s="7"/>
      <c r="G579" s="39">
        <v>3.7360335195530725E-2</v>
      </c>
      <c r="H579" s="7">
        <f>H$562*G579</f>
        <v>1433.7028631284916</v>
      </c>
      <c r="I579" s="7"/>
      <c r="J579" s="7"/>
      <c r="K579" s="29"/>
      <c r="L579" s="156">
        <f>L547</f>
        <v>1</v>
      </c>
      <c r="M579" s="7">
        <f>SUBTOTAL(9,M$592)*$G579</f>
        <v>0</v>
      </c>
      <c r="N579" s="7">
        <f t="shared" ref="N579:Q591" si="722">SUBTOTAL(9,N$592)*$G579</f>
        <v>0</v>
      </c>
      <c r="O579" s="7">
        <f t="shared" si="722"/>
        <v>0</v>
      </c>
      <c r="P579" s="7">
        <f t="shared" si="722"/>
        <v>4738.7180412011176</v>
      </c>
      <c r="Q579" s="7">
        <f t="shared" si="722"/>
        <v>4738.7180412011176</v>
      </c>
      <c r="R579" s="25"/>
      <c r="T579" s="67"/>
      <c r="U579"/>
    </row>
    <row r="580" spans="1:21" ht="15" x14ac:dyDescent="0.25">
      <c r="A580" s="38">
        <v>95.02</v>
      </c>
      <c r="B580" s="5">
        <v>11</v>
      </c>
      <c r="C580" s="5" t="s">
        <v>236</v>
      </c>
      <c r="D580" s="6" t="s">
        <v>299</v>
      </c>
      <c r="E580" s="25"/>
      <c r="F580" s="7"/>
      <c r="G580" s="39">
        <v>3.4043296089385472E-2</v>
      </c>
      <c r="H580" s="7">
        <f t="shared" ref="H580:H591" si="723">H$562*G580</f>
        <v>1306.4114874301674</v>
      </c>
      <c r="I580" s="7"/>
      <c r="J580" s="7"/>
      <c r="K580" s="29"/>
      <c r="L580" s="156">
        <f t="shared" ref="L580:L591" si="724">L548</f>
        <v>1</v>
      </c>
      <c r="M580" s="7">
        <f t="shared" ref="M580:M591" si="725">SUBTOTAL(9,M$592)*$G580</f>
        <v>0</v>
      </c>
      <c r="N580" s="7">
        <f t="shared" si="722"/>
        <v>0</v>
      </c>
      <c r="O580" s="7">
        <f t="shared" si="722"/>
        <v>0</v>
      </c>
      <c r="P580" s="7">
        <f t="shared" si="722"/>
        <v>4317.9907384776534</v>
      </c>
      <c r="Q580" s="7">
        <f t="shared" si="722"/>
        <v>4317.9907384776534</v>
      </c>
      <c r="R580" s="25"/>
      <c r="T580" s="67"/>
      <c r="U580"/>
    </row>
    <row r="581" spans="1:21" ht="15" x14ac:dyDescent="0.25">
      <c r="A581" s="38">
        <v>95.03</v>
      </c>
      <c r="B581" s="5">
        <v>18</v>
      </c>
      <c r="C581" s="5" t="s">
        <v>239</v>
      </c>
      <c r="D581" s="6" t="s">
        <v>299</v>
      </c>
      <c r="E581" s="25"/>
      <c r="F581" s="7"/>
      <c r="G581" s="39">
        <v>4.5565642458100561E-2</v>
      </c>
      <c r="H581" s="7">
        <f t="shared" si="723"/>
        <v>1748.5815293296091</v>
      </c>
      <c r="I581" s="7"/>
      <c r="J581" s="7"/>
      <c r="K581" s="29"/>
      <c r="L581" s="156">
        <f t="shared" si="724"/>
        <v>1</v>
      </c>
      <c r="M581" s="7">
        <f t="shared" si="725"/>
        <v>0</v>
      </c>
      <c r="N581" s="7">
        <f t="shared" si="722"/>
        <v>0</v>
      </c>
      <c r="O581" s="7">
        <f t="shared" si="722"/>
        <v>0</v>
      </c>
      <c r="P581" s="7">
        <f t="shared" si="722"/>
        <v>5779.4645268854756</v>
      </c>
      <c r="Q581" s="7">
        <f t="shared" si="722"/>
        <v>5779.4645268854756</v>
      </c>
      <c r="R581" s="25"/>
      <c r="T581" s="67"/>
      <c r="U581"/>
    </row>
    <row r="582" spans="1:21" ht="15" x14ac:dyDescent="0.25">
      <c r="A582" s="38">
        <v>95.04</v>
      </c>
      <c r="B582" s="5">
        <v>25</v>
      </c>
      <c r="C582" s="5" t="s">
        <v>238</v>
      </c>
      <c r="D582" s="6" t="s">
        <v>299</v>
      </c>
      <c r="E582" s="25"/>
      <c r="F582" s="7"/>
      <c r="G582" s="39">
        <v>7.3324022346368714E-2</v>
      </c>
      <c r="H582" s="7">
        <f t="shared" si="723"/>
        <v>2813.8093575418993</v>
      </c>
      <c r="I582" s="7"/>
      <c r="J582" s="7"/>
      <c r="K582" s="29"/>
      <c r="L582" s="156">
        <f t="shared" si="724"/>
        <v>1</v>
      </c>
      <c r="M582" s="7">
        <f t="shared" si="725"/>
        <v>0</v>
      </c>
      <c r="N582" s="7">
        <f t="shared" si="722"/>
        <v>0</v>
      </c>
      <c r="O582" s="7">
        <f t="shared" si="722"/>
        <v>0</v>
      </c>
      <c r="P582" s="7">
        <f t="shared" si="722"/>
        <v>9300.2877444134083</v>
      </c>
      <c r="Q582" s="7">
        <f t="shared" si="722"/>
        <v>9300.2877444134083</v>
      </c>
      <c r="R582" s="25"/>
      <c r="T582" s="67"/>
      <c r="U582"/>
    </row>
    <row r="583" spans="1:21" ht="15" x14ac:dyDescent="0.25">
      <c r="A583" s="38">
        <v>95.05</v>
      </c>
      <c r="B583" s="5">
        <v>32</v>
      </c>
      <c r="C583" s="5" t="s">
        <v>240</v>
      </c>
      <c r="D583" s="6" t="s">
        <v>67</v>
      </c>
      <c r="E583" s="25"/>
      <c r="F583" s="7"/>
      <c r="G583" s="39">
        <v>6.9832402234636867E-3</v>
      </c>
      <c r="H583" s="7">
        <f t="shared" si="723"/>
        <v>267.98184357541896</v>
      </c>
      <c r="I583" s="7"/>
      <c r="J583" s="7"/>
      <c r="K583" s="29"/>
      <c r="L583" s="156">
        <f t="shared" si="724"/>
        <v>1</v>
      </c>
      <c r="M583" s="7">
        <f t="shared" si="725"/>
        <v>0</v>
      </c>
      <c r="N583" s="7">
        <f t="shared" si="722"/>
        <v>0</v>
      </c>
      <c r="O583" s="7">
        <f t="shared" si="722"/>
        <v>0</v>
      </c>
      <c r="P583" s="7">
        <f t="shared" si="722"/>
        <v>885.74168994413412</v>
      </c>
      <c r="Q583" s="7">
        <f t="shared" si="722"/>
        <v>885.74168994413412</v>
      </c>
      <c r="R583" s="25"/>
      <c r="T583" s="67"/>
      <c r="U583"/>
    </row>
    <row r="584" spans="1:21" ht="15" x14ac:dyDescent="0.25">
      <c r="A584" s="38">
        <v>95.06</v>
      </c>
      <c r="B584" s="5">
        <v>39</v>
      </c>
      <c r="C584" s="5" t="s">
        <v>241</v>
      </c>
      <c r="D584" s="6" t="s">
        <v>67</v>
      </c>
      <c r="E584" s="25"/>
      <c r="F584" s="7"/>
      <c r="G584" s="39">
        <v>2.7932960893854747E-2</v>
      </c>
      <c r="H584" s="7">
        <f t="shared" si="723"/>
        <v>1071.9273743016759</v>
      </c>
      <c r="I584" s="7"/>
      <c r="J584" s="7"/>
      <c r="K584" s="29"/>
      <c r="L584" s="156">
        <f t="shared" si="724"/>
        <v>1</v>
      </c>
      <c r="M584" s="7">
        <f t="shared" si="725"/>
        <v>0</v>
      </c>
      <c r="N584" s="7">
        <f t="shared" si="722"/>
        <v>0</v>
      </c>
      <c r="O584" s="7">
        <f t="shared" si="722"/>
        <v>0</v>
      </c>
      <c r="P584" s="7">
        <f t="shared" si="722"/>
        <v>3542.9667597765365</v>
      </c>
      <c r="Q584" s="7">
        <f t="shared" si="722"/>
        <v>3542.9667597765365</v>
      </c>
      <c r="R584" s="25"/>
      <c r="T584" s="67"/>
      <c r="U584"/>
    </row>
    <row r="585" spans="1:21" ht="15" x14ac:dyDescent="0.25">
      <c r="A585" s="38">
        <v>95.07</v>
      </c>
      <c r="B585" s="5">
        <v>46</v>
      </c>
      <c r="C585" s="5" t="s">
        <v>242</v>
      </c>
      <c r="D585" s="6" t="s">
        <v>67</v>
      </c>
      <c r="E585" s="25"/>
      <c r="F585" s="7"/>
      <c r="G585" s="39">
        <v>1.0474860335195531E-3</v>
      </c>
      <c r="H585" s="7">
        <f t="shared" si="723"/>
        <v>40.197276536312849</v>
      </c>
      <c r="I585" s="7"/>
      <c r="J585" s="7"/>
      <c r="K585" s="29"/>
      <c r="L585" s="156">
        <f t="shared" si="724"/>
        <v>1</v>
      </c>
      <c r="M585" s="7">
        <f t="shared" si="725"/>
        <v>0</v>
      </c>
      <c r="N585" s="7">
        <f t="shared" si="722"/>
        <v>0</v>
      </c>
      <c r="O585" s="7">
        <f t="shared" si="722"/>
        <v>0</v>
      </c>
      <c r="P585" s="7">
        <f t="shared" si="722"/>
        <v>132.86125349162012</v>
      </c>
      <c r="Q585" s="7">
        <f t="shared" si="722"/>
        <v>132.86125349162012</v>
      </c>
      <c r="R585" s="25"/>
      <c r="T585" s="67"/>
      <c r="U585"/>
    </row>
    <row r="586" spans="1:21" ht="15" x14ac:dyDescent="0.25">
      <c r="A586" s="38">
        <v>95.08</v>
      </c>
      <c r="B586" s="5">
        <v>53</v>
      </c>
      <c r="C586" s="5" t="s">
        <v>243</v>
      </c>
      <c r="D586" s="6" t="s">
        <v>67</v>
      </c>
      <c r="E586" s="25"/>
      <c r="F586" s="7"/>
      <c r="G586" s="39">
        <v>0.46438547486033521</v>
      </c>
      <c r="H586" s="7">
        <f t="shared" si="723"/>
        <v>17820.792597765365</v>
      </c>
      <c r="I586" s="7"/>
      <c r="J586" s="7"/>
      <c r="K586" s="29"/>
      <c r="L586" s="156">
        <f t="shared" si="724"/>
        <v>2</v>
      </c>
      <c r="M586" s="7">
        <f t="shared" si="725"/>
        <v>0</v>
      </c>
      <c r="N586" s="7">
        <f t="shared" si="722"/>
        <v>0</v>
      </c>
      <c r="O586" s="7">
        <f t="shared" si="722"/>
        <v>0</v>
      </c>
      <c r="P586" s="7">
        <f t="shared" si="722"/>
        <v>58901.822381284925</v>
      </c>
      <c r="Q586" s="7">
        <f t="shared" si="722"/>
        <v>58901.822381284925</v>
      </c>
      <c r="R586" s="25"/>
      <c r="T586" s="67"/>
      <c r="U586"/>
    </row>
    <row r="587" spans="1:21" ht="15" x14ac:dyDescent="0.25">
      <c r="A587" s="38">
        <v>95.09</v>
      </c>
      <c r="B587" s="5">
        <v>61</v>
      </c>
      <c r="C587" s="5" t="s">
        <v>244</v>
      </c>
      <c r="D587" s="6" t="s">
        <v>67</v>
      </c>
      <c r="E587" s="25"/>
      <c r="F587" s="7"/>
      <c r="G587" s="39">
        <v>4.6089385474860335E-2</v>
      </c>
      <c r="H587" s="7">
        <f t="shared" si="723"/>
        <v>1768.6801675977654</v>
      </c>
      <c r="I587" s="7"/>
      <c r="J587" s="7"/>
      <c r="K587" s="29"/>
      <c r="L587" s="156">
        <f t="shared" si="724"/>
        <v>1</v>
      </c>
      <c r="M587" s="7">
        <f t="shared" si="725"/>
        <v>0</v>
      </c>
      <c r="N587" s="7">
        <f t="shared" si="722"/>
        <v>0</v>
      </c>
      <c r="O587" s="7">
        <f t="shared" si="722"/>
        <v>0</v>
      </c>
      <c r="P587" s="7">
        <f t="shared" si="722"/>
        <v>5845.8951536312852</v>
      </c>
      <c r="Q587" s="7">
        <f t="shared" si="722"/>
        <v>5845.8951536312852</v>
      </c>
      <c r="R587" s="25"/>
      <c r="T587" s="67"/>
      <c r="U587"/>
    </row>
    <row r="588" spans="1:21" ht="15" x14ac:dyDescent="0.25">
      <c r="A588" s="38">
        <v>95.1</v>
      </c>
      <c r="B588" s="5">
        <v>68</v>
      </c>
      <c r="C588" s="5" t="s">
        <v>245</v>
      </c>
      <c r="D588" s="6" t="s">
        <v>67</v>
      </c>
      <c r="E588" s="25"/>
      <c r="F588" s="7"/>
      <c r="G588" s="39">
        <v>0.14141061452513967</v>
      </c>
      <c r="H588" s="7">
        <f t="shared" si="723"/>
        <v>5426.6323324022351</v>
      </c>
      <c r="I588" s="7"/>
      <c r="J588" s="7"/>
      <c r="K588" s="29"/>
      <c r="L588" s="156">
        <f t="shared" si="724"/>
        <v>1</v>
      </c>
      <c r="M588" s="7">
        <f t="shared" si="725"/>
        <v>0</v>
      </c>
      <c r="N588" s="7">
        <f t="shared" si="722"/>
        <v>0</v>
      </c>
      <c r="O588" s="7">
        <f t="shared" si="722"/>
        <v>0</v>
      </c>
      <c r="P588" s="7">
        <f t="shared" si="722"/>
        <v>17936.269221368715</v>
      </c>
      <c r="Q588" s="7">
        <f t="shared" si="722"/>
        <v>17936.269221368715</v>
      </c>
      <c r="R588" s="25"/>
      <c r="T588" s="67"/>
      <c r="U588"/>
    </row>
    <row r="589" spans="1:21" ht="15" x14ac:dyDescent="0.25">
      <c r="A589" s="38">
        <v>95.11</v>
      </c>
      <c r="B589" s="5">
        <v>76</v>
      </c>
      <c r="C589" s="5" t="s">
        <v>246</v>
      </c>
      <c r="D589" s="6" t="s">
        <v>67</v>
      </c>
      <c r="E589" s="25"/>
      <c r="F589" s="7"/>
      <c r="G589" s="39">
        <v>3.3170391061452514E-3</v>
      </c>
      <c r="H589" s="7">
        <f t="shared" si="723"/>
        <v>127.29137569832402</v>
      </c>
      <c r="I589" s="7"/>
      <c r="J589" s="7"/>
      <c r="K589" s="29"/>
      <c r="L589" s="156">
        <f t="shared" si="724"/>
        <v>1</v>
      </c>
      <c r="M589" s="7">
        <f t="shared" si="725"/>
        <v>0</v>
      </c>
      <c r="N589" s="7">
        <f t="shared" si="722"/>
        <v>0</v>
      </c>
      <c r="O589" s="7">
        <f t="shared" si="722"/>
        <v>0</v>
      </c>
      <c r="P589" s="7">
        <f t="shared" si="722"/>
        <v>420.72730272346371</v>
      </c>
      <c r="Q589" s="7">
        <f t="shared" si="722"/>
        <v>420.72730272346371</v>
      </c>
      <c r="R589" s="25"/>
      <c r="T589" s="67"/>
      <c r="U589"/>
    </row>
    <row r="590" spans="1:21" ht="15" x14ac:dyDescent="0.25">
      <c r="A590" s="38">
        <v>95.12</v>
      </c>
      <c r="B590" s="5">
        <v>83</v>
      </c>
      <c r="C590" s="5" t="s">
        <v>250</v>
      </c>
      <c r="D590" s="6" t="s">
        <v>67</v>
      </c>
      <c r="E590" s="25"/>
      <c r="F590" s="7"/>
      <c r="G590" s="39">
        <v>3.1424581005586594E-2</v>
      </c>
      <c r="H590" s="7">
        <f t="shared" si="723"/>
        <v>1205.9182960893854</v>
      </c>
      <c r="I590" s="7"/>
      <c r="J590" s="7"/>
      <c r="K590" s="29"/>
      <c r="L590" s="156">
        <f t="shared" si="724"/>
        <v>1</v>
      </c>
      <c r="M590" s="7">
        <f t="shared" si="725"/>
        <v>0</v>
      </c>
      <c r="N590" s="7">
        <f t="shared" si="722"/>
        <v>0</v>
      </c>
      <c r="O590" s="7">
        <f t="shared" si="722"/>
        <v>0</v>
      </c>
      <c r="P590" s="7">
        <f t="shared" si="722"/>
        <v>3985.8376047486036</v>
      </c>
      <c r="Q590" s="7">
        <f t="shared" si="722"/>
        <v>3985.8376047486036</v>
      </c>
      <c r="R590" s="25"/>
      <c r="T590" s="67"/>
      <c r="U590"/>
    </row>
    <row r="591" spans="1:21" ht="15" x14ac:dyDescent="0.25">
      <c r="A591" s="38">
        <v>95.13</v>
      </c>
      <c r="B591" s="5">
        <v>90</v>
      </c>
      <c r="C591" s="5" t="s">
        <v>248</v>
      </c>
      <c r="D591" s="6" t="s">
        <v>67</v>
      </c>
      <c r="E591" s="25"/>
      <c r="F591" s="7"/>
      <c r="G591" s="39">
        <v>8.7115921787709494E-2</v>
      </c>
      <c r="H591" s="7">
        <f t="shared" si="723"/>
        <v>3343.0734986033517</v>
      </c>
      <c r="I591" s="7"/>
      <c r="J591" s="7"/>
      <c r="K591" s="29"/>
      <c r="L591" s="156">
        <f t="shared" si="724"/>
        <v>1</v>
      </c>
      <c r="M591" s="7">
        <f t="shared" si="725"/>
        <v>0</v>
      </c>
      <c r="N591" s="7">
        <f t="shared" si="722"/>
        <v>0</v>
      </c>
      <c r="O591" s="7">
        <f t="shared" si="722"/>
        <v>0</v>
      </c>
      <c r="P591" s="7">
        <f t="shared" si="722"/>
        <v>11049.627582053074</v>
      </c>
      <c r="Q591" s="7">
        <f t="shared" si="722"/>
        <v>11049.627582053074</v>
      </c>
      <c r="R591" s="25"/>
      <c r="T591" s="67"/>
      <c r="U591"/>
    </row>
    <row r="592" spans="1:21" ht="15" x14ac:dyDescent="0.25">
      <c r="A592" s="38" t="s">
        <v>418</v>
      </c>
      <c r="B592" s="13">
        <v>1</v>
      </c>
      <c r="C592" s="14" t="s">
        <v>213</v>
      </c>
      <c r="D592" s="13" t="s">
        <v>214</v>
      </c>
      <c r="E592" s="26" t="str">
        <f>VLOOKUP(C592,Resources!B:G,3,FALSE)</f>
        <v>S</v>
      </c>
      <c r="F592" s="15">
        <v>1</v>
      </c>
      <c r="G592" s="15">
        <v>1</v>
      </c>
      <c r="H592" s="15">
        <f>H578</f>
        <v>233</v>
      </c>
      <c r="I592" s="15">
        <f>VLOOKUP(C592,Resources!B:G,6,FALSE)</f>
        <v>544.37</v>
      </c>
      <c r="J592" s="27">
        <f>(H592/G592)*I592*F592</f>
        <v>126838.21</v>
      </c>
      <c r="K592" s="27">
        <f t="shared" ref="K592" si="726">IF(E592="M"," ",L592*F592)</f>
        <v>8.3465624999999992</v>
      </c>
      <c r="L592" s="157">
        <f>L560</f>
        <v>8.3465624999999992</v>
      </c>
      <c r="M592" s="28">
        <f t="shared" ref="M592" si="727">IF($E592="L",$J592,0)</f>
        <v>0</v>
      </c>
      <c r="N592" s="28">
        <f t="shared" ref="N592" si="728">IF($E592="M",$J592,0)</f>
        <v>0</v>
      </c>
      <c r="O592" s="28">
        <f t="shared" ref="O592" si="729">IF($E592="P",$J592,0)</f>
        <v>0</v>
      </c>
      <c r="P592" s="28">
        <f t="shared" ref="P592" si="730">IF($E592="S",$J592,0)</f>
        <v>126838.21</v>
      </c>
      <c r="Q592" s="28">
        <f t="shared" ref="Q592" si="731">SUM(M592:P592)</f>
        <v>126838.21</v>
      </c>
      <c r="R592" s="26">
        <v>64</v>
      </c>
      <c r="T592" s="67"/>
      <c r="U592"/>
    </row>
    <row r="593" spans="1:21" ht="15" x14ac:dyDescent="0.25">
      <c r="A593" s="38" t="s">
        <v>418</v>
      </c>
      <c r="F593" s="11"/>
      <c r="G593" s="11"/>
      <c r="H593" s="11"/>
      <c r="I593" s="11"/>
      <c r="J593" s="11"/>
      <c r="K593" s="31"/>
      <c r="M593" s="12"/>
      <c r="N593" s="12"/>
      <c r="O593" s="12"/>
      <c r="P593" s="12"/>
      <c r="Q593" s="12"/>
      <c r="T593" s="67"/>
      <c r="U593"/>
    </row>
    <row r="594" spans="1:21" ht="33.75" x14ac:dyDescent="0.25">
      <c r="A594" s="38">
        <v>96</v>
      </c>
      <c r="B594" s="5" t="s">
        <v>215</v>
      </c>
      <c r="C594" s="5" t="s">
        <v>216</v>
      </c>
      <c r="D594" s="6" t="s">
        <v>67</v>
      </c>
      <c r="E594" s="25"/>
      <c r="F594" s="7"/>
      <c r="G594" s="7"/>
      <c r="H594" s="36">
        <f>VLOOKUP($A594,'Model Inputs'!$A:$C,3,FALSE)</f>
        <v>197</v>
      </c>
      <c r="I594" s="7"/>
      <c r="J594" s="8">
        <f>SUBTOTAL(9,J608)</f>
        <v>94171.909999999989</v>
      </c>
      <c r="K594" s="29"/>
      <c r="L594" s="156"/>
      <c r="M594" s="8">
        <f>SUBTOTAL(9,M608)</f>
        <v>0</v>
      </c>
      <c r="N594" s="8">
        <f t="shared" ref="N594:Q594" si="732">SUBTOTAL(9,N608)</f>
        <v>0</v>
      </c>
      <c r="O594" s="8">
        <f t="shared" si="732"/>
        <v>0</v>
      </c>
      <c r="P594" s="8">
        <f t="shared" si="732"/>
        <v>94171.909999999989</v>
      </c>
      <c r="Q594" s="8">
        <f t="shared" si="732"/>
        <v>94171.909999999989</v>
      </c>
      <c r="R594" s="25"/>
      <c r="T594" s="67"/>
      <c r="U594"/>
    </row>
    <row r="595" spans="1:21" ht="15" x14ac:dyDescent="0.25">
      <c r="A595" s="38">
        <v>96.01</v>
      </c>
      <c r="B595" s="5">
        <v>4</v>
      </c>
      <c r="C595" s="5" t="s">
        <v>237</v>
      </c>
      <c r="D595" s="6" t="s">
        <v>299</v>
      </c>
      <c r="E595" s="25"/>
      <c r="F595" s="7"/>
      <c r="G595" s="39">
        <v>3.7360335195530725E-2</v>
      </c>
      <c r="H595" s="7">
        <f>H$562*G595</f>
        <v>1433.7028631284916</v>
      </c>
      <c r="I595" s="7"/>
      <c r="J595" s="7"/>
      <c r="K595" s="29"/>
      <c r="L595" s="156">
        <f>L563</f>
        <v>1</v>
      </c>
      <c r="M595" s="7">
        <f>SUBTOTAL(9,M$608)*$G595</f>
        <v>0</v>
      </c>
      <c r="N595" s="7">
        <f t="shared" ref="N595:Q607" si="733">SUBTOTAL(9,N$608)*$G595</f>
        <v>0</v>
      </c>
      <c r="O595" s="7">
        <f t="shared" si="733"/>
        <v>0</v>
      </c>
      <c r="P595" s="7">
        <f t="shared" si="733"/>
        <v>3518.2941236033516</v>
      </c>
      <c r="Q595" s="7">
        <f t="shared" si="733"/>
        <v>3518.2941236033516</v>
      </c>
      <c r="R595" s="25"/>
      <c r="T595" s="67"/>
      <c r="U595"/>
    </row>
    <row r="596" spans="1:21" ht="15" x14ac:dyDescent="0.25">
      <c r="A596" s="38">
        <v>96.02</v>
      </c>
      <c r="B596" s="5">
        <v>11</v>
      </c>
      <c r="C596" s="5" t="s">
        <v>236</v>
      </c>
      <c r="D596" s="6" t="s">
        <v>299</v>
      </c>
      <c r="E596" s="25"/>
      <c r="F596" s="7"/>
      <c r="G596" s="39">
        <v>3.4043296089385472E-2</v>
      </c>
      <c r="H596" s="7">
        <f t="shared" ref="H596:H607" si="734">H$562*G596</f>
        <v>1306.4114874301674</v>
      </c>
      <c r="I596" s="7"/>
      <c r="J596" s="7"/>
      <c r="K596" s="29"/>
      <c r="L596" s="156">
        <f t="shared" ref="L596:L607" si="735">L564</f>
        <v>1</v>
      </c>
      <c r="M596" s="7">
        <f t="shared" ref="M596:M607" si="736">SUBTOTAL(9,M$608)*$G596</f>
        <v>0</v>
      </c>
      <c r="N596" s="7">
        <f t="shared" si="733"/>
        <v>0</v>
      </c>
      <c r="O596" s="7">
        <f t="shared" si="733"/>
        <v>0</v>
      </c>
      <c r="P596" s="7">
        <f t="shared" si="733"/>
        <v>3205.9222154329605</v>
      </c>
      <c r="Q596" s="7">
        <f t="shared" si="733"/>
        <v>3205.9222154329605</v>
      </c>
      <c r="R596" s="25"/>
      <c r="T596" s="67"/>
      <c r="U596"/>
    </row>
    <row r="597" spans="1:21" ht="15" x14ac:dyDescent="0.25">
      <c r="A597" s="38">
        <v>96.03</v>
      </c>
      <c r="B597" s="5">
        <v>18</v>
      </c>
      <c r="C597" s="5" t="s">
        <v>239</v>
      </c>
      <c r="D597" s="6" t="s">
        <v>299</v>
      </c>
      <c r="E597" s="25"/>
      <c r="F597" s="7"/>
      <c r="G597" s="39">
        <v>4.5565642458100561E-2</v>
      </c>
      <c r="H597" s="7">
        <f t="shared" si="734"/>
        <v>1748.5815293296091</v>
      </c>
      <c r="I597" s="7"/>
      <c r="J597" s="7"/>
      <c r="K597" s="29"/>
      <c r="L597" s="156">
        <f t="shared" si="735"/>
        <v>1</v>
      </c>
      <c r="M597" s="7">
        <f t="shared" si="736"/>
        <v>0</v>
      </c>
      <c r="N597" s="7">
        <f t="shared" si="733"/>
        <v>0</v>
      </c>
      <c r="O597" s="7">
        <f t="shared" si="733"/>
        <v>0</v>
      </c>
      <c r="P597" s="7">
        <f t="shared" si="733"/>
        <v>4291.0035806564247</v>
      </c>
      <c r="Q597" s="7">
        <f t="shared" si="733"/>
        <v>4291.0035806564247</v>
      </c>
      <c r="R597" s="25"/>
      <c r="T597" s="67"/>
      <c r="U597"/>
    </row>
    <row r="598" spans="1:21" ht="15" x14ac:dyDescent="0.25">
      <c r="A598" s="38">
        <v>96.04</v>
      </c>
      <c r="B598" s="5">
        <v>25</v>
      </c>
      <c r="C598" s="5" t="s">
        <v>238</v>
      </c>
      <c r="D598" s="6" t="s">
        <v>299</v>
      </c>
      <c r="E598" s="25"/>
      <c r="F598" s="7"/>
      <c r="G598" s="39">
        <v>7.3324022346368714E-2</v>
      </c>
      <c r="H598" s="7">
        <f t="shared" si="734"/>
        <v>2813.8093575418993</v>
      </c>
      <c r="I598" s="7"/>
      <c r="J598" s="7"/>
      <c r="K598" s="29"/>
      <c r="L598" s="156">
        <f t="shared" si="735"/>
        <v>1</v>
      </c>
      <c r="M598" s="7">
        <f t="shared" si="736"/>
        <v>0</v>
      </c>
      <c r="N598" s="7">
        <f t="shared" si="733"/>
        <v>0</v>
      </c>
      <c r="O598" s="7">
        <f t="shared" si="733"/>
        <v>0</v>
      </c>
      <c r="P598" s="7">
        <f t="shared" si="733"/>
        <v>6905.0632332402229</v>
      </c>
      <c r="Q598" s="7">
        <f t="shared" si="733"/>
        <v>6905.0632332402229</v>
      </c>
      <c r="R598" s="25"/>
      <c r="T598" s="67"/>
      <c r="U598"/>
    </row>
    <row r="599" spans="1:21" ht="15" x14ac:dyDescent="0.25">
      <c r="A599" s="38">
        <v>96.05</v>
      </c>
      <c r="B599" s="5">
        <v>32</v>
      </c>
      <c r="C599" s="5" t="s">
        <v>240</v>
      </c>
      <c r="D599" s="6" t="s">
        <v>67</v>
      </c>
      <c r="E599" s="25"/>
      <c r="F599" s="7"/>
      <c r="G599" s="39">
        <v>6.9832402234636867E-3</v>
      </c>
      <c r="H599" s="7">
        <f t="shared" si="734"/>
        <v>267.98184357541896</v>
      </c>
      <c r="I599" s="7"/>
      <c r="J599" s="7"/>
      <c r="K599" s="29"/>
      <c r="L599" s="156">
        <f t="shared" si="735"/>
        <v>1</v>
      </c>
      <c r="M599" s="7">
        <f t="shared" si="736"/>
        <v>0</v>
      </c>
      <c r="N599" s="7">
        <f t="shared" si="733"/>
        <v>0</v>
      </c>
      <c r="O599" s="7">
        <f t="shared" si="733"/>
        <v>0</v>
      </c>
      <c r="P599" s="7">
        <f t="shared" si="733"/>
        <v>657.62506983240212</v>
      </c>
      <c r="Q599" s="7">
        <f t="shared" si="733"/>
        <v>657.62506983240212</v>
      </c>
      <c r="R599" s="25"/>
      <c r="T599" s="67"/>
      <c r="U599"/>
    </row>
    <row r="600" spans="1:21" ht="15" x14ac:dyDescent="0.25">
      <c r="A600" s="38">
        <v>96.06</v>
      </c>
      <c r="B600" s="5">
        <v>39</v>
      </c>
      <c r="C600" s="5" t="s">
        <v>241</v>
      </c>
      <c r="D600" s="6" t="s">
        <v>67</v>
      </c>
      <c r="E600" s="25"/>
      <c r="F600" s="7"/>
      <c r="G600" s="39">
        <v>2.7932960893854747E-2</v>
      </c>
      <c r="H600" s="7">
        <f t="shared" si="734"/>
        <v>1071.9273743016759</v>
      </c>
      <c r="I600" s="7"/>
      <c r="J600" s="7"/>
      <c r="K600" s="29"/>
      <c r="L600" s="156">
        <f t="shared" si="735"/>
        <v>1</v>
      </c>
      <c r="M600" s="7">
        <f t="shared" si="736"/>
        <v>0</v>
      </c>
      <c r="N600" s="7">
        <f t="shared" si="733"/>
        <v>0</v>
      </c>
      <c r="O600" s="7">
        <f t="shared" si="733"/>
        <v>0</v>
      </c>
      <c r="P600" s="7">
        <f t="shared" si="733"/>
        <v>2630.5002793296085</v>
      </c>
      <c r="Q600" s="7">
        <f t="shared" si="733"/>
        <v>2630.5002793296085</v>
      </c>
      <c r="R600" s="25"/>
      <c r="T600" s="67"/>
      <c r="U600"/>
    </row>
    <row r="601" spans="1:21" ht="15" x14ac:dyDescent="0.25">
      <c r="A601" s="38">
        <v>96.07</v>
      </c>
      <c r="B601" s="5">
        <v>46</v>
      </c>
      <c r="C601" s="5" t="s">
        <v>242</v>
      </c>
      <c r="D601" s="6" t="s">
        <v>67</v>
      </c>
      <c r="E601" s="25"/>
      <c r="F601" s="7"/>
      <c r="G601" s="39">
        <v>1.0474860335195531E-3</v>
      </c>
      <c r="H601" s="7">
        <f t="shared" si="734"/>
        <v>40.197276536312849</v>
      </c>
      <c r="I601" s="7"/>
      <c r="J601" s="7"/>
      <c r="K601" s="29"/>
      <c r="L601" s="156">
        <f t="shared" si="735"/>
        <v>1</v>
      </c>
      <c r="M601" s="7">
        <f t="shared" si="736"/>
        <v>0</v>
      </c>
      <c r="N601" s="7">
        <f t="shared" si="733"/>
        <v>0</v>
      </c>
      <c r="O601" s="7">
        <f t="shared" si="733"/>
        <v>0</v>
      </c>
      <c r="P601" s="7">
        <f t="shared" si="733"/>
        <v>98.643760474860315</v>
      </c>
      <c r="Q601" s="7">
        <f t="shared" si="733"/>
        <v>98.643760474860315</v>
      </c>
      <c r="R601" s="25"/>
      <c r="T601" s="67"/>
      <c r="U601"/>
    </row>
    <row r="602" spans="1:21" ht="15" x14ac:dyDescent="0.25">
      <c r="A602" s="38">
        <v>96.08</v>
      </c>
      <c r="B602" s="5">
        <v>53</v>
      </c>
      <c r="C602" s="5" t="s">
        <v>243</v>
      </c>
      <c r="D602" s="6" t="s">
        <v>67</v>
      </c>
      <c r="E602" s="25"/>
      <c r="F602" s="7"/>
      <c r="G602" s="39">
        <v>0.46438547486033521</v>
      </c>
      <c r="H602" s="7">
        <f t="shared" si="734"/>
        <v>17820.792597765365</v>
      </c>
      <c r="I602" s="7"/>
      <c r="J602" s="7"/>
      <c r="K602" s="29"/>
      <c r="L602" s="156">
        <f t="shared" si="735"/>
        <v>2</v>
      </c>
      <c r="M602" s="7">
        <f t="shared" si="736"/>
        <v>0</v>
      </c>
      <c r="N602" s="7">
        <f t="shared" si="733"/>
        <v>0</v>
      </c>
      <c r="O602" s="7">
        <f t="shared" si="733"/>
        <v>0</v>
      </c>
      <c r="P602" s="7">
        <f t="shared" si="733"/>
        <v>43732.067143854743</v>
      </c>
      <c r="Q602" s="7">
        <f t="shared" si="733"/>
        <v>43732.067143854743</v>
      </c>
      <c r="R602" s="25"/>
      <c r="T602" s="67"/>
      <c r="U602"/>
    </row>
    <row r="603" spans="1:21" ht="15" x14ac:dyDescent="0.25">
      <c r="A603" s="38">
        <v>96.09</v>
      </c>
      <c r="B603" s="5">
        <v>61</v>
      </c>
      <c r="C603" s="5" t="s">
        <v>244</v>
      </c>
      <c r="D603" s="6" t="s">
        <v>67</v>
      </c>
      <c r="E603" s="25"/>
      <c r="F603" s="7"/>
      <c r="G603" s="39">
        <v>4.6089385474860335E-2</v>
      </c>
      <c r="H603" s="7">
        <f t="shared" si="734"/>
        <v>1768.6801675977654</v>
      </c>
      <c r="I603" s="7"/>
      <c r="J603" s="7"/>
      <c r="K603" s="29"/>
      <c r="L603" s="156">
        <f t="shared" si="735"/>
        <v>1</v>
      </c>
      <c r="M603" s="7">
        <f t="shared" si="736"/>
        <v>0</v>
      </c>
      <c r="N603" s="7">
        <f t="shared" si="733"/>
        <v>0</v>
      </c>
      <c r="O603" s="7">
        <f t="shared" si="733"/>
        <v>0</v>
      </c>
      <c r="P603" s="7">
        <f t="shared" si="733"/>
        <v>4340.3254608938541</v>
      </c>
      <c r="Q603" s="7">
        <f t="shared" si="733"/>
        <v>4340.3254608938541</v>
      </c>
      <c r="R603" s="25"/>
      <c r="T603" s="67"/>
      <c r="U603"/>
    </row>
    <row r="604" spans="1:21" ht="15" x14ac:dyDescent="0.25">
      <c r="A604" s="38">
        <v>96.1</v>
      </c>
      <c r="B604" s="5">
        <v>68</v>
      </c>
      <c r="C604" s="5" t="s">
        <v>245</v>
      </c>
      <c r="D604" s="6" t="s">
        <v>67</v>
      </c>
      <c r="E604" s="25"/>
      <c r="F604" s="7"/>
      <c r="G604" s="39">
        <v>0.14141061452513967</v>
      </c>
      <c r="H604" s="7">
        <f t="shared" si="734"/>
        <v>5426.6323324022351</v>
      </c>
      <c r="I604" s="7"/>
      <c r="J604" s="7"/>
      <c r="K604" s="29"/>
      <c r="L604" s="156">
        <f t="shared" si="735"/>
        <v>1</v>
      </c>
      <c r="M604" s="7">
        <f t="shared" si="736"/>
        <v>0</v>
      </c>
      <c r="N604" s="7">
        <f t="shared" si="733"/>
        <v>0</v>
      </c>
      <c r="O604" s="7">
        <f t="shared" si="733"/>
        <v>0</v>
      </c>
      <c r="P604" s="7">
        <f t="shared" si="733"/>
        <v>13316.907664106144</v>
      </c>
      <c r="Q604" s="7">
        <f t="shared" si="733"/>
        <v>13316.907664106144</v>
      </c>
      <c r="R604" s="25"/>
      <c r="T604" s="67"/>
      <c r="U604"/>
    </row>
    <row r="605" spans="1:21" ht="15" x14ac:dyDescent="0.25">
      <c r="A605" s="38">
        <v>96.11</v>
      </c>
      <c r="B605" s="5">
        <v>76</v>
      </c>
      <c r="C605" s="5" t="s">
        <v>246</v>
      </c>
      <c r="D605" s="6" t="s">
        <v>67</v>
      </c>
      <c r="E605" s="25"/>
      <c r="F605" s="7"/>
      <c r="G605" s="39">
        <v>3.3170391061452514E-3</v>
      </c>
      <c r="H605" s="7">
        <f t="shared" si="734"/>
        <v>127.29137569832402</v>
      </c>
      <c r="I605" s="7"/>
      <c r="J605" s="7"/>
      <c r="K605" s="29"/>
      <c r="L605" s="156">
        <f t="shared" si="735"/>
        <v>1</v>
      </c>
      <c r="M605" s="7">
        <f t="shared" si="736"/>
        <v>0</v>
      </c>
      <c r="N605" s="7">
        <f t="shared" si="733"/>
        <v>0</v>
      </c>
      <c r="O605" s="7">
        <f t="shared" si="733"/>
        <v>0</v>
      </c>
      <c r="P605" s="7">
        <f t="shared" si="733"/>
        <v>312.37190817039101</v>
      </c>
      <c r="Q605" s="7">
        <f t="shared" si="733"/>
        <v>312.37190817039101</v>
      </c>
      <c r="R605" s="25"/>
      <c r="T605" s="67"/>
      <c r="U605"/>
    </row>
    <row r="606" spans="1:21" ht="15" x14ac:dyDescent="0.25">
      <c r="A606" s="38">
        <v>96.12</v>
      </c>
      <c r="B606" s="5">
        <v>83</v>
      </c>
      <c r="C606" s="5" t="s">
        <v>250</v>
      </c>
      <c r="D606" s="6" t="s">
        <v>67</v>
      </c>
      <c r="E606" s="25"/>
      <c r="F606" s="7"/>
      <c r="G606" s="39">
        <v>3.1424581005586594E-2</v>
      </c>
      <c r="H606" s="7">
        <f t="shared" si="734"/>
        <v>1205.9182960893854</v>
      </c>
      <c r="I606" s="7"/>
      <c r="J606" s="7"/>
      <c r="K606" s="29"/>
      <c r="L606" s="156">
        <f t="shared" si="735"/>
        <v>1</v>
      </c>
      <c r="M606" s="7">
        <f t="shared" si="736"/>
        <v>0</v>
      </c>
      <c r="N606" s="7">
        <f t="shared" si="733"/>
        <v>0</v>
      </c>
      <c r="O606" s="7">
        <f t="shared" si="733"/>
        <v>0</v>
      </c>
      <c r="P606" s="7">
        <f t="shared" si="733"/>
        <v>2959.3128142458099</v>
      </c>
      <c r="Q606" s="7">
        <f t="shared" si="733"/>
        <v>2959.3128142458099</v>
      </c>
      <c r="R606" s="25"/>
      <c r="T606" s="67"/>
      <c r="U606"/>
    </row>
    <row r="607" spans="1:21" ht="15" x14ac:dyDescent="0.25">
      <c r="A607" s="38">
        <v>96.13</v>
      </c>
      <c r="B607" s="5">
        <v>90</v>
      </c>
      <c r="C607" s="5" t="s">
        <v>248</v>
      </c>
      <c r="D607" s="6" t="s">
        <v>67</v>
      </c>
      <c r="E607" s="25"/>
      <c r="F607" s="7"/>
      <c r="G607" s="39">
        <v>8.7115921787709494E-2</v>
      </c>
      <c r="H607" s="7">
        <f t="shared" si="734"/>
        <v>3343.0734986033517</v>
      </c>
      <c r="I607" s="7"/>
      <c r="J607" s="7"/>
      <c r="K607" s="29"/>
      <c r="L607" s="156">
        <f t="shared" si="735"/>
        <v>1</v>
      </c>
      <c r="M607" s="7">
        <f t="shared" si="736"/>
        <v>0</v>
      </c>
      <c r="N607" s="7">
        <f t="shared" si="733"/>
        <v>0</v>
      </c>
      <c r="O607" s="7">
        <f t="shared" si="733"/>
        <v>0</v>
      </c>
      <c r="P607" s="7">
        <f t="shared" si="733"/>
        <v>8203.8727461592171</v>
      </c>
      <c r="Q607" s="7">
        <f t="shared" si="733"/>
        <v>8203.8727461592171</v>
      </c>
      <c r="R607" s="25"/>
      <c r="T607" s="67"/>
      <c r="U607"/>
    </row>
    <row r="608" spans="1:21" ht="15" x14ac:dyDescent="0.25">
      <c r="A608" s="38" t="s">
        <v>418</v>
      </c>
      <c r="B608" s="13">
        <v>1</v>
      </c>
      <c r="C608" s="14" t="s">
        <v>217</v>
      </c>
      <c r="D608" s="13" t="s">
        <v>214</v>
      </c>
      <c r="E608" s="26" t="str">
        <f>VLOOKUP(C608,Resources!B:G,3,FALSE)</f>
        <v>S</v>
      </c>
      <c r="F608" s="15">
        <v>1</v>
      </c>
      <c r="G608" s="15">
        <v>1</v>
      </c>
      <c r="H608" s="15">
        <f>H594</f>
        <v>197</v>
      </c>
      <c r="I608" s="15">
        <f>VLOOKUP(C608,Resources!B:G,6,FALSE)</f>
        <v>478.03</v>
      </c>
      <c r="J608" s="27">
        <f>(H608/G608)*I608*F608</f>
        <v>94171.909999999989</v>
      </c>
      <c r="K608" s="27">
        <f t="shared" ref="K608" si="737">IF(E608="M"," ",L608*F608)</f>
        <v>4.9119999999999999</v>
      </c>
      <c r="L608" s="157">
        <f>L576</f>
        <v>4.9119999999999999</v>
      </c>
      <c r="M608" s="28">
        <f t="shared" ref="M608" si="738">IF($E608="L",$J608,0)</f>
        <v>0</v>
      </c>
      <c r="N608" s="28">
        <f t="shared" ref="N608" si="739">IF($E608="M",$J608,0)</f>
        <v>0</v>
      </c>
      <c r="O608" s="28">
        <f t="shared" ref="O608" si="740">IF($E608="P",$J608,0)</f>
        <v>0</v>
      </c>
      <c r="P608" s="28">
        <f t="shared" ref="P608" si="741">IF($E608="S",$J608,0)</f>
        <v>94171.909999999989</v>
      </c>
      <c r="Q608" s="28">
        <f t="shared" ref="Q608" si="742">SUM(M608:P608)</f>
        <v>94171.909999999989</v>
      </c>
      <c r="R608" s="26">
        <v>64</v>
      </c>
      <c r="T608" s="67"/>
      <c r="U608"/>
    </row>
    <row r="609" spans="1:21" ht="15" x14ac:dyDescent="0.25">
      <c r="A609" s="38" t="s">
        <v>418</v>
      </c>
      <c r="F609" s="11"/>
      <c r="G609" s="11"/>
      <c r="H609" s="11"/>
      <c r="I609" s="11"/>
      <c r="J609" s="11"/>
      <c r="K609" s="31"/>
      <c r="M609" s="12"/>
      <c r="N609" s="12"/>
      <c r="O609" s="12"/>
      <c r="P609" s="12"/>
      <c r="Q609" s="12"/>
      <c r="T609" s="67"/>
      <c r="U609"/>
    </row>
    <row r="610" spans="1:21" ht="33.75" x14ac:dyDescent="0.25">
      <c r="A610" s="38">
        <v>97</v>
      </c>
      <c r="B610" s="5" t="s">
        <v>218</v>
      </c>
      <c r="C610" s="5" t="s">
        <v>219</v>
      </c>
      <c r="D610" s="6" t="s">
        <v>67</v>
      </c>
      <c r="E610" s="25"/>
      <c r="F610" s="7"/>
      <c r="G610" s="7"/>
      <c r="H610" s="36">
        <f>VLOOKUP($A610,'Model Inputs'!$A:$C,3,FALSE)</f>
        <v>233</v>
      </c>
      <c r="I610" s="7"/>
      <c r="J610" s="8">
        <f>SUBTOTAL(9,J611)</f>
        <v>27955.34</v>
      </c>
      <c r="K610" s="29"/>
      <c r="L610" s="156">
        <f>MAX(L611)</f>
        <v>1</v>
      </c>
      <c r="M610" s="8">
        <f>SUBTOTAL(9,M611)</f>
        <v>0</v>
      </c>
      <c r="N610" s="8">
        <f t="shared" ref="N610" si="743">SUBTOTAL(9,N611)</f>
        <v>0</v>
      </c>
      <c r="O610" s="8">
        <f t="shared" ref="O610" si="744">SUBTOTAL(9,O611)</f>
        <v>0</v>
      </c>
      <c r="P610" s="8">
        <f t="shared" ref="P610" si="745">SUBTOTAL(9,P611)</f>
        <v>27955.34</v>
      </c>
      <c r="Q610" s="8">
        <f t="shared" ref="Q610" si="746">SUBTOTAL(9,Q611)</f>
        <v>27955.34</v>
      </c>
      <c r="R610" s="25"/>
      <c r="T610" s="67"/>
      <c r="U610"/>
    </row>
    <row r="611" spans="1:21" ht="15" x14ac:dyDescent="0.25">
      <c r="A611" s="38" t="s">
        <v>418</v>
      </c>
      <c r="B611" s="13">
        <v>1</v>
      </c>
      <c r="C611" s="14" t="s">
        <v>292</v>
      </c>
      <c r="D611" s="13" t="s">
        <v>214</v>
      </c>
      <c r="E611" s="26" t="str">
        <f>VLOOKUP(C611,Resources!B:G,3,FALSE)</f>
        <v>S</v>
      </c>
      <c r="F611" s="15">
        <v>1</v>
      </c>
      <c r="G611" s="15">
        <v>1</v>
      </c>
      <c r="H611" s="15">
        <f>H610</f>
        <v>233</v>
      </c>
      <c r="I611" s="15">
        <f>VLOOKUP(C611,Resources!B:G,6,FALSE)</f>
        <v>119.98</v>
      </c>
      <c r="J611" s="27">
        <f>(H611/G611)*I611*F611</f>
        <v>27955.34</v>
      </c>
      <c r="K611" s="27">
        <f t="shared" ref="K611" si="747">IF(E611="M"," ",L611*F611)</f>
        <v>1</v>
      </c>
      <c r="L611" s="157">
        <v>1</v>
      </c>
      <c r="M611" s="28">
        <f t="shared" ref="M611" si="748">IF($E611="L",$J611,0)</f>
        <v>0</v>
      </c>
      <c r="N611" s="28">
        <f t="shared" ref="N611" si="749">IF($E611="M",$J611,0)</f>
        <v>0</v>
      </c>
      <c r="O611" s="28">
        <f t="shared" ref="O611" si="750">IF($E611="P",$J611,0)</f>
        <v>0</v>
      </c>
      <c r="P611" s="28">
        <f t="shared" ref="P611" si="751">IF($E611="S",$J611,0)</f>
        <v>27955.34</v>
      </c>
      <c r="Q611" s="28">
        <f t="shared" ref="Q611" si="752">SUM(M611:P611)</f>
        <v>27955.34</v>
      </c>
      <c r="R611" s="26">
        <v>64</v>
      </c>
      <c r="T611" s="67"/>
      <c r="U611"/>
    </row>
    <row r="612" spans="1:21" ht="15" x14ac:dyDescent="0.25">
      <c r="A612" s="38" t="s">
        <v>418</v>
      </c>
      <c r="F612" s="11"/>
      <c r="G612" s="11"/>
      <c r="H612" s="11"/>
      <c r="I612" s="11"/>
      <c r="J612" s="11"/>
      <c r="K612" s="31"/>
      <c r="M612" s="12"/>
      <c r="N612" s="12"/>
      <c r="O612" s="12"/>
      <c r="P612" s="12"/>
      <c r="Q612" s="12"/>
      <c r="T612" s="67"/>
      <c r="U612"/>
    </row>
    <row r="613" spans="1:21" ht="33.75" x14ac:dyDescent="0.25">
      <c r="A613" s="38">
        <v>98</v>
      </c>
      <c r="B613" s="5" t="s">
        <v>220</v>
      </c>
      <c r="C613" s="5" t="s">
        <v>221</v>
      </c>
      <c r="D613" s="6" t="s">
        <v>67</v>
      </c>
      <c r="E613" s="25"/>
      <c r="F613" s="7"/>
      <c r="G613" s="7"/>
      <c r="H613" s="36">
        <f>VLOOKUP($A613,'Model Inputs'!$A:$C,3,FALSE)</f>
        <v>197</v>
      </c>
      <c r="I613" s="7"/>
      <c r="J613" s="8">
        <f>SUBTOTAL(9,J614)</f>
        <v>22422.539999999997</v>
      </c>
      <c r="K613" s="29"/>
      <c r="L613" s="156">
        <f>MAX(L614)</f>
        <v>1</v>
      </c>
      <c r="M613" s="8">
        <f>SUBTOTAL(9,M614)</f>
        <v>0</v>
      </c>
      <c r="N613" s="8">
        <f t="shared" ref="N613" si="753">SUBTOTAL(9,N614)</f>
        <v>0</v>
      </c>
      <c r="O613" s="8">
        <f t="shared" ref="O613" si="754">SUBTOTAL(9,O614)</f>
        <v>0</v>
      </c>
      <c r="P613" s="8">
        <f t="shared" ref="P613" si="755">SUBTOTAL(9,P614)</f>
        <v>22422.539999999997</v>
      </c>
      <c r="Q613" s="8">
        <f t="shared" ref="Q613" si="756">SUBTOTAL(9,Q614)</f>
        <v>22422.539999999997</v>
      </c>
      <c r="R613" s="25"/>
      <c r="T613" s="67"/>
      <c r="U613"/>
    </row>
    <row r="614" spans="1:21" ht="15" x14ac:dyDescent="0.25">
      <c r="A614" s="38" t="s">
        <v>418</v>
      </c>
      <c r="B614" s="13">
        <v>1</v>
      </c>
      <c r="C614" s="14" t="s">
        <v>291</v>
      </c>
      <c r="D614" s="13" t="s">
        <v>214</v>
      </c>
      <c r="E614" s="26" t="str">
        <f>VLOOKUP(C614,Resources!B:G,3,FALSE)</f>
        <v>S</v>
      </c>
      <c r="F614" s="15">
        <v>1</v>
      </c>
      <c r="G614" s="15">
        <v>1</v>
      </c>
      <c r="H614" s="15">
        <f>H613</f>
        <v>197</v>
      </c>
      <c r="I614" s="15">
        <f>VLOOKUP(C614,Resources!B:G,6,FALSE)</f>
        <v>113.82</v>
      </c>
      <c r="J614" s="27">
        <f>(H614/G614)*I614*F614</f>
        <v>22422.539999999997</v>
      </c>
      <c r="K614" s="27">
        <f t="shared" ref="K614" si="757">IF(E614="M"," ",L614*F614)</f>
        <v>1</v>
      </c>
      <c r="L614" s="157">
        <v>1</v>
      </c>
      <c r="M614" s="28">
        <f t="shared" ref="M614" si="758">IF($E614="L",$J614,0)</f>
        <v>0</v>
      </c>
      <c r="N614" s="28">
        <f t="shared" ref="N614" si="759">IF($E614="M",$J614,0)</f>
        <v>0</v>
      </c>
      <c r="O614" s="28">
        <f t="shared" ref="O614" si="760">IF($E614="P",$J614,0)</f>
        <v>0</v>
      </c>
      <c r="P614" s="28">
        <f t="shared" ref="P614" si="761">IF($E614="S",$J614,0)</f>
        <v>22422.539999999997</v>
      </c>
      <c r="Q614" s="28">
        <f t="shared" ref="Q614" si="762">SUM(M614:P614)</f>
        <v>22422.539999999997</v>
      </c>
      <c r="R614" s="26">
        <v>64</v>
      </c>
      <c r="T614" s="67"/>
      <c r="U614"/>
    </row>
    <row r="615" spans="1:21" ht="15" x14ac:dyDescent="0.25">
      <c r="A615" s="38" t="s">
        <v>418</v>
      </c>
      <c r="F615" s="11"/>
      <c r="G615" s="11"/>
      <c r="H615" s="11"/>
      <c r="I615" s="11"/>
      <c r="J615" s="11"/>
      <c r="K615" s="31"/>
      <c r="M615" s="12"/>
      <c r="N615" s="12"/>
      <c r="O615" s="12"/>
      <c r="P615" s="12"/>
      <c r="Q615" s="12"/>
      <c r="T615" s="67"/>
      <c r="U615"/>
    </row>
    <row r="616" spans="1:21" ht="22.5" x14ac:dyDescent="0.25">
      <c r="A616" s="38">
        <v>99</v>
      </c>
      <c r="B616" s="5" t="s">
        <v>222</v>
      </c>
      <c r="C616" s="5" t="s">
        <v>223</v>
      </c>
      <c r="D616" s="6"/>
      <c r="E616" s="25"/>
      <c r="F616" s="7"/>
      <c r="G616" s="7"/>
      <c r="H616" s="7"/>
      <c r="I616" s="7"/>
      <c r="J616" s="8"/>
      <c r="K616" s="29"/>
      <c r="L616" s="156"/>
      <c r="M616" s="8"/>
      <c r="N616" s="8"/>
      <c r="O616" s="8"/>
      <c r="P616" s="8"/>
      <c r="Q616" s="8"/>
      <c r="R616" s="25"/>
      <c r="T616" s="67"/>
      <c r="U616"/>
    </row>
    <row r="617" spans="1:21" ht="33.75" x14ac:dyDescent="0.25">
      <c r="A617" s="38">
        <v>100</v>
      </c>
      <c r="B617" s="5" t="s">
        <v>224</v>
      </c>
      <c r="C617" s="5" t="s">
        <v>225</v>
      </c>
      <c r="D617" s="6" t="s">
        <v>38</v>
      </c>
      <c r="E617" s="25"/>
      <c r="F617" s="7"/>
      <c r="G617" s="7"/>
      <c r="H617" s="36">
        <f>VLOOKUP($A617,'Model Inputs'!$A:$C,3,FALSE)</f>
        <v>3</v>
      </c>
      <c r="I617" s="7"/>
      <c r="J617" s="8">
        <f>SUBTOTAL(9,J618)</f>
        <v>195</v>
      </c>
      <c r="K617" s="29"/>
      <c r="L617" s="156">
        <f>MAX(L618)</f>
        <v>1</v>
      </c>
      <c r="M617" s="8">
        <f>SUBTOTAL(9,M618)</f>
        <v>0</v>
      </c>
      <c r="N617" s="8">
        <f t="shared" ref="N617" si="763">SUBTOTAL(9,N618)</f>
        <v>195</v>
      </c>
      <c r="O617" s="8">
        <f t="shared" ref="O617" si="764">SUBTOTAL(9,O618)</f>
        <v>0</v>
      </c>
      <c r="P617" s="8">
        <f t="shared" ref="P617" si="765">SUBTOTAL(9,P618)</f>
        <v>0</v>
      </c>
      <c r="Q617" s="8">
        <f t="shared" ref="Q617" si="766">SUBTOTAL(9,Q618)</f>
        <v>195</v>
      </c>
      <c r="R617" s="25"/>
      <c r="T617" s="67"/>
      <c r="U617"/>
    </row>
    <row r="618" spans="1:21" ht="15" x14ac:dyDescent="0.25">
      <c r="A618" s="38" t="s">
        <v>418</v>
      </c>
      <c r="B618" s="13">
        <v>1</v>
      </c>
      <c r="C618" s="14" t="s">
        <v>226</v>
      </c>
      <c r="D618" s="13" t="s">
        <v>38</v>
      </c>
      <c r="E618" s="26" t="str">
        <f>VLOOKUP(C618,Resources!B:G,3,FALSE)</f>
        <v>M</v>
      </c>
      <c r="F618" s="15">
        <v>1</v>
      </c>
      <c r="G618" s="15">
        <v>1</v>
      </c>
      <c r="H618" s="15">
        <f>H617</f>
        <v>3</v>
      </c>
      <c r="I618" s="15">
        <f>VLOOKUP(C618,Resources!B:G,6,FALSE)</f>
        <v>65</v>
      </c>
      <c r="J618" s="27">
        <f>(H618/G618)*I618*F618</f>
        <v>195</v>
      </c>
      <c r="K618" s="27" t="str">
        <f t="shared" ref="K618" si="767">IF(E618="M"," ",L618*F618)</f>
        <v xml:space="preserve"> </v>
      </c>
      <c r="L618" s="157">
        <v>1</v>
      </c>
      <c r="M618" s="28">
        <f t="shared" ref="M618" si="768">IF($E618="L",$J618,0)</f>
        <v>0</v>
      </c>
      <c r="N618" s="28">
        <f t="shared" ref="N618" si="769">IF($E618="M",$J618,0)</f>
        <v>195</v>
      </c>
      <c r="O618" s="28">
        <f t="shared" ref="O618" si="770">IF($E618="P",$J618,0)</f>
        <v>0</v>
      </c>
      <c r="P618" s="28">
        <f t="shared" ref="P618" si="771">IF($E618="S",$J618,0)</f>
        <v>0</v>
      </c>
      <c r="Q618" s="28">
        <f t="shared" ref="Q618" si="772">SUM(M618:P618)</f>
        <v>195</v>
      </c>
      <c r="R618" s="26">
        <v>67</v>
      </c>
      <c r="T618" s="67"/>
      <c r="U618"/>
    </row>
    <row r="619" spans="1:21" ht="15" x14ac:dyDescent="0.25">
      <c r="A619" s="38" t="s">
        <v>418</v>
      </c>
      <c r="F619" s="11"/>
      <c r="G619" s="11"/>
      <c r="H619" s="11"/>
      <c r="I619" s="11"/>
      <c r="J619" s="11"/>
      <c r="K619" s="31"/>
      <c r="M619" s="12"/>
      <c r="N619" s="12"/>
      <c r="O619" s="12"/>
      <c r="P619" s="12"/>
      <c r="Q619" s="12"/>
      <c r="T619" s="67"/>
      <c r="U619"/>
    </row>
    <row r="620" spans="1:21" ht="33.75" x14ac:dyDescent="0.25">
      <c r="A620" s="38">
        <v>101</v>
      </c>
      <c r="B620" s="5" t="s">
        <v>227</v>
      </c>
      <c r="C620" s="5" t="s">
        <v>228</v>
      </c>
      <c r="D620" s="6" t="s">
        <v>23</v>
      </c>
      <c r="E620" s="25"/>
      <c r="F620" s="7"/>
      <c r="G620" s="7"/>
      <c r="H620" s="36">
        <f>VLOOKUP($A620,'Model Inputs'!$A:$C,3,FALSE)</f>
        <v>3470</v>
      </c>
      <c r="I620" s="7"/>
      <c r="J620" s="8">
        <f>SUBTOTAL(9,J621)</f>
        <v>3470</v>
      </c>
      <c r="K620" s="29"/>
      <c r="L620" s="156">
        <f>ROUNDUP(MAX(L621),0)</f>
        <v>4</v>
      </c>
      <c r="M620" s="8">
        <f>SUBTOTAL(9,M621)</f>
        <v>0</v>
      </c>
      <c r="N620" s="8">
        <f t="shared" ref="N620" si="773">SUBTOTAL(9,N621)</f>
        <v>0</v>
      </c>
      <c r="O620" s="8">
        <f t="shared" ref="O620" si="774">SUBTOTAL(9,O621)</f>
        <v>0</v>
      </c>
      <c r="P620" s="8">
        <f t="shared" ref="P620" si="775">SUBTOTAL(9,P621)</f>
        <v>3470</v>
      </c>
      <c r="Q620" s="8">
        <f t="shared" ref="Q620" si="776">SUBTOTAL(9,Q621)</f>
        <v>3470</v>
      </c>
      <c r="R620" s="25"/>
      <c r="T620" s="67"/>
      <c r="U620"/>
    </row>
    <row r="621" spans="1:21" ht="15" x14ac:dyDescent="0.25">
      <c r="A621" s="38" t="s">
        <v>418</v>
      </c>
      <c r="B621" s="13">
        <v>1</v>
      </c>
      <c r="C621" s="14" t="s">
        <v>229</v>
      </c>
      <c r="D621" s="13" t="s">
        <v>122</v>
      </c>
      <c r="E621" s="26" t="str">
        <f>VLOOKUP(C621,Resources!B:G,3,FALSE)</f>
        <v>S</v>
      </c>
      <c r="F621" s="15">
        <v>1</v>
      </c>
      <c r="G621" s="15">
        <v>1</v>
      </c>
      <c r="H621" s="15">
        <f>H620</f>
        <v>3470</v>
      </c>
      <c r="I621" s="15">
        <f>VLOOKUP(C621,Resources!B:G,6,FALSE)</f>
        <v>1</v>
      </c>
      <c r="J621" s="27">
        <f>(H621/G621)*I621*F621</f>
        <v>3470</v>
      </c>
      <c r="K621" s="27">
        <f t="shared" ref="K621" si="777">IF(E621="M"," ",L621*F621)</f>
        <v>3.47</v>
      </c>
      <c r="L621" s="157">
        <f>H621/1000</f>
        <v>3.47</v>
      </c>
      <c r="M621" s="28">
        <f t="shared" ref="M621" si="778">IF($E621="L",$J621,0)</f>
        <v>0</v>
      </c>
      <c r="N621" s="28">
        <f t="shared" ref="N621" si="779">IF($E621="M",$J621,0)</f>
        <v>0</v>
      </c>
      <c r="O621" s="28">
        <f t="shared" ref="O621" si="780">IF($E621="P",$J621,0)</f>
        <v>0</v>
      </c>
      <c r="P621" s="28">
        <f t="shared" ref="P621" si="781">IF($E621="S",$J621,0)</f>
        <v>3470</v>
      </c>
      <c r="Q621" s="28">
        <f t="shared" ref="Q621" si="782">SUM(M621:P621)</f>
        <v>3470</v>
      </c>
      <c r="R621" s="26">
        <v>67</v>
      </c>
      <c r="T621" s="67"/>
      <c r="U621"/>
    </row>
    <row r="622" spans="1:21" ht="15" x14ac:dyDescent="0.25">
      <c r="A622" s="38" t="s">
        <v>418</v>
      </c>
      <c r="F622" s="11"/>
      <c r="G622" s="11"/>
      <c r="H622" s="11"/>
      <c r="I622" s="11"/>
      <c r="J622" s="11"/>
      <c r="K622" s="31"/>
      <c r="M622" s="12"/>
      <c r="N622" s="12"/>
      <c r="O622" s="12"/>
      <c r="P622" s="12"/>
      <c r="Q622" s="12"/>
      <c r="T622" s="67"/>
      <c r="U622"/>
    </row>
    <row r="623" spans="1:21" ht="33.75" x14ac:dyDescent="0.25">
      <c r="A623" s="38">
        <v>102</v>
      </c>
      <c r="B623" s="5" t="s">
        <v>230</v>
      </c>
      <c r="C623" s="5" t="s">
        <v>231</v>
      </c>
      <c r="D623" s="6" t="s">
        <v>38</v>
      </c>
      <c r="E623" s="25"/>
      <c r="F623" s="7"/>
      <c r="G623" s="7"/>
      <c r="H623" s="36">
        <f>VLOOKUP($A623,'Model Inputs'!$A:$C,3,FALSE)</f>
        <v>694</v>
      </c>
      <c r="I623" s="7"/>
      <c r="J623" s="8">
        <f>SUBTOTAL(9,J624)</f>
        <v>2429</v>
      </c>
      <c r="K623" s="29"/>
      <c r="L623" s="156">
        <f>MAX(L624)</f>
        <v>0</v>
      </c>
      <c r="M623" s="8">
        <f>SUBTOTAL(9,M624)</f>
        <v>0</v>
      </c>
      <c r="N623" s="8">
        <f t="shared" ref="N623" si="783">SUBTOTAL(9,N624)</f>
        <v>2429</v>
      </c>
      <c r="O623" s="8">
        <f t="shared" ref="O623" si="784">SUBTOTAL(9,O624)</f>
        <v>0</v>
      </c>
      <c r="P623" s="8">
        <f t="shared" ref="P623" si="785">SUBTOTAL(9,P624)</f>
        <v>0</v>
      </c>
      <c r="Q623" s="8">
        <f t="shared" ref="Q623" si="786">SUBTOTAL(9,Q624)</f>
        <v>2429</v>
      </c>
      <c r="R623" s="25"/>
      <c r="T623" s="67"/>
      <c r="U623"/>
    </row>
    <row r="624" spans="1:21" ht="15" x14ac:dyDescent="0.25">
      <c r="A624" s="38" t="s">
        <v>418</v>
      </c>
      <c r="B624" s="13">
        <v>1</v>
      </c>
      <c r="C624" s="14" t="s">
        <v>274</v>
      </c>
      <c r="D624" s="13" t="s">
        <v>38</v>
      </c>
      <c r="E624" s="26" t="str">
        <f>VLOOKUP(C624,Resources!B:G,3,FALSE)</f>
        <v>M</v>
      </c>
      <c r="F624" s="15">
        <v>1</v>
      </c>
      <c r="G624" s="15">
        <v>1</v>
      </c>
      <c r="H624" s="15">
        <f>H623</f>
        <v>694</v>
      </c>
      <c r="I624" s="15">
        <f>VLOOKUP(C624,Resources!B:G,6,FALSE)</f>
        <v>3.5</v>
      </c>
      <c r="J624" s="27">
        <f>(H624/G624)*I624*F624</f>
        <v>2429</v>
      </c>
      <c r="K624" s="27" t="str">
        <f t="shared" ref="K624" si="787">IF(E624="M"," ",L624*F624)</f>
        <v xml:space="preserve"> </v>
      </c>
      <c r="L624" s="157" t="str">
        <f t="shared" ref="L624" si="788">IF(E624="M"," ",H624/G624)</f>
        <v xml:space="preserve"> </v>
      </c>
      <c r="M624" s="28">
        <f t="shared" ref="M624" si="789">IF($E624="L",$J624,0)</f>
        <v>0</v>
      </c>
      <c r="N624" s="28">
        <f t="shared" ref="N624" si="790">IF($E624="M",$J624,0)</f>
        <v>2429</v>
      </c>
      <c r="O624" s="28">
        <f t="shared" ref="O624" si="791">IF($E624="P",$J624,0)</f>
        <v>0</v>
      </c>
      <c r="P624" s="28">
        <f t="shared" ref="P624" si="792">IF($E624="S",$J624,0)</f>
        <v>0</v>
      </c>
      <c r="Q624" s="28">
        <f t="shared" ref="Q624" si="793">SUM(M624:P624)</f>
        <v>2429</v>
      </c>
      <c r="R624" s="26">
        <v>67</v>
      </c>
      <c r="T624" s="67"/>
      <c r="U624"/>
    </row>
    <row r="625" spans="1:21" ht="15" x14ac:dyDescent="0.25">
      <c r="T625" s="67"/>
      <c r="U625"/>
    </row>
    <row r="626" spans="1:21" ht="15" x14ac:dyDescent="0.25">
      <c r="C626" s="9"/>
      <c r="F626" s="9" t="s">
        <v>449</v>
      </c>
      <c r="G626" s="9" t="s">
        <v>450</v>
      </c>
      <c r="T626" s="67"/>
      <c r="U626"/>
    </row>
    <row r="627" spans="1:21" ht="101.25" x14ac:dyDescent="0.25">
      <c r="A627" s="38">
        <v>103</v>
      </c>
      <c r="B627" s="5" t="s">
        <v>419</v>
      </c>
      <c r="C627" s="5" t="s">
        <v>420</v>
      </c>
      <c r="D627" s="6" t="s">
        <v>214</v>
      </c>
      <c r="E627" s="25"/>
      <c r="F627" s="7"/>
      <c r="G627" s="7"/>
      <c r="H627" s="36">
        <f>VLOOKUP($A627,'Model Inputs'!$A:$C,3,FALSE)</f>
        <v>11433</v>
      </c>
      <c r="I627" s="7"/>
      <c r="J627" s="7">
        <f>SUBTOTAL(9,J630:J631)</f>
        <v>26623.332625482617</v>
      </c>
      <c r="K627" s="29"/>
      <c r="L627" s="156">
        <v>0</v>
      </c>
      <c r="M627" s="7">
        <f>SUBTOTAL(9,M630:M631)</f>
        <v>0</v>
      </c>
      <c r="N627" s="7">
        <f t="shared" ref="N627:Q627" si="794">SUBTOTAL(9,N630:N631)</f>
        <v>0</v>
      </c>
      <c r="O627" s="7">
        <f t="shared" si="794"/>
        <v>0</v>
      </c>
      <c r="P627" s="7">
        <f t="shared" si="794"/>
        <v>26623.332625482617</v>
      </c>
      <c r="Q627" s="7">
        <f t="shared" si="794"/>
        <v>26623.332625482617</v>
      </c>
      <c r="R627" s="25"/>
      <c r="T627" s="67"/>
      <c r="U627"/>
    </row>
    <row r="628" spans="1:21" ht="15" x14ac:dyDescent="0.25">
      <c r="A628" s="38" t="s">
        <v>418</v>
      </c>
      <c r="B628" s="13">
        <v>1</v>
      </c>
      <c r="C628" s="14" t="s">
        <v>451</v>
      </c>
      <c r="D628" s="13"/>
      <c r="E628" s="26"/>
      <c r="F628" s="15"/>
      <c r="G628" s="15"/>
      <c r="H628" s="15">
        <f>H627</f>
        <v>11433</v>
      </c>
      <c r="I628" s="15"/>
      <c r="J628" s="15"/>
      <c r="K628" s="30"/>
      <c r="L628" s="157"/>
      <c r="M628" s="16"/>
      <c r="N628" s="16"/>
      <c r="O628" s="16"/>
      <c r="P628" s="16"/>
      <c r="Q628" s="16"/>
      <c r="R628" s="26"/>
      <c r="T628" s="67"/>
      <c r="U628"/>
    </row>
    <row r="629" spans="1:21" ht="15" x14ac:dyDescent="0.25">
      <c r="A629" s="38" t="s">
        <v>418</v>
      </c>
      <c r="B629" s="13">
        <v>2</v>
      </c>
      <c r="C629" s="14" t="s">
        <v>452</v>
      </c>
      <c r="D629" s="13"/>
      <c r="E629" s="26"/>
      <c r="F629" s="15">
        <v>9.702663570906811</v>
      </c>
      <c r="G629" s="15"/>
      <c r="H629" s="15"/>
      <c r="I629" s="15"/>
      <c r="J629" s="15"/>
      <c r="K629" s="30"/>
      <c r="L629" s="157"/>
      <c r="M629" s="16"/>
      <c r="N629" s="16"/>
      <c r="O629" s="16"/>
      <c r="P629" s="16"/>
      <c r="Q629" s="16"/>
      <c r="R629" s="26"/>
      <c r="T629" s="67"/>
      <c r="U629"/>
    </row>
    <row r="630" spans="1:21" ht="15" x14ac:dyDescent="0.25">
      <c r="A630" s="38" t="s">
        <v>418</v>
      </c>
      <c r="B630" s="13">
        <v>3</v>
      </c>
      <c r="C630" s="14" t="s">
        <v>128</v>
      </c>
      <c r="D630" s="13" t="s">
        <v>99</v>
      </c>
      <c r="E630" s="26" t="str">
        <f>VLOOKUP(C630,Resources!B:G,3,FALSE)</f>
        <v>S</v>
      </c>
      <c r="F630" s="15">
        <f>F629</f>
        <v>9.702663570906811</v>
      </c>
      <c r="G630" s="15">
        <v>1</v>
      </c>
      <c r="H630" s="15">
        <f>H627/2</f>
        <v>5716.5</v>
      </c>
      <c r="I630" s="15">
        <f>VLOOKUP(C630,Resources!B:G,6,FALSE)</f>
        <v>0.24</v>
      </c>
      <c r="J630" s="27">
        <f>(H630/G630)*I630*F630</f>
        <v>13311.666312741309</v>
      </c>
      <c r="K630" s="27">
        <f t="shared" ref="K630" si="795">IF(E630="M"," ",L630*F630)</f>
        <v>5477.0132662892529</v>
      </c>
      <c r="L630" s="157">
        <f>SUM(L638:L662)</f>
        <v>564.48553804461869</v>
      </c>
      <c r="M630" s="28">
        <f t="shared" ref="M630:M631" si="796">IF($E630="L",$J630,0)</f>
        <v>0</v>
      </c>
      <c r="N630" s="28">
        <f t="shared" ref="N630:N631" si="797">IF($E630="M",$J630,0)</f>
        <v>0</v>
      </c>
      <c r="O630" s="28">
        <f t="shared" ref="O630:O631" si="798">IF($E630="P",$J630,0)</f>
        <v>0</v>
      </c>
      <c r="P630" s="28">
        <f t="shared" ref="P630:P631" si="799">IF($E630="S",$J630,0)</f>
        <v>13311.666312741309</v>
      </c>
      <c r="Q630" s="28">
        <f t="shared" ref="Q630" si="800">SUM(M630:P630)</f>
        <v>13311.666312741309</v>
      </c>
      <c r="R630" s="26">
        <v>613</v>
      </c>
      <c r="T630" s="67"/>
      <c r="U630"/>
    </row>
    <row r="631" spans="1:21" ht="15" x14ac:dyDescent="0.25">
      <c r="A631" s="38" t="s">
        <v>418</v>
      </c>
      <c r="B631" s="13">
        <v>3</v>
      </c>
      <c r="C631" s="14" t="s">
        <v>128</v>
      </c>
      <c r="D631" s="13" t="s">
        <v>99</v>
      </c>
      <c r="E631" s="26" t="str">
        <f>VLOOKUP(C631,Resources!B:G,3,FALSE)</f>
        <v>S</v>
      </c>
      <c r="F631" s="15">
        <f>F629</f>
        <v>9.702663570906811</v>
      </c>
      <c r="G631" s="15">
        <v>1</v>
      </c>
      <c r="H631" s="15">
        <f>H627/2</f>
        <v>5716.5</v>
      </c>
      <c r="I631" s="15">
        <f>VLOOKUP(C631,Resources!B:G,6,FALSE)</f>
        <v>0.24</v>
      </c>
      <c r="J631" s="27">
        <f>(H631/G631)*I631*F631</f>
        <v>13311.666312741309</v>
      </c>
      <c r="K631" s="27">
        <f t="shared" ref="K631" si="801">IF(E631="M"," ",L631*F631)</f>
        <v>8825.78762890914</v>
      </c>
      <c r="L631" s="157">
        <f>SUM(L639:L673)</f>
        <v>909.6252348038779</v>
      </c>
      <c r="M631" s="28">
        <f t="shared" si="796"/>
        <v>0</v>
      </c>
      <c r="N631" s="28">
        <f t="shared" si="797"/>
        <v>0</v>
      </c>
      <c r="O631" s="28">
        <f t="shared" si="798"/>
        <v>0</v>
      </c>
      <c r="P631" s="28">
        <f t="shared" si="799"/>
        <v>13311.666312741309</v>
      </c>
      <c r="Q631" s="28">
        <f t="shared" ref="Q631" si="802">SUM(M631:P631)</f>
        <v>13311.666312741309</v>
      </c>
      <c r="R631" s="26">
        <v>613</v>
      </c>
      <c r="T631" s="67"/>
      <c r="U631"/>
    </row>
    <row r="632" spans="1:21" ht="15" x14ac:dyDescent="0.25">
      <c r="B632" s="2"/>
      <c r="C632" s="2"/>
      <c r="D632" s="1"/>
      <c r="E632" s="24"/>
      <c r="F632" s="68"/>
      <c r="G632" s="68"/>
      <c r="H632" s="68"/>
      <c r="I632" s="68"/>
      <c r="J632" s="68"/>
      <c r="K632" s="69"/>
      <c r="L632" s="158"/>
      <c r="M632" s="70"/>
      <c r="N632" s="70"/>
      <c r="O632" s="70"/>
      <c r="P632" s="70"/>
      <c r="Q632" s="70"/>
      <c r="R632" s="24"/>
      <c r="T632" s="67"/>
      <c r="U632"/>
    </row>
    <row r="633" spans="1:21" ht="22.5" x14ac:dyDescent="0.25">
      <c r="A633" s="38">
        <v>104</v>
      </c>
      <c r="B633" s="5" t="s">
        <v>421</v>
      </c>
      <c r="C633" s="5" t="s">
        <v>422</v>
      </c>
      <c r="D633" s="6" t="s">
        <v>122</v>
      </c>
      <c r="E633" s="25"/>
      <c r="F633" s="7"/>
      <c r="G633" s="7"/>
      <c r="H633" s="36">
        <f>VLOOKUP($A633,'Model Inputs'!$A:$C,3,FALSE)</f>
        <v>7578</v>
      </c>
      <c r="I633" s="7"/>
      <c r="J633" s="7">
        <f>SUBTOTAL(9,J634:J638)</f>
        <v>11597.892187499998</v>
      </c>
      <c r="K633" s="29"/>
      <c r="L633" s="156">
        <f>MAX(L634:L638)</f>
        <v>23.681249999999999</v>
      </c>
      <c r="M633" s="8">
        <f>SUBTOTAL(9,M634:M638)</f>
        <v>3410.0999999999995</v>
      </c>
      <c r="N633" s="8">
        <f t="shared" ref="N633:Q633" si="803">SUBTOTAL(9,N634:N638)</f>
        <v>0</v>
      </c>
      <c r="O633" s="8">
        <f t="shared" si="803"/>
        <v>8187.7921875000002</v>
      </c>
      <c r="P633" s="8">
        <f t="shared" si="803"/>
        <v>0</v>
      </c>
      <c r="Q633" s="8">
        <f t="shared" si="803"/>
        <v>11597.892187499998</v>
      </c>
      <c r="R633" s="25"/>
      <c r="T633" s="67"/>
      <c r="U633"/>
    </row>
    <row r="634" spans="1:21" ht="15" x14ac:dyDescent="0.25">
      <c r="A634" s="38">
        <v>104.01</v>
      </c>
      <c r="B634" s="13">
        <v>1</v>
      </c>
      <c r="C634" s="14" t="s">
        <v>31</v>
      </c>
      <c r="D634" s="13" t="s">
        <v>27</v>
      </c>
      <c r="E634" s="26" t="str">
        <f>VLOOKUP(C634,Resources!B:G,3,FALSE)</f>
        <v>P</v>
      </c>
      <c r="F634" s="15">
        <v>1</v>
      </c>
      <c r="G634" s="36">
        <f>VLOOKUP($A634,'Model Inputs'!$A:$C,3,FALSE)</f>
        <v>320</v>
      </c>
      <c r="H634" s="15">
        <f>H633</f>
        <v>7578</v>
      </c>
      <c r="I634" s="15">
        <f>VLOOKUP(C634,Resources!B:G,6,FALSE)</f>
        <v>165</v>
      </c>
      <c r="J634" s="27">
        <f>(H634/G634)*I634*F634</f>
        <v>3907.4062499999995</v>
      </c>
      <c r="K634" s="27">
        <f t="shared" ref="K634:K638" si="804">IF(E634="M"," ",L634*F634)</f>
        <v>23.681249999999999</v>
      </c>
      <c r="L634" s="157">
        <f t="shared" ref="L634:L638" si="805">IF(E634="M"," ",H634/G634)</f>
        <v>23.681249999999999</v>
      </c>
      <c r="M634" s="28">
        <f t="shared" ref="M634:M638" si="806">IF($E634="L",$J634,0)</f>
        <v>0</v>
      </c>
      <c r="N634" s="28">
        <f t="shared" ref="N634:N638" si="807">IF($E634="M",$J634,0)</f>
        <v>0</v>
      </c>
      <c r="O634" s="28">
        <f t="shared" ref="O634:O638" si="808">IF($E634="P",$J634,0)</f>
        <v>3907.4062499999995</v>
      </c>
      <c r="P634" s="28">
        <f t="shared" ref="P634:P638" si="809">IF($E634="S",$J634,0)</f>
        <v>0</v>
      </c>
      <c r="Q634" s="28">
        <f t="shared" ref="Q634:Q638" si="810">SUM(M634:P634)</f>
        <v>3907.4062499999995</v>
      </c>
      <c r="R634" s="26">
        <v>88</v>
      </c>
      <c r="T634" s="67"/>
      <c r="U634"/>
    </row>
    <row r="635" spans="1:21" ht="15" x14ac:dyDescent="0.25">
      <c r="A635" s="38" t="s">
        <v>418</v>
      </c>
      <c r="B635" s="13">
        <v>2</v>
      </c>
      <c r="C635" s="14" t="s">
        <v>74</v>
      </c>
      <c r="D635" s="13" t="s">
        <v>27</v>
      </c>
      <c r="E635" s="26" t="str">
        <f>VLOOKUP(C635,Resources!B:G,3,FALSE)</f>
        <v>P</v>
      </c>
      <c r="F635" s="15">
        <v>2</v>
      </c>
      <c r="G635" s="15">
        <f>G634</f>
        <v>320</v>
      </c>
      <c r="H635" s="15">
        <f>H633</f>
        <v>7578</v>
      </c>
      <c r="I635" s="15">
        <f>VLOOKUP(C635,Resources!B:G,6,FALSE)</f>
        <v>90</v>
      </c>
      <c r="J635" s="27">
        <f>(H635/G635)*I635*F635</f>
        <v>4262.625</v>
      </c>
      <c r="K635" s="27">
        <f t="shared" si="804"/>
        <v>47.362499999999997</v>
      </c>
      <c r="L635" s="157">
        <f t="shared" si="805"/>
        <v>23.681249999999999</v>
      </c>
      <c r="M635" s="28">
        <f t="shared" si="806"/>
        <v>0</v>
      </c>
      <c r="N635" s="28">
        <f t="shared" si="807"/>
        <v>0</v>
      </c>
      <c r="O635" s="28">
        <f t="shared" si="808"/>
        <v>4262.625</v>
      </c>
      <c r="P635" s="28">
        <f t="shared" si="809"/>
        <v>0</v>
      </c>
      <c r="Q635" s="28">
        <f t="shared" si="810"/>
        <v>4262.625</v>
      </c>
      <c r="R635" s="26">
        <v>88</v>
      </c>
      <c r="T635" s="67"/>
      <c r="U635"/>
    </row>
    <row r="636" spans="1:21" ht="15" x14ac:dyDescent="0.25">
      <c r="A636" s="38" t="s">
        <v>418</v>
      </c>
      <c r="B636" s="13">
        <v>3</v>
      </c>
      <c r="C636" s="14" t="s">
        <v>7</v>
      </c>
      <c r="D636" s="13" t="s">
        <v>27</v>
      </c>
      <c r="E636" s="26" t="str">
        <f>VLOOKUP(C636,Resources!B:G,3,FALSE)</f>
        <v>L</v>
      </c>
      <c r="F636" s="15">
        <v>3</v>
      </c>
      <c r="G636" s="15">
        <f>G634</f>
        <v>320</v>
      </c>
      <c r="H636" s="15">
        <f>H633</f>
        <v>7578</v>
      </c>
      <c r="I636" s="15">
        <f>VLOOKUP(C636,Resources!B:G,6,FALSE)</f>
        <v>48</v>
      </c>
      <c r="J636" s="27">
        <f>(H636/G636)*I636*F636</f>
        <v>3410.0999999999995</v>
      </c>
      <c r="K636" s="27">
        <f t="shared" si="804"/>
        <v>71.043749999999989</v>
      </c>
      <c r="L636" s="157">
        <f t="shared" si="805"/>
        <v>23.681249999999999</v>
      </c>
      <c r="M636" s="28">
        <f t="shared" si="806"/>
        <v>3410.0999999999995</v>
      </c>
      <c r="N636" s="28">
        <f t="shared" si="807"/>
        <v>0</v>
      </c>
      <c r="O636" s="28">
        <f t="shared" si="808"/>
        <v>0</v>
      </c>
      <c r="P636" s="28">
        <f t="shared" si="809"/>
        <v>0</v>
      </c>
      <c r="Q636" s="28">
        <f t="shared" si="810"/>
        <v>3410.0999999999995</v>
      </c>
      <c r="R636" s="26">
        <v>88</v>
      </c>
      <c r="T636" s="67"/>
      <c r="U636"/>
    </row>
    <row r="637" spans="1:21" ht="15" x14ac:dyDescent="0.25">
      <c r="A637" s="38" t="s">
        <v>418</v>
      </c>
      <c r="B637" s="13">
        <v>4</v>
      </c>
      <c r="C637" s="14" t="s">
        <v>45</v>
      </c>
      <c r="D637" s="13" t="s">
        <v>54</v>
      </c>
      <c r="E637" s="26" t="str">
        <f>VLOOKUP(C637,Resources!B:G,3,FALSE)</f>
        <v>P</v>
      </c>
      <c r="F637" s="15">
        <v>1</v>
      </c>
      <c r="G637" s="15">
        <f>G634*9</f>
        <v>2880</v>
      </c>
      <c r="H637" s="15">
        <f>H633/20</f>
        <v>378.9</v>
      </c>
      <c r="I637" s="15">
        <f>VLOOKUP(C637,Resources!B:G,6,FALSE)</f>
        <v>100</v>
      </c>
      <c r="J637" s="27">
        <f>(H637/G637)*I637*F637</f>
        <v>13.15625</v>
      </c>
      <c r="K637" s="27">
        <f t="shared" si="804"/>
        <v>0.1315625</v>
      </c>
      <c r="L637" s="157">
        <f t="shared" si="805"/>
        <v>0.1315625</v>
      </c>
      <c r="M637" s="28">
        <f t="shared" si="806"/>
        <v>0</v>
      </c>
      <c r="N637" s="28">
        <f t="shared" si="807"/>
        <v>0</v>
      </c>
      <c r="O637" s="28">
        <f t="shared" si="808"/>
        <v>13.15625</v>
      </c>
      <c r="P637" s="28">
        <f t="shared" si="809"/>
        <v>0</v>
      </c>
      <c r="Q637" s="28">
        <f t="shared" si="810"/>
        <v>13.15625</v>
      </c>
      <c r="R637" s="26">
        <v>88</v>
      </c>
      <c r="T637" s="67"/>
      <c r="U637"/>
    </row>
    <row r="638" spans="1:21" ht="15" x14ac:dyDescent="0.25">
      <c r="A638" s="38" t="s">
        <v>418</v>
      </c>
      <c r="B638" s="13">
        <v>5</v>
      </c>
      <c r="C638" s="14" t="s">
        <v>32</v>
      </c>
      <c r="D638" s="13" t="s">
        <v>27</v>
      </c>
      <c r="E638" s="26" t="str">
        <f>VLOOKUP(C638,Resources!B:G,3,FALSE)</f>
        <v>P</v>
      </c>
      <c r="F638" s="15">
        <v>1</v>
      </c>
      <c r="G638" s="15">
        <f>G634*9</f>
        <v>2880</v>
      </c>
      <c r="H638" s="15">
        <f>H633/20</f>
        <v>378.9</v>
      </c>
      <c r="I638" s="15">
        <f>VLOOKUP(C638,Resources!B:G,6,FALSE)</f>
        <v>35</v>
      </c>
      <c r="J638" s="27">
        <f>(H638/G638)*I638*F638</f>
        <v>4.6046874999999998</v>
      </c>
      <c r="K638" s="27">
        <f t="shared" si="804"/>
        <v>0.1315625</v>
      </c>
      <c r="L638" s="157">
        <f t="shared" si="805"/>
        <v>0.1315625</v>
      </c>
      <c r="M638" s="28">
        <f t="shared" si="806"/>
        <v>0</v>
      </c>
      <c r="N638" s="28">
        <f t="shared" si="807"/>
        <v>0</v>
      </c>
      <c r="O638" s="28">
        <f t="shared" si="808"/>
        <v>4.6046874999999998</v>
      </c>
      <c r="P638" s="28">
        <f t="shared" si="809"/>
        <v>0</v>
      </c>
      <c r="Q638" s="28">
        <f t="shared" si="810"/>
        <v>4.6046874999999998</v>
      </c>
      <c r="R638" s="26">
        <v>88</v>
      </c>
      <c r="T638" s="67"/>
      <c r="U638"/>
    </row>
    <row r="639" spans="1:21" ht="15" x14ac:dyDescent="0.25">
      <c r="B639" s="10"/>
      <c r="C639" s="9"/>
      <c r="D639" s="18"/>
      <c r="T639" s="67"/>
      <c r="U639"/>
    </row>
    <row r="640" spans="1:21" ht="67.5" x14ac:dyDescent="0.25">
      <c r="A640" s="38">
        <v>105</v>
      </c>
      <c r="B640" s="5" t="s">
        <v>421</v>
      </c>
      <c r="C640" s="5" t="s">
        <v>423</v>
      </c>
      <c r="D640" s="6" t="s">
        <v>214</v>
      </c>
      <c r="E640" s="25"/>
      <c r="F640" s="7"/>
      <c r="G640" s="7"/>
      <c r="H640" s="36">
        <f>VLOOKUP($A640,'Model Inputs'!$A:$C,3,FALSE)</f>
        <v>690</v>
      </c>
      <c r="I640" s="7"/>
      <c r="J640" s="7">
        <f>SUBTOTAL(9,J641:J645)</f>
        <v>45057</v>
      </c>
      <c r="K640" s="29"/>
      <c r="L640" s="156">
        <f>ROUNDUP(MAX(L641:L645)/Work,0)</f>
        <v>11</v>
      </c>
      <c r="M640" s="8">
        <f>SUBTOTAL(9,M641:M645)</f>
        <v>13248</v>
      </c>
      <c r="N640" s="8">
        <f t="shared" ref="N640" si="811">SUBTOTAL(9,N641:N645)</f>
        <v>0</v>
      </c>
      <c r="O640" s="8">
        <f t="shared" ref="O640" si="812">SUBTOTAL(9,O641:O645)</f>
        <v>31809</v>
      </c>
      <c r="P640" s="8">
        <f t="shared" ref="P640" si="813">SUBTOTAL(9,P641:P645)</f>
        <v>0</v>
      </c>
      <c r="Q640" s="8">
        <f t="shared" ref="Q640" si="814">SUBTOTAL(9,Q641:Q645)</f>
        <v>45057</v>
      </c>
      <c r="R640" s="25"/>
      <c r="T640" s="67"/>
      <c r="U640"/>
    </row>
    <row r="641" spans="1:21" ht="15" x14ac:dyDescent="0.25">
      <c r="A641" s="38">
        <v>105.01</v>
      </c>
      <c r="B641" s="13">
        <v>1</v>
      </c>
      <c r="C641" s="14" t="s">
        <v>31</v>
      </c>
      <c r="D641" s="13" t="s">
        <v>27</v>
      </c>
      <c r="E641" s="26" t="str">
        <f>VLOOKUP(C641,Resources!B:G,3,FALSE)</f>
        <v>P</v>
      </c>
      <c r="F641" s="15">
        <v>1</v>
      </c>
      <c r="G641" s="36">
        <f>VLOOKUP($A641,'Model Inputs'!$A:$C,3,FALSE)</f>
        <v>7.5</v>
      </c>
      <c r="H641" s="15">
        <f>H640</f>
        <v>690</v>
      </c>
      <c r="I641" s="15">
        <f>VLOOKUP(C641,Resources!B:G,6,FALSE)</f>
        <v>165</v>
      </c>
      <c r="J641" s="27">
        <f>(H641/G641)*I641*F641</f>
        <v>15180</v>
      </c>
      <c r="K641" s="27">
        <f t="shared" ref="K641:K645" si="815">IF(E641="M"," ",L641*F641)</f>
        <v>92</v>
      </c>
      <c r="L641" s="157">
        <f t="shared" ref="L641:L645" si="816">IF(E641="M"," ",H641/G641)</f>
        <v>92</v>
      </c>
      <c r="M641" s="28">
        <f t="shared" ref="M641:M645" si="817">IF($E641="L",$J641,0)</f>
        <v>0</v>
      </c>
      <c r="N641" s="28">
        <f t="shared" ref="N641:N645" si="818">IF($E641="M",$J641,0)</f>
        <v>0</v>
      </c>
      <c r="O641" s="28">
        <f t="shared" ref="O641:O645" si="819">IF($E641="P",$J641,0)</f>
        <v>15180</v>
      </c>
      <c r="P641" s="28">
        <f t="shared" ref="P641:P645" si="820">IF($E641="S",$J641,0)</f>
        <v>0</v>
      </c>
      <c r="Q641" s="28">
        <f t="shared" ref="Q641:Q645" si="821">SUM(M641:P641)</f>
        <v>15180</v>
      </c>
      <c r="R641" s="26">
        <v>53</v>
      </c>
      <c r="T641" s="67"/>
      <c r="U641"/>
    </row>
    <row r="642" spans="1:21" ht="15" x14ac:dyDescent="0.25">
      <c r="A642" s="38" t="s">
        <v>418</v>
      </c>
      <c r="B642" s="13">
        <v>2</v>
      </c>
      <c r="C642" s="14" t="s">
        <v>74</v>
      </c>
      <c r="D642" s="13" t="s">
        <v>27</v>
      </c>
      <c r="E642" s="26" t="str">
        <f>VLOOKUP(C642,Resources!B:G,3,FALSE)</f>
        <v>P</v>
      </c>
      <c r="F642" s="15">
        <v>2</v>
      </c>
      <c r="G642" s="15">
        <f>G641</f>
        <v>7.5</v>
      </c>
      <c r="H642" s="15">
        <f>H640</f>
        <v>690</v>
      </c>
      <c r="I642" s="15">
        <f>VLOOKUP(C642,Resources!B:G,6,FALSE)</f>
        <v>90</v>
      </c>
      <c r="J642" s="27">
        <f>(H642/G642)*I642*F642</f>
        <v>16560</v>
      </c>
      <c r="K642" s="27">
        <f t="shared" si="815"/>
        <v>184</v>
      </c>
      <c r="L642" s="157">
        <f t="shared" si="816"/>
        <v>92</v>
      </c>
      <c r="M642" s="28">
        <f t="shared" si="817"/>
        <v>0</v>
      </c>
      <c r="N642" s="28">
        <f t="shared" si="818"/>
        <v>0</v>
      </c>
      <c r="O642" s="28">
        <f t="shared" si="819"/>
        <v>16560</v>
      </c>
      <c r="P642" s="28">
        <f t="shared" si="820"/>
        <v>0</v>
      </c>
      <c r="Q642" s="28">
        <f t="shared" si="821"/>
        <v>16560</v>
      </c>
      <c r="R642" s="26">
        <v>53</v>
      </c>
      <c r="T642" s="67"/>
      <c r="U642"/>
    </row>
    <row r="643" spans="1:21" ht="15" x14ac:dyDescent="0.25">
      <c r="A643" s="38" t="s">
        <v>418</v>
      </c>
      <c r="B643" s="13">
        <v>3</v>
      </c>
      <c r="C643" s="14" t="s">
        <v>7</v>
      </c>
      <c r="D643" s="13" t="s">
        <v>27</v>
      </c>
      <c r="E643" s="26" t="str">
        <f>VLOOKUP(C643,Resources!B:G,3,FALSE)</f>
        <v>L</v>
      </c>
      <c r="F643" s="15">
        <v>3</v>
      </c>
      <c r="G643" s="15">
        <f>G641</f>
        <v>7.5</v>
      </c>
      <c r="H643" s="15">
        <f>H640</f>
        <v>690</v>
      </c>
      <c r="I643" s="15">
        <f>VLOOKUP(C643,Resources!B:G,6,FALSE)</f>
        <v>48</v>
      </c>
      <c r="J643" s="27">
        <f>(H643/G643)*I643*F643</f>
        <v>13248</v>
      </c>
      <c r="K643" s="27">
        <f t="shared" si="815"/>
        <v>276</v>
      </c>
      <c r="L643" s="157">
        <f t="shared" si="816"/>
        <v>92</v>
      </c>
      <c r="M643" s="28">
        <f t="shared" si="817"/>
        <v>13248</v>
      </c>
      <c r="N643" s="28">
        <f t="shared" si="818"/>
        <v>0</v>
      </c>
      <c r="O643" s="28">
        <f t="shared" si="819"/>
        <v>0</v>
      </c>
      <c r="P643" s="28">
        <f t="shared" si="820"/>
        <v>0</v>
      </c>
      <c r="Q643" s="28">
        <f t="shared" si="821"/>
        <v>13248</v>
      </c>
      <c r="R643" s="26">
        <v>53</v>
      </c>
      <c r="T643" s="67"/>
      <c r="U643"/>
    </row>
    <row r="644" spans="1:21" ht="15" x14ac:dyDescent="0.25">
      <c r="A644" s="38" t="s">
        <v>418</v>
      </c>
      <c r="B644" s="13">
        <v>4</v>
      </c>
      <c r="C644" s="14" t="s">
        <v>45</v>
      </c>
      <c r="D644" s="13" t="s">
        <v>54</v>
      </c>
      <c r="E644" s="26" t="str">
        <f>VLOOKUP(C644,Resources!B:G,3,FALSE)</f>
        <v>P</v>
      </c>
      <c r="F644" s="15">
        <v>1</v>
      </c>
      <c r="G644" s="15">
        <f>G641*9</f>
        <v>67.5</v>
      </c>
      <c r="H644" s="15">
        <f>H640/20</f>
        <v>34.5</v>
      </c>
      <c r="I644" s="15">
        <f>VLOOKUP(C644,Resources!B:G,6,FALSE)</f>
        <v>100</v>
      </c>
      <c r="J644" s="27">
        <f>(H644/G644)*I644*F644</f>
        <v>51.111111111111107</v>
      </c>
      <c r="K644" s="27">
        <f t="shared" si="815"/>
        <v>0.51111111111111107</v>
      </c>
      <c r="L644" s="157">
        <f t="shared" si="816"/>
        <v>0.51111111111111107</v>
      </c>
      <c r="M644" s="28">
        <f t="shared" si="817"/>
        <v>0</v>
      </c>
      <c r="N644" s="28">
        <f t="shared" si="818"/>
        <v>0</v>
      </c>
      <c r="O644" s="28">
        <f t="shared" si="819"/>
        <v>51.111111111111107</v>
      </c>
      <c r="P644" s="28">
        <f t="shared" si="820"/>
        <v>0</v>
      </c>
      <c r="Q644" s="28">
        <f t="shared" si="821"/>
        <v>51.111111111111107</v>
      </c>
      <c r="R644" s="26">
        <v>53</v>
      </c>
      <c r="T644" s="67"/>
      <c r="U644"/>
    </row>
    <row r="645" spans="1:21" ht="15" x14ac:dyDescent="0.25">
      <c r="A645" s="38" t="s">
        <v>418</v>
      </c>
      <c r="B645" s="13">
        <v>5</v>
      </c>
      <c r="C645" s="14" t="s">
        <v>32</v>
      </c>
      <c r="D645" s="13" t="s">
        <v>27</v>
      </c>
      <c r="E645" s="26" t="str">
        <f>VLOOKUP(C645,Resources!B:G,3,FALSE)</f>
        <v>P</v>
      </c>
      <c r="F645" s="15">
        <v>1</v>
      </c>
      <c r="G645" s="15">
        <f>G641*9</f>
        <v>67.5</v>
      </c>
      <c r="H645" s="15">
        <f>H640/20</f>
        <v>34.5</v>
      </c>
      <c r="I645" s="15">
        <f>VLOOKUP(C645,Resources!B:G,6,FALSE)</f>
        <v>35</v>
      </c>
      <c r="J645" s="27">
        <f>(H645/G645)*I645*F645</f>
        <v>17.888888888888886</v>
      </c>
      <c r="K645" s="27">
        <f t="shared" si="815"/>
        <v>0.51111111111111107</v>
      </c>
      <c r="L645" s="157">
        <f t="shared" si="816"/>
        <v>0.51111111111111107</v>
      </c>
      <c r="M645" s="28">
        <f t="shared" si="817"/>
        <v>0</v>
      </c>
      <c r="N645" s="28">
        <f t="shared" si="818"/>
        <v>0</v>
      </c>
      <c r="O645" s="28">
        <f t="shared" si="819"/>
        <v>17.888888888888886</v>
      </c>
      <c r="P645" s="28">
        <f t="shared" si="820"/>
        <v>0</v>
      </c>
      <c r="Q645" s="28">
        <f t="shared" si="821"/>
        <v>17.888888888888886</v>
      </c>
      <c r="R645" s="26">
        <v>53</v>
      </c>
      <c r="T645" s="67"/>
      <c r="U645"/>
    </row>
    <row r="646" spans="1:21" ht="15" x14ac:dyDescent="0.25">
      <c r="B646" s="10"/>
      <c r="C646" s="9"/>
      <c r="D646" s="18"/>
      <c r="T646" s="67"/>
      <c r="U646"/>
    </row>
    <row r="647" spans="1:21" ht="15" x14ac:dyDescent="0.25">
      <c r="A647" s="38">
        <v>106</v>
      </c>
      <c r="B647" s="5" t="s">
        <v>424</v>
      </c>
      <c r="C647" s="5" t="s">
        <v>425</v>
      </c>
      <c r="D647" s="6" t="s">
        <v>26</v>
      </c>
      <c r="E647" s="25"/>
      <c r="F647" s="7"/>
      <c r="G647" s="7"/>
      <c r="H647" s="36">
        <f>VLOOKUP($A647,'Model Inputs'!$A:$C,3,FALSE)</f>
        <v>9366</v>
      </c>
      <c r="I647" s="7"/>
      <c r="J647" s="7">
        <f>SUBTOTAL(9,J648:J650)</f>
        <v>22368.93024330843</v>
      </c>
      <c r="K647" s="29"/>
      <c r="L647" s="156">
        <f>MAX(L648:L650)/Work</f>
        <v>8.9404197615141605</v>
      </c>
      <c r="M647" s="7">
        <f>SUBTOTAL(9,M648:M650)</f>
        <v>3862.2613369741175</v>
      </c>
      <c r="N647" s="7">
        <f t="shared" ref="N647:Q647" si="822">SUBTOTAL(9,N648:N650)</f>
        <v>0</v>
      </c>
      <c r="O647" s="7">
        <f t="shared" si="822"/>
        <v>18506.668906334315</v>
      </c>
      <c r="P647" s="7">
        <f t="shared" si="822"/>
        <v>0</v>
      </c>
      <c r="Q647" s="7">
        <f t="shared" si="822"/>
        <v>22368.93024330843</v>
      </c>
      <c r="R647" s="25"/>
      <c r="T647" s="67"/>
      <c r="U647"/>
    </row>
    <row r="648" spans="1:21" ht="15" x14ac:dyDescent="0.25">
      <c r="A648" s="38" t="s">
        <v>418</v>
      </c>
      <c r="B648" s="13">
        <v>3</v>
      </c>
      <c r="C648" s="14" t="s">
        <v>73</v>
      </c>
      <c r="D648" s="13" t="s">
        <v>27</v>
      </c>
      <c r="E648" s="26" t="str">
        <f>VLOOKUP(C648,Resources!B:G,3,FALSE)</f>
        <v>P</v>
      </c>
      <c r="F648" s="15">
        <v>1</v>
      </c>
      <c r="G648" s="15">
        <v>116.40020205163364</v>
      </c>
      <c r="H648" s="15">
        <f>H647</f>
        <v>9366</v>
      </c>
      <c r="I648" s="15">
        <f>VLOOKUP(C648,Resources!B:G,6,FALSE)</f>
        <v>130</v>
      </c>
      <c r="J648" s="27">
        <f>(H648/G648)*I648*F648</f>
        <v>10460.291120971568</v>
      </c>
      <c r="K648" s="27">
        <f t="shared" ref="K648:K650" si="823">IF(E648="M"," ",L648*F648)</f>
        <v>80.463777853627448</v>
      </c>
      <c r="L648" s="157">
        <f t="shared" ref="L648:L650" si="824">IF(E648="M"," ",H648/G648)</f>
        <v>80.463777853627448</v>
      </c>
      <c r="M648" s="28">
        <f t="shared" ref="M648:M650" si="825">IF($E648="L",$J648,0)</f>
        <v>0</v>
      </c>
      <c r="N648" s="28">
        <f t="shared" ref="N648:N650" si="826">IF($E648="M",$J648,0)</f>
        <v>0</v>
      </c>
      <c r="O648" s="28">
        <f t="shared" ref="O648:O650" si="827">IF($E648="P",$J648,0)</f>
        <v>10460.291120971568</v>
      </c>
      <c r="P648" s="28">
        <f t="shared" ref="P648:P650" si="828">IF($E648="S",$J648,0)</f>
        <v>0</v>
      </c>
      <c r="Q648" s="28">
        <f t="shared" ref="Q648:Q650" si="829">SUM(M648:P648)</f>
        <v>10460.291120971568</v>
      </c>
      <c r="R648" s="26">
        <v>62</v>
      </c>
      <c r="T648" s="67"/>
      <c r="U648"/>
    </row>
    <row r="649" spans="1:21" ht="15" x14ac:dyDescent="0.25">
      <c r="A649" s="38" t="s">
        <v>418</v>
      </c>
      <c r="B649" s="13">
        <v>4</v>
      </c>
      <c r="C649" s="14" t="s">
        <v>45</v>
      </c>
      <c r="D649" s="13" t="s">
        <v>54</v>
      </c>
      <c r="E649" s="26" t="str">
        <f>VLOOKUP(C649,Resources!B:G,3,FALSE)</f>
        <v>P</v>
      </c>
      <c r="F649" s="15">
        <v>1</v>
      </c>
      <c r="G649" s="15">
        <f>G648</f>
        <v>116.40020205163364</v>
      </c>
      <c r="H649" s="15">
        <f>H647</f>
        <v>9366</v>
      </c>
      <c r="I649" s="15">
        <f>VLOOKUP(C649,Resources!B:G,6,FALSE)</f>
        <v>100</v>
      </c>
      <c r="J649" s="27">
        <f>(H649/G649)*I649*F649</f>
        <v>8046.3777853627453</v>
      </c>
      <c r="K649" s="27">
        <f t="shared" si="823"/>
        <v>80.463777853627448</v>
      </c>
      <c r="L649" s="157">
        <f t="shared" si="824"/>
        <v>80.463777853627448</v>
      </c>
      <c r="M649" s="28">
        <f t="shared" si="825"/>
        <v>0</v>
      </c>
      <c r="N649" s="28">
        <f t="shared" si="826"/>
        <v>0</v>
      </c>
      <c r="O649" s="28">
        <f t="shared" si="827"/>
        <v>8046.3777853627453</v>
      </c>
      <c r="P649" s="28">
        <f t="shared" si="828"/>
        <v>0</v>
      </c>
      <c r="Q649" s="28">
        <f t="shared" si="829"/>
        <v>8046.3777853627453</v>
      </c>
      <c r="R649" s="26">
        <v>62</v>
      </c>
      <c r="T649" s="67"/>
      <c r="U649"/>
    </row>
    <row r="650" spans="1:21" ht="15" x14ac:dyDescent="0.25">
      <c r="A650" s="38" t="s">
        <v>418</v>
      </c>
      <c r="B650" s="13">
        <v>5</v>
      </c>
      <c r="C650" s="14" t="s">
        <v>7</v>
      </c>
      <c r="D650" s="13" t="s">
        <v>27</v>
      </c>
      <c r="E650" s="26" t="str">
        <f>VLOOKUP(C650,Resources!B:G,3,FALSE)</f>
        <v>L</v>
      </c>
      <c r="F650" s="15">
        <v>1</v>
      </c>
      <c r="G650" s="15">
        <f>G648</f>
        <v>116.40020205163364</v>
      </c>
      <c r="H650" s="15">
        <f>H647</f>
        <v>9366</v>
      </c>
      <c r="I650" s="15">
        <f>VLOOKUP(C650,Resources!B:G,6,FALSE)</f>
        <v>48</v>
      </c>
      <c r="J650" s="27">
        <f>(H650/G650)*I650*F650</f>
        <v>3862.2613369741175</v>
      </c>
      <c r="K650" s="27">
        <f t="shared" si="823"/>
        <v>80.463777853627448</v>
      </c>
      <c r="L650" s="157">
        <f t="shared" si="824"/>
        <v>80.463777853627448</v>
      </c>
      <c r="M650" s="28">
        <f t="shared" si="825"/>
        <v>3862.2613369741175</v>
      </c>
      <c r="N650" s="28">
        <f t="shared" si="826"/>
        <v>0</v>
      </c>
      <c r="O650" s="28">
        <f t="shared" si="827"/>
        <v>0</v>
      </c>
      <c r="P650" s="28">
        <f t="shared" si="828"/>
        <v>0</v>
      </c>
      <c r="Q650" s="28">
        <f t="shared" si="829"/>
        <v>3862.2613369741175</v>
      </c>
      <c r="R650" s="26">
        <v>62</v>
      </c>
      <c r="T650" s="67"/>
      <c r="U650"/>
    </row>
    <row r="651" spans="1:21" ht="15" x14ac:dyDescent="0.25">
      <c r="B651" s="10"/>
      <c r="C651" s="9"/>
      <c r="D651" s="18"/>
      <c r="T651" s="67"/>
      <c r="U651"/>
    </row>
    <row r="652" spans="1:21" ht="22.5" x14ac:dyDescent="0.25">
      <c r="A652" s="38">
        <v>107</v>
      </c>
      <c r="B652" s="5" t="s">
        <v>426</v>
      </c>
      <c r="C652" s="5" t="s">
        <v>427</v>
      </c>
      <c r="D652" s="6" t="s">
        <v>214</v>
      </c>
      <c r="E652" s="25"/>
      <c r="F652" s="7"/>
      <c r="G652" s="7"/>
      <c r="H652" s="36">
        <f>VLOOKUP($A652,'Model Inputs'!$A:$C,3,FALSE)</f>
        <v>2057</v>
      </c>
      <c r="I652" s="7"/>
      <c r="J652" s="7">
        <f>SUBTOTAL(9,J655)</f>
        <v>67653.907200000001</v>
      </c>
      <c r="K652" s="29"/>
      <c r="L652" s="156"/>
      <c r="M652" s="7">
        <f>SUBTOTAL(9,M655)</f>
        <v>0</v>
      </c>
      <c r="N652" s="7">
        <f t="shared" ref="N652:Q652" si="830">SUBTOTAL(9,N655)</f>
        <v>0</v>
      </c>
      <c r="O652" s="7">
        <f t="shared" si="830"/>
        <v>0</v>
      </c>
      <c r="P652" s="7">
        <f t="shared" si="830"/>
        <v>67653.907200000001</v>
      </c>
      <c r="Q652" s="7">
        <f t="shared" si="830"/>
        <v>67653.907200000001</v>
      </c>
      <c r="R652" s="25"/>
      <c r="T652" s="67"/>
      <c r="U652"/>
    </row>
    <row r="653" spans="1:21" ht="15" x14ac:dyDescent="0.25">
      <c r="A653" s="38" t="s">
        <v>418</v>
      </c>
      <c r="B653" s="13">
        <v>1</v>
      </c>
      <c r="C653" s="14" t="s">
        <v>251</v>
      </c>
      <c r="D653" s="13"/>
      <c r="E653" s="26"/>
      <c r="F653" s="15"/>
      <c r="G653" s="15"/>
      <c r="H653" s="15">
        <f>H652*2.4</f>
        <v>4936.8</v>
      </c>
      <c r="I653" s="15"/>
      <c r="J653" s="15"/>
      <c r="K653" s="30"/>
      <c r="L653" s="157"/>
      <c r="M653" s="16"/>
      <c r="N653" s="16"/>
      <c r="O653" s="16"/>
      <c r="P653" s="16"/>
      <c r="Q653" s="16"/>
      <c r="R653" s="26"/>
      <c r="T653" s="67"/>
      <c r="U653"/>
    </row>
    <row r="654" spans="1:21" ht="15" x14ac:dyDescent="0.25">
      <c r="A654" s="38" t="s">
        <v>418</v>
      </c>
      <c r="B654" s="13">
        <v>2</v>
      </c>
      <c r="C654" s="14" t="s">
        <v>252</v>
      </c>
      <c r="D654" s="13"/>
      <c r="E654" s="26"/>
      <c r="F654" s="15">
        <v>57.1</v>
      </c>
      <c r="G654" s="15"/>
      <c r="H654" s="15"/>
      <c r="I654" s="15"/>
      <c r="J654" s="15"/>
      <c r="K654" s="30"/>
      <c r="L654" s="157"/>
      <c r="M654" s="16"/>
      <c r="N654" s="16"/>
      <c r="O654" s="16"/>
      <c r="P654" s="16"/>
      <c r="Q654" s="16"/>
      <c r="R654" s="26"/>
      <c r="T654" s="67"/>
      <c r="U654"/>
    </row>
    <row r="655" spans="1:21" ht="15" x14ac:dyDescent="0.25">
      <c r="A655" s="38" t="s">
        <v>418</v>
      </c>
      <c r="B655" s="13">
        <v>3</v>
      </c>
      <c r="C655" s="14" t="s">
        <v>128</v>
      </c>
      <c r="D655" s="13" t="s">
        <v>99</v>
      </c>
      <c r="E655" s="26" t="str">
        <f>VLOOKUP(C655,Resources!B:G,3,FALSE)</f>
        <v>S</v>
      </c>
      <c r="F655" s="15">
        <f>F654</f>
        <v>57.1</v>
      </c>
      <c r="G655" s="15">
        <v>1</v>
      </c>
      <c r="H655" s="15">
        <f>H653</f>
        <v>4936.8</v>
      </c>
      <c r="I655" s="15">
        <f>VLOOKUP(C655,Resources!B:G,6,FALSE)</f>
        <v>0.24</v>
      </c>
      <c r="J655" s="27">
        <f>(H655/G655)*I655*F655</f>
        <v>67653.907200000001</v>
      </c>
      <c r="K655" s="27">
        <f t="shared" ref="K655" si="831">IF(E655="M"," ",L655*F655)</f>
        <v>0</v>
      </c>
      <c r="L655" s="157">
        <f>L657</f>
        <v>0</v>
      </c>
      <c r="M655" s="28">
        <f t="shared" ref="M655" si="832">IF($E655="L",$J655,0)</f>
        <v>0</v>
      </c>
      <c r="N655" s="28">
        <f t="shared" ref="N655" si="833">IF($E655="M",$J655,0)</f>
        <v>0</v>
      </c>
      <c r="O655" s="28">
        <f t="shared" ref="O655" si="834">IF($E655="P",$J655,0)</f>
        <v>0</v>
      </c>
      <c r="P655" s="28">
        <f t="shared" ref="P655" si="835">IF($E655="S",$J655,0)</f>
        <v>67653.907200000001</v>
      </c>
      <c r="Q655" s="28">
        <f t="shared" ref="Q655" si="836">SUM(M655:P655)</f>
        <v>67653.907200000001</v>
      </c>
      <c r="R655" s="26">
        <v>62</v>
      </c>
      <c r="T655" s="67"/>
      <c r="U655"/>
    </row>
    <row r="656" spans="1:21" ht="15" x14ac:dyDescent="0.25">
      <c r="B656" s="10"/>
      <c r="C656" s="9"/>
      <c r="D656" s="18"/>
      <c r="T656" s="67"/>
      <c r="U656"/>
    </row>
    <row r="657" spans="1:21" ht="33.75" x14ac:dyDescent="0.25">
      <c r="A657" s="38">
        <v>108</v>
      </c>
      <c r="B657" s="5" t="s">
        <v>428</v>
      </c>
      <c r="C657" s="5" t="s">
        <v>429</v>
      </c>
      <c r="D657" s="6" t="s">
        <v>430</v>
      </c>
      <c r="E657" s="25"/>
      <c r="F657" s="7"/>
      <c r="G657" s="7"/>
      <c r="H657" s="36">
        <f>VLOOKUP($A657,'Model Inputs'!$A:$C,3,FALSE)</f>
        <v>16894</v>
      </c>
      <c r="I657" s="7"/>
      <c r="J657" s="7">
        <f>SUBTOTAL(9,J660)</f>
        <v>22799.999999999989</v>
      </c>
      <c r="K657" s="29"/>
      <c r="L657" s="156">
        <v>0</v>
      </c>
      <c r="M657" s="7">
        <f>SUBTOTAL(9,M660)</f>
        <v>0</v>
      </c>
      <c r="N657" s="7">
        <f t="shared" ref="N657:Q657" si="837">SUBTOTAL(9,N660)</f>
        <v>0</v>
      </c>
      <c r="O657" s="7">
        <f t="shared" si="837"/>
        <v>0</v>
      </c>
      <c r="P657" s="7">
        <f t="shared" si="837"/>
        <v>22799.999999999989</v>
      </c>
      <c r="Q657" s="7">
        <f t="shared" si="837"/>
        <v>22799.999999999989</v>
      </c>
      <c r="R657" s="25"/>
      <c r="T657" s="67"/>
      <c r="U657"/>
    </row>
    <row r="658" spans="1:21" ht="15" x14ac:dyDescent="0.25">
      <c r="A658" s="38" t="s">
        <v>418</v>
      </c>
      <c r="B658" s="13">
        <v>1</v>
      </c>
      <c r="C658" s="14" t="s">
        <v>251</v>
      </c>
      <c r="D658" s="13"/>
      <c r="E658" s="26"/>
      <c r="F658" s="15"/>
      <c r="G658" s="15"/>
      <c r="H658" s="15">
        <f>H657*2.4</f>
        <v>40545.599999999999</v>
      </c>
      <c r="I658" s="15"/>
      <c r="J658" s="15"/>
      <c r="K658" s="30"/>
      <c r="L658" s="157"/>
      <c r="M658" s="16"/>
      <c r="N658" s="16"/>
      <c r="O658" s="16"/>
      <c r="P658" s="16"/>
      <c r="Q658" s="16"/>
      <c r="R658" s="26"/>
      <c r="T658" s="67"/>
      <c r="U658"/>
    </row>
    <row r="659" spans="1:21" ht="15" x14ac:dyDescent="0.25">
      <c r="A659" s="38" t="s">
        <v>418</v>
      </c>
      <c r="B659" s="13">
        <v>2</v>
      </c>
      <c r="C659" s="14" t="s">
        <v>252</v>
      </c>
      <c r="D659" s="13"/>
      <c r="E659" s="26"/>
      <c r="F659" s="15">
        <v>2.3430409218262884</v>
      </c>
      <c r="G659" s="15"/>
      <c r="H659" s="15"/>
      <c r="I659" s="15"/>
      <c r="J659" s="15"/>
      <c r="K659" s="30"/>
      <c r="L659" s="157"/>
      <c r="M659" s="16"/>
      <c r="N659" s="16"/>
      <c r="O659" s="16"/>
      <c r="P659" s="16"/>
      <c r="Q659" s="16"/>
      <c r="R659" s="26"/>
      <c r="T659" s="67"/>
      <c r="U659"/>
    </row>
    <row r="660" spans="1:21" ht="15" x14ac:dyDescent="0.25">
      <c r="A660" s="38" t="s">
        <v>418</v>
      </c>
      <c r="B660" s="13">
        <v>3</v>
      </c>
      <c r="C660" s="14" t="s">
        <v>128</v>
      </c>
      <c r="D660" s="13" t="s">
        <v>99</v>
      </c>
      <c r="E660" s="26" t="str">
        <f>VLOOKUP(C660,Resources!B:G,3,FALSE)</f>
        <v>S</v>
      </c>
      <c r="F660" s="15">
        <f>F659</f>
        <v>2.3430409218262884</v>
      </c>
      <c r="G660" s="15">
        <v>1</v>
      </c>
      <c r="H660" s="15">
        <f>H658</f>
        <v>40545.599999999999</v>
      </c>
      <c r="I660" s="15">
        <f>VLOOKUP(C660,Resources!B:G,6,FALSE)</f>
        <v>0.24</v>
      </c>
      <c r="J660" s="27">
        <f>(H660/G660)*I660*F660</f>
        <v>22799.999999999989</v>
      </c>
      <c r="K660" s="27">
        <f t="shared" ref="K660" si="838">IF(E660="M"," ",L660*F660)</f>
        <v>30.459531983741748</v>
      </c>
      <c r="L660" s="157">
        <f>L662</f>
        <v>13</v>
      </c>
      <c r="M660" s="28">
        <f t="shared" ref="M660" si="839">IF($E660="L",$J660,0)</f>
        <v>0</v>
      </c>
      <c r="N660" s="28">
        <f t="shared" ref="N660" si="840">IF($E660="M",$J660,0)</f>
        <v>0</v>
      </c>
      <c r="O660" s="28">
        <f t="shared" ref="O660" si="841">IF($E660="P",$J660,0)</f>
        <v>0</v>
      </c>
      <c r="P660" s="28">
        <f t="shared" ref="P660" si="842">IF($E660="S",$J660,0)</f>
        <v>22799.999999999989</v>
      </c>
      <c r="Q660" s="28">
        <f t="shared" ref="Q660" si="843">SUM(M660:P660)</f>
        <v>22799.999999999989</v>
      </c>
      <c r="R660" s="26">
        <v>62</v>
      </c>
      <c r="T660" s="67"/>
      <c r="U660"/>
    </row>
    <row r="661" spans="1:21" ht="15" x14ac:dyDescent="0.25">
      <c r="B661" s="10"/>
      <c r="C661" s="9"/>
      <c r="D661" s="18"/>
      <c r="T661" s="67"/>
      <c r="U661"/>
    </row>
    <row r="662" spans="1:21" ht="15" x14ac:dyDescent="0.25">
      <c r="A662" s="38">
        <v>109</v>
      </c>
      <c r="B662" s="5" t="s">
        <v>431</v>
      </c>
      <c r="C662" s="5" t="s">
        <v>432</v>
      </c>
      <c r="D662" s="6" t="s">
        <v>214</v>
      </c>
      <c r="E662" s="25"/>
      <c r="F662" s="7"/>
      <c r="G662" s="7"/>
      <c r="H662" s="36">
        <f>VLOOKUP($A662,'Model Inputs'!$A:$C,3,FALSE)</f>
        <v>2057</v>
      </c>
      <c r="I662" s="7"/>
      <c r="J662" s="7">
        <f>SUBTOTAL(9,J663:J672)</f>
        <v>69648.496296296289</v>
      </c>
      <c r="K662" s="29"/>
      <c r="L662" s="156">
        <f>ROUNDUP(SUM(MAX(L663:L667),MAX(L669:L672))/Work,0)</f>
        <v>13</v>
      </c>
      <c r="M662" s="7">
        <f>SUBTOTAL(9,M663:M672)</f>
        <v>22709.279999999999</v>
      </c>
      <c r="N662" s="7">
        <f t="shared" ref="N662:Q662" si="844">SUBTOTAL(9,N663:N672)</f>
        <v>0</v>
      </c>
      <c r="O662" s="7">
        <f t="shared" si="844"/>
        <v>46939.21629629629</v>
      </c>
      <c r="P662" s="7">
        <f t="shared" si="844"/>
        <v>0</v>
      </c>
      <c r="Q662" s="7">
        <f t="shared" si="844"/>
        <v>69648.496296296289</v>
      </c>
      <c r="R662" s="25"/>
      <c r="T662" s="67"/>
      <c r="U662"/>
    </row>
    <row r="663" spans="1:21" ht="15" x14ac:dyDescent="0.25">
      <c r="A663" s="38">
        <v>109.01</v>
      </c>
      <c r="B663" s="13">
        <v>1</v>
      </c>
      <c r="C663" s="14" t="s">
        <v>31</v>
      </c>
      <c r="D663" s="13" t="s">
        <v>27</v>
      </c>
      <c r="E663" s="26" t="str">
        <f>VLOOKUP(C663,Resources!B:G,3,FALSE)</f>
        <v>P</v>
      </c>
      <c r="F663" s="15">
        <v>1</v>
      </c>
      <c r="G663" s="36">
        <f>VLOOKUP($A663,'Model Inputs'!$A:$C,3,FALSE)</f>
        <v>66.666666666666671</v>
      </c>
      <c r="H663" s="15">
        <f>H662*2.4</f>
        <v>4936.8</v>
      </c>
      <c r="I663" s="15">
        <f>VLOOKUP(C663,Resources!B:G,6,FALSE)</f>
        <v>165</v>
      </c>
      <c r="J663" s="27">
        <f>(H663/G663)*I663*F663</f>
        <v>12218.579999999998</v>
      </c>
      <c r="K663" s="27">
        <f t="shared" ref="K663:K667" si="845">IF(E663="M"," ",L663*F663)</f>
        <v>74.051999999999992</v>
      </c>
      <c r="L663" s="157">
        <f t="shared" ref="L663:L667" si="846">IF(E663="M"," ",H663/G663)</f>
        <v>74.051999999999992</v>
      </c>
      <c r="M663" s="28">
        <f t="shared" ref="M663:M667" si="847">IF($E663="L",$J663,0)</f>
        <v>0</v>
      </c>
      <c r="N663" s="28">
        <f t="shared" ref="N663:N667" si="848">IF($E663="M",$J663,0)</f>
        <v>0</v>
      </c>
      <c r="O663" s="28">
        <f t="shared" ref="O663:O667" si="849">IF($E663="P",$J663,0)</f>
        <v>12218.579999999998</v>
      </c>
      <c r="P663" s="28">
        <f t="shared" ref="P663:P667" si="850">IF($E663="S",$J663,0)</f>
        <v>0</v>
      </c>
      <c r="Q663" s="28">
        <f t="shared" ref="Q663:Q667" si="851">SUM(M663:P663)</f>
        <v>12218.579999999998</v>
      </c>
      <c r="R663" s="26">
        <v>62</v>
      </c>
      <c r="T663" s="67"/>
      <c r="U663"/>
    </row>
    <row r="664" spans="1:21" ht="15" x14ac:dyDescent="0.25">
      <c r="A664" s="38" t="s">
        <v>418</v>
      </c>
      <c r="B664" s="13">
        <v>2</v>
      </c>
      <c r="C664" s="14" t="s">
        <v>45</v>
      </c>
      <c r="D664" s="13" t="s">
        <v>27</v>
      </c>
      <c r="E664" s="26" t="str">
        <f>VLOOKUP(C664,Resources!B:G,3,FALSE)</f>
        <v>P</v>
      </c>
      <c r="F664" s="15">
        <v>2</v>
      </c>
      <c r="G664" s="15">
        <f>G663</f>
        <v>66.666666666666671</v>
      </c>
      <c r="H664" s="15">
        <f>H663</f>
        <v>4936.8</v>
      </c>
      <c r="I664" s="15">
        <f>VLOOKUP(C664,Resources!B:G,6,FALSE)</f>
        <v>100</v>
      </c>
      <c r="J664" s="27">
        <f>(H664/G664)*I664*F664</f>
        <v>14810.399999999998</v>
      </c>
      <c r="K664" s="27">
        <f t="shared" si="845"/>
        <v>148.10399999999998</v>
      </c>
      <c r="L664" s="157">
        <f t="shared" si="846"/>
        <v>74.051999999999992</v>
      </c>
      <c r="M664" s="28">
        <f t="shared" si="847"/>
        <v>0</v>
      </c>
      <c r="N664" s="28">
        <f t="shared" si="848"/>
        <v>0</v>
      </c>
      <c r="O664" s="28">
        <f t="shared" si="849"/>
        <v>14810.399999999998</v>
      </c>
      <c r="P664" s="28">
        <f t="shared" si="850"/>
        <v>0</v>
      </c>
      <c r="Q664" s="28">
        <f t="shared" si="851"/>
        <v>14810.399999999998</v>
      </c>
      <c r="R664" s="26">
        <v>62</v>
      </c>
      <c r="T664" s="67"/>
      <c r="U664"/>
    </row>
    <row r="665" spans="1:21" ht="15" x14ac:dyDescent="0.25">
      <c r="A665" s="38" t="s">
        <v>418</v>
      </c>
      <c r="B665" s="13">
        <v>3</v>
      </c>
      <c r="C665" s="14" t="s">
        <v>102</v>
      </c>
      <c r="D665" s="13" t="s">
        <v>54</v>
      </c>
      <c r="E665" s="26" t="str">
        <f>VLOOKUP(C665,Resources!B:G,3,FALSE)</f>
        <v>P</v>
      </c>
      <c r="F665" s="15">
        <v>1</v>
      </c>
      <c r="G665" s="15">
        <f>G663*9</f>
        <v>600</v>
      </c>
      <c r="H665" s="15">
        <f>H663</f>
        <v>4936.8</v>
      </c>
      <c r="I665" s="15">
        <f>VLOOKUP(C665,Resources!B:G,6,FALSE)</f>
        <v>365</v>
      </c>
      <c r="J665" s="27">
        <f>(H665/G665)*I665*F665</f>
        <v>3003.22</v>
      </c>
      <c r="K665" s="27">
        <f t="shared" si="845"/>
        <v>8.2279999999999998</v>
      </c>
      <c r="L665" s="157">
        <f t="shared" si="846"/>
        <v>8.2279999999999998</v>
      </c>
      <c r="M665" s="28">
        <f t="shared" si="847"/>
        <v>0</v>
      </c>
      <c r="N665" s="28">
        <f t="shared" si="848"/>
        <v>0</v>
      </c>
      <c r="O665" s="28">
        <f t="shared" si="849"/>
        <v>3003.22</v>
      </c>
      <c r="P665" s="28">
        <f t="shared" si="850"/>
        <v>0</v>
      </c>
      <c r="Q665" s="28">
        <f t="shared" si="851"/>
        <v>3003.22</v>
      </c>
      <c r="R665" s="26">
        <v>62</v>
      </c>
      <c r="T665" s="67"/>
      <c r="U665"/>
    </row>
    <row r="666" spans="1:21" ht="15" x14ac:dyDescent="0.25">
      <c r="A666" s="38" t="s">
        <v>418</v>
      </c>
      <c r="B666" s="13">
        <v>4</v>
      </c>
      <c r="C666" s="14" t="s">
        <v>176</v>
      </c>
      <c r="D666" s="13" t="s">
        <v>54</v>
      </c>
      <c r="E666" s="26" t="str">
        <f>VLOOKUP(C666,Resources!B:G,3,FALSE)</f>
        <v>P</v>
      </c>
      <c r="F666" s="15">
        <v>1</v>
      </c>
      <c r="G666" s="15">
        <f>G663*9</f>
        <v>600</v>
      </c>
      <c r="H666" s="15">
        <f>H663</f>
        <v>4936.8</v>
      </c>
      <c r="I666" s="15">
        <f>VLOOKUP(C666,Resources!B:G,6,FALSE)</f>
        <v>365</v>
      </c>
      <c r="J666" s="27">
        <f>(H666/G666)*I666*F666</f>
        <v>3003.22</v>
      </c>
      <c r="K666" s="27">
        <f t="shared" si="845"/>
        <v>8.2279999999999998</v>
      </c>
      <c r="L666" s="157">
        <f t="shared" si="846"/>
        <v>8.2279999999999998</v>
      </c>
      <c r="M666" s="28">
        <f t="shared" si="847"/>
        <v>0</v>
      </c>
      <c r="N666" s="28">
        <f t="shared" si="848"/>
        <v>0</v>
      </c>
      <c r="O666" s="28">
        <f t="shared" si="849"/>
        <v>3003.22</v>
      </c>
      <c r="P666" s="28">
        <f t="shared" si="850"/>
        <v>0</v>
      </c>
      <c r="Q666" s="28">
        <f t="shared" si="851"/>
        <v>3003.22</v>
      </c>
      <c r="R666" s="26">
        <v>62</v>
      </c>
      <c r="T666" s="67"/>
      <c r="U666"/>
    </row>
    <row r="667" spans="1:21" ht="15" x14ac:dyDescent="0.25">
      <c r="A667" s="38" t="s">
        <v>418</v>
      </c>
      <c r="B667" s="13">
        <v>5</v>
      </c>
      <c r="C667" s="14" t="s">
        <v>7</v>
      </c>
      <c r="D667" s="13" t="s">
        <v>27</v>
      </c>
      <c r="E667" s="26" t="str">
        <f>VLOOKUP(C667,Resources!B:G,3,FALSE)</f>
        <v>L</v>
      </c>
      <c r="F667" s="15">
        <v>5</v>
      </c>
      <c r="G667" s="15">
        <f>G663</f>
        <v>66.666666666666671</v>
      </c>
      <c r="H667" s="15">
        <f>H663</f>
        <v>4936.8</v>
      </c>
      <c r="I667" s="15">
        <f>VLOOKUP(C667,Resources!B:G,6,FALSE)</f>
        <v>48</v>
      </c>
      <c r="J667" s="27">
        <f>(H667/G667)*I667*F667</f>
        <v>17772.48</v>
      </c>
      <c r="K667" s="27">
        <f t="shared" si="845"/>
        <v>370.26</v>
      </c>
      <c r="L667" s="157">
        <f t="shared" si="846"/>
        <v>74.051999999999992</v>
      </c>
      <c r="M667" s="28">
        <f t="shared" si="847"/>
        <v>17772.48</v>
      </c>
      <c r="N667" s="28">
        <f t="shared" si="848"/>
        <v>0</v>
      </c>
      <c r="O667" s="28">
        <f t="shared" si="849"/>
        <v>0</v>
      </c>
      <c r="P667" s="28">
        <f t="shared" si="850"/>
        <v>0</v>
      </c>
      <c r="Q667" s="28">
        <f t="shared" si="851"/>
        <v>17772.48</v>
      </c>
      <c r="R667" s="26">
        <v>62</v>
      </c>
      <c r="T667" s="67"/>
      <c r="U667"/>
    </row>
    <row r="668" spans="1:21" ht="15" x14ac:dyDescent="0.25">
      <c r="A668" s="38">
        <v>109.02</v>
      </c>
      <c r="B668" s="13">
        <v>6</v>
      </c>
      <c r="C668" s="14" t="s">
        <v>301</v>
      </c>
      <c r="D668" s="13"/>
      <c r="E668" s="26"/>
      <c r="F668" s="15"/>
      <c r="G668" s="15"/>
      <c r="H668" s="36">
        <f>VLOOKUP($A668,'Model Inputs'!$A:$C,3,FALSE)</f>
        <v>0.3</v>
      </c>
      <c r="I668" s="15"/>
      <c r="J668" s="15"/>
      <c r="K668" s="30"/>
      <c r="L668" s="157"/>
      <c r="M668" s="16"/>
      <c r="N668" s="16"/>
      <c r="O668" s="16"/>
      <c r="P668" s="16"/>
      <c r="Q668" s="16"/>
      <c r="R668" s="26"/>
      <c r="T668" s="67"/>
      <c r="U668"/>
    </row>
    <row r="669" spans="1:21" ht="15" x14ac:dyDescent="0.25">
      <c r="A669" s="38">
        <v>109.03</v>
      </c>
      <c r="B669" s="13">
        <v>7</v>
      </c>
      <c r="C669" s="14" t="s">
        <v>31</v>
      </c>
      <c r="D669" s="13" t="s">
        <v>27</v>
      </c>
      <c r="E669" s="26" t="str">
        <f>VLOOKUP(C669,Resources!B:G,3,FALSE)</f>
        <v>P</v>
      </c>
      <c r="F669" s="15">
        <v>1</v>
      </c>
      <c r="G669" s="36">
        <f>VLOOKUP($A669,'Model Inputs'!$A:$C,3,FALSE)</f>
        <v>200</v>
      </c>
      <c r="H669" s="15">
        <f>H662/H668</f>
        <v>6856.666666666667</v>
      </c>
      <c r="I669" s="15">
        <f>VLOOKUP(C669,Resources!B:G,6,FALSE)</f>
        <v>165</v>
      </c>
      <c r="J669" s="27">
        <f>(H669/G669)*I669*F669</f>
        <v>5656.75</v>
      </c>
      <c r="K669" s="27">
        <f t="shared" ref="K669:K672" si="852">IF(E669="M"," ",L669*F669)</f>
        <v>34.283333333333331</v>
      </c>
      <c r="L669" s="157">
        <f t="shared" ref="L669:L672" si="853">IF(E669="M"," ",H669/G669)</f>
        <v>34.283333333333331</v>
      </c>
      <c r="M669" s="28">
        <f t="shared" ref="M669:M672" si="854">IF($E669="L",$J669,0)</f>
        <v>0</v>
      </c>
      <c r="N669" s="28">
        <f t="shared" ref="N669:N672" si="855">IF($E669="M",$J669,0)</f>
        <v>0</v>
      </c>
      <c r="O669" s="28">
        <f t="shared" ref="O669:O672" si="856">IF($E669="P",$J669,0)</f>
        <v>5656.75</v>
      </c>
      <c r="P669" s="28">
        <f t="shared" ref="P669:P672" si="857">IF($E669="S",$J669,0)</f>
        <v>0</v>
      </c>
      <c r="Q669" s="28">
        <f t="shared" ref="Q669:Q672" si="858">SUM(M669:P669)</f>
        <v>5656.75</v>
      </c>
      <c r="R669" s="26">
        <v>62</v>
      </c>
      <c r="T669" s="67"/>
      <c r="U669"/>
    </row>
    <row r="670" spans="1:21" ht="15" x14ac:dyDescent="0.25">
      <c r="A670" s="38" t="s">
        <v>418</v>
      </c>
      <c r="B670" s="13">
        <v>8</v>
      </c>
      <c r="C670" s="14" t="s">
        <v>45</v>
      </c>
      <c r="D670" s="13" t="s">
        <v>27</v>
      </c>
      <c r="E670" s="26" t="str">
        <f>VLOOKUP(C670,Resources!B:G,3,FALSE)</f>
        <v>P</v>
      </c>
      <c r="F670" s="15">
        <v>2</v>
      </c>
      <c r="G670" s="15">
        <f>G669</f>
        <v>200</v>
      </c>
      <c r="H670" s="15">
        <f>H669</f>
        <v>6856.666666666667</v>
      </c>
      <c r="I670" s="15">
        <f>VLOOKUP(C670,Resources!B:G,6,FALSE)</f>
        <v>100</v>
      </c>
      <c r="J670" s="27">
        <f>(H670/G670)*I670*F670</f>
        <v>6856.6666666666661</v>
      </c>
      <c r="K670" s="27">
        <f t="shared" si="852"/>
        <v>68.566666666666663</v>
      </c>
      <c r="L670" s="157">
        <f t="shared" si="853"/>
        <v>34.283333333333331</v>
      </c>
      <c r="M670" s="28">
        <f t="shared" si="854"/>
        <v>0</v>
      </c>
      <c r="N670" s="28">
        <f t="shared" si="855"/>
        <v>0</v>
      </c>
      <c r="O670" s="28">
        <f t="shared" si="856"/>
        <v>6856.6666666666661</v>
      </c>
      <c r="P670" s="28">
        <f t="shared" si="857"/>
        <v>0</v>
      </c>
      <c r="Q670" s="28">
        <f t="shared" si="858"/>
        <v>6856.6666666666661</v>
      </c>
      <c r="R670" s="26">
        <v>62</v>
      </c>
      <c r="T670" s="67"/>
      <c r="U670"/>
    </row>
    <row r="671" spans="1:21" ht="15" x14ac:dyDescent="0.25">
      <c r="A671" s="38" t="s">
        <v>418</v>
      </c>
      <c r="B671" s="13">
        <v>9</v>
      </c>
      <c r="C671" s="14" t="s">
        <v>176</v>
      </c>
      <c r="D671" s="13" t="s">
        <v>54</v>
      </c>
      <c r="E671" s="26" t="str">
        <f>VLOOKUP(C671,Resources!B:G,3,FALSE)</f>
        <v>P</v>
      </c>
      <c r="F671" s="15">
        <v>1</v>
      </c>
      <c r="G671" s="15">
        <f>G669*9</f>
        <v>1800</v>
      </c>
      <c r="H671" s="15">
        <f>H669</f>
        <v>6856.666666666667</v>
      </c>
      <c r="I671" s="15">
        <f>VLOOKUP(C671,Resources!B:G,6,FALSE)</f>
        <v>365</v>
      </c>
      <c r="J671" s="27">
        <f>(H671/G671)*I671*F671</f>
        <v>1390.3796296296296</v>
      </c>
      <c r="K671" s="27">
        <f t="shared" si="852"/>
        <v>3.8092592592592593</v>
      </c>
      <c r="L671" s="157">
        <f t="shared" si="853"/>
        <v>3.8092592592592593</v>
      </c>
      <c r="M671" s="28">
        <f t="shared" si="854"/>
        <v>0</v>
      </c>
      <c r="N671" s="28">
        <f t="shared" si="855"/>
        <v>0</v>
      </c>
      <c r="O671" s="28">
        <f t="shared" si="856"/>
        <v>1390.3796296296296</v>
      </c>
      <c r="P671" s="28">
        <f t="shared" si="857"/>
        <v>0</v>
      </c>
      <c r="Q671" s="28">
        <f t="shared" si="858"/>
        <v>1390.3796296296296</v>
      </c>
      <c r="R671" s="26">
        <v>62</v>
      </c>
      <c r="T671" s="67"/>
      <c r="U671"/>
    </row>
    <row r="672" spans="1:21" ht="15" x14ac:dyDescent="0.25">
      <c r="A672" s="38" t="s">
        <v>418</v>
      </c>
      <c r="B672" s="13">
        <v>10</v>
      </c>
      <c r="C672" s="14" t="s">
        <v>7</v>
      </c>
      <c r="D672" s="13" t="s">
        <v>27</v>
      </c>
      <c r="E672" s="26" t="str">
        <f>VLOOKUP(C672,Resources!B:G,3,FALSE)</f>
        <v>L</v>
      </c>
      <c r="F672" s="15">
        <v>3</v>
      </c>
      <c r="G672" s="15">
        <f>G669</f>
        <v>200</v>
      </c>
      <c r="H672" s="15">
        <f>H669</f>
        <v>6856.666666666667</v>
      </c>
      <c r="I672" s="15">
        <f>VLOOKUP(C672,Resources!B:G,6,FALSE)</f>
        <v>48</v>
      </c>
      <c r="J672" s="27">
        <f>(H672/G672)*I672*F672</f>
        <v>4936.7999999999993</v>
      </c>
      <c r="K672" s="27">
        <f t="shared" si="852"/>
        <v>102.85</v>
      </c>
      <c r="L672" s="157">
        <f t="shared" si="853"/>
        <v>34.283333333333331</v>
      </c>
      <c r="M672" s="28">
        <f t="shared" si="854"/>
        <v>4936.7999999999993</v>
      </c>
      <c r="N672" s="28">
        <f t="shared" si="855"/>
        <v>0</v>
      </c>
      <c r="O672" s="28">
        <f t="shared" si="856"/>
        <v>0</v>
      </c>
      <c r="P672" s="28">
        <f t="shared" si="857"/>
        <v>0</v>
      </c>
      <c r="Q672" s="28">
        <f t="shared" si="858"/>
        <v>4936.7999999999993</v>
      </c>
      <c r="R672" s="26">
        <v>62</v>
      </c>
      <c r="T672" s="67"/>
      <c r="U672"/>
    </row>
    <row r="673" spans="1:21" ht="15" x14ac:dyDescent="0.25">
      <c r="B673" s="10"/>
      <c r="C673" s="9"/>
      <c r="D673" s="18"/>
      <c r="T673" s="67"/>
      <c r="U673"/>
    </row>
    <row r="674" spans="1:21" ht="15" x14ac:dyDescent="0.25">
      <c r="A674" s="38">
        <v>110</v>
      </c>
      <c r="B674" s="5" t="s">
        <v>433</v>
      </c>
      <c r="C674" s="5" t="s">
        <v>434</v>
      </c>
      <c r="D674" s="6" t="s">
        <v>214</v>
      </c>
      <c r="E674" s="25"/>
      <c r="F674" s="7"/>
      <c r="G674" s="7"/>
      <c r="H674" s="36">
        <f>VLOOKUP($A674,'Model Inputs'!$A:$C,3,FALSE)</f>
        <v>801.75</v>
      </c>
      <c r="I674" s="7"/>
      <c r="J674" s="7">
        <f>SUBTOTAL(9,J677)</f>
        <v>26369.236799999999</v>
      </c>
      <c r="K674" s="29"/>
      <c r="L674" s="156">
        <v>0</v>
      </c>
      <c r="M674" s="7">
        <f>SUBTOTAL(9,M677)</f>
        <v>0</v>
      </c>
      <c r="N674" s="7">
        <f t="shared" ref="N674:Q674" si="859">SUBTOTAL(9,N677)</f>
        <v>0</v>
      </c>
      <c r="O674" s="7">
        <f t="shared" si="859"/>
        <v>0</v>
      </c>
      <c r="P674" s="7">
        <f t="shared" si="859"/>
        <v>26369.236799999999</v>
      </c>
      <c r="Q674" s="7">
        <f t="shared" si="859"/>
        <v>26369.236799999999</v>
      </c>
      <c r="R674" s="25"/>
      <c r="T674" s="67"/>
      <c r="U674"/>
    </row>
    <row r="675" spans="1:21" ht="15" x14ac:dyDescent="0.25">
      <c r="A675" s="38" t="s">
        <v>418</v>
      </c>
      <c r="B675" s="13">
        <v>1</v>
      </c>
      <c r="C675" s="14" t="s">
        <v>251</v>
      </c>
      <c r="D675" s="13"/>
      <c r="E675" s="26"/>
      <c r="F675" s="15"/>
      <c r="G675" s="15"/>
      <c r="H675" s="15">
        <f>H674*2.4</f>
        <v>1924.1999999999998</v>
      </c>
      <c r="I675" s="15"/>
      <c r="J675" s="15"/>
      <c r="K675" s="30"/>
      <c r="L675" s="157"/>
      <c r="M675" s="16"/>
      <c r="N675" s="16"/>
      <c r="O675" s="16"/>
      <c r="P675" s="16"/>
      <c r="Q675" s="16"/>
      <c r="R675" s="26"/>
      <c r="T675" s="67"/>
      <c r="U675"/>
    </row>
    <row r="676" spans="1:21" ht="15" x14ac:dyDescent="0.25">
      <c r="A676" s="38" t="s">
        <v>418</v>
      </c>
      <c r="B676" s="13">
        <v>2</v>
      </c>
      <c r="C676" s="14" t="s">
        <v>252</v>
      </c>
      <c r="D676" s="13"/>
      <c r="E676" s="26"/>
      <c r="F676" s="15">
        <v>57.1</v>
      </c>
      <c r="G676" s="15"/>
      <c r="H676" s="15"/>
      <c r="I676" s="15"/>
      <c r="J676" s="15"/>
      <c r="K676" s="30"/>
      <c r="L676" s="157"/>
      <c r="M676" s="16"/>
      <c r="N676" s="16"/>
      <c r="O676" s="16"/>
      <c r="P676" s="16"/>
      <c r="Q676" s="16"/>
      <c r="R676" s="26"/>
      <c r="T676" s="67"/>
      <c r="U676"/>
    </row>
    <row r="677" spans="1:21" ht="15" x14ac:dyDescent="0.25">
      <c r="A677" s="38" t="s">
        <v>418</v>
      </c>
      <c r="B677" s="13">
        <v>3</v>
      </c>
      <c r="C677" s="14" t="s">
        <v>128</v>
      </c>
      <c r="D677" s="13" t="s">
        <v>99</v>
      </c>
      <c r="E677" s="26" t="str">
        <f>VLOOKUP(C677,Resources!B:G,3,FALSE)</f>
        <v>S</v>
      </c>
      <c r="F677" s="15">
        <f>F676</f>
        <v>57.1</v>
      </c>
      <c r="G677" s="15">
        <v>1</v>
      </c>
      <c r="H677" s="15">
        <f>H675</f>
        <v>1924.1999999999998</v>
      </c>
      <c r="I677" s="15">
        <f>VLOOKUP(C677,Resources!B:G,6,FALSE)</f>
        <v>0.24</v>
      </c>
      <c r="J677" s="27">
        <f>(H677/G677)*I677*F677</f>
        <v>26369.236799999999</v>
      </c>
      <c r="K677" s="27">
        <f t="shared" ref="K677" si="860">IF(E677="M"," ",L677*F677)</f>
        <v>285.5</v>
      </c>
      <c r="L677" s="157">
        <f>L679</f>
        <v>5</v>
      </c>
      <c r="M677" s="28">
        <f t="shared" ref="M677" si="861">IF($E677="L",$J677,0)</f>
        <v>0</v>
      </c>
      <c r="N677" s="28">
        <f t="shared" ref="N677" si="862">IF($E677="M",$J677,0)</f>
        <v>0</v>
      </c>
      <c r="O677" s="28">
        <f t="shared" ref="O677" si="863">IF($E677="P",$J677,0)</f>
        <v>0</v>
      </c>
      <c r="P677" s="28">
        <f t="shared" ref="P677" si="864">IF($E677="S",$J677,0)</f>
        <v>26369.236799999999</v>
      </c>
      <c r="Q677" s="28">
        <f t="shared" ref="Q677" si="865">SUM(M677:P677)</f>
        <v>26369.236799999999</v>
      </c>
      <c r="R677" s="26">
        <v>62</v>
      </c>
      <c r="T677" s="67"/>
      <c r="U677"/>
    </row>
    <row r="678" spans="1:21" ht="15" x14ac:dyDescent="0.25">
      <c r="B678" s="10"/>
      <c r="C678" s="9"/>
      <c r="D678" s="18"/>
      <c r="T678" s="67"/>
      <c r="U678"/>
    </row>
    <row r="679" spans="1:21" ht="22.5" x14ac:dyDescent="0.25">
      <c r="A679" s="38">
        <v>111</v>
      </c>
      <c r="B679" s="5" t="s">
        <v>435</v>
      </c>
      <c r="C679" s="5" t="s">
        <v>436</v>
      </c>
      <c r="D679" s="6" t="s">
        <v>214</v>
      </c>
      <c r="E679" s="25"/>
      <c r="F679" s="7"/>
      <c r="G679" s="7"/>
      <c r="H679" s="36">
        <f>VLOOKUP($A679,'Model Inputs'!$A:$C,3,FALSE)</f>
        <v>801.75</v>
      </c>
      <c r="I679" s="7"/>
      <c r="J679" s="7">
        <f>SUBTOTAL(9,J680:J689)</f>
        <v>27146.661111111109</v>
      </c>
      <c r="K679" s="29"/>
      <c r="L679" s="156">
        <f>ROUNDUP(SUM(MAX(L680:L684),MAX(L686:L689))/Work,0)</f>
        <v>5</v>
      </c>
      <c r="M679" s="7">
        <f>SUBTOTAL(9,M680:M689)</f>
        <v>8851.32</v>
      </c>
      <c r="N679" s="7">
        <f t="shared" ref="N679:Q679" si="866">SUBTOTAL(9,N680:N689)</f>
        <v>0</v>
      </c>
      <c r="O679" s="7">
        <f t="shared" si="866"/>
        <v>18295.341111111109</v>
      </c>
      <c r="P679" s="7">
        <f t="shared" si="866"/>
        <v>0</v>
      </c>
      <c r="Q679" s="7">
        <f t="shared" si="866"/>
        <v>27146.661111111109</v>
      </c>
      <c r="R679" s="25"/>
      <c r="T679" s="67"/>
      <c r="U679"/>
    </row>
    <row r="680" spans="1:21" ht="15" x14ac:dyDescent="0.25">
      <c r="A680" s="38">
        <v>111.01</v>
      </c>
      <c r="B680" s="13">
        <v>1</v>
      </c>
      <c r="C680" s="14" t="s">
        <v>31</v>
      </c>
      <c r="D680" s="13" t="s">
        <v>27</v>
      </c>
      <c r="E680" s="26" t="str">
        <f>VLOOKUP(C680,Resources!B:G,3,FALSE)</f>
        <v>P</v>
      </c>
      <c r="F680" s="15">
        <v>1</v>
      </c>
      <c r="G680" s="36">
        <f>VLOOKUP($A680,'Model Inputs'!$A:$C,3,FALSE)</f>
        <v>66.666666666666671</v>
      </c>
      <c r="H680" s="15">
        <f>H679*2.4</f>
        <v>1924.1999999999998</v>
      </c>
      <c r="I680" s="15">
        <f>VLOOKUP(C680,Resources!B:G,6,FALSE)</f>
        <v>165</v>
      </c>
      <c r="J680" s="27">
        <f>(H680/G680)*I680*F680</f>
        <v>4762.3949999999995</v>
      </c>
      <c r="K680" s="27">
        <f t="shared" ref="K680:K684" si="867">IF(E680="M"," ",L680*F680)</f>
        <v>28.862999999999996</v>
      </c>
      <c r="L680" s="157">
        <f t="shared" ref="L680:L684" si="868">IF(E680="M"," ",H680/G680)</f>
        <v>28.862999999999996</v>
      </c>
      <c r="M680" s="28">
        <f t="shared" ref="M680:M684" si="869">IF($E680="L",$J680,0)</f>
        <v>0</v>
      </c>
      <c r="N680" s="28">
        <f t="shared" ref="N680:N684" si="870">IF($E680="M",$J680,0)</f>
        <v>0</v>
      </c>
      <c r="O680" s="28">
        <f t="shared" ref="O680:O684" si="871">IF($E680="P",$J680,0)</f>
        <v>4762.3949999999995</v>
      </c>
      <c r="P680" s="28">
        <f t="shared" ref="P680:P684" si="872">IF($E680="S",$J680,0)</f>
        <v>0</v>
      </c>
      <c r="Q680" s="28">
        <f t="shared" ref="Q680:Q684" si="873">SUM(M680:P680)</f>
        <v>4762.3949999999995</v>
      </c>
      <c r="R680" s="26">
        <v>62</v>
      </c>
      <c r="T680" s="67"/>
      <c r="U680"/>
    </row>
    <row r="681" spans="1:21" ht="15" x14ac:dyDescent="0.25">
      <c r="A681" s="38" t="s">
        <v>418</v>
      </c>
      <c r="B681" s="13">
        <v>2</v>
      </c>
      <c r="C681" s="14" t="s">
        <v>45</v>
      </c>
      <c r="D681" s="13" t="s">
        <v>27</v>
      </c>
      <c r="E681" s="26" t="str">
        <f>VLOOKUP(C681,Resources!B:G,3,FALSE)</f>
        <v>P</v>
      </c>
      <c r="F681" s="15">
        <v>2</v>
      </c>
      <c r="G681" s="15">
        <f>G680</f>
        <v>66.666666666666671</v>
      </c>
      <c r="H681" s="15">
        <f>H680</f>
        <v>1924.1999999999998</v>
      </c>
      <c r="I681" s="15">
        <f>VLOOKUP(C681,Resources!B:G,6,FALSE)</f>
        <v>100</v>
      </c>
      <c r="J681" s="27">
        <f>(H681/G681)*I681*F681</f>
        <v>5772.5999999999995</v>
      </c>
      <c r="K681" s="27">
        <f t="shared" si="867"/>
        <v>57.725999999999992</v>
      </c>
      <c r="L681" s="157">
        <f t="shared" si="868"/>
        <v>28.862999999999996</v>
      </c>
      <c r="M681" s="28">
        <f t="shared" si="869"/>
        <v>0</v>
      </c>
      <c r="N681" s="28">
        <f t="shared" si="870"/>
        <v>0</v>
      </c>
      <c r="O681" s="28">
        <f t="shared" si="871"/>
        <v>5772.5999999999995</v>
      </c>
      <c r="P681" s="28">
        <f t="shared" si="872"/>
        <v>0</v>
      </c>
      <c r="Q681" s="28">
        <f t="shared" si="873"/>
        <v>5772.5999999999995</v>
      </c>
      <c r="R681" s="26">
        <v>62</v>
      </c>
      <c r="T681" s="67"/>
      <c r="U681"/>
    </row>
    <row r="682" spans="1:21" ht="15" x14ac:dyDescent="0.25">
      <c r="A682" s="38" t="s">
        <v>418</v>
      </c>
      <c r="B682" s="13">
        <v>3</v>
      </c>
      <c r="C682" s="14" t="s">
        <v>102</v>
      </c>
      <c r="D682" s="13" t="s">
        <v>54</v>
      </c>
      <c r="E682" s="26" t="str">
        <f>VLOOKUP(C682,Resources!B:G,3,FALSE)</f>
        <v>P</v>
      </c>
      <c r="F682" s="15">
        <v>1</v>
      </c>
      <c r="G682" s="15">
        <f>G680*9</f>
        <v>600</v>
      </c>
      <c r="H682" s="15">
        <f>H680</f>
        <v>1924.1999999999998</v>
      </c>
      <c r="I682" s="15">
        <f>VLOOKUP(C682,Resources!B:G,6,FALSE)</f>
        <v>365</v>
      </c>
      <c r="J682" s="27">
        <f>(H682/G682)*I682*F682</f>
        <v>1170.5549999999998</v>
      </c>
      <c r="K682" s="27">
        <f t="shared" si="867"/>
        <v>3.2069999999999999</v>
      </c>
      <c r="L682" s="157">
        <f t="shared" si="868"/>
        <v>3.2069999999999999</v>
      </c>
      <c r="M682" s="28">
        <f t="shared" si="869"/>
        <v>0</v>
      </c>
      <c r="N682" s="28">
        <f t="shared" si="870"/>
        <v>0</v>
      </c>
      <c r="O682" s="28">
        <f t="shared" si="871"/>
        <v>1170.5549999999998</v>
      </c>
      <c r="P682" s="28">
        <f t="shared" si="872"/>
        <v>0</v>
      </c>
      <c r="Q682" s="28">
        <f t="shared" si="873"/>
        <v>1170.5549999999998</v>
      </c>
      <c r="R682" s="26">
        <v>62</v>
      </c>
      <c r="T682" s="67"/>
      <c r="U682"/>
    </row>
    <row r="683" spans="1:21" ht="15" x14ac:dyDescent="0.25">
      <c r="A683" s="38" t="s">
        <v>418</v>
      </c>
      <c r="B683" s="13">
        <v>4</v>
      </c>
      <c r="C683" s="14" t="s">
        <v>176</v>
      </c>
      <c r="D683" s="13" t="s">
        <v>54</v>
      </c>
      <c r="E683" s="26" t="str">
        <f>VLOOKUP(C683,Resources!B:G,3,FALSE)</f>
        <v>P</v>
      </c>
      <c r="F683" s="15">
        <v>1</v>
      </c>
      <c r="G683" s="15">
        <f>G680*9</f>
        <v>600</v>
      </c>
      <c r="H683" s="15">
        <f>H680</f>
        <v>1924.1999999999998</v>
      </c>
      <c r="I683" s="15">
        <f>VLOOKUP(C683,Resources!B:G,6,FALSE)</f>
        <v>365</v>
      </c>
      <c r="J683" s="27">
        <f>(H683/G683)*I683*F683</f>
        <v>1170.5549999999998</v>
      </c>
      <c r="K683" s="27">
        <f t="shared" si="867"/>
        <v>3.2069999999999999</v>
      </c>
      <c r="L683" s="157">
        <f t="shared" si="868"/>
        <v>3.2069999999999999</v>
      </c>
      <c r="M683" s="28">
        <f t="shared" si="869"/>
        <v>0</v>
      </c>
      <c r="N683" s="28">
        <f t="shared" si="870"/>
        <v>0</v>
      </c>
      <c r="O683" s="28">
        <f t="shared" si="871"/>
        <v>1170.5549999999998</v>
      </c>
      <c r="P683" s="28">
        <f t="shared" si="872"/>
        <v>0</v>
      </c>
      <c r="Q683" s="28">
        <f t="shared" si="873"/>
        <v>1170.5549999999998</v>
      </c>
      <c r="R683" s="26">
        <v>62</v>
      </c>
      <c r="T683" s="67"/>
      <c r="U683"/>
    </row>
    <row r="684" spans="1:21" ht="15" x14ac:dyDescent="0.25">
      <c r="A684" s="38" t="s">
        <v>418</v>
      </c>
      <c r="B684" s="13">
        <v>5</v>
      </c>
      <c r="C684" s="14" t="s">
        <v>7</v>
      </c>
      <c r="D684" s="13" t="s">
        <v>27</v>
      </c>
      <c r="E684" s="26" t="str">
        <f>VLOOKUP(C684,Resources!B:G,3,FALSE)</f>
        <v>L</v>
      </c>
      <c r="F684" s="15">
        <v>5</v>
      </c>
      <c r="G684" s="15">
        <f>G680</f>
        <v>66.666666666666671</v>
      </c>
      <c r="H684" s="15">
        <f>H680</f>
        <v>1924.1999999999998</v>
      </c>
      <c r="I684" s="15">
        <f>VLOOKUP(C684,Resources!B:G,6,FALSE)</f>
        <v>48</v>
      </c>
      <c r="J684" s="27">
        <f>(H684/G684)*I684*F684</f>
        <v>6927.119999999999</v>
      </c>
      <c r="K684" s="27">
        <f t="shared" si="867"/>
        <v>144.31499999999997</v>
      </c>
      <c r="L684" s="157">
        <f t="shared" si="868"/>
        <v>28.862999999999996</v>
      </c>
      <c r="M684" s="28">
        <f t="shared" si="869"/>
        <v>6927.119999999999</v>
      </c>
      <c r="N684" s="28">
        <f t="shared" si="870"/>
        <v>0</v>
      </c>
      <c r="O684" s="28">
        <f t="shared" si="871"/>
        <v>0</v>
      </c>
      <c r="P684" s="28">
        <f t="shared" si="872"/>
        <v>0</v>
      </c>
      <c r="Q684" s="28">
        <f t="shared" si="873"/>
        <v>6927.119999999999</v>
      </c>
      <c r="R684" s="26">
        <v>62</v>
      </c>
      <c r="T684" s="67"/>
      <c r="U684"/>
    </row>
    <row r="685" spans="1:21" ht="15" x14ac:dyDescent="0.25">
      <c r="A685" s="38">
        <v>111.02</v>
      </c>
      <c r="B685" s="13">
        <v>6</v>
      </c>
      <c r="C685" s="14" t="s">
        <v>301</v>
      </c>
      <c r="D685" s="13"/>
      <c r="E685" s="26"/>
      <c r="F685" s="15"/>
      <c r="G685" s="15"/>
      <c r="H685" s="36">
        <f>VLOOKUP($A685,'Model Inputs'!$A:$C,3,FALSE)</f>
        <v>0.3</v>
      </c>
      <c r="I685" s="15"/>
      <c r="J685" s="15"/>
      <c r="K685" s="30"/>
      <c r="L685" s="157"/>
      <c r="M685" s="16"/>
      <c r="N685" s="16"/>
      <c r="O685" s="16"/>
      <c r="P685" s="16"/>
      <c r="Q685" s="16"/>
      <c r="R685" s="26"/>
      <c r="T685" s="67"/>
      <c r="U685"/>
    </row>
    <row r="686" spans="1:21" ht="15" x14ac:dyDescent="0.25">
      <c r="A686" s="38">
        <v>111.03</v>
      </c>
      <c r="B686" s="13">
        <v>7</v>
      </c>
      <c r="C686" s="14" t="s">
        <v>31</v>
      </c>
      <c r="D686" s="13" t="s">
        <v>27</v>
      </c>
      <c r="E686" s="26" t="str">
        <f>VLOOKUP(C686,Resources!B:G,3,FALSE)</f>
        <v>P</v>
      </c>
      <c r="F686" s="15">
        <v>1</v>
      </c>
      <c r="G686" s="36">
        <f>VLOOKUP($A686,'Model Inputs'!$A:$C,3,FALSE)</f>
        <v>200</v>
      </c>
      <c r="H686" s="15">
        <f>H679/H685</f>
        <v>2672.5</v>
      </c>
      <c r="I686" s="15">
        <f>VLOOKUP(C686,Resources!B:G,6,FALSE)</f>
        <v>165</v>
      </c>
      <c r="J686" s="27">
        <f>(H686/G686)*I686*F686</f>
        <v>2204.8125</v>
      </c>
      <c r="K686" s="27">
        <f t="shared" ref="K686:K689" si="874">IF(E686="M"," ",L686*F686)</f>
        <v>13.362500000000001</v>
      </c>
      <c r="L686" s="157">
        <f t="shared" ref="L686:L689" si="875">IF(E686="M"," ",H686/G686)</f>
        <v>13.362500000000001</v>
      </c>
      <c r="M686" s="28">
        <f t="shared" ref="M686:M689" si="876">IF($E686="L",$J686,0)</f>
        <v>0</v>
      </c>
      <c r="N686" s="28">
        <f t="shared" ref="N686:N689" si="877">IF($E686="M",$J686,0)</f>
        <v>0</v>
      </c>
      <c r="O686" s="28">
        <f t="shared" ref="O686:O689" si="878">IF($E686="P",$J686,0)</f>
        <v>2204.8125</v>
      </c>
      <c r="P686" s="28">
        <f t="shared" ref="P686:P689" si="879">IF($E686="S",$J686,0)</f>
        <v>0</v>
      </c>
      <c r="Q686" s="28">
        <f t="shared" ref="Q686:Q689" si="880">SUM(M686:P686)</f>
        <v>2204.8125</v>
      </c>
      <c r="R686" s="26">
        <v>62</v>
      </c>
      <c r="T686" s="67"/>
      <c r="U686"/>
    </row>
    <row r="687" spans="1:21" ht="15" x14ac:dyDescent="0.25">
      <c r="A687" s="38" t="s">
        <v>418</v>
      </c>
      <c r="B687" s="13">
        <v>8</v>
      </c>
      <c r="C687" s="14" t="s">
        <v>45</v>
      </c>
      <c r="D687" s="13" t="s">
        <v>27</v>
      </c>
      <c r="E687" s="26" t="str">
        <f>VLOOKUP(C687,Resources!B:G,3,FALSE)</f>
        <v>P</v>
      </c>
      <c r="F687" s="15">
        <v>2</v>
      </c>
      <c r="G687" s="15">
        <f>G686</f>
        <v>200</v>
      </c>
      <c r="H687" s="15">
        <f>H686</f>
        <v>2672.5</v>
      </c>
      <c r="I687" s="15">
        <f>VLOOKUP(C687,Resources!B:G,6,FALSE)</f>
        <v>100</v>
      </c>
      <c r="J687" s="27">
        <f>(H687/G687)*I687*F687</f>
        <v>2672.5</v>
      </c>
      <c r="K687" s="27">
        <f t="shared" si="874"/>
        <v>26.725000000000001</v>
      </c>
      <c r="L687" s="157">
        <f t="shared" si="875"/>
        <v>13.362500000000001</v>
      </c>
      <c r="M687" s="28">
        <f t="shared" si="876"/>
        <v>0</v>
      </c>
      <c r="N687" s="28">
        <f t="shared" si="877"/>
        <v>0</v>
      </c>
      <c r="O687" s="28">
        <f t="shared" si="878"/>
        <v>2672.5</v>
      </c>
      <c r="P687" s="28">
        <f t="shared" si="879"/>
        <v>0</v>
      </c>
      <c r="Q687" s="28">
        <f t="shared" si="880"/>
        <v>2672.5</v>
      </c>
      <c r="R687" s="26">
        <v>62</v>
      </c>
      <c r="T687" s="67"/>
      <c r="U687"/>
    </row>
    <row r="688" spans="1:21" ht="15" x14ac:dyDescent="0.25">
      <c r="A688" s="38" t="s">
        <v>418</v>
      </c>
      <c r="B688" s="13">
        <v>9</v>
      </c>
      <c r="C688" s="14" t="s">
        <v>176</v>
      </c>
      <c r="D688" s="13" t="s">
        <v>54</v>
      </c>
      <c r="E688" s="26" t="str">
        <f>VLOOKUP(C688,Resources!B:G,3,FALSE)</f>
        <v>P</v>
      </c>
      <c r="F688" s="15">
        <v>1</v>
      </c>
      <c r="G688" s="15">
        <f>G686*9</f>
        <v>1800</v>
      </c>
      <c r="H688" s="15">
        <f>H686</f>
        <v>2672.5</v>
      </c>
      <c r="I688" s="15">
        <f>VLOOKUP(C688,Resources!B:G,6,FALSE)</f>
        <v>365</v>
      </c>
      <c r="J688" s="27">
        <f>(H688/G688)*I688*F688</f>
        <v>541.92361111111109</v>
      </c>
      <c r="K688" s="27">
        <f t="shared" si="874"/>
        <v>1.4847222222222223</v>
      </c>
      <c r="L688" s="157">
        <f t="shared" si="875"/>
        <v>1.4847222222222223</v>
      </c>
      <c r="M688" s="28">
        <f t="shared" si="876"/>
        <v>0</v>
      </c>
      <c r="N688" s="28">
        <f t="shared" si="877"/>
        <v>0</v>
      </c>
      <c r="O688" s="28">
        <f t="shared" si="878"/>
        <v>541.92361111111109</v>
      </c>
      <c r="P688" s="28">
        <f t="shared" si="879"/>
        <v>0</v>
      </c>
      <c r="Q688" s="28">
        <f t="shared" si="880"/>
        <v>541.92361111111109</v>
      </c>
      <c r="R688" s="26">
        <v>62</v>
      </c>
      <c r="T688" s="67"/>
      <c r="U688"/>
    </row>
    <row r="689" spans="1:21" ht="15" x14ac:dyDescent="0.25">
      <c r="A689" s="38" t="s">
        <v>418</v>
      </c>
      <c r="B689" s="13">
        <v>10</v>
      </c>
      <c r="C689" s="14" t="s">
        <v>7</v>
      </c>
      <c r="D689" s="13" t="s">
        <v>27</v>
      </c>
      <c r="E689" s="26" t="str">
        <f>VLOOKUP(C689,Resources!B:G,3,FALSE)</f>
        <v>L</v>
      </c>
      <c r="F689" s="15">
        <v>3</v>
      </c>
      <c r="G689" s="15">
        <f>G686</f>
        <v>200</v>
      </c>
      <c r="H689" s="15">
        <f>H686</f>
        <v>2672.5</v>
      </c>
      <c r="I689" s="15">
        <f>VLOOKUP(C689,Resources!B:G,6,FALSE)</f>
        <v>48</v>
      </c>
      <c r="J689" s="27">
        <f>(H689/G689)*I689*F689</f>
        <v>1924.2000000000003</v>
      </c>
      <c r="K689" s="27">
        <f t="shared" si="874"/>
        <v>40.087500000000006</v>
      </c>
      <c r="L689" s="157">
        <f t="shared" si="875"/>
        <v>13.362500000000001</v>
      </c>
      <c r="M689" s="28">
        <f t="shared" si="876"/>
        <v>1924.2000000000003</v>
      </c>
      <c r="N689" s="28">
        <f t="shared" si="877"/>
        <v>0</v>
      </c>
      <c r="O689" s="28">
        <f t="shared" si="878"/>
        <v>0</v>
      </c>
      <c r="P689" s="28">
        <f t="shared" si="879"/>
        <v>0</v>
      </c>
      <c r="Q689" s="28">
        <f t="shared" si="880"/>
        <v>1924.2000000000003</v>
      </c>
      <c r="R689" s="26">
        <v>62</v>
      </c>
      <c r="T689" s="67"/>
      <c r="U689"/>
    </row>
    <row r="690" spans="1:21" ht="15" x14ac:dyDescent="0.25">
      <c r="B690" s="10"/>
      <c r="C690" s="9"/>
      <c r="D690" s="18"/>
      <c r="T690" s="67"/>
      <c r="U690"/>
    </row>
    <row r="691" spans="1:21" ht="15" x14ac:dyDescent="0.25">
      <c r="B691" s="10"/>
      <c r="C691" s="9"/>
      <c r="D691" s="18"/>
      <c r="T691" s="67"/>
      <c r="U691"/>
    </row>
    <row r="692" spans="1:21" ht="22.5" x14ac:dyDescent="0.25">
      <c r="A692" s="38">
        <v>112</v>
      </c>
      <c r="B692" s="5" t="s">
        <v>437</v>
      </c>
      <c r="C692" s="5" t="s">
        <v>438</v>
      </c>
      <c r="D692" s="6" t="s">
        <v>21</v>
      </c>
      <c r="E692" s="25"/>
      <c r="F692" s="7"/>
      <c r="G692" s="7"/>
      <c r="H692" s="36">
        <f>VLOOKUP($A692,'Model Inputs'!$A:$C,3,FALSE)</f>
        <v>1</v>
      </c>
      <c r="I692" s="7"/>
      <c r="J692" s="7">
        <f>SUBTOTAL(9,J693:J701)</f>
        <v>5791.0041025641021</v>
      </c>
      <c r="K692" s="29"/>
      <c r="L692" s="156">
        <f>ROUNDUP(MAX(L693:L701)*Work,0)</f>
        <v>14</v>
      </c>
      <c r="M692" s="7">
        <f>SUBTOTAL(9,M693:M701)</f>
        <v>216</v>
      </c>
      <c r="N692" s="7">
        <f t="shared" ref="N692:Q692" si="881">SUBTOTAL(9,N693:N701)</f>
        <v>0</v>
      </c>
      <c r="O692" s="7">
        <f t="shared" si="881"/>
        <v>608.33333333333337</v>
      </c>
      <c r="P692" s="7">
        <f t="shared" si="881"/>
        <v>4966.6707692307682</v>
      </c>
      <c r="Q692" s="7">
        <f t="shared" si="881"/>
        <v>5791.0041025641021</v>
      </c>
      <c r="R692" s="25"/>
      <c r="T692" s="67"/>
      <c r="U692"/>
    </row>
    <row r="693" spans="1:21" ht="15" x14ac:dyDescent="0.25">
      <c r="A693" s="38">
        <v>112.01</v>
      </c>
      <c r="B693" s="13">
        <v>7</v>
      </c>
      <c r="C693" s="14" t="s">
        <v>31</v>
      </c>
      <c r="D693" s="13" t="s">
        <v>27</v>
      </c>
      <c r="E693" s="26" t="str">
        <f>VLOOKUP(C693,Resources!B:G,3,FALSE)</f>
        <v>P</v>
      </c>
      <c r="F693" s="15">
        <v>1</v>
      </c>
      <c r="G693" s="36">
        <f>VLOOKUP($A693,'Model Inputs'!$A:$C,3,FALSE)</f>
        <v>200</v>
      </c>
      <c r="H693" s="15">
        <f>H692*300</f>
        <v>300</v>
      </c>
      <c r="I693" s="15">
        <f>VLOOKUP(C693,Resources!B:G,6,FALSE)</f>
        <v>165</v>
      </c>
      <c r="J693" s="27">
        <f t="shared" ref="J693:J701" si="882">(H693/G693)*I693*F693</f>
        <v>247.5</v>
      </c>
      <c r="K693" s="27">
        <f t="shared" ref="K693:K701" si="883">IF(E693="M"," ",L693*F693)</f>
        <v>1.5</v>
      </c>
      <c r="L693" s="157">
        <f t="shared" ref="L693:L696" si="884">IF(E693="M"," ",H693/G693)</f>
        <v>1.5</v>
      </c>
      <c r="M693" s="28">
        <f t="shared" ref="M693:M701" si="885">IF($E693="L",$J693,0)</f>
        <v>0</v>
      </c>
      <c r="N693" s="28">
        <f t="shared" ref="N693:N701" si="886">IF($E693="M",$J693,0)</f>
        <v>0</v>
      </c>
      <c r="O693" s="28">
        <f t="shared" ref="O693:O701" si="887">IF($E693="P",$J693,0)</f>
        <v>247.5</v>
      </c>
      <c r="P693" s="28">
        <f t="shared" ref="P693:P701" si="888">IF($E693="S",$J693,0)</f>
        <v>0</v>
      </c>
      <c r="Q693" s="28">
        <f t="shared" ref="Q693:Q701" si="889">SUM(M693:P693)</f>
        <v>247.5</v>
      </c>
      <c r="R693" s="26">
        <v>64</v>
      </c>
      <c r="T693" s="67"/>
      <c r="U693"/>
    </row>
    <row r="694" spans="1:21" ht="15" x14ac:dyDescent="0.25">
      <c r="A694" s="38" t="s">
        <v>418</v>
      </c>
      <c r="B694" s="13">
        <v>8</v>
      </c>
      <c r="C694" s="14" t="s">
        <v>45</v>
      </c>
      <c r="D694" s="13" t="s">
        <v>27</v>
      </c>
      <c r="E694" s="26" t="str">
        <f>VLOOKUP(C694,Resources!B:G,3,FALSE)</f>
        <v>P</v>
      </c>
      <c r="F694" s="15">
        <v>2</v>
      </c>
      <c r="G694" s="15">
        <f>G693</f>
        <v>200</v>
      </c>
      <c r="H694" s="15">
        <f>H693</f>
        <v>300</v>
      </c>
      <c r="I694" s="15">
        <f>VLOOKUP(C694,Resources!B:G,6,FALSE)</f>
        <v>100</v>
      </c>
      <c r="J694" s="27">
        <f t="shared" si="882"/>
        <v>300</v>
      </c>
      <c r="K694" s="27">
        <f t="shared" si="883"/>
        <v>3</v>
      </c>
      <c r="L694" s="157">
        <f t="shared" si="884"/>
        <v>1.5</v>
      </c>
      <c r="M694" s="28">
        <f t="shared" si="885"/>
        <v>0</v>
      </c>
      <c r="N694" s="28">
        <f t="shared" si="886"/>
        <v>0</v>
      </c>
      <c r="O694" s="28">
        <f t="shared" si="887"/>
        <v>300</v>
      </c>
      <c r="P694" s="28">
        <f t="shared" si="888"/>
        <v>0</v>
      </c>
      <c r="Q694" s="28">
        <f t="shared" si="889"/>
        <v>300</v>
      </c>
      <c r="R694" s="26">
        <v>64</v>
      </c>
      <c r="T694" s="67"/>
      <c r="U694"/>
    </row>
    <row r="695" spans="1:21" ht="15" x14ac:dyDescent="0.25">
      <c r="A695" s="38" t="s">
        <v>418</v>
      </c>
      <c r="B695" s="13">
        <v>9</v>
      </c>
      <c r="C695" s="14" t="s">
        <v>176</v>
      </c>
      <c r="D695" s="13" t="s">
        <v>54</v>
      </c>
      <c r="E695" s="26" t="str">
        <f>VLOOKUP(C695,Resources!B:G,3,FALSE)</f>
        <v>P</v>
      </c>
      <c r="F695" s="15">
        <v>1</v>
      </c>
      <c r="G695" s="15">
        <f>G693*9</f>
        <v>1800</v>
      </c>
      <c r="H695" s="15">
        <f>H693</f>
        <v>300</v>
      </c>
      <c r="I695" s="15">
        <f>VLOOKUP(C695,Resources!B:G,6,FALSE)</f>
        <v>365</v>
      </c>
      <c r="J695" s="27">
        <f t="shared" si="882"/>
        <v>60.833333333333329</v>
      </c>
      <c r="K695" s="27">
        <f t="shared" si="883"/>
        <v>0.16666666666666666</v>
      </c>
      <c r="L695" s="157">
        <f t="shared" si="884"/>
        <v>0.16666666666666666</v>
      </c>
      <c r="M695" s="28">
        <f t="shared" si="885"/>
        <v>0</v>
      </c>
      <c r="N695" s="28">
        <f t="shared" si="886"/>
        <v>0</v>
      </c>
      <c r="O695" s="28">
        <f t="shared" si="887"/>
        <v>60.833333333333329</v>
      </c>
      <c r="P695" s="28">
        <f t="shared" si="888"/>
        <v>0</v>
      </c>
      <c r="Q695" s="28">
        <f t="shared" si="889"/>
        <v>60.833333333333329</v>
      </c>
      <c r="R695" s="26">
        <v>64</v>
      </c>
      <c r="T695" s="67"/>
      <c r="U695"/>
    </row>
    <row r="696" spans="1:21" ht="15" x14ac:dyDescent="0.25">
      <c r="A696" s="38" t="s">
        <v>418</v>
      </c>
      <c r="B696" s="13">
        <v>10</v>
      </c>
      <c r="C696" s="14" t="s">
        <v>7</v>
      </c>
      <c r="D696" s="13" t="s">
        <v>27</v>
      </c>
      <c r="E696" s="26" t="str">
        <f>VLOOKUP(C696,Resources!B:G,3,FALSE)</f>
        <v>L</v>
      </c>
      <c r="F696" s="15">
        <v>3</v>
      </c>
      <c r="G696" s="15">
        <f>G693</f>
        <v>200</v>
      </c>
      <c r="H696" s="15">
        <f>H693</f>
        <v>300</v>
      </c>
      <c r="I696" s="15">
        <f>VLOOKUP(C696,Resources!B:G,6,FALSE)</f>
        <v>48</v>
      </c>
      <c r="J696" s="27">
        <f t="shared" si="882"/>
        <v>216</v>
      </c>
      <c r="K696" s="27">
        <f t="shared" si="883"/>
        <v>4.5</v>
      </c>
      <c r="L696" s="157">
        <f t="shared" si="884"/>
        <v>1.5</v>
      </c>
      <c r="M696" s="28">
        <f t="shared" si="885"/>
        <v>216</v>
      </c>
      <c r="N696" s="28">
        <f t="shared" si="886"/>
        <v>0</v>
      </c>
      <c r="O696" s="28">
        <f t="shared" si="887"/>
        <v>0</v>
      </c>
      <c r="P696" s="28">
        <f t="shared" si="888"/>
        <v>0</v>
      </c>
      <c r="Q696" s="28">
        <f t="shared" si="889"/>
        <v>216</v>
      </c>
      <c r="R696" s="26">
        <v>64</v>
      </c>
      <c r="T696" s="67"/>
      <c r="U696"/>
    </row>
    <row r="697" spans="1:21" ht="15" x14ac:dyDescent="0.25">
      <c r="A697" s="38" t="s">
        <v>418</v>
      </c>
      <c r="B697" s="13">
        <v>1</v>
      </c>
      <c r="C697" s="14" t="s">
        <v>210</v>
      </c>
      <c r="D697" s="13" t="s">
        <v>197</v>
      </c>
      <c r="E697" s="26" t="str">
        <f>VLOOKUP(C697,Resources!B:G,3,FALSE)</f>
        <v>S</v>
      </c>
      <c r="F697" s="15">
        <v>1</v>
      </c>
      <c r="G697" s="15">
        <v>1</v>
      </c>
      <c r="H697" s="15">
        <f>H693</f>
        <v>300</v>
      </c>
      <c r="I697" s="15">
        <f>VLOOKUP(C697,Resources!B:G,6,FALSE)</f>
        <v>1.6</v>
      </c>
      <c r="J697" s="27">
        <f t="shared" si="882"/>
        <v>480</v>
      </c>
      <c r="K697" s="27">
        <f t="shared" si="883"/>
        <v>3.8399999999999997E-2</v>
      </c>
      <c r="L697" s="157">
        <f>J697/12500</f>
        <v>3.8399999999999997E-2</v>
      </c>
      <c r="M697" s="28">
        <f t="shared" si="885"/>
        <v>0</v>
      </c>
      <c r="N697" s="28">
        <f t="shared" si="886"/>
        <v>0</v>
      </c>
      <c r="O697" s="28">
        <f t="shared" si="887"/>
        <v>0</v>
      </c>
      <c r="P697" s="28">
        <f t="shared" si="888"/>
        <v>480</v>
      </c>
      <c r="Q697" s="28">
        <f t="shared" si="889"/>
        <v>480</v>
      </c>
      <c r="R697" s="26">
        <v>64</v>
      </c>
      <c r="T697" s="67"/>
      <c r="U697"/>
    </row>
    <row r="698" spans="1:21" ht="15" x14ac:dyDescent="0.25">
      <c r="A698" s="38" t="s">
        <v>418</v>
      </c>
      <c r="B698" s="13">
        <v>1</v>
      </c>
      <c r="C698" s="14" t="s">
        <v>213</v>
      </c>
      <c r="D698" s="13" t="s">
        <v>214</v>
      </c>
      <c r="E698" s="26" t="str">
        <f>VLOOKUP(C698,Resources!B:G,3,FALSE)</f>
        <v>S</v>
      </c>
      <c r="F698" s="15">
        <v>1</v>
      </c>
      <c r="G698" s="15">
        <v>1</v>
      </c>
      <c r="H698" s="15">
        <f>H693/65</f>
        <v>4.615384615384615</v>
      </c>
      <c r="I698" s="15">
        <f>VLOOKUP(C698,Resources!B:G,6,FALSE)</f>
        <v>544.37</v>
      </c>
      <c r="J698" s="27">
        <f t="shared" si="882"/>
        <v>2512.476923076923</v>
      </c>
      <c r="K698" s="27">
        <f t="shared" si="883"/>
        <v>1.5</v>
      </c>
      <c r="L698" s="157">
        <f>L693</f>
        <v>1.5</v>
      </c>
      <c r="M698" s="28">
        <f t="shared" si="885"/>
        <v>0</v>
      </c>
      <c r="N698" s="28">
        <f t="shared" si="886"/>
        <v>0</v>
      </c>
      <c r="O698" s="28">
        <f t="shared" si="887"/>
        <v>0</v>
      </c>
      <c r="P698" s="28">
        <f t="shared" si="888"/>
        <v>2512.476923076923</v>
      </c>
      <c r="Q698" s="28">
        <f t="shared" si="889"/>
        <v>2512.476923076923</v>
      </c>
      <c r="R698" s="26">
        <v>64</v>
      </c>
      <c r="T698" s="67"/>
      <c r="U698"/>
    </row>
    <row r="699" spans="1:21" ht="15" x14ac:dyDescent="0.25">
      <c r="A699" s="38" t="s">
        <v>418</v>
      </c>
      <c r="B699" s="13">
        <v>1</v>
      </c>
      <c r="C699" s="14" t="s">
        <v>217</v>
      </c>
      <c r="D699" s="13" t="s">
        <v>214</v>
      </c>
      <c r="E699" s="26" t="str">
        <f>VLOOKUP(C699,Resources!B:G,3,FALSE)</f>
        <v>S</v>
      </c>
      <c r="F699" s="15">
        <v>1</v>
      </c>
      <c r="G699" s="15">
        <v>1</v>
      </c>
      <c r="H699" s="15">
        <f>H693/125</f>
        <v>2.4</v>
      </c>
      <c r="I699" s="15">
        <f>VLOOKUP(C699,Resources!B:G,6,FALSE)</f>
        <v>478.03</v>
      </c>
      <c r="J699" s="27">
        <f t="shared" si="882"/>
        <v>1147.2719999999999</v>
      </c>
      <c r="K699" s="27">
        <f t="shared" si="883"/>
        <v>1.5</v>
      </c>
      <c r="L699" s="157">
        <f>L693</f>
        <v>1.5</v>
      </c>
      <c r="M699" s="28">
        <f t="shared" si="885"/>
        <v>0</v>
      </c>
      <c r="N699" s="28">
        <f t="shared" si="886"/>
        <v>0</v>
      </c>
      <c r="O699" s="28">
        <f t="shared" si="887"/>
        <v>0</v>
      </c>
      <c r="P699" s="28">
        <f t="shared" si="888"/>
        <v>1147.2719999999999</v>
      </c>
      <c r="Q699" s="28">
        <f t="shared" si="889"/>
        <v>1147.2719999999999</v>
      </c>
      <c r="R699" s="26">
        <v>64</v>
      </c>
      <c r="T699" s="67"/>
      <c r="U699"/>
    </row>
    <row r="700" spans="1:21" ht="15" x14ac:dyDescent="0.25">
      <c r="A700" s="38" t="s">
        <v>418</v>
      </c>
      <c r="B700" s="13">
        <v>1</v>
      </c>
      <c r="C700" s="14" t="s">
        <v>292</v>
      </c>
      <c r="D700" s="13" t="s">
        <v>214</v>
      </c>
      <c r="E700" s="26" t="str">
        <f>VLOOKUP(C700,Resources!B:G,3,FALSE)</f>
        <v>S</v>
      </c>
      <c r="F700" s="15">
        <v>1</v>
      </c>
      <c r="G700" s="15">
        <v>1</v>
      </c>
      <c r="H700" s="15">
        <f>H698</f>
        <v>4.615384615384615</v>
      </c>
      <c r="I700" s="15">
        <f>VLOOKUP(C700,Resources!B:G,6,FALSE)</f>
        <v>119.98</v>
      </c>
      <c r="J700" s="27">
        <f t="shared" si="882"/>
        <v>553.7538461538461</v>
      </c>
      <c r="K700" s="27">
        <f t="shared" si="883"/>
        <v>1</v>
      </c>
      <c r="L700" s="157">
        <v>1</v>
      </c>
      <c r="M700" s="28">
        <f t="shared" si="885"/>
        <v>0</v>
      </c>
      <c r="N700" s="28">
        <f t="shared" si="886"/>
        <v>0</v>
      </c>
      <c r="O700" s="28">
        <f t="shared" si="887"/>
        <v>0</v>
      </c>
      <c r="P700" s="28">
        <f t="shared" si="888"/>
        <v>553.7538461538461</v>
      </c>
      <c r="Q700" s="28">
        <f t="shared" si="889"/>
        <v>553.7538461538461</v>
      </c>
      <c r="R700" s="26">
        <v>64</v>
      </c>
      <c r="T700" s="67"/>
      <c r="U700"/>
    </row>
    <row r="701" spans="1:21" ht="15" x14ac:dyDescent="0.25">
      <c r="A701" s="38" t="s">
        <v>418</v>
      </c>
      <c r="B701" s="13">
        <v>1</v>
      </c>
      <c r="C701" s="14" t="s">
        <v>291</v>
      </c>
      <c r="D701" s="13" t="s">
        <v>214</v>
      </c>
      <c r="E701" s="26" t="str">
        <f>VLOOKUP(C701,Resources!B:G,3,FALSE)</f>
        <v>S</v>
      </c>
      <c r="F701" s="15">
        <v>1</v>
      </c>
      <c r="G701" s="15">
        <v>1</v>
      </c>
      <c r="H701" s="15">
        <f>H699</f>
        <v>2.4</v>
      </c>
      <c r="I701" s="15">
        <f>VLOOKUP(C701,Resources!B:G,6,FALSE)</f>
        <v>113.82</v>
      </c>
      <c r="J701" s="27">
        <f t="shared" si="882"/>
        <v>273.16799999999995</v>
      </c>
      <c r="K701" s="27">
        <f t="shared" si="883"/>
        <v>1</v>
      </c>
      <c r="L701" s="157">
        <v>1</v>
      </c>
      <c r="M701" s="28">
        <f t="shared" si="885"/>
        <v>0</v>
      </c>
      <c r="N701" s="28">
        <f t="shared" si="886"/>
        <v>0</v>
      </c>
      <c r="O701" s="28">
        <f t="shared" si="887"/>
        <v>0</v>
      </c>
      <c r="P701" s="28">
        <f t="shared" si="888"/>
        <v>273.16799999999995</v>
      </c>
      <c r="Q701" s="28">
        <f t="shared" si="889"/>
        <v>273.16799999999995</v>
      </c>
      <c r="R701" s="26">
        <v>64</v>
      </c>
      <c r="T701" s="67"/>
      <c r="U701"/>
    </row>
    <row r="702" spans="1:21" ht="15" x14ac:dyDescent="0.25">
      <c r="B702" s="10"/>
      <c r="C702" s="9"/>
      <c r="D702" s="18"/>
      <c r="T702" s="67"/>
      <c r="U702"/>
    </row>
    <row r="703" spans="1:21" ht="22.5" x14ac:dyDescent="0.25">
      <c r="A703" s="38">
        <v>113</v>
      </c>
      <c r="B703" s="5" t="s">
        <v>439</v>
      </c>
      <c r="C703" s="5" t="s">
        <v>440</v>
      </c>
      <c r="D703" s="6" t="s">
        <v>21</v>
      </c>
      <c r="E703" s="25"/>
      <c r="F703" s="7"/>
      <c r="G703" s="7"/>
      <c r="H703" s="36">
        <f>VLOOKUP($A703,'Model Inputs'!$A:$C,3,FALSE)</f>
        <v>1</v>
      </c>
      <c r="I703" s="7"/>
      <c r="J703" s="7">
        <f>SUBTOTAL(9,J704:J707)</f>
        <v>918</v>
      </c>
      <c r="K703" s="29"/>
      <c r="L703" s="156">
        <f>MAX(L704:L707)</f>
        <v>2</v>
      </c>
      <c r="M703" s="7">
        <f>SUBTOTAL(9,M704:M707)</f>
        <v>288</v>
      </c>
      <c r="N703" s="7">
        <f t="shared" ref="N703:Q703" si="890">SUBTOTAL(9,N704:N707)</f>
        <v>0</v>
      </c>
      <c r="O703" s="7">
        <f t="shared" si="890"/>
        <v>630</v>
      </c>
      <c r="P703" s="7">
        <f t="shared" si="890"/>
        <v>0</v>
      </c>
      <c r="Q703" s="7">
        <f t="shared" si="890"/>
        <v>918</v>
      </c>
      <c r="R703" s="25"/>
      <c r="T703" s="67"/>
      <c r="U703"/>
    </row>
    <row r="704" spans="1:21" ht="15" x14ac:dyDescent="0.25">
      <c r="A704" s="38">
        <v>113.01</v>
      </c>
      <c r="B704" s="13">
        <v>1</v>
      </c>
      <c r="C704" s="14" t="s">
        <v>32</v>
      </c>
      <c r="D704" s="13" t="s">
        <v>27</v>
      </c>
      <c r="E704" s="26" t="str">
        <f>VLOOKUP(C704,Resources!B:G,3,FALSE)</f>
        <v>P</v>
      </c>
      <c r="F704" s="15">
        <v>1</v>
      </c>
      <c r="G704" s="36">
        <f>VLOOKUP($A704,'Model Inputs'!$A:$C,3,FALSE)</f>
        <v>0.5</v>
      </c>
      <c r="H704" s="15">
        <f>H703</f>
        <v>1</v>
      </c>
      <c r="I704" s="15">
        <f>VLOOKUP(C704,Resources!B:G,6,FALSE)</f>
        <v>35</v>
      </c>
      <c r="J704" s="27">
        <f>(H704/G704)*I704*F704</f>
        <v>70</v>
      </c>
      <c r="K704" s="27">
        <f t="shared" ref="K704:K707" si="891">IF(E704="M"," ",L704*F704)</f>
        <v>2</v>
      </c>
      <c r="L704" s="157">
        <f t="shared" ref="L704:L707" si="892">IF(E704="M"," ",H704/G704)</f>
        <v>2</v>
      </c>
      <c r="M704" s="28">
        <f t="shared" ref="M704:M707" si="893">IF($E704="L",$J704,0)</f>
        <v>0</v>
      </c>
      <c r="N704" s="28">
        <f t="shared" ref="N704:N707" si="894">IF($E704="M",$J704,0)</f>
        <v>0</v>
      </c>
      <c r="O704" s="28">
        <f t="shared" ref="O704:O707" si="895">IF($E704="P",$J704,0)</f>
        <v>70</v>
      </c>
      <c r="P704" s="28">
        <f t="shared" ref="P704:P707" si="896">IF($E704="S",$J704,0)</f>
        <v>0</v>
      </c>
      <c r="Q704" s="28">
        <f t="shared" ref="Q704:Q707" si="897">SUM(M704:P704)</f>
        <v>70</v>
      </c>
      <c r="R704" s="26">
        <v>53</v>
      </c>
      <c r="T704" s="67"/>
      <c r="U704"/>
    </row>
    <row r="705" spans="1:21" ht="15" x14ac:dyDescent="0.25">
      <c r="A705" s="38" t="s">
        <v>418</v>
      </c>
      <c r="B705" s="13">
        <v>2</v>
      </c>
      <c r="C705" s="14" t="s">
        <v>74</v>
      </c>
      <c r="D705" s="13" t="s">
        <v>27</v>
      </c>
      <c r="E705" s="26" t="str">
        <f>VLOOKUP(C705,Resources!B:G,3,FALSE)</f>
        <v>P</v>
      </c>
      <c r="F705" s="15">
        <v>2</v>
      </c>
      <c r="G705" s="15">
        <f>G704</f>
        <v>0.5</v>
      </c>
      <c r="H705" s="15">
        <f>H703</f>
        <v>1</v>
      </c>
      <c r="I705" s="15">
        <f>VLOOKUP(C705,Resources!B:G,6,FALSE)</f>
        <v>90</v>
      </c>
      <c r="J705" s="27">
        <f>(H705/G705)*I705*F705</f>
        <v>360</v>
      </c>
      <c r="K705" s="27">
        <f t="shared" si="891"/>
        <v>4</v>
      </c>
      <c r="L705" s="157">
        <f t="shared" si="892"/>
        <v>2</v>
      </c>
      <c r="M705" s="28">
        <f t="shared" si="893"/>
        <v>0</v>
      </c>
      <c r="N705" s="28">
        <f t="shared" si="894"/>
        <v>0</v>
      </c>
      <c r="O705" s="28">
        <f t="shared" si="895"/>
        <v>360</v>
      </c>
      <c r="P705" s="28">
        <f t="shared" si="896"/>
        <v>0</v>
      </c>
      <c r="Q705" s="28">
        <f t="shared" si="897"/>
        <v>360</v>
      </c>
      <c r="R705" s="26">
        <v>53</v>
      </c>
      <c r="T705" s="67"/>
      <c r="U705"/>
    </row>
    <row r="706" spans="1:21" ht="15" x14ac:dyDescent="0.25">
      <c r="A706" s="38" t="s">
        <v>418</v>
      </c>
      <c r="B706" s="13">
        <v>3</v>
      </c>
      <c r="C706" s="14" t="s">
        <v>7</v>
      </c>
      <c r="D706" s="13" t="s">
        <v>27</v>
      </c>
      <c r="E706" s="26" t="str">
        <f>VLOOKUP(C706,Resources!B:G,3,FALSE)</f>
        <v>L</v>
      </c>
      <c r="F706" s="15">
        <v>3</v>
      </c>
      <c r="G706" s="15">
        <f>G704</f>
        <v>0.5</v>
      </c>
      <c r="H706" s="15">
        <f>H703</f>
        <v>1</v>
      </c>
      <c r="I706" s="15">
        <f>VLOOKUP(C706,Resources!B:G,6,FALSE)</f>
        <v>48</v>
      </c>
      <c r="J706" s="27">
        <f>(H706/G706)*I706*F706</f>
        <v>288</v>
      </c>
      <c r="K706" s="27">
        <f t="shared" si="891"/>
        <v>6</v>
      </c>
      <c r="L706" s="157">
        <f t="shared" si="892"/>
        <v>2</v>
      </c>
      <c r="M706" s="28">
        <f t="shared" si="893"/>
        <v>288</v>
      </c>
      <c r="N706" s="28">
        <f t="shared" si="894"/>
        <v>0</v>
      </c>
      <c r="O706" s="28">
        <f t="shared" si="895"/>
        <v>0</v>
      </c>
      <c r="P706" s="28">
        <f t="shared" si="896"/>
        <v>0</v>
      </c>
      <c r="Q706" s="28">
        <f t="shared" si="897"/>
        <v>288</v>
      </c>
      <c r="R706" s="26">
        <v>53</v>
      </c>
      <c r="T706" s="67"/>
      <c r="U706"/>
    </row>
    <row r="707" spans="1:21" ht="15" x14ac:dyDescent="0.25">
      <c r="A707" s="38" t="s">
        <v>418</v>
      </c>
      <c r="B707" s="13">
        <v>4</v>
      </c>
      <c r="C707" s="14" t="s">
        <v>45</v>
      </c>
      <c r="D707" s="13" t="s">
        <v>54</v>
      </c>
      <c r="E707" s="26" t="str">
        <f>VLOOKUP(C707,Resources!B:G,3,FALSE)</f>
        <v>P</v>
      </c>
      <c r="F707" s="15">
        <v>1</v>
      </c>
      <c r="G707" s="15">
        <f>G704</f>
        <v>0.5</v>
      </c>
      <c r="H707" s="15">
        <f>H703</f>
        <v>1</v>
      </c>
      <c r="I707" s="15">
        <f>VLOOKUP(C707,Resources!B:G,6,FALSE)</f>
        <v>100</v>
      </c>
      <c r="J707" s="27">
        <f>(H707/G707)*I707*F707</f>
        <v>200</v>
      </c>
      <c r="K707" s="27">
        <f t="shared" si="891"/>
        <v>2</v>
      </c>
      <c r="L707" s="157">
        <f t="shared" si="892"/>
        <v>2</v>
      </c>
      <c r="M707" s="28">
        <f t="shared" si="893"/>
        <v>0</v>
      </c>
      <c r="N707" s="28">
        <f t="shared" si="894"/>
        <v>0</v>
      </c>
      <c r="O707" s="28">
        <f t="shared" si="895"/>
        <v>200</v>
      </c>
      <c r="P707" s="28">
        <f t="shared" si="896"/>
        <v>0</v>
      </c>
      <c r="Q707" s="28">
        <f t="shared" si="897"/>
        <v>200</v>
      </c>
      <c r="R707" s="26">
        <v>53</v>
      </c>
      <c r="T707" s="67"/>
      <c r="U707"/>
    </row>
    <row r="708" spans="1:21" ht="15" x14ac:dyDescent="0.25">
      <c r="B708" s="10"/>
      <c r="C708" s="9"/>
      <c r="D708" s="18"/>
      <c r="T708" s="67"/>
      <c r="U708"/>
    </row>
    <row r="709" spans="1:21" ht="15" x14ac:dyDescent="0.25">
      <c r="A709" s="38">
        <v>114</v>
      </c>
      <c r="B709" s="5" t="s">
        <v>441</v>
      </c>
      <c r="C709" s="5" t="s">
        <v>442</v>
      </c>
      <c r="D709" s="6" t="s">
        <v>122</v>
      </c>
      <c r="E709" s="25"/>
      <c r="F709" s="7"/>
      <c r="G709" s="7"/>
      <c r="H709" s="36">
        <f>VLOOKUP($A709,'Model Inputs'!$A:$C,3,FALSE)</f>
        <v>2051</v>
      </c>
      <c r="I709" s="7"/>
      <c r="J709" s="7">
        <f>SUBTOTAL(9,J710:J712)</f>
        <v>8011.2914583333331</v>
      </c>
      <c r="K709" s="29"/>
      <c r="L709" s="156">
        <f>MAX(L710:L712)*9/Work</f>
        <v>1</v>
      </c>
      <c r="M709" s="7">
        <f>SUBTOTAL(9,M710:M712)</f>
        <v>0</v>
      </c>
      <c r="N709" s="7">
        <f t="shared" ref="N709:Q709" si="898">SUBTOTAL(9,N710:N712)</f>
        <v>0</v>
      </c>
      <c r="O709" s="7">
        <f t="shared" si="898"/>
        <v>0</v>
      </c>
      <c r="P709" s="7">
        <f t="shared" si="898"/>
        <v>8011.2914583333331</v>
      </c>
      <c r="Q709" s="7">
        <f t="shared" si="898"/>
        <v>8011.2914583333331</v>
      </c>
      <c r="R709" s="25"/>
      <c r="T709" s="67"/>
      <c r="U709"/>
    </row>
    <row r="710" spans="1:21" ht="15" x14ac:dyDescent="0.25">
      <c r="A710" s="38" t="s">
        <v>418</v>
      </c>
      <c r="B710" s="13">
        <v>1</v>
      </c>
      <c r="C710" s="14" t="s">
        <v>210</v>
      </c>
      <c r="D710" s="13" t="s">
        <v>197</v>
      </c>
      <c r="E710" s="26" t="str">
        <f>VLOOKUP(C710,Resources!B:G,3,FALSE)</f>
        <v>S</v>
      </c>
      <c r="F710" s="15">
        <v>1</v>
      </c>
      <c r="G710" s="15">
        <v>1</v>
      </c>
      <c r="H710" s="15">
        <f>H709*0.9</f>
        <v>1845.9</v>
      </c>
      <c r="I710" s="15">
        <f>VLOOKUP(C710,Resources!B:G,6,FALSE)</f>
        <v>1.6</v>
      </c>
      <c r="J710" s="27">
        <f>(H710/G710)*I710*F710</f>
        <v>2953.4400000000005</v>
      </c>
      <c r="K710" s="27">
        <f t="shared" ref="K710:K712" si="899">IF(E710="M"," ",L710*F710)</f>
        <v>0.23627520000000005</v>
      </c>
      <c r="L710" s="157">
        <f>J710/12500</f>
        <v>0.23627520000000005</v>
      </c>
      <c r="M710" s="28">
        <f t="shared" ref="M710:M712" si="900">IF($E710="L",$J710,0)</f>
        <v>0</v>
      </c>
      <c r="N710" s="28">
        <f t="shared" ref="N710:N712" si="901">IF($E710="M",$J710,0)</f>
        <v>0</v>
      </c>
      <c r="O710" s="28">
        <f t="shared" ref="O710:O712" si="902">IF($E710="P",$J710,0)</f>
        <v>0</v>
      </c>
      <c r="P710" s="28">
        <f t="shared" ref="P710:P712" si="903">IF($E710="S",$J710,0)</f>
        <v>2953.4400000000005</v>
      </c>
      <c r="Q710" s="28">
        <f t="shared" ref="Q710:Q712" si="904">SUM(M710:P710)</f>
        <v>2953.4400000000005</v>
      </c>
      <c r="R710" s="26">
        <v>64</v>
      </c>
      <c r="T710" s="67"/>
      <c r="U710"/>
    </row>
    <row r="711" spans="1:21" ht="15" x14ac:dyDescent="0.25">
      <c r="A711" s="38" t="s">
        <v>418</v>
      </c>
      <c r="B711" s="13">
        <v>1</v>
      </c>
      <c r="C711" s="14" t="s">
        <v>217</v>
      </c>
      <c r="D711" s="13" t="s">
        <v>214</v>
      </c>
      <c r="E711" s="26" t="str">
        <f>VLOOKUP(C711,Resources!B:G,3,FALSE)</f>
        <v>S</v>
      </c>
      <c r="F711" s="15">
        <v>1</v>
      </c>
      <c r="G711" s="15">
        <v>1</v>
      </c>
      <c r="H711" s="15">
        <f>H709/240</f>
        <v>8.5458333333333325</v>
      </c>
      <c r="I711" s="15">
        <f>VLOOKUP(C711,Resources!B:G,6,FALSE)</f>
        <v>478.03</v>
      </c>
      <c r="J711" s="27">
        <f>(H711/G711)*I711*F711</f>
        <v>4085.1647083333328</v>
      </c>
      <c r="K711" s="27">
        <f t="shared" si="899"/>
        <v>0.23627520000000005</v>
      </c>
      <c r="L711" s="157">
        <f>L710</f>
        <v>0.23627520000000005</v>
      </c>
      <c r="M711" s="28">
        <f t="shared" si="900"/>
        <v>0</v>
      </c>
      <c r="N711" s="28">
        <f t="shared" si="901"/>
        <v>0</v>
      </c>
      <c r="O711" s="28">
        <f t="shared" si="902"/>
        <v>0</v>
      </c>
      <c r="P711" s="28">
        <f t="shared" si="903"/>
        <v>4085.1647083333328</v>
      </c>
      <c r="Q711" s="28">
        <f t="shared" si="904"/>
        <v>4085.1647083333328</v>
      </c>
      <c r="R711" s="26">
        <v>64</v>
      </c>
      <c r="T711" s="67"/>
      <c r="U711"/>
    </row>
    <row r="712" spans="1:21" ht="15" x14ac:dyDescent="0.25">
      <c r="A712" s="38" t="s">
        <v>418</v>
      </c>
      <c r="B712" s="13">
        <v>1</v>
      </c>
      <c r="C712" s="14" t="s">
        <v>291</v>
      </c>
      <c r="D712" s="13" t="s">
        <v>214</v>
      </c>
      <c r="E712" s="26" t="str">
        <f>VLOOKUP(C712,Resources!B:G,3,FALSE)</f>
        <v>S</v>
      </c>
      <c r="F712" s="15">
        <v>1</v>
      </c>
      <c r="G712" s="15">
        <v>1</v>
      </c>
      <c r="H712" s="15">
        <f>H711</f>
        <v>8.5458333333333325</v>
      </c>
      <c r="I712" s="15">
        <f>VLOOKUP(C712,Resources!B:G,6,FALSE)</f>
        <v>113.82</v>
      </c>
      <c r="J712" s="27">
        <f>(H712/G712)*I712*F712</f>
        <v>972.68674999999985</v>
      </c>
      <c r="K712" s="27">
        <f t="shared" si="899"/>
        <v>1</v>
      </c>
      <c r="L712" s="157">
        <v>1</v>
      </c>
      <c r="M712" s="28">
        <f t="shared" si="900"/>
        <v>0</v>
      </c>
      <c r="N712" s="28">
        <f t="shared" si="901"/>
        <v>0</v>
      </c>
      <c r="O712" s="28">
        <f t="shared" si="902"/>
        <v>0</v>
      </c>
      <c r="P712" s="28">
        <f t="shared" si="903"/>
        <v>972.68674999999985</v>
      </c>
      <c r="Q712" s="28">
        <f t="shared" si="904"/>
        <v>972.68674999999985</v>
      </c>
      <c r="R712" s="26">
        <v>64</v>
      </c>
      <c r="T712" s="67"/>
      <c r="U712"/>
    </row>
    <row r="713" spans="1:21" ht="15" x14ac:dyDescent="0.25">
      <c r="B713" s="10"/>
      <c r="C713" s="9"/>
      <c r="D713" s="18"/>
      <c r="T713" s="67"/>
      <c r="U713"/>
    </row>
    <row r="714" spans="1:21" ht="15" x14ac:dyDescent="0.25">
      <c r="B714" s="5" t="s">
        <v>443</v>
      </c>
      <c r="C714" s="5" t="s">
        <v>444</v>
      </c>
      <c r="D714" s="6" t="s">
        <v>38</v>
      </c>
      <c r="E714" s="25"/>
      <c r="F714" s="7"/>
      <c r="G714" s="7"/>
      <c r="H714" s="7">
        <v>1</v>
      </c>
      <c r="I714" s="7"/>
      <c r="J714" s="7">
        <f>SUBTOTAL(9,J715)</f>
        <v>0</v>
      </c>
      <c r="K714" s="29"/>
      <c r="L714" s="156">
        <v>0</v>
      </c>
      <c r="M714" s="7">
        <f>SUBTOTAL(9,M715)</f>
        <v>0</v>
      </c>
      <c r="N714" s="7">
        <f t="shared" ref="N714:Q714" si="905">SUBTOTAL(9,N715)</f>
        <v>0</v>
      </c>
      <c r="O714" s="7">
        <f t="shared" si="905"/>
        <v>0</v>
      </c>
      <c r="P714" s="7">
        <f t="shared" si="905"/>
        <v>0</v>
      </c>
      <c r="Q714" s="7">
        <f t="shared" si="905"/>
        <v>0</v>
      </c>
      <c r="R714" s="25"/>
      <c r="T714" s="67"/>
      <c r="U714"/>
    </row>
    <row r="715" spans="1:21" ht="15" x14ac:dyDescent="0.25">
      <c r="A715" s="38" t="s">
        <v>418</v>
      </c>
      <c r="B715" s="13">
        <v>1</v>
      </c>
      <c r="C715" s="14" t="s">
        <v>210</v>
      </c>
      <c r="D715" s="13" t="s">
        <v>197</v>
      </c>
      <c r="E715" s="26" t="str">
        <f>VLOOKUP(C715,Resources!B:G,3,FALSE)</f>
        <v>S</v>
      </c>
      <c r="F715" s="15">
        <v>1</v>
      </c>
      <c r="G715" s="15">
        <v>1</v>
      </c>
      <c r="H715" s="15">
        <v>0</v>
      </c>
      <c r="I715" s="15">
        <f>VLOOKUP(C715,Resources!B:G,6,FALSE)</f>
        <v>1.6</v>
      </c>
      <c r="J715" s="27">
        <f>(H715/G715)*I715*F715</f>
        <v>0</v>
      </c>
      <c r="K715" s="27">
        <f t="shared" ref="K715" si="906">IF(E715="M"," ",L715*F715)</f>
        <v>0</v>
      </c>
      <c r="L715" s="157">
        <f>J715/12500</f>
        <v>0</v>
      </c>
      <c r="M715" s="28">
        <f t="shared" ref="M715" si="907">IF($E715="L",$J715,0)</f>
        <v>0</v>
      </c>
      <c r="N715" s="28">
        <f t="shared" ref="N715" si="908">IF($E715="M",$J715,0)</f>
        <v>0</v>
      </c>
      <c r="O715" s="28">
        <f t="shared" ref="O715" si="909">IF($E715="P",$J715,0)</f>
        <v>0</v>
      </c>
      <c r="P715" s="28">
        <f t="shared" ref="P715" si="910">IF($E715="S",$J715,0)</f>
        <v>0</v>
      </c>
      <c r="Q715" s="28">
        <f t="shared" ref="Q715" si="911">SUM(M715:P715)</f>
        <v>0</v>
      </c>
      <c r="R715" s="26">
        <v>64</v>
      </c>
      <c r="T715" s="67"/>
      <c r="U715"/>
    </row>
    <row r="716" spans="1:21" ht="15" x14ac:dyDescent="0.25">
      <c r="B716" s="10"/>
      <c r="C716" s="9"/>
      <c r="D716" s="18"/>
      <c r="T716" s="67"/>
      <c r="U716"/>
    </row>
    <row r="717" spans="1:21" ht="33.75" x14ac:dyDescent="0.25">
      <c r="A717" s="38">
        <v>115</v>
      </c>
      <c r="B717" s="5" t="s">
        <v>445</v>
      </c>
      <c r="C717" s="5" t="s">
        <v>446</v>
      </c>
      <c r="D717" s="6" t="s">
        <v>214</v>
      </c>
      <c r="E717" s="25"/>
      <c r="F717" s="7"/>
      <c r="G717" s="7"/>
      <c r="H717" s="36">
        <f>VLOOKUP($A717,'Model Inputs'!$A:$C,3,FALSE)</f>
        <v>147</v>
      </c>
      <c r="I717" s="7"/>
      <c r="J717" s="7">
        <f>SUBTOTAL(9,J719:J724)</f>
        <v>12061.35</v>
      </c>
      <c r="K717" s="29"/>
      <c r="L717" s="156">
        <f>ROUNDUP(MAX(L721:L724)/Work,0)</f>
        <v>2</v>
      </c>
      <c r="M717" s="7">
        <f>SUBTOTAL(9,M719:M724)</f>
        <v>1587.6000000000001</v>
      </c>
      <c r="N717" s="7">
        <f t="shared" ref="N717:Q717" si="912">SUBTOTAL(9,N719:N724)</f>
        <v>6945.75</v>
      </c>
      <c r="O717" s="7">
        <f t="shared" si="912"/>
        <v>3528</v>
      </c>
      <c r="P717" s="7">
        <f t="shared" si="912"/>
        <v>0</v>
      </c>
      <c r="Q717" s="7">
        <f t="shared" si="912"/>
        <v>12061.35</v>
      </c>
      <c r="R717" s="25"/>
      <c r="T717" s="67"/>
      <c r="U717"/>
    </row>
    <row r="718" spans="1:21" ht="15" x14ac:dyDescent="0.25">
      <c r="B718" s="2"/>
      <c r="C718" s="2" t="s">
        <v>456</v>
      </c>
      <c r="D718" s="1"/>
      <c r="E718" s="24"/>
      <c r="F718" s="68"/>
      <c r="G718" s="68"/>
      <c r="H718" s="68"/>
      <c r="I718" s="68"/>
      <c r="J718" s="68"/>
      <c r="K718" s="69"/>
      <c r="L718" s="158"/>
      <c r="M718" s="70"/>
      <c r="N718" s="70"/>
      <c r="O718" s="70"/>
      <c r="P718" s="70"/>
      <c r="Q718" s="70"/>
      <c r="R718" s="24"/>
      <c r="T718" s="67"/>
      <c r="U718"/>
    </row>
    <row r="719" spans="1:21" ht="15" x14ac:dyDescent="0.25">
      <c r="A719" s="38">
        <v>115.01</v>
      </c>
      <c r="B719" s="13">
        <v>1</v>
      </c>
      <c r="C719" s="14" t="s">
        <v>455</v>
      </c>
      <c r="D719" s="13" t="s">
        <v>27</v>
      </c>
      <c r="E719" s="26" t="str">
        <f>VLOOKUP(C719,Resources!B:G,3,FALSE)</f>
        <v>M</v>
      </c>
      <c r="F719" s="15">
        <v>1</v>
      </c>
      <c r="G719" s="36">
        <f>VLOOKUP($A719,'Model Inputs'!$A:$C,3,FALSE)</f>
        <v>1</v>
      </c>
      <c r="H719" s="15">
        <f>H717*1.5</f>
        <v>220.5</v>
      </c>
      <c r="I719" s="15">
        <f>VLOOKUP(C719,Resources!B:G,6,FALSE)</f>
        <v>31.5</v>
      </c>
      <c r="J719" s="27">
        <f>(H719/G719)*I719*F719</f>
        <v>6945.75</v>
      </c>
      <c r="K719" s="27" t="str">
        <f t="shared" ref="K719:K724" si="913">IF(E719="M"," ",L719*F719)</f>
        <v xml:space="preserve"> </v>
      </c>
      <c r="L719" s="157" t="str">
        <f t="shared" ref="L719:L724" si="914">IF(E719="M"," ",H719/G719)</f>
        <v xml:space="preserve"> </v>
      </c>
      <c r="M719" s="28">
        <f t="shared" ref="M719:M724" si="915">IF($E719="L",$J719,0)</f>
        <v>0</v>
      </c>
      <c r="N719" s="28">
        <f t="shared" ref="N719:N724" si="916">IF($E719="M",$J719,0)</f>
        <v>6945.75</v>
      </c>
      <c r="O719" s="28">
        <f t="shared" ref="O719:O724" si="917">IF($E719="P",$J719,0)</f>
        <v>0</v>
      </c>
      <c r="P719" s="28">
        <f t="shared" ref="P719:P724" si="918">IF($E719="S",$J719,0)</f>
        <v>0</v>
      </c>
      <c r="Q719" s="28">
        <f t="shared" ref="Q719:Q724" si="919">SUM(M719:P719)</f>
        <v>6945.75</v>
      </c>
      <c r="R719" s="26" t="s">
        <v>458</v>
      </c>
      <c r="T719" s="67"/>
      <c r="U719"/>
    </row>
    <row r="720" spans="1:21" ht="15" x14ac:dyDescent="0.25">
      <c r="C720" s="10" t="s">
        <v>457</v>
      </c>
      <c r="F720" s="11"/>
      <c r="G720" s="68"/>
      <c r="H720" s="11"/>
      <c r="I720" s="11"/>
      <c r="J720" s="71"/>
      <c r="K720" s="71"/>
      <c r="M720" s="72"/>
      <c r="N720" s="72"/>
      <c r="O720" s="72"/>
      <c r="P720" s="72"/>
      <c r="Q720" s="72"/>
      <c r="T720" s="67"/>
      <c r="U720"/>
    </row>
    <row r="721" spans="1:21" ht="15" x14ac:dyDescent="0.25">
      <c r="A721" s="38">
        <v>115.02</v>
      </c>
      <c r="B721" s="13">
        <v>2</v>
      </c>
      <c r="C721" s="14" t="s">
        <v>73</v>
      </c>
      <c r="D721" s="13" t="s">
        <v>27</v>
      </c>
      <c r="E721" s="26" t="str">
        <f>VLOOKUP(C721,Resources!B:G,3,FALSE)</f>
        <v>P</v>
      </c>
      <c r="F721" s="15">
        <v>1</v>
      </c>
      <c r="G721" s="36">
        <f>VLOOKUP($A721,'Model Inputs'!$A:$C,3,FALSE)</f>
        <v>20</v>
      </c>
      <c r="H721" s="15">
        <f>H719</f>
        <v>220.5</v>
      </c>
      <c r="I721" s="15">
        <f>VLOOKUP(C721,Resources!B:G,6,FALSE)</f>
        <v>130</v>
      </c>
      <c r="J721" s="27">
        <f>(H721/G721)*I721*F721</f>
        <v>1433.25</v>
      </c>
      <c r="K721" s="27">
        <f t="shared" ref="K721" si="920">IF(E721="M"," ",L721*F721)</f>
        <v>11.025</v>
      </c>
      <c r="L721" s="157">
        <f t="shared" ref="L721" si="921">IF(E721="M"," ",H721/G721)</f>
        <v>11.025</v>
      </c>
      <c r="M721" s="28">
        <f t="shared" si="915"/>
        <v>0</v>
      </c>
      <c r="N721" s="28">
        <f t="shared" si="916"/>
        <v>0</v>
      </c>
      <c r="O721" s="28">
        <f t="shared" si="917"/>
        <v>1433.25</v>
      </c>
      <c r="P721" s="28">
        <f t="shared" si="918"/>
        <v>0</v>
      </c>
      <c r="Q721" s="28">
        <f t="shared" ref="Q721" si="922">SUM(M721:P721)</f>
        <v>1433.25</v>
      </c>
      <c r="R721" s="26">
        <v>221</v>
      </c>
      <c r="T721" s="67"/>
      <c r="U721"/>
    </row>
    <row r="722" spans="1:21" ht="15" x14ac:dyDescent="0.25">
      <c r="A722" s="38" t="s">
        <v>418</v>
      </c>
      <c r="B722" s="13">
        <v>2</v>
      </c>
      <c r="C722" s="14" t="s">
        <v>74</v>
      </c>
      <c r="D722" s="13" t="s">
        <v>27</v>
      </c>
      <c r="E722" s="26" t="str">
        <f>VLOOKUP(C722,Resources!B:G,3,FALSE)</f>
        <v>P</v>
      </c>
      <c r="F722" s="15">
        <v>1</v>
      </c>
      <c r="G722" s="15">
        <f>G721</f>
        <v>20</v>
      </c>
      <c r="H722" s="15">
        <f>H721</f>
        <v>220.5</v>
      </c>
      <c r="I722" s="15">
        <f>VLOOKUP(C722,Resources!B:G,6,FALSE)</f>
        <v>90</v>
      </c>
      <c r="J722" s="27">
        <f>(H722/G722)*I722*F722</f>
        <v>992.25</v>
      </c>
      <c r="K722" s="27">
        <f t="shared" si="913"/>
        <v>11.025</v>
      </c>
      <c r="L722" s="157">
        <f t="shared" si="914"/>
        <v>11.025</v>
      </c>
      <c r="M722" s="28">
        <f t="shared" si="915"/>
        <v>0</v>
      </c>
      <c r="N722" s="28">
        <f t="shared" si="916"/>
        <v>0</v>
      </c>
      <c r="O722" s="28">
        <f t="shared" si="917"/>
        <v>992.25</v>
      </c>
      <c r="P722" s="28">
        <f t="shared" si="918"/>
        <v>0</v>
      </c>
      <c r="Q722" s="28">
        <f t="shared" si="919"/>
        <v>992.25</v>
      </c>
      <c r="R722" s="26">
        <v>221</v>
      </c>
      <c r="T722" s="67"/>
      <c r="U722"/>
    </row>
    <row r="723" spans="1:21" ht="15" x14ac:dyDescent="0.25">
      <c r="A723" s="38" t="s">
        <v>418</v>
      </c>
      <c r="B723" s="13">
        <v>3</v>
      </c>
      <c r="C723" s="14" t="s">
        <v>7</v>
      </c>
      <c r="D723" s="13" t="s">
        <v>27</v>
      </c>
      <c r="E723" s="26" t="str">
        <f>VLOOKUP(C723,Resources!B:G,3,FALSE)</f>
        <v>L</v>
      </c>
      <c r="F723" s="15">
        <v>3</v>
      </c>
      <c r="G723" s="15">
        <f>G721</f>
        <v>20</v>
      </c>
      <c r="H723" s="15">
        <f>H721</f>
        <v>220.5</v>
      </c>
      <c r="I723" s="15">
        <f>VLOOKUP(C723,Resources!B:G,6,FALSE)</f>
        <v>48</v>
      </c>
      <c r="J723" s="27">
        <f>(H723/G723)*I723*F723</f>
        <v>1587.6000000000001</v>
      </c>
      <c r="K723" s="27">
        <f t="shared" si="913"/>
        <v>33.075000000000003</v>
      </c>
      <c r="L723" s="157">
        <f t="shared" si="914"/>
        <v>11.025</v>
      </c>
      <c r="M723" s="28">
        <f t="shared" si="915"/>
        <v>1587.6000000000001</v>
      </c>
      <c r="N723" s="28">
        <f t="shared" si="916"/>
        <v>0</v>
      </c>
      <c r="O723" s="28">
        <f t="shared" si="917"/>
        <v>0</v>
      </c>
      <c r="P723" s="28">
        <f t="shared" si="918"/>
        <v>0</v>
      </c>
      <c r="Q723" s="28">
        <f t="shared" si="919"/>
        <v>1587.6000000000001</v>
      </c>
      <c r="R723" s="26">
        <v>221</v>
      </c>
      <c r="T723" s="67"/>
      <c r="U723"/>
    </row>
    <row r="724" spans="1:21" ht="15" x14ac:dyDescent="0.25">
      <c r="A724" s="38" t="s">
        <v>418</v>
      </c>
      <c r="B724" s="13">
        <v>4</v>
      </c>
      <c r="C724" s="14" t="s">
        <v>45</v>
      </c>
      <c r="D724" s="13" t="s">
        <v>54</v>
      </c>
      <c r="E724" s="26" t="str">
        <f>VLOOKUP(C724,Resources!B:G,3,FALSE)</f>
        <v>P</v>
      </c>
      <c r="F724" s="15">
        <v>1</v>
      </c>
      <c r="G724" s="15">
        <f>G721</f>
        <v>20</v>
      </c>
      <c r="H724" s="15">
        <f>H721</f>
        <v>220.5</v>
      </c>
      <c r="I724" s="15">
        <f>VLOOKUP(C724,Resources!B:G,6,FALSE)</f>
        <v>100</v>
      </c>
      <c r="J724" s="27">
        <f>(H724/G724)*I724*F724</f>
        <v>1102.5</v>
      </c>
      <c r="K724" s="27">
        <f t="shared" si="913"/>
        <v>11.025</v>
      </c>
      <c r="L724" s="157">
        <f t="shared" si="914"/>
        <v>11.025</v>
      </c>
      <c r="M724" s="28">
        <f t="shared" si="915"/>
        <v>0</v>
      </c>
      <c r="N724" s="28">
        <f t="shared" si="916"/>
        <v>0</v>
      </c>
      <c r="O724" s="28">
        <f t="shared" si="917"/>
        <v>1102.5</v>
      </c>
      <c r="P724" s="28">
        <f t="shared" si="918"/>
        <v>0</v>
      </c>
      <c r="Q724" s="28">
        <f t="shared" si="919"/>
        <v>1102.5</v>
      </c>
      <c r="R724" s="26">
        <v>221</v>
      </c>
      <c r="T724" s="67"/>
      <c r="U724"/>
    </row>
    <row r="725" spans="1:21" ht="15" x14ac:dyDescent="0.25">
      <c r="B725" s="10"/>
      <c r="C725" s="9"/>
      <c r="D725" s="18"/>
      <c r="T725" s="67"/>
      <c r="U725"/>
    </row>
    <row r="726" spans="1:21" ht="22.5" x14ac:dyDescent="0.25">
      <c r="A726" s="38">
        <v>116</v>
      </c>
      <c r="B726" s="5" t="s">
        <v>447</v>
      </c>
      <c r="C726" s="5" t="s">
        <v>448</v>
      </c>
      <c r="D726" s="6" t="s">
        <v>21</v>
      </c>
      <c r="E726" s="25"/>
      <c r="F726" s="7"/>
      <c r="G726" s="7"/>
      <c r="H726" s="36">
        <f>VLOOKUP($A726,'Model Inputs'!$A:$C,3,FALSE)</f>
        <v>410</v>
      </c>
      <c r="I726" s="7"/>
      <c r="J726" s="7">
        <f>SUBTOTAL(9,J727:J730)</f>
        <v>19604.577083333334</v>
      </c>
      <c r="K726" s="29"/>
      <c r="L726" s="156">
        <v>1</v>
      </c>
      <c r="M726" s="7">
        <f>SUBTOTAL(9,M727:M730)</f>
        <v>0</v>
      </c>
      <c r="N726" s="7">
        <f t="shared" ref="N726:Q726" si="923">SUBTOTAL(9,N727:N730)</f>
        <v>0</v>
      </c>
      <c r="O726" s="7">
        <f t="shared" si="923"/>
        <v>0</v>
      </c>
      <c r="P726" s="7">
        <f t="shared" si="923"/>
        <v>19604.577083333334</v>
      </c>
      <c r="Q726" s="7">
        <f t="shared" si="923"/>
        <v>19604.577083333334</v>
      </c>
      <c r="R726" s="25"/>
      <c r="T726" s="67"/>
      <c r="U726"/>
    </row>
    <row r="727" spans="1:21" ht="15" x14ac:dyDescent="0.25">
      <c r="A727" s="38" t="s">
        <v>418</v>
      </c>
      <c r="B727" s="13">
        <v>1</v>
      </c>
      <c r="C727" s="14" t="s">
        <v>210</v>
      </c>
      <c r="D727" s="13" t="s">
        <v>197</v>
      </c>
      <c r="E727" s="26" t="str">
        <f>VLOOKUP(C727,Resources!B:G,3,FALSE)</f>
        <v>S</v>
      </c>
      <c r="F727" s="15">
        <v>1</v>
      </c>
      <c r="G727" s="15">
        <v>1</v>
      </c>
      <c r="H727" s="15">
        <f>H726</f>
        <v>410</v>
      </c>
      <c r="I727" s="15">
        <f>VLOOKUP(C727,Resources!B:G,6,FALSE)</f>
        <v>1.6</v>
      </c>
      <c r="J727" s="27">
        <f>(H727/G727)*I727*F727</f>
        <v>656</v>
      </c>
      <c r="K727" s="27">
        <f t="shared" ref="K727:K729" si="924">IF(E727="M"," ",L727*F727)</f>
        <v>5.2479999999999999E-2</v>
      </c>
      <c r="L727" s="157">
        <f>J727/12500</f>
        <v>5.2479999999999999E-2</v>
      </c>
      <c r="M727" s="28">
        <f t="shared" ref="M727:M730" si="925">IF($E727="L",$J727,0)</f>
        <v>0</v>
      </c>
      <c r="N727" s="28">
        <f t="shared" ref="N727:N730" si="926">IF($E727="M",$J727,0)</f>
        <v>0</v>
      </c>
      <c r="O727" s="28">
        <f t="shared" ref="O727:O730" si="927">IF($E727="P",$J727,0)</f>
        <v>0</v>
      </c>
      <c r="P727" s="28">
        <f t="shared" ref="P727:P730" si="928">IF($E727="S",$J727,0)</f>
        <v>656</v>
      </c>
      <c r="Q727" s="28">
        <f t="shared" ref="Q727:Q729" si="929">SUM(M727:P727)</f>
        <v>656</v>
      </c>
      <c r="R727" s="26">
        <v>64</v>
      </c>
      <c r="T727" s="67"/>
      <c r="U727"/>
    </row>
    <row r="728" spans="1:21" ht="15" x14ac:dyDescent="0.25">
      <c r="A728" s="38" t="s">
        <v>418</v>
      </c>
      <c r="B728" s="13">
        <v>1</v>
      </c>
      <c r="C728" s="14" t="s">
        <v>217</v>
      </c>
      <c r="D728" s="13" t="s">
        <v>214</v>
      </c>
      <c r="E728" s="26" t="str">
        <f>VLOOKUP(C728,Resources!B:G,3,FALSE)</f>
        <v>S</v>
      </c>
      <c r="F728" s="15">
        <v>1</v>
      </c>
      <c r="G728" s="15">
        <v>1</v>
      </c>
      <c r="H728" s="15">
        <f>H726/240</f>
        <v>1.7083333333333333</v>
      </c>
      <c r="I728" s="15">
        <f>VLOOKUP(C728,Resources!B:G,6,FALSE)</f>
        <v>478.03</v>
      </c>
      <c r="J728" s="27">
        <f>(H728/G728)*I728*F728</f>
        <v>816.63458333333324</v>
      </c>
      <c r="K728" s="27">
        <f t="shared" si="924"/>
        <v>1.5</v>
      </c>
      <c r="L728" s="157">
        <f>L696</f>
        <v>1.5</v>
      </c>
      <c r="M728" s="28">
        <f t="shared" si="925"/>
        <v>0</v>
      </c>
      <c r="N728" s="28">
        <f t="shared" si="926"/>
        <v>0</v>
      </c>
      <c r="O728" s="28">
        <f t="shared" si="927"/>
        <v>0</v>
      </c>
      <c r="P728" s="28">
        <f t="shared" si="928"/>
        <v>816.63458333333324</v>
      </c>
      <c r="Q728" s="28">
        <f t="shared" si="929"/>
        <v>816.63458333333324</v>
      </c>
      <c r="R728" s="26">
        <v>64</v>
      </c>
      <c r="T728" s="67"/>
      <c r="U728"/>
    </row>
    <row r="729" spans="1:21" ht="15" x14ac:dyDescent="0.25">
      <c r="A729" s="38" t="s">
        <v>418</v>
      </c>
      <c r="B729" s="13">
        <v>1</v>
      </c>
      <c r="C729" s="14" t="s">
        <v>291</v>
      </c>
      <c r="D729" s="13" t="s">
        <v>214</v>
      </c>
      <c r="E729" s="26" t="str">
        <f>VLOOKUP(C729,Resources!B:G,3,FALSE)</f>
        <v>S</v>
      </c>
      <c r="F729" s="15">
        <v>1</v>
      </c>
      <c r="G729" s="15">
        <v>1</v>
      </c>
      <c r="H729" s="15">
        <f>H728</f>
        <v>1.7083333333333333</v>
      </c>
      <c r="I729" s="15">
        <f>VLOOKUP(C729,Resources!B:G,6,FALSE)</f>
        <v>113.82</v>
      </c>
      <c r="J729" s="27">
        <f>(H729/G729)*I729*F729</f>
        <v>194.44249999999997</v>
      </c>
      <c r="K729" s="27">
        <f t="shared" si="924"/>
        <v>1</v>
      </c>
      <c r="L729" s="157">
        <v>1</v>
      </c>
      <c r="M729" s="28">
        <f t="shared" si="925"/>
        <v>0</v>
      </c>
      <c r="N729" s="28">
        <f t="shared" si="926"/>
        <v>0</v>
      </c>
      <c r="O729" s="28">
        <f t="shared" si="927"/>
        <v>0</v>
      </c>
      <c r="P729" s="28">
        <f t="shared" si="928"/>
        <v>194.44249999999997</v>
      </c>
      <c r="Q729" s="28">
        <f t="shared" si="929"/>
        <v>194.44249999999997</v>
      </c>
      <c r="R729" s="26">
        <v>64</v>
      </c>
      <c r="T729" s="67"/>
      <c r="U729"/>
    </row>
    <row r="730" spans="1:21" ht="15" x14ac:dyDescent="0.25">
      <c r="A730" s="38" t="s">
        <v>418</v>
      </c>
      <c r="B730" s="13">
        <v>1</v>
      </c>
      <c r="C730" s="14" t="s">
        <v>454</v>
      </c>
      <c r="D730" s="13" t="s">
        <v>214</v>
      </c>
      <c r="E730" s="26" t="str">
        <f>VLOOKUP(C730,Resources!B:G,3,FALSE)</f>
        <v>S</v>
      </c>
      <c r="F730" s="15">
        <v>1</v>
      </c>
      <c r="G730" s="15">
        <v>1</v>
      </c>
      <c r="H730" s="15">
        <f>H726*0.05*2.5</f>
        <v>51.25</v>
      </c>
      <c r="I730" s="15">
        <f>VLOOKUP(C730,Resources!B:G,6,FALSE)</f>
        <v>350</v>
      </c>
      <c r="J730" s="27">
        <f>(H730/G730)*I730*F730</f>
        <v>17937.5</v>
      </c>
      <c r="K730" s="27">
        <f t="shared" ref="K730" si="930">IF(E730="M"," ",L730*F730)</f>
        <v>1</v>
      </c>
      <c r="L730" s="157">
        <v>1</v>
      </c>
      <c r="M730" s="28">
        <f t="shared" si="925"/>
        <v>0</v>
      </c>
      <c r="N730" s="28">
        <f t="shared" si="926"/>
        <v>0</v>
      </c>
      <c r="O730" s="28">
        <f t="shared" si="927"/>
        <v>0</v>
      </c>
      <c r="P730" s="28">
        <f t="shared" si="928"/>
        <v>17937.5</v>
      </c>
      <c r="Q730" s="28">
        <f t="shared" ref="Q730" si="931">SUM(M730:P730)</f>
        <v>17937.5</v>
      </c>
      <c r="R730" s="26">
        <v>65</v>
      </c>
      <c r="T730" s="67"/>
      <c r="U730"/>
    </row>
    <row r="731" spans="1:21" ht="15" x14ac:dyDescent="0.25">
      <c r="T731" s="67"/>
      <c r="U731"/>
    </row>
    <row r="732" spans="1:21" ht="15" x14ac:dyDescent="0.25">
      <c r="T732" s="67"/>
      <c r="U732"/>
    </row>
    <row r="733" spans="1:21" ht="15" x14ac:dyDescent="0.25">
      <c r="A733" s="4"/>
      <c r="B733" s="1" t="s">
        <v>0</v>
      </c>
      <c r="C733" s="1" t="s">
        <v>1</v>
      </c>
      <c r="D733" s="1" t="s">
        <v>2</v>
      </c>
      <c r="E733" s="4" t="s">
        <v>255</v>
      </c>
      <c r="F733" s="3" t="s">
        <v>3</v>
      </c>
      <c r="G733" s="3" t="s">
        <v>4</v>
      </c>
      <c r="H733" s="3" t="s">
        <v>5</v>
      </c>
      <c r="I733" s="3" t="s">
        <v>6</v>
      </c>
      <c r="J733" s="3"/>
      <c r="K733" s="3"/>
      <c r="L733" s="155"/>
      <c r="M733" s="3" t="s">
        <v>7</v>
      </c>
      <c r="N733" s="3" t="s">
        <v>8</v>
      </c>
      <c r="O733" s="3" t="s">
        <v>9</v>
      </c>
      <c r="P733" s="3" t="s">
        <v>10</v>
      </c>
      <c r="Q733" s="3" t="s">
        <v>11</v>
      </c>
      <c r="R733" s="17"/>
      <c r="T733" s="67"/>
      <c r="U733"/>
    </row>
    <row r="734" spans="1:21" ht="22.5" x14ac:dyDescent="0.25">
      <c r="A734" s="4"/>
      <c r="B734" s="5" t="s">
        <v>460</v>
      </c>
      <c r="C734" s="5" t="s">
        <v>461</v>
      </c>
      <c r="D734" s="6"/>
      <c r="E734" s="6"/>
      <c r="F734" s="7"/>
      <c r="G734" s="7"/>
      <c r="H734" s="7">
        <v>1</v>
      </c>
      <c r="I734" s="7"/>
      <c r="J734" s="8">
        <f>SUBTOTAL(9,J735)</f>
        <v>36000</v>
      </c>
      <c r="K734" s="7"/>
      <c r="L734" s="156"/>
      <c r="M734" s="8">
        <f>SUBTOTAL(9,M735)</f>
        <v>36000</v>
      </c>
      <c r="N734" s="8">
        <f t="shared" ref="N734:Q734" si="932">SUBTOTAL(9,N735)</f>
        <v>0</v>
      </c>
      <c r="O734" s="8">
        <f t="shared" si="932"/>
        <v>0</v>
      </c>
      <c r="P734" s="8">
        <f t="shared" si="932"/>
        <v>0</v>
      </c>
      <c r="Q734" s="8">
        <f t="shared" si="932"/>
        <v>36000</v>
      </c>
      <c r="R734" s="25"/>
      <c r="T734" s="67"/>
      <c r="U734"/>
    </row>
    <row r="735" spans="1:21" ht="15" x14ac:dyDescent="0.25">
      <c r="B735" s="13">
        <v>1</v>
      </c>
      <c r="C735" s="14" t="s">
        <v>41</v>
      </c>
      <c r="D735" s="13" t="s">
        <v>42</v>
      </c>
      <c r="E735" s="26" t="s">
        <v>263</v>
      </c>
      <c r="F735" s="15">
        <v>1</v>
      </c>
      <c r="G735" s="15">
        <v>1</v>
      </c>
      <c r="H735" s="15">
        <v>9</v>
      </c>
      <c r="I735" s="15">
        <v>4000</v>
      </c>
      <c r="J735" s="27">
        <f>(H735/G735)*I735*F735</f>
        <v>36000</v>
      </c>
      <c r="K735" s="27"/>
      <c r="L735" s="157"/>
      <c r="M735" s="28">
        <f t="shared" ref="M735" si="933">IF($E735="L",$J735,0)</f>
        <v>36000</v>
      </c>
      <c r="N735" s="28">
        <f t="shared" ref="N735" si="934">IF($E735="M",$J735,0)</f>
        <v>0</v>
      </c>
      <c r="O735" s="28">
        <f t="shared" ref="O735" si="935">IF($E735="P",$J735,0)</f>
        <v>0</v>
      </c>
      <c r="P735" s="28">
        <f t="shared" ref="P735" si="936">IF($E735="S",$J735,0)</f>
        <v>0</v>
      </c>
      <c r="Q735" s="28">
        <f t="shared" ref="Q735" si="937">SUM(M735:P735)</f>
        <v>36000</v>
      </c>
      <c r="R735" s="26">
        <v>901</v>
      </c>
      <c r="T735" s="67"/>
      <c r="U735"/>
    </row>
    <row r="736" spans="1:21" ht="15" x14ac:dyDescent="0.25">
      <c r="A736" s="4"/>
      <c r="E736" s="4"/>
      <c r="F736" s="11"/>
      <c r="G736" s="11"/>
      <c r="H736" s="11"/>
      <c r="I736" s="11"/>
      <c r="J736" s="11"/>
      <c r="K736" s="11"/>
      <c r="M736" s="12"/>
      <c r="N736" s="12"/>
      <c r="O736" s="12"/>
      <c r="P736" s="12"/>
      <c r="Q736" s="12"/>
      <c r="T736" s="67"/>
      <c r="U736"/>
    </row>
    <row r="737" spans="1:21" ht="22.5" x14ac:dyDescent="0.25">
      <c r="A737" s="4"/>
      <c r="B737" s="5" t="s">
        <v>462</v>
      </c>
      <c r="C737" s="5" t="s">
        <v>463</v>
      </c>
      <c r="D737" s="6"/>
      <c r="E737" s="6"/>
      <c r="F737" s="7"/>
      <c r="G737" s="7"/>
      <c r="H737" s="7">
        <v>1</v>
      </c>
      <c r="I737" s="7"/>
      <c r="J737" s="8">
        <f>SUBTOTAL(9,J738)</f>
        <v>49740</v>
      </c>
      <c r="K737" s="7"/>
      <c r="L737" s="156"/>
      <c r="M737" s="8">
        <f>SUBTOTAL(9,M738)</f>
        <v>49740</v>
      </c>
      <c r="N737" s="8">
        <f t="shared" ref="N737" si="938">SUBTOTAL(9,N738)</f>
        <v>0</v>
      </c>
      <c r="O737" s="8">
        <f t="shared" ref="O737" si="939">SUBTOTAL(9,O738)</f>
        <v>0</v>
      </c>
      <c r="P737" s="8">
        <f t="shared" ref="P737" si="940">SUBTOTAL(9,P738)</f>
        <v>0</v>
      </c>
      <c r="Q737" s="8">
        <f t="shared" ref="Q737" si="941">SUBTOTAL(9,Q738)</f>
        <v>49740</v>
      </c>
      <c r="R737" s="25"/>
      <c r="T737" s="67"/>
      <c r="U737"/>
    </row>
    <row r="738" spans="1:21" ht="15" x14ac:dyDescent="0.25">
      <c r="B738" s="13">
        <v>1</v>
      </c>
      <c r="C738" s="14" t="s">
        <v>267</v>
      </c>
      <c r="D738" s="13" t="s">
        <v>42</v>
      </c>
      <c r="E738" s="26" t="s">
        <v>263</v>
      </c>
      <c r="F738" s="15">
        <v>1</v>
      </c>
      <c r="G738" s="15">
        <v>1</v>
      </c>
      <c r="H738" s="15">
        <v>12</v>
      </c>
      <c r="I738" s="15">
        <v>4145</v>
      </c>
      <c r="J738" s="27">
        <f>(H738/G738)*I738*F738</f>
        <v>49740</v>
      </c>
      <c r="K738" s="27"/>
      <c r="L738" s="157"/>
      <c r="M738" s="28">
        <f t="shared" ref="M738" si="942">IF($E738="L",$J738,0)</f>
        <v>49740</v>
      </c>
      <c r="N738" s="28">
        <f t="shared" ref="N738" si="943">IF($E738="M",$J738,0)</f>
        <v>0</v>
      </c>
      <c r="O738" s="28">
        <f t="shared" ref="O738" si="944">IF($E738="P",$J738,0)</f>
        <v>0</v>
      </c>
      <c r="P738" s="28">
        <f t="shared" ref="P738" si="945">IF($E738="S",$J738,0)</f>
        <v>0</v>
      </c>
      <c r="Q738" s="28">
        <f t="shared" ref="Q738" si="946">SUM(M738:P738)</f>
        <v>49740</v>
      </c>
      <c r="R738" s="26">
        <v>902</v>
      </c>
      <c r="T738" s="67"/>
      <c r="U738"/>
    </row>
    <row r="739" spans="1:21" ht="15" x14ac:dyDescent="0.25">
      <c r="A739" s="4"/>
      <c r="E739" s="4"/>
      <c r="F739" s="11"/>
      <c r="G739" s="11"/>
      <c r="H739" s="11"/>
      <c r="I739" s="11"/>
      <c r="J739" s="11"/>
      <c r="K739" s="11"/>
      <c r="M739" s="12"/>
      <c r="N739" s="12"/>
      <c r="O739" s="12"/>
      <c r="P739" s="12"/>
      <c r="Q739" s="12"/>
      <c r="T739" s="67"/>
      <c r="U739"/>
    </row>
    <row r="740" spans="1:21" ht="22.5" x14ac:dyDescent="0.25">
      <c r="A740" s="4"/>
      <c r="B740" s="5" t="s">
        <v>464</v>
      </c>
      <c r="C740" s="5" t="s">
        <v>465</v>
      </c>
      <c r="D740" s="6"/>
      <c r="E740" s="6"/>
      <c r="F740" s="7"/>
      <c r="G740" s="7"/>
      <c r="H740" s="7">
        <v>1</v>
      </c>
      <c r="I740" s="7"/>
      <c r="J740" s="8">
        <f>SUBTOTAL(9,J741)</f>
        <v>33600</v>
      </c>
      <c r="K740" s="7"/>
      <c r="L740" s="156"/>
      <c r="M740" s="8">
        <f>SUBTOTAL(9,M741)</f>
        <v>33600</v>
      </c>
      <c r="N740" s="8">
        <f t="shared" ref="N740" si="947">SUBTOTAL(9,N741)</f>
        <v>0</v>
      </c>
      <c r="O740" s="8">
        <f t="shared" ref="O740" si="948">SUBTOTAL(9,O741)</f>
        <v>0</v>
      </c>
      <c r="P740" s="8">
        <f t="shared" ref="P740" si="949">SUBTOTAL(9,P741)</f>
        <v>0</v>
      </c>
      <c r="Q740" s="8">
        <f t="shared" ref="Q740" si="950">SUBTOTAL(9,Q741)</f>
        <v>33600</v>
      </c>
      <c r="R740" s="25"/>
      <c r="T740" s="67"/>
      <c r="U740"/>
    </row>
    <row r="741" spans="1:21" ht="15" x14ac:dyDescent="0.25">
      <c r="A741" s="4"/>
      <c r="B741" s="13">
        <v>1</v>
      </c>
      <c r="C741" s="13" t="s">
        <v>265</v>
      </c>
      <c r="D741" s="13" t="s">
        <v>27</v>
      </c>
      <c r="E741" s="15" t="s">
        <v>263</v>
      </c>
      <c r="F741" s="15">
        <v>1</v>
      </c>
      <c r="G741" s="15">
        <v>1</v>
      </c>
      <c r="H741" s="15">
        <v>700</v>
      </c>
      <c r="I741" s="15">
        <v>48</v>
      </c>
      <c r="J741" s="27">
        <f>(H741/G741)*I741*F741</f>
        <v>33600</v>
      </c>
      <c r="K741" s="15"/>
      <c r="L741" s="157"/>
      <c r="M741" s="28">
        <f t="shared" ref="M741" si="951">IF($E741="L",$J741,0)</f>
        <v>33600</v>
      </c>
      <c r="N741" s="28">
        <f t="shared" ref="N741" si="952">IF($E741="M",$J741,0)</f>
        <v>0</v>
      </c>
      <c r="O741" s="28">
        <f t="shared" ref="O741" si="953">IF($E741="P",$J741,0)</f>
        <v>0</v>
      </c>
      <c r="P741" s="28">
        <f t="shared" ref="P741" si="954">IF($E741="S",$J741,0)</f>
        <v>0</v>
      </c>
      <c r="Q741" s="28">
        <f t="shared" ref="Q741" si="955">SUM(M741:P741)</f>
        <v>33600</v>
      </c>
      <c r="R741" s="26">
        <v>916</v>
      </c>
      <c r="T741" s="67"/>
      <c r="U741"/>
    </row>
    <row r="742" spans="1:21" ht="15" x14ac:dyDescent="0.25">
      <c r="A742" s="4"/>
      <c r="E742" s="4"/>
      <c r="F742" s="11"/>
      <c r="G742" s="11"/>
      <c r="H742" s="11"/>
      <c r="I742" s="11"/>
      <c r="J742" s="11"/>
      <c r="K742" s="11"/>
      <c r="M742" s="12"/>
      <c r="N742" s="12"/>
      <c r="O742" s="12"/>
      <c r="P742" s="12"/>
      <c r="Q742" s="12"/>
      <c r="T742" s="67"/>
      <c r="U742"/>
    </row>
    <row r="743" spans="1:21" ht="22.5" x14ac:dyDescent="0.25">
      <c r="A743" s="4"/>
      <c r="B743" s="5" t="s">
        <v>466</v>
      </c>
      <c r="C743" s="5" t="s">
        <v>467</v>
      </c>
      <c r="D743" s="6"/>
      <c r="E743" s="6"/>
      <c r="F743" s="7"/>
      <c r="G743" s="7"/>
      <c r="H743" s="7">
        <v>1</v>
      </c>
      <c r="I743" s="7"/>
      <c r="J743" s="8">
        <f>SUBTOTAL(9,J744)</f>
        <v>10220</v>
      </c>
      <c r="K743" s="7"/>
      <c r="L743" s="156"/>
      <c r="M743" s="8">
        <f>SUBTOTAL(9,M744)</f>
        <v>0</v>
      </c>
      <c r="N743" s="8">
        <f t="shared" ref="N743" si="956">SUBTOTAL(9,N744)</f>
        <v>0</v>
      </c>
      <c r="O743" s="8">
        <f t="shared" ref="O743" si="957">SUBTOTAL(9,O744)</f>
        <v>10220</v>
      </c>
      <c r="P743" s="8">
        <f t="shared" ref="P743" si="958">SUBTOTAL(9,P744)</f>
        <v>0</v>
      </c>
      <c r="Q743" s="8">
        <f t="shared" ref="Q743" si="959">SUBTOTAL(9,Q744)</f>
        <v>10220</v>
      </c>
      <c r="R743" s="25"/>
      <c r="T743" s="67"/>
      <c r="U743"/>
    </row>
    <row r="744" spans="1:21" ht="15" x14ac:dyDescent="0.25">
      <c r="B744" s="13">
        <v>1</v>
      </c>
      <c r="C744" s="14" t="s">
        <v>277</v>
      </c>
      <c r="D744" s="13" t="s">
        <v>42</v>
      </c>
      <c r="E744" s="26" t="s">
        <v>275</v>
      </c>
      <c r="F744" s="15">
        <v>1</v>
      </c>
      <c r="G744" s="15">
        <v>1</v>
      </c>
      <c r="H744" s="15">
        <v>14</v>
      </c>
      <c r="I744" s="15">
        <v>730</v>
      </c>
      <c r="J744" s="27">
        <f>(H744/G744)*I744*F744</f>
        <v>10220</v>
      </c>
      <c r="K744" s="27"/>
      <c r="L744" s="157"/>
      <c r="M744" s="28">
        <f t="shared" ref="M744" si="960">IF($E744="L",$J744,0)</f>
        <v>0</v>
      </c>
      <c r="N744" s="28">
        <f t="shared" ref="N744" si="961">IF($E744="M",$J744,0)</f>
        <v>0</v>
      </c>
      <c r="O744" s="28">
        <f t="shared" ref="O744" si="962">IF($E744="P",$J744,0)</f>
        <v>10220</v>
      </c>
      <c r="P744" s="28">
        <f t="shared" ref="P744" si="963">IF($E744="S",$J744,0)</f>
        <v>0</v>
      </c>
      <c r="Q744" s="28">
        <f t="shared" ref="Q744" si="964">SUM(M744:P744)</f>
        <v>10220</v>
      </c>
      <c r="R744" s="26">
        <v>903</v>
      </c>
      <c r="T744" s="67"/>
      <c r="U744"/>
    </row>
    <row r="745" spans="1:21" ht="15" x14ac:dyDescent="0.25">
      <c r="A745" s="4"/>
      <c r="E745" s="4"/>
      <c r="F745" s="11"/>
      <c r="G745" s="11"/>
      <c r="H745" s="11"/>
      <c r="I745" s="11"/>
      <c r="J745" s="11"/>
      <c r="K745" s="11"/>
      <c r="M745" s="12"/>
      <c r="N745" s="12"/>
      <c r="O745" s="12"/>
      <c r="P745" s="12"/>
      <c r="Q745" s="12"/>
      <c r="T745" s="67"/>
      <c r="U745"/>
    </row>
    <row r="746" spans="1:21" ht="22.5" x14ac:dyDescent="0.25">
      <c r="A746" s="4"/>
      <c r="B746" s="5" t="s">
        <v>468</v>
      </c>
      <c r="C746" s="5" t="s">
        <v>279</v>
      </c>
      <c r="D746" s="6"/>
      <c r="E746" s="6"/>
      <c r="F746" s="7"/>
      <c r="G746" s="7"/>
      <c r="H746" s="7">
        <v>1</v>
      </c>
      <c r="I746" s="7"/>
      <c r="J746" s="8">
        <f>SUBTOTAL(9,J747)</f>
        <v>8000</v>
      </c>
      <c r="K746" s="7"/>
      <c r="L746" s="156"/>
      <c r="M746" s="8">
        <f>SUBTOTAL(9,M747)</f>
        <v>0</v>
      </c>
      <c r="N746" s="8">
        <f t="shared" ref="N746" si="965">SUBTOTAL(9,N747)</f>
        <v>0</v>
      </c>
      <c r="O746" s="8">
        <f t="shared" ref="O746" si="966">SUBTOTAL(9,O747)</f>
        <v>8000</v>
      </c>
      <c r="P746" s="8">
        <f t="shared" ref="P746" si="967">SUBTOTAL(9,P747)</f>
        <v>0</v>
      </c>
      <c r="Q746" s="8">
        <f t="shared" ref="Q746" si="968">SUBTOTAL(9,Q747)</f>
        <v>8000</v>
      </c>
      <c r="R746" s="25"/>
      <c r="T746" s="67"/>
      <c r="U746"/>
    </row>
    <row r="747" spans="1:21" ht="15" x14ac:dyDescent="0.25">
      <c r="B747" s="13">
        <v>1</v>
      </c>
      <c r="C747" s="14" t="s">
        <v>279</v>
      </c>
      <c r="D747" s="13" t="s">
        <v>34</v>
      </c>
      <c r="E747" s="26" t="s">
        <v>275</v>
      </c>
      <c r="F747" s="15">
        <v>1</v>
      </c>
      <c r="G747" s="15">
        <v>1</v>
      </c>
      <c r="H747" s="15">
        <v>1</v>
      </c>
      <c r="I747" s="15">
        <v>8000</v>
      </c>
      <c r="J747" s="27">
        <f>(H747/G747)*I747*F747</f>
        <v>8000</v>
      </c>
      <c r="K747" s="27"/>
      <c r="L747" s="157"/>
      <c r="M747" s="28">
        <f t="shared" ref="M747" si="969">IF($E747="L",$J747,0)</f>
        <v>0</v>
      </c>
      <c r="N747" s="28">
        <f t="shared" ref="N747" si="970">IF($E747="M",$J747,0)</f>
        <v>0</v>
      </c>
      <c r="O747" s="28">
        <f t="shared" ref="O747" si="971">IF($E747="P",$J747,0)</f>
        <v>8000</v>
      </c>
      <c r="P747" s="28">
        <f t="shared" ref="P747" si="972">IF($E747="S",$J747,0)</f>
        <v>0</v>
      </c>
      <c r="Q747" s="28">
        <f t="shared" ref="Q747" si="973">SUM(M747:P747)</f>
        <v>8000</v>
      </c>
      <c r="R747" s="26">
        <v>16</v>
      </c>
      <c r="T747" s="67"/>
      <c r="U747"/>
    </row>
    <row r="748" spans="1:21" ht="15" x14ac:dyDescent="0.25">
      <c r="A748" s="4"/>
      <c r="E748" s="4"/>
      <c r="F748" s="11"/>
      <c r="G748" s="11"/>
      <c r="H748" s="11"/>
      <c r="I748" s="11"/>
      <c r="J748" s="11"/>
      <c r="K748" s="11"/>
      <c r="M748" s="12"/>
      <c r="N748" s="12"/>
      <c r="O748" s="12"/>
      <c r="P748" s="12"/>
      <c r="Q748" s="12"/>
      <c r="T748" s="67"/>
      <c r="U748"/>
    </row>
    <row r="749" spans="1:21" ht="22.5" x14ac:dyDescent="0.25">
      <c r="A749" s="4"/>
      <c r="B749" s="5" t="s">
        <v>469</v>
      </c>
      <c r="C749" s="5" t="s">
        <v>470</v>
      </c>
      <c r="D749" s="6"/>
      <c r="E749" s="6"/>
      <c r="F749" s="7"/>
      <c r="G749" s="7"/>
      <c r="H749" s="7">
        <v>1</v>
      </c>
      <c r="I749" s="7"/>
      <c r="J749" s="8">
        <f>SUBTOTAL(9,J750)</f>
        <v>5000</v>
      </c>
      <c r="K749" s="7"/>
      <c r="L749" s="156"/>
      <c r="M749" s="8">
        <f>SUBTOTAL(9,M750)</f>
        <v>0</v>
      </c>
      <c r="N749" s="8">
        <f t="shared" ref="N749" si="974">SUBTOTAL(9,N750)</f>
        <v>0</v>
      </c>
      <c r="O749" s="8">
        <f t="shared" ref="O749" si="975">SUBTOTAL(9,O750)</f>
        <v>5000</v>
      </c>
      <c r="P749" s="8">
        <f t="shared" ref="P749" si="976">SUBTOTAL(9,P750)</f>
        <v>0</v>
      </c>
      <c r="Q749" s="8">
        <f t="shared" ref="Q749" si="977">SUBTOTAL(9,Q750)</f>
        <v>5000</v>
      </c>
      <c r="R749" s="25"/>
      <c r="T749" s="67"/>
      <c r="U749"/>
    </row>
    <row r="750" spans="1:21" ht="15" x14ac:dyDescent="0.25">
      <c r="B750" s="13">
        <v>1</v>
      </c>
      <c r="C750" s="14" t="s">
        <v>471</v>
      </c>
      <c r="D750" s="13" t="s">
        <v>38</v>
      </c>
      <c r="E750" s="26" t="s">
        <v>275</v>
      </c>
      <c r="F750" s="15">
        <v>1</v>
      </c>
      <c r="G750" s="15">
        <v>1</v>
      </c>
      <c r="H750" s="15">
        <v>2</v>
      </c>
      <c r="I750" s="15">
        <v>2500</v>
      </c>
      <c r="J750" s="27">
        <f>(H750/G750)*I750*F750</f>
        <v>5000</v>
      </c>
      <c r="K750" s="27"/>
      <c r="L750" s="157"/>
      <c r="M750" s="28">
        <f t="shared" ref="M750" si="978">IF($E750="L",$J750,0)</f>
        <v>0</v>
      </c>
      <c r="N750" s="28">
        <f t="shared" ref="N750" si="979">IF($E750="M",$J750,0)</f>
        <v>0</v>
      </c>
      <c r="O750" s="28">
        <f t="shared" ref="O750" si="980">IF($E750="P",$J750,0)</f>
        <v>5000</v>
      </c>
      <c r="P750" s="28">
        <f t="shared" ref="P750" si="981">IF($E750="S",$J750,0)</f>
        <v>0</v>
      </c>
      <c r="Q750" s="28">
        <f t="shared" ref="Q750" si="982">SUM(M750:P750)</f>
        <v>5000</v>
      </c>
      <c r="R750" s="26">
        <v>903</v>
      </c>
      <c r="T750" s="67"/>
      <c r="U750"/>
    </row>
    <row r="751" spans="1:21" ht="15" x14ac:dyDescent="0.25">
      <c r="A751" s="4"/>
      <c r="E751" s="4"/>
      <c r="F751" s="11"/>
      <c r="G751" s="11"/>
      <c r="H751" s="11"/>
      <c r="I751" s="11"/>
      <c r="J751" s="11"/>
      <c r="K751" s="11"/>
      <c r="M751" s="12"/>
      <c r="N751" s="12"/>
      <c r="O751" s="12"/>
      <c r="P751" s="12"/>
      <c r="Q751" s="12"/>
      <c r="T751" s="67"/>
      <c r="U751"/>
    </row>
    <row r="752" spans="1:21" ht="22.5" x14ac:dyDescent="0.25">
      <c r="A752" s="4"/>
      <c r="B752" s="5" t="s">
        <v>472</v>
      </c>
      <c r="C752" s="5" t="s">
        <v>288</v>
      </c>
      <c r="D752" s="6"/>
      <c r="E752" s="6"/>
      <c r="F752" s="7"/>
      <c r="G752" s="7"/>
      <c r="H752" s="7">
        <v>1</v>
      </c>
      <c r="I752" s="7"/>
      <c r="J752" s="8">
        <f>SUBTOTAL(9,J753:J754)</f>
        <v>67260</v>
      </c>
      <c r="K752" s="7"/>
      <c r="L752" s="156"/>
      <c r="M752" s="8">
        <f>SUBTOTAL(9,M753:M754)</f>
        <v>22260</v>
      </c>
      <c r="N752" s="8">
        <f t="shared" ref="N752:Q752" si="983">SUBTOTAL(9,N753:N754)</f>
        <v>0</v>
      </c>
      <c r="O752" s="8">
        <f t="shared" si="983"/>
        <v>0</v>
      </c>
      <c r="P752" s="8">
        <f t="shared" si="983"/>
        <v>45000</v>
      </c>
      <c r="Q752" s="8">
        <f t="shared" si="983"/>
        <v>67260</v>
      </c>
      <c r="R752" s="25"/>
      <c r="T752" s="67"/>
      <c r="U752"/>
    </row>
    <row r="753" spans="1:21" ht="15" x14ac:dyDescent="0.25">
      <c r="B753" s="13">
        <v>1</v>
      </c>
      <c r="C753" s="14" t="s">
        <v>262</v>
      </c>
      <c r="D753" s="13" t="s">
        <v>34</v>
      </c>
      <c r="E753" s="26" t="s">
        <v>263</v>
      </c>
      <c r="F753" s="15">
        <v>6</v>
      </c>
      <c r="G753" s="15">
        <v>1</v>
      </c>
      <c r="H753" s="15">
        <v>14</v>
      </c>
      <c r="I753" s="15">
        <v>265</v>
      </c>
      <c r="J753" s="27">
        <f>(H753/G753)*I753*F753</f>
        <v>22260</v>
      </c>
      <c r="K753" s="27"/>
      <c r="L753" s="157"/>
      <c r="M753" s="28">
        <f t="shared" ref="M753:M754" si="984">IF($E753="L",$J753,0)</f>
        <v>22260</v>
      </c>
      <c r="N753" s="28">
        <f t="shared" ref="N753:N754" si="985">IF($E753="M",$J753,0)</f>
        <v>0</v>
      </c>
      <c r="O753" s="28">
        <f t="shared" ref="O753:O754" si="986">IF($E753="P",$J753,0)</f>
        <v>0</v>
      </c>
      <c r="P753" s="28">
        <f t="shared" ref="P753:P754" si="987">IF($E753="S",$J753,0)</f>
        <v>0</v>
      </c>
      <c r="Q753" s="28">
        <f t="shared" ref="Q753:Q754" si="988">SUM(M753:P753)</f>
        <v>22260</v>
      </c>
      <c r="R753" s="26">
        <v>911</v>
      </c>
      <c r="T753" s="67"/>
      <c r="U753"/>
    </row>
    <row r="754" spans="1:21" ht="15" x14ac:dyDescent="0.25">
      <c r="B754" s="13">
        <v>2</v>
      </c>
      <c r="C754" s="14" t="s">
        <v>473</v>
      </c>
      <c r="D754" s="13" t="s">
        <v>54</v>
      </c>
      <c r="E754" s="26" t="s">
        <v>287</v>
      </c>
      <c r="F754" s="15">
        <v>6</v>
      </c>
      <c r="G754" s="15">
        <v>1</v>
      </c>
      <c r="H754" s="15">
        <v>60</v>
      </c>
      <c r="I754" s="15">
        <v>125</v>
      </c>
      <c r="J754" s="27">
        <f>(H754/G754)*I754*F754</f>
        <v>45000</v>
      </c>
      <c r="K754" s="27"/>
      <c r="L754" s="157"/>
      <c r="M754" s="28">
        <f t="shared" si="984"/>
        <v>0</v>
      </c>
      <c r="N754" s="28">
        <f t="shared" si="985"/>
        <v>0</v>
      </c>
      <c r="O754" s="28">
        <f t="shared" si="986"/>
        <v>0</v>
      </c>
      <c r="P754" s="28">
        <f t="shared" si="987"/>
        <v>45000</v>
      </c>
      <c r="Q754" s="28">
        <f t="shared" si="988"/>
        <v>45000</v>
      </c>
      <c r="R754" s="26">
        <v>911</v>
      </c>
      <c r="T754" s="67"/>
      <c r="U754"/>
    </row>
    <row r="755" spans="1:21" ht="15" x14ac:dyDescent="0.25">
      <c r="A755" s="4"/>
      <c r="E755" s="4"/>
      <c r="F755" s="11"/>
      <c r="G755" s="11"/>
      <c r="H755" s="11"/>
      <c r="I755" s="11"/>
      <c r="J755" s="11"/>
      <c r="K755" s="11"/>
      <c r="M755" s="12"/>
      <c r="N755" s="12"/>
      <c r="O755" s="12"/>
      <c r="P755" s="12"/>
      <c r="Q755" s="12"/>
      <c r="T755" s="67"/>
      <c r="U755"/>
    </row>
    <row r="756" spans="1:21" ht="22.5" x14ac:dyDescent="0.25">
      <c r="A756" s="4"/>
      <c r="B756" s="5" t="s">
        <v>474</v>
      </c>
      <c r="C756" s="5" t="s">
        <v>273</v>
      </c>
      <c r="D756" s="6"/>
      <c r="E756" s="6"/>
      <c r="F756" s="7"/>
      <c r="G756" s="7"/>
      <c r="H756" s="7">
        <v>1</v>
      </c>
      <c r="I756" s="7"/>
      <c r="J756" s="8">
        <f>SUBTOTAL(9,J757)</f>
        <v>5000</v>
      </c>
      <c r="K756" s="7"/>
      <c r="L756" s="156"/>
      <c r="M756" s="8">
        <f>SUBTOTAL(9,M757)</f>
        <v>0</v>
      </c>
      <c r="N756" s="8">
        <f t="shared" ref="N756" si="989">SUBTOTAL(9,N757)</f>
        <v>5000</v>
      </c>
      <c r="O756" s="8">
        <f t="shared" ref="O756" si="990">SUBTOTAL(9,O757)</f>
        <v>0</v>
      </c>
      <c r="P756" s="8">
        <f t="shared" ref="P756" si="991">SUBTOTAL(9,P757)</f>
        <v>0</v>
      </c>
      <c r="Q756" s="8">
        <f t="shared" ref="Q756" si="992">SUBTOTAL(9,Q757)</f>
        <v>5000</v>
      </c>
      <c r="R756" s="25"/>
      <c r="T756" s="67"/>
      <c r="U756"/>
    </row>
    <row r="757" spans="1:21" ht="15" x14ac:dyDescent="0.25">
      <c r="B757" s="13">
        <v>1</v>
      </c>
      <c r="C757" s="14" t="s">
        <v>273</v>
      </c>
      <c r="D757" s="13" t="s">
        <v>49</v>
      </c>
      <c r="E757" s="26" t="s">
        <v>269</v>
      </c>
      <c r="F757" s="15">
        <v>1</v>
      </c>
      <c r="G757" s="15">
        <v>1</v>
      </c>
      <c r="H757" s="15">
        <v>5000</v>
      </c>
      <c r="I757" s="15">
        <v>1</v>
      </c>
      <c r="J757" s="27">
        <f>(H757/G757)*I757*F757</f>
        <v>5000</v>
      </c>
      <c r="K757" s="27"/>
      <c r="L757" s="157"/>
      <c r="M757" s="28">
        <f t="shared" ref="M757" si="993">IF($E757="L",$J757,0)</f>
        <v>0</v>
      </c>
      <c r="N757" s="28">
        <f t="shared" ref="N757" si="994">IF($E757="M",$J757,0)</f>
        <v>5000</v>
      </c>
      <c r="O757" s="28">
        <f t="shared" ref="O757" si="995">IF($E757="P",$J757,0)</f>
        <v>0</v>
      </c>
      <c r="P757" s="28">
        <f t="shared" ref="P757" si="996">IF($E757="S",$J757,0)</f>
        <v>0</v>
      </c>
      <c r="Q757" s="28">
        <f t="shared" ref="Q757" si="997">SUM(M757:P757)</f>
        <v>5000</v>
      </c>
      <c r="R757" s="26">
        <v>905</v>
      </c>
      <c r="T757" s="67"/>
      <c r="U757"/>
    </row>
    <row r="758" spans="1:21" ht="15" x14ac:dyDescent="0.25">
      <c r="A758" s="9"/>
      <c r="B758" s="10"/>
      <c r="C758" s="9"/>
      <c r="E758" s="11"/>
      <c r="F758" s="11"/>
      <c r="G758" s="11"/>
      <c r="H758" s="11"/>
      <c r="I758" s="12"/>
      <c r="J758" s="12"/>
      <c r="K758" s="12"/>
      <c r="M758" s="12"/>
      <c r="N758" s="12"/>
      <c r="O758" s="12"/>
      <c r="P758" s="12"/>
      <c r="Q758" s="4"/>
      <c r="R758" s="17"/>
      <c r="T758" s="67"/>
      <c r="U758"/>
    </row>
    <row r="759" spans="1:21" ht="15" x14ac:dyDescent="0.25">
      <c r="K759" s="9"/>
      <c r="N759" s="32"/>
      <c r="S759" s="9"/>
      <c r="T759" s="67"/>
      <c r="U759"/>
    </row>
    <row r="760" spans="1:21" ht="15" x14ac:dyDescent="0.25">
      <c r="K760" s="9"/>
      <c r="N760" s="32"/>
      <c r="S760" s="9"/>
      <c r="T760" s="67"/>
      <c r="U760"/>
    </row>
    <row r="761" spans="1:21" ht="15" x14ac:dyDescent="0.25">
      <c r="T761" s="67"/>
      <c r="U761"/>
    </row>
    <row r="762" spans="1:21" ht="15" x14ac:dyDescent="0.25">
      <c r="T762" s="67"/>
      <c r="U762"/>
    </row>
    <row r="763" spans="1:21" ht="15" x14ac:dyDescent="0.25">
      <c r="T763" s="67"/>
      <c r="U763"/>
    </row>
    <row r="764" spans="1:21" ht="15" x14ac:dyDescent="0.25">
      <c r="T764" s="67"/>
      <c r="U764"/>
    </row>
    <row r="765" spans="1:21" ht="15" x14ac:dyDescent="0.25">
      <c r="T765" s="67"/>
      <c r="U765"/>
    </row>
    <row r="766" spans="1:21" ht="15" x14ac:dyDescent="0.25">
      <c r="T766" s="67"/>
      <c r="U766"/>
    </row>
    <row r="767" spans="1:21" ht="15" x14ac:dyDescent="0.25">
      <c r="T767" s="67"/>
      <c r="U767"/>
    </row>
    <row r="768" spans="1:21" ht="15" x14ac:dyDescent="0.25">
      <c r="T768" s="67"/>
      <c r="U768"/>
    </row>
    <row r="769" spans="20:21" ht="15" x14ac:dyDescent="0.25">
      <c r="T769" s="67"/>
      <c r="U769"/>
    </row>
    <row r="770" spans="20:21" ht="15" x14ac:dyDescent="0.25">
      <c r="T770" s="67"/>
      <c r="U770"/>
    </row>
    <row r="771" spans="20:21" ht="15" x14ac:dyDescent="0.25">
      <c r="T771" s="67"/>
      <c r="U771"/>
    </row>
    <row r="772" spans="20:21" ht="15" x14ac:dyDescent="0.25">
      <c r="T772" s="67"/>
      <c r="U772"/>
    </row>
    <row r="773" spans="20:21" ht="15" x14ac:dyDescent="0.25">
      <c r="T773" s="67"/>
      <c r="U773"/>
    </row>
    <row r="774" spans="20:21" ht="15" x14ac:dyDescent="0.25">
      <c r="T774" s="67"/>
      <c r="U774"/>
    </row>
    <row r="775" spans="20:21" ht="15" x14ac:dyDescent="0.25">
      <c r="T775" s="67"/>
      <c r="U775"/>
    </row>
    <row r="776" spans="20:21" ht="15" x14ac:dyDescent="0.25">
      <c r="T776" s="67"/>
      <c r="U776"/>
    </row>
    <row r="777" spans="20:21" ht="15" x14ac:dyDescent="0.25">
      <c r="T777" s="67"/>
      <c r="U777"/>
    </row>
    <row r="778" spans="20:21" ht="15" x14ac:dyDescent="0.25">
      <c r="T778" s="67"/>
      <c r="U778"/>
    </row>
    <row r="779" spans="20:21" ht="15" x14ac:dyDescent="0.25">
      <c r="T779" s="67"/>
      <c r="U779"/>
    </row>
    <row r="780" spans="20:21" ht="15" x14ac:dyDescent="0.25">
      <c r="T780" s="67"/>
      <c r="U780"/>
    </row>
    <row r="781" spans="20:21" ht="15" x14ac:dyDescent="0.25">
      <c r="T781" s="67"/>
      <c r="U781"/>
    </row>
    <row r="782" spans="20:21" ht="15" x14ac:dyDescent="0.25">
      <c r="T782" s="67"/>
      <c r="U782"/>
    </row>
    <row r="783" spans="20:21" ht="15" x14ac:dyDescent="0.25">
      <c r="T783" s="67"/>
      <c r="U783"/>
    </row>
    <row r="784" spans="20:21" ht="15" x14ac:dyDescent="0.25">
      <c r="T784" s="67"/>
      <c r="U784"/>
    </row>
    <row r="785" spans="20:21" ht="15" x14ac:dyDescent="0.25">
      <c r="T785" s="67"/>
      <c r="U785"/>
    </row>
    <row r="786" spans="20:21" ht="15" x14ac:dyDescent="0.25">
      <c r="T786" s="67"/>
      <c r="U786"/>
    </row>
    <row r="787" spans="20:21" ht="15" x14ac:dyDescent="0.25">
      <c r="T787" s="67"/>
      <c r="U787"/>
    </row>
    <row r="788" spans="20:21" ht="15" x14ac:dyDescent="0.25">
      <c r="T788" s="67"/>
      <c r="U788"/>
    </row>
    <row r="789" spans="20:21" ht="15" x14ac:dyDescent="0.25">
      <c r="T789" s="67"/>
      <c r="U789"/>
    </row>
    <row r="790" spans="20:21" ht="15" x14ac:dyDescent="0.25">
      <c r="T790" s="67"/>
      <c r="U790"/>
    </row>
    <row r="791" spans="20:21" ht="15" x14ac:dyDescent="0.25">
      <c r="T791" s="67"/>
      <c r="U791"/>
    </row>
    <row r="792" spans="20:21" ht="15" x14ac:dyDescent="0.25">
      <c r="T792" s="67"/>
      <c r="U792"/>
    </row>
    <row r="793" spans="20:21" ht="15" x14ac:dyDescent="0.25">
      <c r="T793" s="67"/>
      <c r="U793"/>
    </row>
    <row r="794" spans="20:21" ht="15" x14ac:dyDescent="0.25">
      <c r="T794" s="67"/>
      <c r="U794"/>
    </row>
    <row r="795" spans="20:21" ht="15" x14ac:dyDescent="0.25">
      <c r="T795" s="67"/>
      <c r="U795"/>
    </row>
    <row r="796" spans="20:21" ht="15" x14ac:dyDescent="0.25">
      <c r="T796" s="67"/>
      <c r="U796"/>
    </row>
    <row r="797" spans="20:21" ht="15" x14ac:dyDescent="0.25">
      <c r="T797" s="67"/>
      <c r="U797"/>
    </row>
    <row r="798" spans="20:21" ht="15" x14ac:dyDescent="0.25">
      <c r="T798" s="67"/>
      <c r="U798"/>
    </row>
    <row r="799" spans="20:21" ht="15" x14ac:dyDescent="0.25">
      <c r="T799" s="67"/>
      <c r="U799"/>
    </row>
    <row r="800" spans="20:21" ht="15" x14ac:dyDescent="0.25">
      <c r="T800" s="67"/>
      <c r="U800"/>
    </row>
    <row r="801" spans="20:21" ht="15" x14ac:dyDescent="0.25">
      <c r="T801" s="67"/>
      <c r="U801"/>
    </row>
    <row r="802" spans="20:21" ht="15" x14ac:dyDescent="0.25">
      <c r="T802" s="67"/>
      <c r="U802"/>
    </row>
    <row r="803" spans="20:21" ht="15" x14ac:dyDescent="0.25">
      <c r="T803" s="67"/>
      <c r="U803"/>
    </row>
    <row r="804" spans="20:21" ht="15" x14ac:dyDescent="0.25">
      <c r="T804" s="67"/>
    </row>
    <row r="805" spans="20:21" ht="15" x14ac:dyDescent="0.25">
      <c r="T805" s="67"/>
    </row>
    <row r="806" spans="20:21" ht="15" x14ac:dyDescent="0.25">
      <c r="T806" s="6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6"/>
  <sheetViews>
    <sheetView topLeftCell="A26" workbookViewId="0">
      <selection activeCell="J15" sqref="J15"/>
    </sheetView>
  </sheetViews>
  <sheetFormatPr defaultColWidth="8.85546875" defaultRowHeight="15" x14ac:dyDescent="0.25"/>
  <cols>
    <col min="1" max="1" width="8.85546875" style="74"/>
    <col min="2" max="2" width="24.28515625" style="20" bestFit="1" customWidth="1"/>
    <col min="3" max="3" width="29.7109375" style="21" customWidth="1"/>
    <col min="4" max="4" width="6.140625" style="22" customWidth="1"/>
    <col min="5" max="5" width="7.28515625" style="141" customWidth="1"/>
    <col min="6" max="6" width="10.28515625" style="141" customWidth="1"/>
    <col min="7" max="7" width="11.5703125" style="23" customWidth="1"/>
    <col min="8" max="16384" width="8.85546875" style="19"/>
  </cols>
  <sheetData>
    <row r="1" spans="1:7" x14ac:dyDescent="0.25">
      <c r="A1" s="75"/>
      <c r="B1" s="76" t="s">
        <v>1</v>
      </c>
      <c r="C1" s="77" t="s">
        <v>259</v>
      </c>
      <c r="D1" s="78" t="s">
        <v>255</v>
      </c>
      <c r="E1" s="128" t="s">
        <v>2</v>
      </c>
      <c r="F1" s="128" t="s">
        <v>260</v>
      </c>
      <c r="G1" s="79" t="s">
        <v>261</v>
      </c>
    </row>
    <row r="2" spans="1:7" x14ac:dyDescent="0.25">
      <c r="A2" s="243" t="s">
        <v>505</v>
      </c>
      <c r="B2" s="80" t="s">
        <v>262</v>
      </c>
      <c r="C2" s="81"/>
      <c r="D2" s="82" t="s">
        <v>263</v>
      </c>
      <c r="E2" s="129" t="s">
        <v>34</v>
      </c>
      <c r="F2" s="129" t="s">
        <v>264</v>
      </c>
      <c r="G2" s="83">
        <v>265</v>
      </c>
    </row>
    <row r="3" spans="1:7" x14ac:dyDescent="0.25">
      <c r="A3" s="243"/>
      <c r="B3" s="84" t="s">
        <v>7</v>
      </c>
      <c r="C3" s="85" t="s">
        <v>7</v>
      </c>
      <c r="D3" s="86" t="s">
        <v>263</v>
      </c>
      <c r="E3" s="130" t="s">
        <v>27</v>
      </c>
      <c r="F3" s="130" t="s">
        <v>264</v>
      </c>
      <c r="G3" s="87">
        <v>48</v>
      </c>
    </row>
    <row r="4" spans="1:7" x14ac:dyDescent="0.25">
      <c r="A4" s="243"/>
      <c r="B4" s="84" t="s">
        <v>265</v>
      </c>
      <c r="C4" s="85"/>
      <c r="D4" s="86" t="s">
        <v>263</v>
      </c>
      <c r="E4" s="130" t="s">
        <v>27</v>
      </c>
      <c r="F4" s="130" t="s">
        <v>264</v>
      </c>
      <c r="G4" s="87">
        <v>48</v>
      </c>
    </row>
    <row r="5" spans="1:7" x14ac:dyDescent="0.25">
      <c r="A5" s="243"/>
      <c r="B5" s="84" t="s">
        <v>41</v>
      </c>
      <c r="C5" s="85" t="s">
        <v>266</v>
      </c>
      <c r="D5" s="86" t="s">
        <v>263</v>
      </c>
      <c r="E5" s="130" t="s">
        <v>42</v>
      </c>
      <c r="F5" s="130" t="s">
        <v>264</v>
      </c>
      <c r="G5" s="87">
        <v>4000</v>
      </c>
    </row>
    <row r="6" spans="1:7" x14ac:dyDescent="0.25">
      <c r="A6" s="243"/>
      <c r="B6" s="84" t="s">
        <v>267</v>
      </c>
      <c r="C6" s="85" t="s">
        <v>267</v>
      </c>
      <c r="D6" s="86" t="s">
        <v>263</v>
      </c>
      <c r="E6" s="130" t="s">
        <v>42</v>
      </c>
      <c r="F6" s="130" t="s">
        <v>264</v>
      </c>
      <c r="G6" s="87">
        <v>4145</v>
      </c>
    </row>
    <row r="7" spans="1:7" x14ac:dyDescent="0.25">
      <c r="A7" s="243"/>
      <c r="B7" s="84" t="s">
        <v>268</v>
      </c>
      <c r="C7" s="85"/>
      <c r="D7" s="86" t="s">
        <v>263</v>
      </c>
      <c r="E7" s="130" t="s">
        <v>38</v>
      </c>
      <c r="F7" s="130" t="s">
        <v>264</v>
      </c>
      <c r="G7" s="87">
        <v>1500</v>
      </c>
    </row>
    <row r="8" spans="1:7" x14ac:dyDescent="0.25">
      <c r="A8" s="243"/>
      <c r="B8" s="88" t="s">
        <v>52</v>
      </c>
      <c r="C8" s="89"/>
      <c r="D8" s="90" t="s">
        <v>263</v>
      </c>
      <c r="E8" s="131" t="s">
        <v>34</v>
      </c>
      <c r="F8" s="131" t="s">
        <v>264</v>
      </c>
      <c r="G8" s="91">
        <v>45</v>
      </c>
    </row>
    <row r="9" spans="1:7" x14ac:dyDescent="0.25">
      <c r="A9" s="243" t="s">
        <v>506</v>
      </c>
      <c r="B9" s="92" t="s">
        <v>144</v>
      </c>
      <c r="C9" s="93"/>
      <c r="D9" s="94" t="s">
        <v>269</v>
      </c>
      <c r="E9" s="132" t="s">
        <v>23</v>
      </c>
      <c r="F9" s="132" t="s">
        <v>264</v>
      </c>
      <c r="G9" s="95">
        <v>96.09</v>
      </c>
    </row>
    <row r="10" spans="1:7" x14ac:dyDescent="0.25">
      <c r="A10" s="243"/>
      <c r="B10" s="96" t="s">
        <v>150</v>
      </c>
      <c r="C10" s="97"/>
      <c r="D10" s="98" t="s">
        <v>269</v>
      </c>
      <c r="E10" s="133" t="s">
        <v>23</v>
      </c>
      <c r="F10" s="133" t="s">
        <v>264</v>
      </c>
      <c r="G10" s="99">
        <v>136</v>
      </c>
    </row>
    <row r="11" spans="1:7" x14ac:dyDescent="0.25">
      <c r="A11" s="243"/>
      <c r="B11" s="96" t="s">
        <v>270</v>
      </c>
      <c r="C11" s="97"/>
      <c r="D11" s="98" t="s">
        <v>269</v>
      </c>
      <c r="E11" s="133" t="s">
        <v>23</v>
      </c>
      <c r="F11" s="133" t="s">
        <v>264</v>
      </c>
      <c r="G11" s="99">
        <v>185</v>
      </c>
    </row>
    <row r="12" spans="1:7" x14ac:dyDescent="0.25">
      <c r="A12" s="243"/>
      <c r="B12" s="96" t="s">
        <v>271</v>
      </c>
      <c r="C12" s="97"/>
      <c r="D12" s="98" t="s">
        <v>269</v>
      </c>
      <c r="E12" s="133" t="s">
        <v>23</v>
      </c>
      <c r="F12" s="133" t="s">
        <v>264</v>
      </c>
      <c r="G12" s="99">
        <v>235</v>
      </c>
    </row>
    <row r="13" spans="1:7" x14ac:dyDescent="0.25">
      <c r="A13" s="243"/>
      <c r="B13" s="96" t="s">
        <v>121</v>
      </c>
      <c r="C13" s="97"/>
      <c r="D13" s="98" t="s">
        <v>269</v>
      </c>
      <c r="E13" s="133" t="s">
        <v>122</v>
      </c>
      <c r="F13" s="133" t="s">
        <v>264</v>
      </c>
      <c r="G13" s="99">
        <v>2.25</v>
      </c>
    </row>
    <row r="14" spans="1:7" x14ac:dyDescent="0.25">
      <c r="A14" s="243"/>
      <c r="B14" s="96" t="s">
        <v>25</v>
      </c>
      <c r="C14" s="97"/>
      <c r="D14" s="98" t="s">
        <v>269</v>
      </c>
      <c r="E14" s="133" t="s">
        <v>26</v>
      </c>
      <c r="F14" s="133" t="s">
        <v>264</v>
      </c>
      <c r="G14" s="99">
        <v>26.5</v>
      </c>
    </row>
    <row r="15" spans="1:7" x14ac:dyDescent="0.25">
      <c r="A15" s="243"/>
      <c r="B15" s="96" t="s">
        <v>272</v>
      </c>
      <c r="C15" s="97"/>
      <c r="D15" s="98" t="s">
        <v>269</v>
      </c>
      <c r="E15" s="133" t="s">
        <v>26</v>
      </c>
      <c r="F15" s="133" t="s">
        <v>264</v>
      </c>
      <c r="G15" s="99">
        <v>400</v>
      </c>
    </row>
    <row r="16" spans="1:7" x14ac:dyDescent="0.25">
      <c r="A16" s="243"/>
      <c r="B16" s="96" t="s">
        <v>226</v>
      </c>
      <c r="C16" s="97"/>
      <c r="D16" s="98" t="s">
        <v>269</v>
      </c>
      <c r="E16" s="133" t="s">
        <v>38</v>
      </c>
      <c r="F16" s="133" t="s">
        <v>264</v>
      </c>
      <c r="G16" s="99">
        <v>65</v>
      </c>
    </row>
    <row r="17" spans="1:7" x14ac:dyDescent="0.25">
      <c r="A17" s="243"/>
      <c r="B17" s="96" t="s">
        <v>455</v>
      </c>
      <c r="C17" s="97"/>
      <c r="D17" s="98" t="s">
        <v>269</v>
      </c>
      <c r="E17" s="133" t="s">
        <v>26</v>
      </c>
      <c r="F17" s="133" t="s">
        <v>264</v>
      </c>
      <c r="G17" s="99">
        <v>31.5</v>
      </c>
    </row>
    <row r="18" spans="1:7" x14ac:dyDescent="0.25">
      <c r="A18" s="243"/>
      <c r="B18" s="96" t="s">
        <v>145</v>
      </c>
      <c r="C18" s="97"/>
      <c r="D18" s="98" t="s">
        <v>269</v>
      </c>
      <c r="E18" s="133" t="s">
        <v>26</v>
      </c>
      <c r="F18" s="133" t="s">
        <v>264</v>
      </c>
      <c r="G18" s="99">
        <v>24</v>
      </c>
    </row>
    <row r="19" spans="1:7" x14ac:dyDescent="0.25">
      <c r="A19" s="243"/>
      <c r="B19" s="96" t="s">
        <v>273</v>
      </c>
      <c r="C19" s="97"/>
      <c r="D19" s="98" t="s">
        <v>269</v>
      </c>
      <c r="E19" s="133" t="s">
        <v>49</v>
      </c>
      <c r="F19" s="133" t="s">
        <v>264</v>
      </c>
      <c r="G19" s="99">
        <v>1</v>
      </c>
    </row>
    <row r="20" spans="1:7" x14ac:dyDescent="0.25">
      <c r="A20" s="243"/>
      <c r="B20" s="100" t="s">
        <v>274</v>
      </c>
      <c r="C20" s="101"/>
      <c r="D20" s="102" t="s">
        <v>269</v>
      </c>
      <c r="E20" s="134" t="s">
        <v>38</v>
      </c>
      <c r="F20" s="134" t="s">
        <v>264</v>
      </c>
      <c r="G20" s="103">
        <v>3.5</v>
      </c>
    </row>
    <row r="21" spans="1:7" x14ac:dyDescent="0.25">
      <c r="A21" s="243" t="s">
        <v>507</v>
      </c>
      <c r="B21" s="104" t="s">
        <v>28</v>
      </c>
      <c r="C21" s="105"/>
      <c r="D21" s="106" t="s">
        <v>275</v>
      </c>
      <c r="E21" s="135" t="s">
        <v>27</v>
      </c>
      <c r="F21" s="135" t="s">
        <v>264</v>
      </c>
      <c r="G21" s="107">
        <v>100</v>
      </c>
    </row>
    <row r="22" spans="1:7" x14ac:dyDescent="0.25">
      <c r="A22" s="243"/>
      <c r="B22" s="108" t="s">
        <v>32</v>
      </c>
      <c r="C22" s="109" t="s">
        <v>276</v>
      </c>
      <c r="D22" s="110" t="s">
        <v>275</v>
      </c>
      <c r="E22" s="136" t="s">
        <v>27</v>
      </c>
      <c r="F22" s="136" t="s">
        <v>264</v>
      </c>
      <c r="G22" s="111">
        <v>35</v>
      </c>
    </row>
    <row r="23" spans="1:7" ht="30" x14ac:dyDescent="0.25">
      <c r="A23" s="243"/>
      <c r="B23" s="108" t="s">
        <v>277</v>
      </c>
      <c r="C23" s="109" t="s">
        <v>278</v>
      </c>
      <c r="D23" s="110" t="s">
        <v>275</v>
      </c>
      <c r="E23" s="136" t="s">
        <v>42</v>
      </c>
      <c r="F23" s="136" t="s">
        <v>264</v>
      </c>
      <c r="G23" s="111">
        <v>730</v>
      </c>
    </row>
    <row r="24" spans="1:7" x14ac:dyDescent="0.25">
      <c r="A24" s="243"/>
      <c r="B24" s="108" t="s">
        <v>73</v>
      </c>
      <c r="C24" s="109"/>
      <c r="D24" s="110" t="s">
        <v>275</v>
      </c>
      <c r="E24" s="136" t="s">
        <v>27</v>
      </c>
      <c r="F24" s="136" t="s">
        <v>264</v>
      </c>
      <c r="G24" s="111">
        <v>130</v>
      </c>
    </row>
    <row r="25" spans="1:7" x14ac:dyDescent="0.25">
      <c r="A25" s="243"/>
      <c r="B25" s="108" t="s">
        <v>20</v>
      </c>
      <c r="C25" s="109"/>
      <c r="D25" s="110" t="s">
        <v>275</v>
      </c>
      <c r="E25" s="136" t="s">
        <v>21</v>
      </c>
      <c r="F25" s="136" t="s">
        <v>264</v>
      </c>
      <c r="G25" s="111">
        <v>1</v>
      </c>
    </row>
    <row r="26" spans="1:7" x14ac:dyDescent="0.25">
      <c r="A26" s="243"/>
      <c r="B26" s="108" t="s">
        <v>279</v>
      </c>
      <c r="C26" s="109"/>
      <c r="D26" s="110" t="s">
        <v>275</v>
      </c>
      <c r="E26" s="136" t="s">
        <v>34</v>
      </c>
      <c r="F26" s="136" t="s">
        <v>264</v>
      </c>
      <c r="G26" s="111">
        <v>8000</v>
      </c>
    </row>
    <row r="27" spans="1:7" x14ac:dyDescent="0.25">
      <c r="A27" s="243"/>
      <c r="B27" s="108" t="s">
        <v>31</v>
      </c>
      <c r="C27" s="109" t="s">
        <v>280</v>
      </c>
      <c r="D27" s="110" t="s">
        <v>275</v>
      </c>
      <c r="E27" s="136" t="s">
        <v>27</v>
      </c>
      <c r="F27" s="136" t="s">
        <v>264</v>
      </c>
      <c r="G27" s="111">
        <v>165</v>
      </c>
    </row>
    <row r="28" spans="1:7" x14ac:dyDescent="0.25">
      <c r="A28" s="243"/>
      <c r="B28" s="108" t="s">
        <v>176</v>
      </c>
      <c r="C28" s="109"/>
      <c r="D28" s="110" t="s">
        <v>275</v>
      </c>
      <c r="E28" s="136" t="s">
        <v>54</v>
      </c>
      <c r="F28" s="136" t="s">
        <v>264</v>
      </c>
      <c r="G28" s="111">
        <v>365</v>
      </c>
    </row>
    <row r="29" spans="1:7" x14ac:dyDescent="0.25">
      <c r="A29" s="243"/>
      <c r="B29" s="108" t="s">
        <v>75</v>
      </c>
      <c r="C29" s="109" t="s">
        <v>281</v>
      </c>
      <c r="D29" s="110" t="s">
        <v>275</v>
      </c>
      <c r="E29" s="136" t="s">
        <v>54</v>
      </c>
      <c r="F29" s="136" t="s">
        <v>264</v>
      </c>
      <c r="G29" s="111">
        <v>365</v>
      </c>
    </row>
    <row r="30" spans="1:7" x14ac:dyDescent="0.25">
      <c r="A30" s="243"/>
      <c r="B30" s="108" t="s">
        <v>147</v>
      </c>
      <c r="C30" s="109" t="s">
        <v>282</v>
      </c>
      <c r="D30" s="110" t="s">
        <v>275</v>
      </c>
      <c r="E30" s="136" t="s">
        <v>27</v>
      </c>
      <c r="F30" s="136" t="s">
        <v>264</v>
      </c>
      <c r="G30" s="111">
        <v>10</v>
      </c>
    </row>
    <row r="31" spans="1:7" x14ac:dyDescent="0.25">
      <c r="A31" s="243"/>
      <c r="B31" s="108" t="s">
        <v>283</v>
      </c>
      <c r="C31" s="109"/>
      <c r="D31" s="110" t="s">
        <v>275</v>
      </c>
      <c r="E31" s="136" t="s">
        <v>38</v>
      </c>
      <c r="F31" s="136" t="s">
        <v>264</v>
      </c>
      <c r="G31" s="111">
        <v>2500</v>
      </c>
    </row>
    <row r="32" spans="1:7" x14ac:dyDescent="0.25">
      <c r="A32" s="243"/>
      <c r="B32" s="108" t="s">
        <v>102</v>
      </c>
      <c r="C32" s="109" t="s">
        <v>284</v>
      </c>
      <c r="D32" s="110" t="s">
        <v>275</v>
      </c>
      <c r="E32" s="136" t="s">
        <v>54</v>
      </c>
      <c r="F32" s="136" t="s">
        <v>264</v>
      </c>
      <c r="G32" s="111">
        <v>365</v>
      </c>
    </row>
    <row r="33" spans="1:7" x14ac:dyDescent="0.25">
      <c r="A33" s="243"/>
      <c r="B33" s="108" t="s">
        <v>22</v>
      </c>
      <c r="C33" s="109"/>
      <c r="D33" s="110" t="s">
        <v>275</v>
      </c>
      <c r="E33" s="136" t="s">
        <v>23</v>
      </c>
      <c r="F33" s="136" t="s">
        <v>264</v>
      </c>
      <c r="G33" s="111">
        <v>11.25</v>
      </c>
    </row>
    <row r="34" spans="1:7" x14ac:dyDescent="0.25">
      <c r="A34" s="243"/>
      <c r="B34" s="108" t="s">
        <v>74</v>
      </c>
      <c r="C34" s="109" t="s">
        <v>285</v>
      </c>
      <c r="D34" s="110" t="s">
        <v>275</v>
      </c>
      <c r="E34" s="136" t="s">
        <v>27</v>
      </c>
      <c r="F34" s="136" t="s">
        <v>264</v>
      </c>
      <c r="G34" s="111">
        <v>90</v>
      </c>
    </row>
    <row r="35" spans="1:7" x14ac:dyDescent="0.25">
      <c r="A35" s="243"/>
      <c r="B35" s="108" t="s">
        <v>53</v>
      </c>
      <c r="C35" s="109"/>
      <c r="D35" s="110" t="s">
        <v>275</v>
      </c>
      <c r="E35" s="136" t="s">
        <v>54</v>
      </c>
      <c r="F35" s="136" t="s">
        <v>264</v>
      </c>
      <c r="G35" s="111">
        <v>25</v>
      </c>
    </row>
    <row r="36" spans="1:7" x14ac:dyDescent="0.25">
      <c r="A36" s="243"/>
      <c r="B36" s="108" t="s">
        <v>69</v>
      </c>
      <c r="C36" s="109"/>
      <c r="D36" s="110" t="s">
        <v>275</v>
      </c>
      <c r="E36" s="136" t="s">
        <v>54</v>
      </c>
      <c r="F36" s="136" t="s">
        <v>264</v>
      </c>
      <c r="G36" s="111">
        <v>1000</v>
      </c>
    </row>
    <row r="37" spans="1:7" x14ac:dyDescent="0.25">
      <c r="A37" s="243"/>
      <c r="B37" s="112" t="s">
        <v>45</v>
      </c>
      <c r="C37" s="113" t="s">
        <v>286</v>
      </c>
      <c r="D37" s="114" t="s">
        <v>275</v>
      </c>
      <c r="E37" s="137" t="s">
        <v>27</v>
      </c>
      <c r="F37" s="137" t="s">
        <v>264</v>
      </c>
      <c r="G37" s="115">
        <v>100</v>
      </c>
    </row>
    <row r="38" spans="1:7" x14ac:dyDescent="0.25">
      <c r="A38" s="243" t="s">
        <v>508</v>
      </c>
      <c r="B38" s="116" t="s">
        <v>207</v>
      </c>
      <c r="C38" s="117"/>
      <c r="D38" s="118" t="s">
        <v>287</v>
      </c>
      <c r="E38" s="138" t="s">
        <v>197</v>
      </c>
      <c r="F38" s="138" t="s">
        <v>264</v>
      </c>
      <c r="G38" s="119">
        <v>1.74</v>
      </c>
    </row>
    <row r="39" spans="1:7" x14ac:dyDescent="0.25">
      <c r="A39" s="243"/>
      <c r="B39" s="120" t="s">
        <v>288</v>
      </c>
      <c r="C39" s="121"/>
      <c r="D39" s="122" t="s">
        <v>287</v>
      </c>
      <c r="E39" s="139" t="s">
        <v>54</v>
      </c>
      <c r="F39" s="139" t="s">
        <v>264</v>
      </c>
      <c r="G39" s="123">
        <v>125</v>
      </c>
    </row>
    <row r="40" spans="1:7" x14ac:dyDescent="0.25">
      <c r="A40" s="243"/>
      <c r="B40" s="120" t="s">
        <v>210</v>
      </c>
      <c r="C40" s="121"/>
      <c r="D40" s="122" t="s">
        <v>287</v>
      </c>
      <c r="E40" s="139" t="s">
        <v>197</v>
      </c>
      <c r="F40" s="139" t="s">
        <v>264</v>
      </c>
      <c r="G40" s="123">
        <v>1.6</v>
      </c>
    </row>
    <row r="41" spans="1:7" x14ac:dyDescent="0.25">
      <c r="A41" s="243"/>
      <c r="B41" s="120" t="s">
        <v>48</v>
      </c>
      <c r="C41" s="121" t="s">
        <v>289</v>
      </c>
      <c r="D41" s="122" t="s">
        <v>287</v>
      </c>
      <c r="E41" s="139" t="s">
        <v>49</v>
      </c>
      <c r="F41" s="139" t="s">
        <v>264</v>
      </c>
      <c r="G41" s="123">
        <v>1</v>
      </c>
    </row>
    <row r="42" spans="1:7" x14ac:dyDescent="0.25">
      <c r="A42" s="243"/>
      <c r="B42" s="120" t="s">
        <v>157</v>
      </c>
      <c r="C42" s="121" t="s">
        <v>290</v>
      </c>
      <c r="D42" s="122" t="s">
        <v>287</v>
      </c>
      <c r="E42" s="139" t="s">
        <v>122</v>
      </c>
      <c r="F42" s="139" t="s">
        <v>264</v>
      </c>
      <c r="G42" s="123">
        <v>1100</v>
      </c>
    </row>
    <row r="43" spans="1:7" x14ac:dyDescent="0.25">
      <c r="A43" s="243"/>
      <c r="B43" s="120" t="s">
        <v>291</v>
      </c>
      <c r="C43" s="121"/>
      <c r="D43" s="122" t="s">
        <v>287</v>
      </c>
      <c r="E43" s="139" t="s">
        <v>214</v>
      </c>
      <c r="F43" s="139" t="s">
        <v>264</v>
      </c>
      <c r="G43" s="123">
        <v>113.82</v>
      </c>
    </row>
    <row r="44" spans="1:7" x14ac:dyDescent="0.25">
      <c r="A44" s="243"/>
      <c r="B44" s="120" t="s">
        <v>292</v>
      </c>
      <c r="C44" s="121"/>
      <c r="D44" s="122" t="s">
        <v>287</v>
      </c>
      <c r="E44" s="139" t="s">
        <v>214</v>
      </c>
      <c r="F44" s="139" t="s">
        <v>264</v>
      </c>
      <c r="G44" s="123">
        <v>119.98</v>
      </c>
    </row>
    <row r="45" spans="1:7" x14ac:dyDescent="0.25">
      <c r="A45" s="243"/>
      <c r="B45" s="120" t="s">
        <v>293</v>
      </c>
      <c r="C45" s="121"/>
      <c r="D45" s="122" t="s">
        <v>287</v>
      </c>
      <c r="E45" s="139" t="s">
        <v>23</v>
      </c>
      <c r="F45" s="139" t="s">
        <v>264</v>
      </c>
      <c r="G45" s="123">
        <v>10.46</v>
      </c>
    </row>
    <row r="46" spans="1:7" x14ac:dyDescent="0.25">
      <c r="A46" s="243"/>
      <c r="B46" s="120" t="s">
        <v>454</v>
      </c>
      <c r="C46" s="121" t="s">
        <v>459</v>
      </c>
      <c r="D46" s="122" t="s">
        <v>287</v>
      </c>
      <c r="E46" s="139" t="s">
        <v>26</v>
      </c>
      <c r="F46" s="139" t="s">
        <v>264</v>
      </c>
      <c r="G46" s="123">
        <v>350</v>
      </c>
    </row>
    <row r="47" spans="1:7" x14ac:dyDescent="0.25">
      <c r="A47" s="243"/>
      <c r="B47" s="120" t="s">
        <v>29</v>
      </c>
      <c r="C47" s="121" t="s">
        <v>294</v>
      </c>
      <c r="D47" s="122" t="s">
        <v>287</v>
      </c>
      <c r="E47" s="139" t="s">
        <v>27</v>
      </c>
      <c r="F47" s="139" t="s">
        <v>264</v>
      </c>
      <c r="G47" s="123">
        <v>95</v>
      </c>
    </row>
    <row r="48" spans="1:7" x14ac:dyDescent="0.25">
      <c r="A48" s="243"/>
      <c r="B48" s="120" t="s">
        <v>295</v>
      </c>
      <c r="C48" s="121"/>
      <c r="D48" s="122" t="s">
        <v>287</v>
      </c>
      <c r="E48" s="139" t="s">
        <v>197</v>
      </c>
      <c r="F48" s="139" t="s">
        <v>264</v>
      </c>
      <c r="G48" s="123">
        <v>8.73</v>
      </c>
    </row>
    <row r="49" spans="1:7" x14ac:dyDescent="0.25">
      <c r="A49" s="243"/>
      <c r="B49" s="120" t="s">
        <v>128</v>
      </c>
      <c r="C49" s="121"/>
      <c r="D49" s="122" t="s">
        <v>287</v>
      </c>
      <c r="E49" s="139" t="s">
        <v>99</v>
      </c>
      <c r="F49" s="139" t="s">
        <v>264</v>
      </c>
      <c r="G49" s="123">
        <v>0.24</v>
      </c>
    </row>
    <row r="50" spans="1:7" x14ac:dyDescent="0.25">
      <c r="A50" s="243"/>
      <c r="B50" s="120" t="s">
        <v>296</v>
      </c>
      <c r="C50" s="121"/>
      <c r="D50" s="122" t="s">
        <v>287</v>
      </c>
      <c r="E50" s="139" t="s">
        <v>34</v>
      </c>
      <c r="F50" s="139" t="s">
        <v>264</v>
      </c>
      <c r="G50" s="123">
        <v>1</v>
      </c>
    </row>
    <row r="51" spans="1:7" x14ac:dyDescent="0.25">
      <c r="A51" s="243"/>
      <c r="B51" s="120" t="s">
        <v>213</v>
      </c>
      <c r="C51" s="121"/>
      <c r="D51" s="122" t="s">
        <v>287</v>
      </c>
      <c r="E51" s="139" t="s">
        <v>214</v>
      </c>
      <c r="F51" s="139" t="s">
        <v>264</v>
      </c>
      <c r="G51" s="123">
        <v>544.37</v>
      </c>
    </row>
    <row r="52" spans="1:7" x14ac:dyDescent="0.25">
      <c r="A52" s="243"/>
      <c r="B52" s="120" t="s">
        <v>217</v>
      </c>
      <c r="C52" s="121"/>
      <c r="D52" s="122" t="s">
        <v>287</v>
      </c>
      <c r="E52" s="139" t="s">
        <v>214</v>
      </c>
      <c r="F52" s="139" t="s">
        <v>264</v>
      </c>
      <c r="G52" s="123">
        <v>478.03</v>
      </c>
    </row>
    <row r="53" spans="1:7" x14ac:dyDescent="0.25">
      <c r="A53" s="243"/>
      <c r="B53" s="120" t="s">
        <v>204</v>
      </c>
      <c r="C53" s="121"/>
      <c r="D53" s="122" t="s">
        <v>287</v>
      </c>
      <c r="E53" s="139" t="s">
        <v>23</v>
      </c>
      <c r="F53" s="139" t="s">
        <v>264</v>
      </c>
      <c r="G53" s="123">
        <v>8</v>
      </c>
    </row>
    <row r="54" spans="1:7" x14ac:dyDescent="0.25">
      <c r="A54" s="243"/>
      <c r="B54" s="120" t="s">
        <v>297</v>
      </c>
      <c r="C54" s="121"/>
      <c r="D54" s="122" t="s">
        <v>287</v>
      </c>
      <c r="E54" s="139" t="s">
        <v>122</v>
      </c>
      <c r="F54" s="139" t="s">
        <v>264</v>
      </c>
      <c r="G54" s="123">
        <v>1.71</v>
      </c>
    </row>
    <row r="55" spans="1:7" x14ac:dyDescent="0.25">
      <c r="A55" s="243"/>
      <c r="B55" s="120" t="s">
        <v>62</v>
      </c>
      <c r="C55" s="121"/>
      <c r="D55" s="122" t="s">
        <v>287</v>
      </c>
      <c r="E55" s="139" t="s">
        <v>27</v>
      </c>
      <c r="F55" s="139" t="s">
        <v>264</v>
      </c>
      <c r="G55" s="123">
        <v>5.9</v>
      </c>
    </row>
    <row r="56" spans="1:7" x14ac:dyDescent="0.25">
      <c r="A56" s="243"/>
      <c r="B56" s="124" t="s">
        <v>229</v>
      </c>
      <c r="C56" s="125"/>
      <c r="D56" s="126" t="s">
        <v>287</v>
      </c>
      <c r="E56" s="140" t="s">
        <v>122</v>
      </c>
      <c r="F56" s="140" t="s">
        <v>264</v>
      </c>
      <c r="G56" s="127">
        <v>1</v>
      </c>
    </row>
  </sheetData>
  <mergeCells count="4">
    <mergeCell ref="A2:A8"/>
    <mergeCell ref="A9:A20"/>
    <mergeCell ref="A21:A37"/>
    <mergeCell ref="A38:A5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0"/>
  <sheetViews>
    <sheetView topLeftCell="A81" workbookViewId="0">
      <selection activeCell="H7" sqref="H7"/>
    </sheetView>
  </sheetViews>
  <sheetFormatPr defaultColWidth="8.85546875" defaultRowHeight="11.25" x14ac:dyDescent="0.2"/>
  <cols>
    <col min="1" max="1" width="5.7109375" style="143" bestFit="1" customWidth="1"/>
    <col min="2" max="2" width="57.28515625" style="144" customWidth="1"/>
    <col min="3" max="3" width="10.140625" style="145" customWidth="1"/>
    <col min="4" max="5" width="8.85546875" style="146"/>
    <col min="6" max="16384" width="8.85546875" style="4"/>
  </cols>
  <sheetData>
    <row r="1" spans="1:5" s="142" customFormat="1" ht="12.75" x14ac:dyDescent="0.2">
      <c r="A1" s="148" t="s">
        <v>509</v>
      </c>
      <c r="B1" s="149" t="s">
        <v>259</v>
      </c>
      <c r="C1" s="150" t="s">
        <v>510</v>
      </c>
      <c r="D1" s="151" t="s">
        <v>511</v>
      </c>
      <c r="E1" s="151" t="s">
        <v>512</v>
      </c>
    </row>
    <row r="2" spans="1:5" ht="22.5" x14ac:dyDescent="0.2">
      <c r="A2" s="143">
        <v>3</v>
      </c>
      <c r="B2" s="144" t="str">
        <f>VLOOKUP(A2,Estimate!A:H,3,FALSE)</f>
        <v>Contractor's site facilities, including establishment at commencement and disestablishment at completion of the project.</v>
      </c>
      <c r="C2" s="145">
        <v>1</v>
      </c>
      <c r="D2" s="146" t="s">
        <v>304</v>
      </c>
      <c r="E2" s="146" t="str">
        <f>VLOOKUP(A2,Estimate!A:D,4,FALSE)</f>
        <v xml:space="preserve">Lump </v>
      </c>
    </row>
    <row r="3" spans="1:5" ht="22.5" x14ac:dyDescent="0.2">
      <c r="A3" s="143">
        <v>4</v>
      </c>
      <c r="B3" s="144" t="str">
        <f>VLOOKUP(A3,Estimate!A:H,3,FALSE)</f>
        <v>Contractor's site facilities (disestablishment and re-establishment between general localities within the Shire) (Provisional Quantity, if ordered)</v>
      </c>
      <c r="C3" s="145">
        <v>12</v>
      </c>
      <c r="D3" s="146" t="s">
        <v>304</v>
      </c>
      <c r="E3" s="146" t="str">
        <f>VLOOKUP(A3,Estimate!A:D,4,FALSE)</f>
        <v>Per r</v>
      </c>
    </row>
    <row r="4" spans="1:5" x14ac:dyDescent="0.2">
      <c r="A4" s="143">
        <v>8.1</v>
      </c>
      <c r="B4" s="144" t="str">
        <f>VLOOKUP(A4,Estimate!A:H,3,FALSE)</f>
        <v>Traffic Control Hours</v>
      </c>
      <c r="C4" s="145">
        <v>624</v>
      </c>
      <c r="D4" s="146" t="s">
        <v>304</v>
      </c>
      <c r="E4" s="146">
        <f>VLOOKUP(A4,Estimate!A:D,4,FALSE)</f>
        <v>0</v>
      </c>
    </row>
    <row r="5" spans="1:5" ht="22.5" x14ac:dyDescent="0.2">
      <c r="A5" s="143">
        <v>11</v>
      </c>
      <c r="B5" s="144" t="str">
        <f>VLOOKUP(A5,Estimate!A:H,3,FALSE)</f>
        <v>Survey of existing road formation, delineation, road furniture and culverts prior to works, to provide locality, geometry and detail for reconstruction</v>
      </c>
      <c r="C5" s="145">
        <v>5645</v>
      </c>
      <c r="D5" s="146" t="s">
        <v>304</v>
      </c>
      <c r="E5" s="146" t="str">
        <f>VLOOKUP(A5,Estimate!A:D,4,FALSE)</f>
        <v xml:space="preserve">m of </v>
      </c>
    </row>
    <row r="6" spans="1:5" ht="33.75" x14ac:dyDescent="0.2">
      <c r="A6" s="143">
        <v>13</v>
      </c>
      <c r="B6" s="144" t="str">
        <f>VLOOKUP(A6,Estimate!A:H,3,FALSE)</f>
        <v>Special excavation, removing existing seal (contaminated material) at repair areas and disposal at approved HSC site, including haulage up to 18 km (Provisional Quantity, if ordered)</v>
      </c>
      <c r="C6" s="145">
        <v>769</v>
      </c>
      <c r="D6" s="146" t="s">
        <v>304</v>
      </c>
      <c r="E6" s="146" t="str">
        <f>VLOOKUP(A6,Estimate!A:D,4,FALSE)</f>
        <v xml:space="preserve">m3   </v>
      </c>
    </row>
    <row r="7" spans="1:5" x14ac:dyDescent="0.2">
      <c r="A7" s="143">
        <v>13.05</v>
      </c>
      <c r="B7" s="144" t="str">
        <f>VLOOKUP(A7,Estimate!A:H,3,FALSE)</f>
        <v>Depth to remove</v>
      </c>
      <c r="C7" s="145">
        <v>0.03</v>
      </c>
      <c r="D7" s="146" t="s">
        <v>304</v>
      </c>
      <c r="E7" s="146">
        <f>VLOOKUP(A7,Estimate!A:D,4,FALSE)</f>
        <v>0</v>
      </c>
    </row>
    <row r="8" spans="1:5" x14ac:dyDescent="0.2">
      <c r="A8" s="143">
        <v>13.1</v>
      </c>
      <c r="B8" s="144" t="str">
        <f>VLOOKUP(A8,Estimate!A:H,3,FALSE)</f>
        <v>WS220</v>
      </c>
      <c r="C8" s="145">
        <v>3000</v>
      </c>
      <c r="D8" s="146" t="s">
        <v>275</v>
      </c>
      <c r="E8" s="146" t="str">
        <f>VLOOKUP(A8,Estimate!A:D,4,FALSE)</f>
        <v xml:space="preserve">day  </v>
      </c>
    </row>
    <row r="9" spans="1:5" x14ac:dyDescent="0.2">
      <c r="A9" s="143">
        <v>15</v>
      </c>
      <c r="B9" s="144" t="str">
        <f>VLOOKUP(A9,Estimate!A:H,3,FALSE)</f>
        <v>Ann Street</v>
      </c>
      <c r="C9" s="145">
        <v>214</v>
      </c>
      <c r="D9" s="146" t="s">
        <v>304</v>
      </c>
      <c r="E9" s="146" t="str">
        <f>VLOOKUP(A9,Estimate!A:D,4,FALSE)</f>
        <v xml:space="preserve">m3   </v>
      </c>
    </row>
    <row r="10" spans="1:5" x14ac:dyDescent="0.2">
      <c r="A10" s="143">
        <v>15.1</v>
      </c>
      <c r="B10" s="144" t="str">
        <f>VLOOKUP(A10,Estimate!A:H,3,FALSE)</f>
        <v>Excavator - 25T</v>
      </c>
      <c r="C10" s="145">
        <v>23.777777777777779</v>
      </c>
      <c r="D10" s="146" t="s">
        <v>275</v>
      </c>
      <c r="E10" s="146" t="str">
        <f>VLOOKUP(A10,Estimate!A:D,4,FALSE)</f>
        <v xml:space="preserve">hr   </v>
      </c>
    </row>
    <row r="11" spans="1:5" x14ac:dyDescent="0.2">
      <c r="A11" s="143">
        <v>16</v>
      </c>
      <c r="B11" s="144" t="str">
        <f>VLOOKUP(A11,Estimate!A:H,3,FALSE)</f>
        <v>Barberos Road</v>
      </c>
      <c r="C11" s="145">
        <v>195</v>
      </c>
      <c r="D11" s="146" t="s">
        <v>304</v>
      </c>
      <c r="E11" s="146" t="str">
        <f>VLOOKUP(A11,Estimate!A:D,4,FALSE)</f>
        <v xml:space="preserve">m3   </v>
      </c>
    </row>
    <row r="12" spans="1:5" x14ac:dyDescent="0.2">
      <c r="A12" s="143">
        <v>16.100000000000001</v>
      </c>
      <c r="B12" s="144" t="str">
        <f>VLOOKUP(A12,Estimate!A:H,3,FALSE)</f>
        <v>Excavator - 25T</v>
      </c>
      <c r="C12" s="145">
        <v>21.666666666666668</v>
      </c>
      <c r="D12" s="146" t="s">
        <v>275</v>
      </c>
      <c r="E12" s="146" t="str">
        <f>VLOOKUP(A12,Estimate!A:D,4,FALSE)</f>
        <v xml:space="preserve">hr   </v>
      </c>
    </row>
    <row r="13" spans="1:5" x14ac:dyDescent="0.2">
      <c r="A13" s="143">
        <v>17</v>
      </c>
      <c r="B13" s="144" t="str">
        <f>VLOOKUP(A13,Estimate!A:H,3,FALSE)</f>
        <v>Burke Offset Road</v>
      </c>
      <c r="C13" s="145">
        <v>261</v>
      </c>
      <c r="D13" s="146" t="s">
        <v>304</v>
      </c>
      <c r="E13" s="146" t="str">
        <f>VLOOKUP(A13,Estimate!A:D,4,FALSE)</f>
        <v xml:space="preserve">m3   </v>
      </c>
    </row>
    <row r="14" spans="1:5" x14ac:dyDescent="0.2">
      <c r="A14" s="143">
        <v>17.100000000000001</v>
      </c>
      <c r="B14" s="144" t="str">
        <f>VLOOKUP(A14,Estimate!A:H,3,FALSE)</f>
        <v>Excavator - 25T</v>
      </c>
      <c r="C14" s="145">
        <v>29</v>
      </c>
      <c r="D14" s="146" t="s">
        <v>275</v>
      </c>
      <c r="E14" s="146" t="str">
        <f>VLOOKUP(A14,Estimate!A:D,4,FALSE)</f>
        <v xml:space="preserve">hr   </v>
      </c>
    </row>
    <row r="15" spans="1:5" x14ac:dyDescent="0.2">
      <c r="A15" s="143">
        <v>18</v>
      </c>
      <c r="B15" s="144" t="str">
        <f>VLOOKUP(A15,Estimate!A:H,3,FALSE)</f>
        <v>Fabris Road</v>
      </c>
      <c r="C15" s="145">
        <v>420</v>
      </c>
      <c r="D15" s="146" t="s">
        <v>304</v>
      </c>
      <c r="E15" s="146" t="str">
        <f>VLOOKUP(A15,Estimate!A:D,4,FALSE)</f>
        <v xml:space="preserve">m3   </v>
      </c>
    </row>
    <row r="16" spans="1:5" x14ac:dyDescent="0.2">
      <c r="A16" s="143">
        <v>18.100000000000001</v>
      </c>
      <c r="B16" s="144" t="str">
        <f>VLOOKUP(A16,Estimate!A:H,3,FALSE)</f>
        <v>Excavator - 25T</v>
      </c>
      <c r="C16" s="145">
        <v>46.666666666666664</v>
      </c>
      <c r="D16" s="146" t="s">
        <v>275</v>
      </c>
      <c r="E16" s="146" t="str">
        <f>VLOOKUP(A16,Estimate!A:D,4,FALSE)</f>
        <v xml:space="preserve">hr   </v>
      </c>
    </row>
    <row r="17" spans="1:5" x14ac:dyDescent="0.2">
      <c r="A17" s="143">
        <v>19</v>
      </c>
      <c r="B17" s="144" t="str">
        <f>VLOOKUP(A17,Estimate!A:H,3,FALSE)</f>
        <v>Harvey Road</v>
      </c>
      <c r="C17" s="145">
        <v>40</v>
      </c>
      <c r="D17" s="146" t="s">
        <v>304</v>
      </c>
      <c r="E17" s="146" t="str">
        <f>VLOOKUP(A17,Estimate!A:D,4,FALSE)</f>
        <v xml:space="preserve">m3   </v>
      </c>
    </row>
    <row r="18" spans="1:5" x14ac:dyDescent="0.2">
      <c r="A18" s="143">
        <v>19.100000000000001</v>
      </c>
      <c r="B18" s="144" t="str">
        <f>VLOOKUP(A18,Estimate!A:H,3,FALSE)</f>
        <v>Excavator - 25T</v>
      </c>
      <c r="C18" s="145">
        <v>4.4444444444444446</v>
      </c>
      <c r="D18" s="146" t="s">
        <v>275</v>
      </c>
      <c r="E18" s="146" t="str">
        <f>VLOOKUP(A18,Estimate!A:D,4,FALSE)</f>
        <v xml:space="preserve">hr   </v>
      </c>
    </row>
    <row r="19" spans="1:5" x14ac:dyDescent="0.2">
      <c r="A19" s="143">
        <v>20</v>
      </c>
      <c r="B19" s="144" t="str">
        <f>VLOOKUP(A19,Estimate!A:H,3,FALSE)</f>
        <v>Heards Road</v>
      </c>
      <c r="C19" s="145">
        <v>160</v>
      </c>
      <c r="D19" s="146" t="s">
        <v>304</v>
      </c>
      <c r="E19" s="146" t="str">
        <f>VLOOKUP(A19,Estimate!A:D,4,FALSE)</f>
        <v xml:space="preserve">m3   </v>
      </c>
    </row>
    <row r="20" spans="1:5" x14ac:dyDescent="0.2">
      <c r="A20" s="143">
        <v>20.100000000000001</v>
      </c>
      <c r="B20" s="144" t="str">
        <f>VLOOKUP(A20,Estimate!A:H,3,FALSE)</f>
        <v>Excavator - 25T</v>
      </c>
      <c r="C20" s="145">
        <v>17.777777777777779</v>
      </c>
      <c r="D20" s="146" t="s">
        <v>275</v>
      </c>
      <c r="E20" s="146" t="str">
        <f>VLOOKUP(A20,Estimate!A:D,4,FALSE)</f>
        <v xml:space="preserve">hr   </v>
      </c>
    </row>
    <row r="21" spans="1:5" x14ac:dyDescent="0.2">
      <c r="A21" s="143">
        <v>21</v>
      </c>
      <c r="B21" s="144" t="str">
        <f>VLOOKUP(A21,Estimate!A:H,3,FALSE)</f>
        <v>Mile Road</v>
      </c>
      <c r="C21" s="145">
        <v>6</v>
      </c>
      <c r="D21" s="146" t="s">
        <v>304</v>
      </c>
      <c r="E21" s="146" t="str">
        <f>VLOOKUP(A21,Estimate!A:D,4,FALSE)</f>
        <v xml:space="preserve">m3   </v>
      </c>
    </row>
    <row r="22" spans="1:5" x14ac:dyDescent="0.2">
      <c r="A22" s="143">
        <v>21.1</v>
      </c>
      <c r="B22" s="144" t="str">
        <f>VLOOKUP(A22,Estimate!A:H,3,FALSE)</f>
        <v>Excavator - 25T</v>
      </c>
      <c r="C22" s="145">
        <v>0.66666666666666663</v>
      </c>
      <c r="D22" s="146" t="s">
        <v>275</v>
      </c>
      <c r="E22" s="146" t="str">
        <f>VLOOKUP(A22,Estimate!A:D,4,FALSE)</f>
        <v xml:space="preserve">hr   </v>
      </c>
    </row>
    <row r="23" spans="1:5" x14ac:dyDescent="0.2">
      <c r="A23" s="143">
        <v>22</v>
      </c>
      <c r="B23" s="144" t="str">
        <f>VLOOKUP(A23,Estimate!A:H,3,FALSE)</f>
        <v>Wallaman Falls Road</v>
      </c>
      <c r="C23" s="145">
        <v>16140</v>
      </c>
      <c r="D23" s="146" t="s">
        <v>304</v>
      </c>
      <c r="E23" s="146" t="str">
        <f>VLOOKUP(A23,Estimate!A:D,4,FALSE)</f>
        <v xml:space="preserve">m2   </v>
      </c>
    </row>
    <row r="24" spans="1:5" x14ac:dyDescent="0.2">
      <c r="A24" s="143">
        <v>22.1</v>
      </c>
      <c r="B24" s="144" t="str">
        <f>VLOOKUP(A24,Estimate!A:H,3,FALSE)</f>
        <v>Excavator - 25T</v>
      </c>
      <c r="C24" s="145">
        <v>36</v>
      </c>
      <c r="D24" s="146" t="s">
        <v>275</v>
      </c>
      <c r="E24" s="146" t="str">
        <f>VLOOKUP(A24,Estimate!A:D,4,FALSE)</f>
        <v xml:space="preserve">hr   </v>
      </c>
    </row>
    <row r="25" spans="1:5" x14ac:dyDescent="0.2">
      <c r="A25" s="143">
        <v>23</v>
      </c>
      <c r="B25" s="144" t="str">
        <f>VLOOKUP(A25,Estimate!A:H,3,FALSE)</f>
        <v>Allingham Road</v>
      </c>
      <c r="C25" s="145">
        <v>264</v>
      </c>
      <c r="D25" s="146" t="s">
        <v>304</v>
      </c>
      <c r="E25" s="146" t="str">
        <f>VLOOKUP(A25,Estimate!A:D,4,FALSE)</f>
        <v xml:space="preserve">m3   </v>
      </c>
    </row>
    <row r="26" spans="1:5" x14ac:dyDescent="0.2">
      <c r="A26" s="143">
        <v>23.1</v>
      </c>
      <c r="B26" s="144" t="str">
        <f>VLOOKUP(A26,Estimate!A:H,3,FALSE)</f>
        <v>Excavator - 25T</v>
      </c>
      <c r="C26" s="145">
        <v>29.333333333333332</v>
      </c>
      <c r="D26" s="146" t="s">
        <v>275</v>
      </c>
      <c r="E26" s="146" t="str">
        <f>VLOOKUP(A26,Estimate!A:D,4,FALSE)</f>
        <v xml:space="preserve">hr   </v>
      </c>
    </row>
    <row r="27" spans="1:5" x14ac:dyDescent="0.2">
      <c r="A27" s="143">
        <v>24</v>
      </c>
      <c r="B27" s="144" t="str">
        <f>VLOOKUP(A27,Estimate!A:H,3,FALSE)</f>
        <v>Taylors Beach Road</v>
      </c>
      <c r="C27" s="145">
        <v>4915</v>
      </c>
      <c r="D27" s="146" t="s">
        <v>304</v>
      </c>
      <c r="E27" s="146" t="str">
        <f>VLOOKUP(A27,Estimate!A:D,4,FALSE)</f>
        <v xml:space="preserve">m2   </v>
      </c>
    </row>
    <row r="28" spans="1:5" x14ac:dyDescent="0.2">
      <c r="A28" s="143">
        <v>24.1</v>
      </c>
      <c r="B28" s="144" t="str">
        <f>VLOOKUP(A28,Estimate!A:H,3,FALSE)</f>
        <v>Excavator - 25T</v>
      </c>
      <c r="C28" s="145">
        <v>36</v>
      </c>
      <c r="D28" s="146" t="s">
        <v>275</v>
      </c>
      <c r="E28" s="146" t="str">
        <f>VLOOKUP(A28,Estimate!A:D,4,FALSE)</f>
        <v xml:space="preserve">hr   </v>
      </c>
    </row>
    <row r="29" spans="1:5" x14ac:dyDescent="0.2">
      <c r="A29" s="143">
        <v>25</v>
      </c>
      <c r="B29" s="144" t="str">
        <f>VLOOKUP(A29,Estimate!A:H,3,FALSE)</f>
        <v>Taraken Road</v>
      </c>
      <c r="C29" s="145">
        <v>19</v>
      </c>
      <c r="D29" s="146" t="s">
        <v>304</v>
      </c>
      <c r="E29" s="146" t="str">
        <f>VLOOKUP(A29,Estimate!A:D,4,FALSE)</f>
        <v xml:space="preserve">m3   </v>
      </c>
    </row>
    <row r="30" spans="1:5" x14ac:dyDescent="0.2">
      <c r="A30" s="143">
        <v>25.1</v>
      </c>
      <c r="B30" s="144" t="str">
        <f>VLOOKUP(A30,Estimate!A:H,3,FALSE)</f>
        <v>Excavator - 25T</v>
      </c>
      <c r="C30" s="145">
        <v>2.1111111111111112</v>
      </c>
      <c r="D30" s="146" t="s">
        <v>275</v>
      </c>
      <c r="E30" s="146" t="str">
        <f>VLOOKUP(A30,Estimate!A:D,4,FALSE)</f>
        <v xml:space="preserve">hr   </v>
      </c>
    </row>
    <row r="31" spans="1:5" x14ac:dyDescent="0.2">
      <c r="A31" s="143">
        <v>26</v>
      </c>
      <c r="B31" s="144" t="str">
        <f>VLOOKUP(A31,Estimate!A:H,3,FALSE)</f>
        <v>Amos St</v>
      </c>
      <c r="C31" s="145">
        <v>180</v>
      </c>
      <c r="D31" s="146" t="s">
        <v>304</v>
      </c>
      <c r="E31" s="146" t="str">
        <f>VLOOKUP(A31,Estimate!A:D,4,FALSE)</f>
        <v xml:space="preserve">m3   </v>
      </c>
    </row>
    <row r="32" spans="1:5" x14ac:dyDescent="0.2">
      <c r="A32" s="143">
        <v>26.1</v>
      </c>
      <c r="B32" s="144" t="str">
        <f>VLOOKUP(A32,Estimate!A:H,3,FALSE)</f>
        <v>Excavator - 25T</v>
      </c>
      <c r="C32" s="145">
        <v>20</v>
      </c>
      <c r="D32" s="146" t="s">
        <v>275</v>
      </c>
      <c r="E32" s="146" t="str">
        <f>VLOOKUP(A32,Estimate!A:D,4,FALSE)</f>
        <v xml:space="preserve">hr   </v>
      </c>
    </row>
    <row r="33" spans="1:5" x14ac:dyDescent="0.2">
      <c r="A33" s="143">
        <v>27</v>
      </c>
      <c r="B33" s="144" t="str">
        <f>VLOOKUP(A33,Estimate!A:H,3,FALSE)</f>
        <v>Lannercost Extension Road</v>
      </c>
      <c r="C33" s="145">
        <v>3028</v>
      </c>
      <c r="D33" s="146" t="s">
        <v>304</v>
      </c>
      <c r="E33" s="146" t="str">
        <f>VLOOKUP(A33,Estimate!A:D,4,FALSE)</f>
        <v xml:space="preserve">m2   </v>
      </c>
    </row>
    <row r="34" spans="1:5" x14ac:dyDescent="0.2">
      <c r="A34" s="143">
        <v>27.1</v>
      </c>
      <c r="B34" s="144" t="str">
        <f>VLOOKUP(A34,Estimate!A:H,3,FALSE)</f>
        <v>Excavator - 25T</v>
      </c>
      <c r="C34" s="145">
        <v>36</v>
      </c>
      <c r="D34" s="146" t="s">
        <v>275</v>
      </c>
      <c r="E34" s="146" t="str">
        <f>VLOOKUP(A34,Estimate!A:D,4,FALSE)</f>
        <v xml:space="preserve">hr   </v>
      </c>
    </row>
    <row r="35" spans="1:5" x14ac:dyDescent="0.2">
      <c r="A35" s="143">
        <v>28.1</v>
      </c>
      <c r="B35" s="144" t="str">
        <f>VLOOKUP(A35,Estimate!A:H,3,FALSE)</f>
        <v>Backhoe</v>
      </c>
      <c r="C35" s="145">
        <v>24</v>
      </c>
      <c r="D35" s="146" t="s">
        <v>275</v>
      </c>
      <c r="E35" s="146" t="str">
        <f>VLOOKUP(A35,Estimate!A:D,4,FALSE)</f>
        <v xml:space="preserve">hr   </v>
      </c>
    </row>
    <row r="36" spans="1:5" x14ac:dyDescent="0.2">
      <c r="A36" s="143">
        <v>29.1</v>
      </c>
      <c r="B36" s="144" t="str">
        <f>VLOOKUP(A36,Estimate!A:H,3,FALSE)</f>
        <v>Backhoe</v>
      </c>
      <c r="C36" s="145">
        <v>42</v>
      </c>
      <c r="D36" s="146" t="s">
        <v>275</v>
      </c>
      <c r="E36" s="146" t="str">
        <f>VLOOKUP(A36,Estimate!A:D,4,FALSE)</f>
        <v xml:space="preserve">hr   </v>
      </c>
    </row>
    <row r="37" spans="1:5" x14ac:dyDescent="0.2">
      <c r="A37" s="143">
        <v>30.1</v>
      </c>
      <c r="B37" s="144" t="str">
        <f>VLOOKUP(A37,Estimate!A:H,3,FALSE)</f>
        <v>Backhoe</v>
      </c>
      <c r="C37" s="145">
        <v>24</v>
      </c>
      <c r="D37" s="146" t="s">
        <v>275</v>
      </c>
      <c r="E37" s="146" t="str">
        <f>VLOOKUP(A37,Estimate!A:D,4,FALSE)</f>
        <v xml:space="preserve">hr   </v>
      </c>
    </row>
    <row r="38" spans="1:5" x14ac:dyDescent="0.2">
      <c r="A38" s="143">
        <v>31.1</v>
      </c>
      <c r="B38" s="144" t="str">
        <f>VLOOKUP(A38,Estimate!A:H,3,FALSE)</f>
        <v>Backhoe</v>
      </c>
      <c r="C38" s="145">
        <v>9</v>
      </c>
      <c r="D38" s="146" t="s">
        <v>275</v>
      </c>
      <c r="E38" s="146" t="str">
        <f>VLOOKUP(A38,Estimate!A:D,4,FALSE)</f>
        <v xml:space="preserve">hr   </v>
      </c>
    </row>
    <row r="39" spans="1:5" x14ac:dyDescent="0.2">
      <c r="A39" s="143">
        <v>32.1</v>
      </c>
      <c r="B39" s="144" t="s">
        <v>28</v>
      </c>
      <c r="C39" s="145">
        <v>30</v>
      </c>
      <c r="D39" s="146" t="s">
        <v>275</v>
      </c>
      <c r="E39" s="146" t="str">
        <f>VLOOKUP(A39,Estimate!A:D,4,FALSE)</f>
        <v xml:space="preserve">hr   </v>
      </c>
    </row>
    <row r="40" spans="1:5" ht="22.5" x14ac:dyDescent="0.2">
      <c r="A40" s="143">
        <v>33</v>
      </c>
      <c r="B40" s="144" t="str">
        <f>VLOOKUP(A40,Estimate!A:H,3,FALSE)</f>
        <v>Excavation and disposal of Unsuitable Material with individual excavation &lt;= 10 m3, including haulage up to 18 km (Provisional Quantity, if ordered)</v>
      </c>
      <c r="C40" s="145">
        <v>160</v>
      </c>
      <c r="D40" s="146" t="s">
        <v>304</v>
      </c>
      <c r="E40" s="146" t="str">
        <f>VLOOKUP(A40,Estimate!A:D,4,FALSE)</f>
        <v xml:space="preserve">m3   </v>
      </c>
    </row>
    <row r="41" spans="1:5" x14ac:dyDescent="0.2">
      <c r="A41" s="143">
        <v>33.1</v>
      </c>
      <c r="B41" s="144" t="str">
        <f>VLOOKUP(A41,Estimate!A:H,3,FALSE)</f>
        <v>Excavator - 25T</v>
      </c>
      <c r="C41" s="145">
        <v>8</v>
      </c>
      <c r="D41" s="146" t="s">
        <v>275</v>
      </c>
      <c r="E41" s="146" t="str">
        <f>VLOOKUP(A41,Estimate!A:D,4,FALSE)</f>
        <v xml:space="preserve">hr   </v>
      </c>
    </row>
    <row r="42" spans="1:5" x14ac:dyDescent="0.2">
      <c r="A42" s="143">
        <v>35</v>
      </c>
      <c r="B42" s="144" t="str">
        <f>VLOOKUP(A42,Estimate!A:H,3,FALSE)</f>
        <v>Ann Street</v>
      </c>
      <c r="C42" s="145">
        <v>214</v>
      </c>
      <c r="D42" s="146" t="s">
        <v>304</v>
      </c>
      <c r="E42" s="146" t="str">
        <f>VLOOKUP(A42,Estimate!A:D,4,FALSE)</f>
        <v xml:space="preserve">m3   </v>
      </c>
    </row>
    <row r="43" spans="1:5" x14ac:dyDescent="0.2">
      <c r="A43" s="143">
        <v>35.1</v>
      </c>
      <c r="B43" s="144" t="str">
        <f>VLOOKUP(A43,Estimate!A:H,3,FALSE)</f>
        <v>Excavator - 25T</v>
      </c>
      <c r="C43" s="145">
        <v>23.777799999999999</v>
      </c>
      <c r="D43" s="146" t="s">
        <v>275</v>
      </c>
      <c r="E43" s="146" t="str">
        <f>VLOOKUP(A43,Estimate!A:D,4,FALSE)</f>
        <v xml:space="preserve">hr   </v>
      </c>
    </row>
    <row r="44" spans="1:5" x14ac:dyDescent="0.2">
      <c r="A44" s="143">
        <v>36</v>
      </c>
      <c r="B44" s="144" t="str">
        <f>VLOOKUP(A44,Estimate!A:H,3,FALSE)</f>
        <v>Barberos Road</v>
      </c>
      <c r="C44" s="145">
        <v>195</v>
      </c>
      <c r="D44" s="146" t="s">
        <v>304</v>
      </c>
      <c r="E44" s="146" t="str">
        <f>VLOOKUP(A44,Estimate!A:D,4,FALSE)</f>
        <v xml:space="preserve">m3   </v>
      </c>
    </row>
    <row r="45" spans="1:5" x14ac:dyDescent="0.2">
      <c r="A45" s="143">
        <v>36.1</v>
      </c>
      <c r="B45" s="144" t="str">
        <f>VLOOKUP(A45,Estimate!A:H,3,FALSE)</f>
        <v>Excavator - 25T</v>
      </c>
      <c r="C45" s="145">
        <v>23.777799999999999</v>
      </c>
      <c r="D45" s="146" t="s">
        <v>275</v>
      </c>
      <c r="E45" s="146" t="str">
        <f>VLOOKUP(A45,Estimate!A:D,4,FALSE)</f>
        <v xml:space="preserve">hr   </v>
      </c>
    </row>
    <row r="46" spans="1:5" x14ac:dyDescent="0.2">
      <c r="A46" s="143">
        <v>37</v>
      </c>
      <c r="B46" s="144" t="str">
        <f>VLOOKUP(A46,Estimate!A:H,3,FALSE)</f>
        <v>Burke Offset Road</v>
      </c>
      <c r="C46" s="145">
        <v>261</v>
      </c>
      <c r="D46" s="146" t="s">
        <v>304</v>
      </c>
      <c r="E46" s="146" t="str">
        <f>VLOOKUP(A46,Estimate!A:D,4,FALSE)</f>
        <v xml:space="preserve">m3   </v>
      </c>
    </row>
    <row r="47" spans="1:5" x14ac:dyDescent="0.2">
      <c r="A47" s="143">
        <v>37.1</v>
      </c>
      <c r="B47" s="144" t="str">
        <f>VLOOKUP(A47,Estimate!A:H,3,FALSE)</f>
        <v>Excavator - 25T</v>
      </c>
      <c r="C47" s="145">
        <v>23.777799999999999</v>
      </c>
      <c r="D47" s="146" t="s">
        <v>275</v>
      </c>
      <c r="E47" s="146" t="str">
        <f>VLOOKUP(A47,Estimate!A:D,4,FALSE)</f>
        <v xml:space="preserve">hr   </v>
      </c>
    </row>
    <row r="48" spans="1:5" x14ac:dyDescent="0.2">
      <c r="A48" s="143">
        <v>38</v>
      </c>
      <c r="B48" s="144" t="str">
        <f>VLOOKUP(A48,Estimate!A:H,3,FALSE)</f>
        <v>Fabris Road</v>
      </c>
      <c r="C48" s="145">
        <v>420</v>
      </c>
      <c r="D48" s="146" t="s">
        <v>304</v>
      </c>
      <c r="E48" s="146" t="str">
        <f>VLOOKUP(A48,Estimate!A:D,4,FALSE)</f>
        <v xml:space="preserve">m3   </v>
      </c>
    </row>
    <row r="49" spans="1:5" x14ac:dyDescent="0.2">
      <c r="A49" s="143">
        <v>38.1</v>
      </c>
      <c r="B49" s="144" t="str">
        <f>VLOOKUP(A49,Estimate!A:H,3,FALSE)</f>
        <v>Excavator - 25T</v>
      </c>
      <c r="C49" s="145">
        <v>23.777799999999999</v>
      </c>
      <c r="D49" s="146" t="s">
        <v>275</v>
      </c>
      <c r="E49" s="146" t="str">
        <f>VLOOKUP(A49,Estimate!A:D,4,FALSE)</f>
        <v xml:space="preserve">hr   </v>
      </c>
    </row>
    <row r="50" spans="1:5" x14ac:dyDescent="0.2">
      <c r="A50" s="143">
        <v>39</v>
      </c>
      <c r="B50" s="144" t="str">
        <f>VLOOKUP(A50,Estimate!A:H,3,FALSE)</f>
        <v>Harvey Road</v>
      </c>
      <c r="C50" s="145">
        <v>40</v>
      </c>
      <c r="D50" s="146" t="s">
        <v>304</v>
      </c>
      <c r="E50" s="146" t="str">
        <f>VLOOKUP(A50,Estimate!A:D,4,FALSE)</f>
        <v xml:space="preserve">m3   </v>
      </c>
    </row>
    <row r="51" spans="1:5" x14ac:dyDescent="0.2">
      <c r="A51" s="143">
        <v>39.1</v>
      </c>
      <c r="B51" s="144" t="str">
        <f>VLOOKUP(A51,Estimate!A:H,3,FALSE)</f>
        <v>Excavator - 25T</v>
      </c>
      <c r="C51" s="145">
        <v>23.777799999999999</v>
      </c>
      <c r="D51" s="146" t="s">
        <v>275</v>
      </c>
      <c r="E51" s="146" t="str">
        <f>VLOOKUP(A51,Estimate!A:D,4,FALSE)</f>
        <v xml:space="preserve">hr   </v>
      </c>
    </row>
    <row r="52" spans="1:5" x14ac:dyDescent="0.2">
      <c r="A52" s="143">
        <v>40</v>
      </c>
      <c r="B52" s="144" t="str">
        <f>VLOOKUP(A52,Estimate!A:H,3,FALSE)</f>
        <v>Heards Road</v>
      </c>
      <c r="C52" s="145">
        <v>160</v>
      </c>
      <c r="D52" s="146" t="s">
        <v>304</v>
      </c>
      <c r="E52" s="146" t="str">
        <f>VLOOKUP(A52,Estimate!A:D,4,FALSE)</f>
        <v xml:space="preserve">m3   </v>
      </c>
    </row>
    <row r="53" spans="1:5" x14ac:dyDescent="0.2">
      <c r="A53" s="143">
        <v>40.1</v>
      </c>
      <c r="B53" s="144" t="str">
        <f>VLOOKUP(A53,Estimate!A:H,3,FALSE)</f>
        <v>Excavator - 25T</v>
      </c>
      <c r="C53" s="145">
        <v>23.777799999999999</v>
      </c>
      <c r="D53" s="146" t="s">
        <v>275</v>
      </c>
      <c r="E53" s="146" t="str">
        <f>VLOOKUP(A53,Estimate!A:D,4,FALSE)</f>
        <v xml:space="preserve">hr   </v>
      </c>
    </row>
    <row r="54" spans="1:5" x14ac:dyDescent="0.2">
      <c r="A54" s="143">
        <v>41</v>
      </c>
      <c r="B54" s="144" t="str">
        <f>VLOOKUP(A54,Estimate!A:H,3,FALSE)</f>
        <v>Mile Road</v>
      </c>
      <c r="C54" s="145">
        <v>6</v>
      </c>
      <c r="D54" s="146" t="s">
        <v>304</v>
      </c>
      <c r="E54" s="146" t="str">
        <f>VLOOKUP(A54,Estimate!A:D,4,FALSE)</f>
        <v xml:space="preserve">m3   </v>
      </c>
    </row>
    <row r="55" spans="1:5" x14ac:dyDescent="0.2">
      <c r="A55" s="143">
        <v>41.1</v>
      </c>
      <c r="B55" s="144" t="str">
        <f>VLOOKUP(A55,Estimate!A:H,3,FALSE)</f>
        <v>Excavator - 25T</v>
      </c>
      <c r="C55" s="145">
        <v>23.777799999999999</v>
      </c>
      <c r="D55" s="146" t="s">
        <v>275</v>
      </c>
      <c r="E55" s="146" t="str">
        <f>VLOOKUP(A55,Estimate!A:D,4,FALSE)</f>
        <v xml:space="preserve">hr   </v>
      </c>
    </row>
    <row r="56" spans="1:5" x14ac:dyDescent="0.2">
      <c r="A56" s="143">
        <v>42</v>
      </c>
      <c r="B56" s="144" t="str">
        <f>VLOOKUP(A56,Estimate!A:H,3,FALSE)</f>
        <v>Wallaman Falls Road</v>
      </c>
      <c r="C56" s="145">
        <v>2660</v>
      </c>
      <c r="D56" s="146" t="s">
        <v>304</v>
      </c>
      <c r="E56" s="146" t="str">
        <f>VLOOKUP(A56,Estimate!A:D,4,FALSE)</f>
        <v xml:space="preserve">m3   </v>
      </c>
    </row>
    <row r="57" spans="1:5" x14ac:dyDescent="0.2">
      <c r="A57" s="143">
        <v>42.1</v>
      </c>
      <c r="B57" s="144" t="str">
        <f>VLOOKUP(A57,Estimate!A:H,3,FALSE)</f>
        <v>Excavator - 25T</v>
      </c>
      <c r="C57" s="145">
        <v>36</v>
      </c>
      <c r="D57" s="146" t="s">
        <v>275</v>
      </c>
      <c r="E57" s="146" t="str">
        <f>VLOOKUP(A57,Estimate!A:D,4,FALSE)</f>
        <v xml:space="preserve">hr   </v>
      </c>
    </row>
    <row r="58" spans="1:5" x14ac:dyDescent="0.2">
      <c r="A58" s="143">
        <v>43</v>
      </c>
      <c r="B58" s="144" t="str">
        <f>VLOOKUP(A58,Estimate!A:H,3,FALSE)</f>
        <v>Allingham Road</v>
      </c>
      <c r="C58" s="145">
        <v>264</v>
      </c>
      <c r="D58" s="146" t="s">
        <v>304</v>
      </c>
      <c r="E58" s="146" t="str">
        <f>VLOOKUP(A58,Estimate!A:D,4,FALSE)</f>
        <v xml:space="preserve">m3   </v>
      </c>
    </row>
    <row r="59" spans="1:5" x14ac:dyDescent="0.2">
      <c r="A59" s="143">
        <v>43.1</v>
      </c>
      <c r="B59" s="144" t="str">
        <f>VLOOKUP(A59,Estimate!A:H,3,FALSE)</f>
        <v>Excavator - 25T</v>
      </c>
      <c r="C59" s="145">
        <v>23.777799999999999</v>
      </c>
      <c r="D59" s="146" t="s">
        <v>275</v>
      </c>
      <c r="E59" s="146" t="str">
        <f>VLOOKUP(A59,Estimate!A:D,4,FALSE)</f>
        <v xml:space="preserve">hr   </v>
      </c>
    </row>
    <row r="60" spans="1:5" x14ac:dyDescent="0.2">
      <c r="A60" s="143">
        <v>44</v>
      </c>
      <c r="B60" s="144" t="str">
        <f>VLOOKUP(A60,Estimate!A:H,3,FALSE)</f>
        <v>Taylors Beach Road</v>
      </c>
      <c r="C60" s="145">
        <v>810</v>
      </c>
      <c r="D60" s="146" t="s">
        <v>304</v>
      </c>
      <c r="E60" s="146" t="str">
        <f>VLOOKUP(A60,Estimate!A:D,4,FALSE)</f>
        <v xml:space="preserve">m3   </v>
      </c>
    </row>
    <row r="61" spans="1:5" x14ac:dyDescent="0.2">
      <c r="A61" s="143">
        <v>44.1</v>
      </c>
      <c r="B61" s="144" t="str">
        <f>VLOOKUP(A61,Estimate!A:H,3,FALSE)</f>
        <v>Excavator - 25T</v>
      </c>
      <c r="C61" s="145">
        <v>36</v>
      </c>
      <c r="D61" s="146" t="s">
        <v>275</v>
      </c>
      <c r="E61" s="146" t="str">
        <f>VLOOKUP(A61,Estimate!A:D,4,FALSE)</f>
        <v xml:space="preserve">hr   </v>
      </c>
    </row>
    <row r="62" spans="1:5" x14ac:dyDescent="0.2">
      <c r="A62" s="143">
        <v>45</v>
      </c>
      <c r="B62" s="144" t="str">
        <f>VLOOKUP(A62,Estimate!A:H,3,FALSE)</f>
        <v>Taraken Road</v>
      </c>
      <c r="C62" s="145">
        <v>19</v>
      </c>
      <c r="D62" s="146" t="s">
        <v>304</v>
      </c>
      <c r="E62" s="146" t="str">
        <f>VLOOKUP(A62,Estimate!A:D,4,FALSE)</f>
        <v xml:space="preserve">m3   </v>
      </c>
    </row>
    <row r="63" spans="1:5" x14ac:dyDescent="0.2">
      <c r="A63" s="143">
        <v>45.1</v>
      </c>
      <c r="B63" s="144" t="str">
        <f>VLOOKUP(A63,Estimate!A:H,3,FALSE)</f>
        <v>Excavator - 25T</v>
      </c>
      <c r="C63" s="145">
        <v>23.777799999999999</v>
      </c>
      <c r="D63" s="146" t="s">
        <v>275</v>
      </c>
      <c r="E63" s="146" t="str">
        <f>VLOOKUP(A63,Estimate!A:D,4,FALSE)</f>
        <v xml:space="preserve">hr   </v>
      </c>
    </row>
    <row r="64" spans="1:5" x14ac:dyDescent="0.2">
      <c r="A64" s="143">
        <v>46</v>
      </c>
      <c r="B64" s="144" t="str">
        <f>VLOOKUP(A64,Estimate!A:H,3,FALSE)</f>
        <v>Amos Street</v>
      </c>
      <c r="C64" s="145">
        <v>180</v>
      </c>
      <c r="D64" s="146" t="s">
        <v>304</v>
      </c>
      <c r="E64" s="146" t="str">
        <f>VLOOKUP(A64,Estimate!A:D,4,FALSE)</f>
        <v xml:space="preserve">m3   </v>
      </c>
    </row>
    <row r="65" spans="1:5" x14ac:dyDescent="0.2">
      <c r="A65" s="143">
        <v>46.1</v>
      </c>
      <c r="B65" s="144" t="str">
        <f>VLOOKUP(A65,Estimate!A:H,3,FALSE)</f>
        <v>Excavator - 25T</v>
      </c>
      <c r="C65" s="145">
        <v>23.777799999999999</v>
      </c>
      <c r="D65" s="146" t="s">
        <v>275</v>
      </c>
      <c r="E65" s="146" t="str">
        <f>VLOOKUP(A65,Estimate!A:D,4,FALSE)</f>
        <v xml:space="preserve">hr   </v>
      </c>
    </row>
    <row r="66" spans="1:5" x14ac:dyDescent="0.2">
      <c r="A66" s="143">
        <v>47</v>
      </c>
      <c r="B66" s="144" t="str">
        <f>VLOOKUP(A66,Estimate!A:H,3,FALSE)</f>
        <v>Lannercost Extension Road</v>
      </c>
      <c r="C66" s="145">
        <v>499</v>
      </c>
      <c r="D66" s="146" t="s">
        <v>304</v>
      </c>
      <c r="E66" s="146" t="str">
        <f>VLOOKUP(A66,Estimate!A:D,4,FALSE)</f>
        <v xml:space="preserve">m3   </v>
      </c>
    </row>
    <row r="67" spans="1:5" x14ac:dyDescent="0.2">
      <c r="A67" s="143">
        <v>47.1</v>
      </c>
      <c r="B67" s="144" t="str">
        <f>VLOOKUP(A67,Estimate!A:H,3,FALSE)</f>
        <v>Excavator - 25T</v>
      </c>
      <c r="C67" s="145">
        <v>36</v>
      </c>
      <c r="D67" s="146" t="s">
        <v>275</v>
      </c>
      <c r="E67" s="146" t="str">
        <f>VLOOKUP(A67,Estimate!A:D,4,FALSE)</f>
        <v xml:space="preserve">hr   </v>
      </c>
    </row>
    <row r="68" spans="1:5" ht="33.75" x14ac:dyDescent="0.2">
      <c r="A68" s="143">
        <v>49</v>
      </c>
      <c r="B68" s="144" t="str">
        <f>VLOOKUP(A68,Estimate!A:H,3,FALSE)</f>
        <v>Deliver select backfill material for backfill to unsuitable excavations, -75 mm graded rock, including haulage up to 18 km (Contractor delivery rate) (Principal paid material) (Provisional Quantity, if ordered)</v>
      </c>
      <c r="C68" s="145">
        <v>160</v>
      </c>
      <c r="D68" s="146" t="s">
        <v>304</v>
      </c>
      <c r="E68" s="146" t="str">
        <f>VLOOKUP(A68,Estimate!A:D,4,FALSE)</f>
        <v xml:space="preserve">m3   </v>
      </c>
    </row>
    <row r="69" spans="1:5" ht="33.75" x14ac:dyDescent="0.2">
      <c r="A69" s="143">
        <v>50</v>
      </c>
      <c r="B69" s="144" t="str">
        <f>VLOOKUP(A69,Estimate!A:H,3,FALSE)</f>
        <v>Backfill to unsuitable excavations, -75 mm graded rock, including haulage up to 18 km (Contractor delivery rate) (Principal paid material) (Provisional Quantity, if ordered)</v>
      </c>
      <c r="C69" s="145">
        <v>160</v>
      </c>
      <c r="D69" s="146" t="s">
        <v>304</v>
      </c>
      <c r="E69" s="146" t="str">
        <f>VLOOKUP(A69,Estimate!A:D,4,FALSE)</f>
        <v xml:space="preserve">m3   </v>
      </c>
    </row>
    <row r="70" spans="1:5" x14ac:dyDescent="0.2">
      <c r="A70" s="143">
        <v>50.1</v>
      </c>
      <c r="B70" s="144" t="str">
        <f>VLOOKUP(A70,Estimate!A:H,3,FALSE)</f>
        <v>Grader</v>
      </c>
      <c r="C70" s="145">
        <v>25</v>
      </c>
      <c r="D70" s="146" t="s">
        <v>275</v>
      </c>
      <c r="E70" s="146" t="str">
        <f>VLOOKUP(A70,Estimate!A:D,4,FALSE)</f>
        <v xml:space="preserve">hr   </v>
      </c>
    </row>
    <row r="71" spans="1:5" ht="22.5" x14ac:dyDescent="0.2">
      <c r="A71" s="143">
        <v>52</v>
      </c>
      <c r="B71" s="144" t="str">
        <f>VLOOKUP(A71,Estimate!A:H,3,FALSE)</f>
        <v>Deliver general fill material, including haulage up to 18 km (Contractor delivery rate) (Principal paid material) (Provisional Quantity, if ordered)</v>
      </c>
      <c r="C71" s="145">
        <v>52</v>
      </c>
      <c r="D71" s="146" t="s">
        <v>304</v>
      </c>
      <c r="E71" s="146" t="str">
        <f>VLOOKUP(A71,Estimate!A:D,4,FALSE)</f>
        <v xml:space="preserve">m3   </v>
      </c>
    </row>
    <row r="72" spans="1:5" ht="33.75" x14ac:dyDescent="0.2">
      <c r="A72" s="143">
        <v>53</v>
      </c>
      <c r="B72" s="144" t="str">
        <f>VLOOKUP(A72,Estimate!A:H,3,FALSE)</f>
        <v>Fill repair to formation, inlet structure backfill and drain repairs with general fill material (Contractor installation Rate) (Principal paid material) (Provisional Quantity, if ordered)</v>
      </c>
      <c r="C72" s="145">
        <v>52</v>
      </c>
      <c r="D72" s="146" t="s">
        <v>304</v>
      </c>
      <c r="E72" s="146" t="str">
        <f>VLOOKUP(A72,Estimate!A:D,4,FALSE)</f>
        <v xml:space="preserve">m3   </v>
      </c>
    </row>
    <row r="73" spans="1:5" x14ac:dyDescent="0.2">
      <c r="A73" s="143">
        <v>53.1</v>
      </c>
      <c r="B73" s="144" t="str">
        <f>VLOOKUP(A73,Estimate!A:H,3,FALSE)</f>
        <v>Backhoe</v>
      </c>
      <c r="C73" s="145">
        <v>20</v>
      </c>
      <c r="D73" s="146" t="s">
        <v>304</v>
      </c>
      <c r="E73" s="146" t="str">
        <f>VLOOKUP(A73,Estimate!A:D,4,FALSE)</f>
        <v xml:space="preserve">hr   </v>
      </c>
    </row>
    <row r="74" spans="1:5" x14ac:dyDescent="0.2">
      <c r="A74" s="143">
        <v>54</v>
      </c>
      <c r="B74" s="144" t="str">
        <f>VLOOKUP(A74,Estimate!A:H,3,FALSE)</f>
        <v>Subgrade treatment Type A, compact existing (Provisonal Quantity, if ordered)</v>
      </c>
      <c r="C74" s="145">
        <v>15971</v>
      </c>
      <c r="D74" s="146" t="s">
        <v>304</v>
      </c>
      <c r="E74" s="146" t="str">
        <f>VLOOKUP(A74,Estimate!A:D,4,FALSE)</f>
        <v xml:space="preserve">m2   </v>
      </c>
    </row>
    <row r="75" spans="1:5" x14ac:dyDescent="0.2">
      <c r="A75" s="143">
        <v>54.1</v>
      </c>
      <c r="B75" s="144" t="str">
        <f>VLOOKUP(A75,Estimate!A:H,3,FALSE)</f>
        <v>Grader</v>
      </c>
      <c r="C75" s="145">
        <v>250</v>
      </c>
      <c r="D75" s="146" t="s">
        <v>275</v>
      </c>
      <c r="E75" s="146" t="str">
        <f>VLOOKUP(A75,Estimate!A:D,4,FALSE)</f>
        <v xml:space="preserve">hr   </v>
      </c>
    </row>
    <row r="76" spans="1:5" ht="33.75" x14ac:dyDescent="0.2">
      <c r="A76" s="143">
        <v>56</v>
      </c>
      <c r="B76" s="144" t="str">
        <f>VLOOKUP(A76,Estimate!A:H,3,FALSE)</f>
        <v>Deliver -75 mm graded rock material for subgrade treatment Type I, including haulage up to 18 km  (Contractor delivery rate) (Principal paid material) (Provisional Quantity, if ordered)</v>
      </c>
      <c r="C76" s="145">
        <v>4259</v>
      </c>
      <c r="D76" s="146" t="s">
        <v>304</v>
      </c>
      <c r="E76" s="146" t="str">
        <f>VLOOKUP(A76,Estimate!A:D,4,FALSE)</f>
        <v xml:space="preserve">m3   </v>
      </c>
    </row>
    <row r="77" spans="1:5" ht="33.75" x14ac:dyDescent="0.2">
      <c r="A77" s="143">
        <v>57</v>
      </c>
      <c r="B77" s="144" t="str">
        <f>VLOOKUP(A77,Estimate!A:H,3,FALSE)</f>
        <v>Subgrade in cuttings, subgrade treatment Type I, -75 mm graded rock fill (Contractor installation rate) (Principal paid material) (Provisional Quantity, if ordered)</v>
      </c>
      <c r="C77" s="145">
        <v>4259</v>
      </c>
      <c r="D77" s="146" t="s">
        <v>304</v>
      </c>
      <c r="E77" s="146" t="str">
        <f>VLOOKUP(A77,Estimate!A:D,4,FALSE)</f>
        <v xml:space="preserve">m3   </v>
      </c>
    </row>
    <row r="78" spans="1:5" x14ac:dyDescent="0.2">
      <c r="A78" s="143">
        <v>57.2</v>
      </c>
      <c r="B78" s="144" t="str">
        <f>VLOOKUP(A78,Estimate!A:H,3,FALSE)</f>
        <v>Grader</v>
      </c>
      <c r="C78" s="145">
        <v>66.667000000000002</v>
      </c>
      <c r="D78" s="146" t="s">
        <v>275</v>
      </c>
      <c r="E78" s="146" t="str">
        <f>VLOOKUP(A78,Estimate!A:D,4,FALSE)</f>
        <v xml:space="preserve">hr   </v>
      </c>
    </row>
    <row r="79" spans="1:5" ht="33.75" x14ac:dyDescent="0.2">
      <c r="A79" s="143">
        <v>58</v>
      </c>
      <c r="B79" s="144" t="str">
        <f>VLOOKUP(A79,Estimate!A:H,3,FALSE)</f>
        <v>Supply and installation of geotextile, Strength Class D, Filtration Class IV for subgrade treatment Type I and drainage (Bidim A39 complies with this specification) (Provisional Quantity, if ordered)</v>
      </c>
      <c r="C79" s="145">
        <v>10648</v>
      </c>
      <c r="D79" s="146" t="s">
        <v>304</v>
      </c>
      <c r="E79" s="146" t="str">
        <f>VLOOKUP(A79,Estimate!A:D,4,FALSE)</f>
        <v xml:space="preserve">m2   </v>
      </c>
    </row>
    <row r="80" spans="1:5" ht="45" x14ac:dyDescent="0.2">
      <c r="A80" s="143">
        <v>59</v>
      </c>
      <c r="B80" s="144" t="str">
        <f>VLOOKUP(A80,Estimate!A:H,3,FALSE)</f>
        <v>Supply and installation of geotextile, Strength Class D, Filtration Class IV at culvert pipe repair joints in 200 mm wide circumferential strips with 500 mm end overlaps (Bidim A39 complies with this specification) (Provisional Quantity, if ordered)</v>
      </c>
      <c r="C80" s="145">
        <v>8</v>
      </c>
      <c r="D80" s="146" t="s">
        <v>304</v>
      </c>
      <c r="E80" s="146" t="str">
        <f>VLOOKUP(A80,Estimate!A:D,4,FALSE)</f>
        <v xml:space="preserve">m2   </v>
      </c>
    </row>
    <row r="81" spans="1:5" ht="33.75" x14ac:dyDescent="0.2">
      <c r="A81" s="143">
        <v>60</v>
      </c>
      <c r="B81" s="144" t="str">
        <f>VLOOKUP(A81,Estimate!A:H,3,FALSE)</f>
        <v>Extra over Items MRS04-3208.1PS to MRS04-3208.9PS, MRS04-3108PS and MRS04-3109PS for haulage in excess of 18 km (Provisional Quantity, if ordered) (m3 x km, single trip)</v>
      </c>
      <c r="C81" s="145">
        <v>71570</v>
      </c>
      <c r="D81" s="146" t="s">
        <v>304</v>
      </c>
      <c r="E81" s="146" t="str">
        <f>VLOOKUP(A81,Estimate!A:D,4,FALSE)</f>
        <v xml:space="preserve">m3 * </v>
      </c>
    </row>
    <row r="82" spans="1:5" ht="22.5" x14ac:dyDescent="0.2">
      <c r="A82" s="143">
        <v>61</v>
      </c>
      <c r="B82" s="144" t="str">
        <f>VLOOKUP(A82,Estimate!A:H,3,FALSE)</f>
        <v>Extra over Items MRS04-3502.2PS and MRS04-3411.2PS for haulage in excess of 18 km (Provisional Quantity, if ordered) (m3 x km, single trip)</v>
      </c>
      <c r="C82" s="145">
        <v>59212</v>
      </c>
      <c r="D82" s="146" t="s">
        <v>304</v>
      </c>
      <c r="E82" s="146" t="str">
        <f>VLOOKUP(A82,Estimate!A:D,4,FALSE)</f>
        <v xml:space="preserve">m3 * </v>
      </c>
    </row>
    <row r="83" spans="1:5" ht="22.5" x14ac:dyDescent="0.2">
      <c r="A83" s="143">
        <v>63</v>
      </c>
      <c r="B83" s="144" t="str">
        <f>VLOOKUP(A83,Estimate!A:H,3,FALSE)</f>
        <v>Removal and salvaging existing culverts for reinstallation; pipe culverts up to 600 dia, box culverts up to 600 x 600 (Provisional Quantity, if ordered)</v>
      </c>
      <c r="C83" s="145">
        <v>10</v>
      </c>
      <c r="D83" s="146" t="s">
        <v>304</v>
      </c>
      <c r="E83" s="146" t="str">
        <f>VLOOKUP(A83,Estimate!A:D,4,FALSE)</f>
        <v xml:space="preserve">m    </v>
      </c>
    </row>
    <row r="84" spans="1:5" x14ac:dyDescent="0.2">
      <c r="A84" s="143">
        <v>63.1</v>
      </c>
      <c r="B84" s="144" t="str">
        <f>VLOOKUP(A84,Estimate!A:H,3,FALSE)</f>
        <v>Excavator - 25T</v>
      </c>
      <c r="C84" s="145">
        <v>1.667</v>
      </c>
      <c r="D84" s="146" t="s">
        <v>275</v>
      </c>
      <c r="E84" s="146" t="str">
        <f>VLOOKUP(A84,Estimate!A:D,4,FALSE)</f>
        <v xml:space="preserve">hr   </v>
      </c>
    </row>
    <row r="85" spans="1:5" ht="22.5" x14ac:dyDescent="0.2">
      <c r="A85" s="143">
        <v>64</v>
      </c>
      <c r="B85" s="144" t="str">
        <f>VLOOKUP(A85,Estimate!A:H,3,FALSE)</f>
        <v>Removal and disposal at approved HSC site, of culvert pipes up to 600 dia, including all haulage (Provisional Quantity, if ordered)</v>
      </c>
      <c r="C85" s="145">
        <v>24</v>
      </c>
      <c r="D85" s="146" t="s">
        <v>304</v>
      </c>
      <c r="E85" s="146" t="str">
        <f>VLOOKUP(A85,Estimate!A:D,4,FALSE)</f>
        <v xml:space="preserve">m    </v>
      </c>
    </row>
    <row r="86" spans="1:5" x14ac:dyDescent="0.2">
      <c r="A86" s="143">
        <v>64.099999999999994</v>
      </c>
      <c r="B86" s="144" t="str">
        <f>VLOOKUP(A86,Estimate!A:H,3,FALSE)</f>
        <v>Excavator - 25T</v>
      </c>
      <c r="C86" s="145">
        <v>2.6669999999999998</v>
      </c>
      <c r="D86" s="146" t="s">
        <v>275</v>
      </c>
      <c r="E86" s="146" t="str">
        <f>VLOOKUP(A86,Estimate!A:D,4,FALSE)</f>
        <v xml:space="preserve">hr   </v>
      </c>
    </row>
    <row r="87" spans="1:5" ht="22.5" x14ac:dyDescent="0.2">
      <c r="A87" s="143">
        <v>65</v>
      </c>
      <c r="B87" s="144" t="str">
        <f>VLOOKUP(A87,Estimate!A:H,3,FALSE)</f>
        <v>Demolition and removal of culvert end structures and disposal at approved HSC site, including all haulage (Provisional Quantity, if ordered)</v>
      </c>
      <c r="C87" s="145">
        <v>2</v>
      </c>
      <c r="D87" s="146" t="s">
        <v>304</v>
      </c>
      <c r="E87" s="146" t="str">
        <f>VLOOKUP(A87,Estimate!A:D,4,FALSE)</f>
        <v xml:space="preserve">m3   </v>
      </c>
    </row>
    <row r="88" spans="1:5" x14ac:dyDescent="0.2">
      <c r="A88" s="143">
        <v>65.099999999999994</v>
      </c>
      <c r="B88" s="144" t="str">
        <f>VLOOKUP(A88,Estimate!A:H,3,FALSE)</f>
        <v>Excavator - 25T</v>
      </c>
      <c r="C88" s="145">
        <v>1.111</v>
      </c>
      <c r="D88" s="146" t="s">
        <v>275</v>
      </c>
      <c r="E88" s="146" t="str">
        <f>VLOOKUP(A88,Estimate!A:D,4,FALSE)</f>
        <v xml:space="preserve">hr   </v>
      </c>
    </row>
    <row r="89" spans="1:5" x14ac:dyDescent="0.2">
      <c r="A89" s="143">
        <v>65.599999999999994</v>
      </c>
      <c r="B89" s="144" t="str">
        <f>VLOOKUP(A89,Estimate!A:H,3,FALSE)</f>
        <v>Excavator - 25T</v>
      </c>
      <c r="C89" s="145">
        <v>1.111</v>
      </c>
      <c r="D89" s="146" t="s">
        <v>275</v>
      </c>
      <c r="E89" s="146" t="str">
        <f>VLOOKUP(A89,Estimate!A:D,4,FALSE)</f>
        <v xml:space="preserve">hr   </v>
      </c>
    </row>
    <row r="90" spans="1:5" ht="22.5" x14ac:dyDescent="0.2">
      <c r="A90" s="143">
        <v>66</v>
      </c>
      <c r="B90" s="144" t="str">
        <f>VLOOKUP(A90,Estimate!A:H,3,FALSE)</f>
        <v>Supply and installation of concrete pipe culvert components, Class 2, 375 mm dia (Provisional Quantity, if ordered)</v>
      </c>
      <c r="C90" s="145">
        <v>7.2</v>
      </c>
      <c r="D90" s="146" t="s">
        <v>304</v>
      </c>
      <c r="E90" s="146" t="str">
        <f>VLOOKUP(A90,Estimate!A:D,4,FALSE)</f>
        <v xml:space="preserve">m    </v>
      </c>
    </row>
    <row r="91" spans="1:5" x14ac:dyDescent="0.2">
      <c r="A91" s="143">
        <v>66.099999999999994</v>
      </c>
      <c r="B91" s="144" t="str">
        <f>VLOOKUP(A91,Estimate!A:H,3,FALSE)</f>
        <v>Excavator - 25T</v>
      </c>
      <c r="C91" s="145">
        <v>0.8</v>
      </c>
      <c r="D91" s="146" t="s">
        <v>275</v>
      </c>
      <c r="E91" s="146" t="str">
        <f>VLOOKUP(A91,Estimate!A:D,4,FALSE)</f>
        <v xml:space="preserve">hr   </v>
      </c>
    </row>
    <row r="92" spans="1:5" ht="22.5" x14ac:dyDescent="0.2">
      <c r="A92" s="143">
        <v>67</v>
      </c>
      <c r="B92" s="144" t="str">
        <f>VLOOKUP(A92,Estimate!A:H,3,FALSE)</f>
        <v>Supply and installation of concrete pipe culvert components, Class 4, 450 mm dia (Provisional Quantity, if ordered)</v>
      </c>
      <c r="C92" s="145">
        <v>6</v>
      </c>
      <c r="D92" s="146" t="s">
        <v>304</v>
      </c>
      <c r="E92" s="146" t="str">
        <f>VLOOKUP(A92,Estimate!A:D,4,FALSE)</f>
        <v xml:space="preserve">m    </v>
      </c>
    </row>
    <row r="93" spans="1:5" x14ac:dyDescent="0.2">
      <c r="A93" s="143">
        <v>67.099999999999994</v>
      </c>
      <c r="B93" s="144" t="str">
        <f>VLOOKUP(A93,Estimate!A:H,3,FALSE)</f>
        <v>Excavator - 25T</v>
      </c>
      <c r="C93" s="145">
        <v>0.66700000000000004</v>
      </c>
      <c r="D93" s="146" t="s">
        <v>275</v>
      </c>
      <c r="E93" s="146" t="str">
        <f>VLOOKUP(A93,Estimate!A:D,4,FALSE)</f>
        <v xml:space="preserve">hr   </v>
      </c>
    </row>
    <row r="94" spans="1:5" ht="22.5" x14ac:dyDescent="0.2">
      <c r="A94" s="143">
        <v>68</v>
      </c>
      <c r="B94" s="144" t="str">
        <f>VLOOKUP(A94,Estimate!A:H,3,FALSE)</f>
        <v>Supply and installation of concrete pipe culvert components, Class 8, 525 mm dia (Provisional Quantity, if ordered)</v>
      </c>
      <c r="C94" s="145">
        <v>6</v>
      </c>
      <c r="D94" s="146" t="s">
        <v>304</v>
      </c>
      <c r="E94" s="146" t="str">
        <f>VLOOKUP(A94,Estimate!A:D,4,FALSE)</f>
        <v xml:space="preserve">m    </v>
      </c>
    </row>
    <row r="95" spans="1:5" x14ac:dyDescent="0.2">
      <c r="A95" s="143">
        <v>68.099999999999994</v>
      </c>
      <c r="B95" s="144" t="str">
        <f>VLOOKUP(A95,Estimate!A:H,3,FALSE)</f>
        <v>Excavator - 25T</v>
      </c>
      <c r="C95" s="145">
        <v>0.66700000000000004</v>
      </c>
      <c r="D95" s="146" t="s">
        <v>275</v>
      </c>
      <c r="E95" s="146" t="str">
        <f>VLOOKUP(A95,Estimate!A:D,4,FALSE)</f>
        <v xml:space="preserve">hr   </v>
      </c>
    </row>
    <row r="96" spans="1:5" ht="22.5" x14ac:dyDescent="0.2">
      <c r="A96" s="143">
        <v>69</v>
      </c>
      <c r="B96" s="144" t="str">
        <f>VLOOKUP(A96,Estimate!A:H,3,FALSE)</f>
        <v>Supply and installation of concrete pipe culvert components, Class 8, 600 mm dia (Provisional Quantity, if ordered)</v>
      </c>
      <c r="C96" s="145">
        <v>6</v>
      </c>
      <c r="D96" s="146" t="s">
        <v>304</v>
      </c>
      <c r="E96" s="146" t="str">
        <f>VLOOKUP(A96,Estimate!A:D,4,FALSE)</f>
        <v xml:space="preserve">m    </v>
      </c>
    </row>
    <row r="97" spans="1:5" x14ac:dyDescent="0.2">
      <c r="A97" s="143">
        <v>69.099999999999994</v>
      </c>
      <c r="B97" s="144" t="str">
        <f>VLOOKUP(A97,Estimate!A:H,3,FALSE)</f>
        <v>Excavator - 25T</v>
      </c>
      <c r="C97" s="145">
        <v>0.66700000000000004</v>
      </c>
      <c r="D97" s="146" t="s">
        <v>275</v>
      </c>
      <c r="E97" s="146" t="str">
        <f>VLOOKUP(A97,Estimate!A:D,4,FALSE)</f>
        <v xml:space="preserve">hr   </v>
      </c>
    </row>
    <row r="98" spans="1:5" ht="22.5" x14ac:dyDescent="0.2">
      <c r="A98" s="143">
        <v>70</v>
      </c>
      <c r="B98" s="144" t="str">
        <f>VLOOKUP(A98,Estimate!A:H,3,FALSE)</f>
        <v>End structures to culverts and repairs to end structures, reinforced concrete (Provisional Quantity, if ordered)</v>
      </c>
      <c r="C98" s="145">
        <v>2</v>
      </c>
      <c r="D98" s="146" t="s">
        <v>304</v>
      </c>
      <c r="E98" s="146" t="str">
        <f>VLOOKUP(A98,Estimate!A:D,4,FALSE)</f>
        <v xml:space="preserve">m3   </v>
      </c>
    </row>
    <row r="99" spans="1:5" x14ac:dyDescent="0.2">
      <c r="A99" s="143">
        <v>70.099999999999994</v>
      </c>
      <c r="B99" s="144" t="str">
        <f>VLOOKUP(A99,Estimate!A:H,3,FALSE)</f>
        <v>Concrete Sub-contract</v>
      </c>
      <c r="C99" s="145">
        <v>1</v>
      </c>
      <c r="D99" s="146" t="s">
        <v>275</v>
      </c>
      <c r="E99" s="146" t="str">
        <f>VLOOKUP(A99,Estimate!A:D,4,FALSE)</f>
        <v xml:space="preserve">m²   </v>
      </c>
    </row>
    <row r="100" spans="1:5" ht="22.5" x14ac:dyDescent="0.2">
      <c r="A100" s="143">
        <v>72</v>
      </c>
      <c r="B100" s="144" t="str">
        <f>VLOOKUP(A100,Estimate!A:H,3,FALSE)</f>
        <v>Deliver rock for protection (300 mm rock)  (Contractor delivery rate) (Principal paid material) (Provisional Quantity, if ordered)</v>
      </c>
      <c r="C100" s="145">
        <v>6</v>
      </c>
      <c r="D100" s="146" t="s">
        <v>304</v>
      </c>
      <c r="E100" s="146" t="str">
        <f>VLOOKUP(A100,Estimate!A:D,4,FALSE)</f>
        <v xml:space="preserve">m3   </v>
      </c>
    </row>
    <row r="101" spans="1:5" ht="22.5" x14ac:dyDescent="0.2">
      <c r="A101" s="143">
        <v>73</v>
      </c>
      <c r="B101" s="144" t="str">
        <f>VLOOKUP(A101,Estimate!A:H,3,FALSE)</f>
        <v>Rock protection (300 mm rock) (Contractor installation rate) (Principal paid material) (Provisional Quantity, if ordered)</v>
      </c>
      <c r="C101" s="145">
        <v>6</v>
      </c>
      <c r="D101" s="146" t="s">
        <v>304</v>
      </c>
      <c r="E101" s="146" t="str">
        <f>VLOOKUP(A101,Estimate!A:D,4,FALSE)</f>
        <v xml:space="preserve">m3   </v>
      </c>
    </row>
    <row r="102" spans="1:5" x14ac:dyDescent="0.2">
      <c r="A102" s="143">
        <v>73.099999999999994</v>
      </c>
      <c r="B102" s="144" t="str">
        <f>VLOOKUP(A102,Estimate!A:H,3,FALSE)</f>
        <v>Excavator - 25T</v>
      </c>
      <c r="C102" s="145">
        <v>1</v>
      </c>
      <c r="D102" s="146" t="s">
        <v>275</v>
      </c>
      <c r="E102" s="146" t="str">
        <f>VLOOKUP(A102,Estimate!A:D,4,FALSE)</f>
        <v xml:space="preserve">hr   </v>
      </c>
    </row>
    <row r="103" spans="1:5" ht="22.5" x14ac:dyDescent="0.2">
      <c r="A103" s="143">
        <v>75</v>
      </c>
      <c r="B103" s="144" t="str">
        <f>VLOOKUP(A103,Estimate!A:H,3,FALSE)</f>
        <v>Supply premix asphalt material, apply emulsion tack coat (0.3 L/m2) and patch potholes (Provisional Quantity, if ordered)</v>
      </c>
      <c r="C103" s="145">
        <v>20</v>
      </c>
      <c r="D103" s="146" t="s">
        <v>304</v>
      </c>
      <c r="E103" s="146" t="str">
        <f>VLOOKUP(A103,Estimate!A:D,4,FALSE)</f>
        <v>tonne</v>
      </c>
    </row>
    <row r="104" spans="1:5" ht="33.75" x14ac:dyDescent="0.2">
      <c r="A104" s="143">
        <v>78</v>
      </c>
      <c r="B104" s="144" t="str">
        <f>VLOOKUP(A104,Estimate!A:H,3,FALSE)</f>
        <v>Deliver Subtype 2.2 Unbound Pavement material for Base course, including haulage up to 18 km (Provisional quantity, if ordered) (Contractor delivery rate) (Principal paid material)</v>
      </c>
      <c r="C104" s="145">
        <v>3993</v>
      </c>
      <c r="D104" s="146" t="s">
        <v>304</v>
      </c>
      <c r="E104" s="146" t="str">
        <f>VLOOKUP(A104,Estimate!A:D,4,FALSE)</f>
        <v xml:space="preserve">m3   </v>
      </c>
    </row>
    <row r="105" spans="1:5" ht="22.5" x14ac:dyDescent="0.2">
      <c r="A105" s="143">
        <v>79</v>
      </c>
      <c r="B105" s="144" t="str">
        <f>VLOOKUP(A105,Estimate!A:H,3,FALSE)</f>
        <v>Base course, unbound pavement, Subtype 2.2 (Provisional quantity, if ordered) (Contractor Installation Rate) (Principal paid material)</v>
      </c>
      <c r="C105" s="145">
        <v>3993</v>
      </c>
      <c r="D105" s="146" t="s">
        <v>304</v>
      </c>
      <c r="E105" s="146" t="str">
        <f>VLOOKUP(A105,Estimate!A:D,4,FALSE)</f>
        <v xml:space="preserve">m3   </v>
      </c>
    </row>
    <row r="106" spans="1:5" x14ac:dyDescent="0.2">
      <c r="A106" s="143">
        <v>79.2</v>
      </c>
      <c r="B106" s="144" t="str">
        <f>VLOOKUP(A106,Estimate!A:H,3,FALSE)</f>
        <v>Grader</v>
      </c>
      <c r="C106" s="145">
        <v>88.888999999999996</v>
      </c>
      <c r="D106" s="146" t="s">
        <v>275</v>
      </c>
      <c r="E106" s="146" t="str">
        <f>VLOOKUP(A106,Estimate!A:D,4,FALSE)</f>
        <v xml:space="preserve">hr   </v>
      </c>
    </row>
    <row r="107" spans="1:5" x14ac:dyDescent="0.2">
      <c r="A107" s="143">
        <v>79.3</v>
      </c>
      <c r="B107" s="144" t="s">
        <v>302</v>
      </c>
      <c r="C107" s="145">
        <v>0.3</v>
      </c>
      <c r="D107" s="146" t="s">
        <v>275</v>
      </c>
      <c r="E107" s="146">
        <f>VLOOKUP(A107,Estimate!A:D,4,FALSE)</f>
        <v>0</v>
      </c>
    </row>
    <row r="108" spans="1:5" x14ac:dyDescent="0.2">
      <c r="A108" s="143">
        <v>79.400000000000006</v>
      </c>
      <c r="B108" s="144" t="str">
        <f>VLOOKUP(A108,Estimate!A:H,3,FALSE)</f>
        <v>Grader</v>
      </c>
      <c r="C108" s="145">
        <v>350</v>
      </c>
      <c r="D108" s="146" t="s">
        <v>275</v>
      </c>
      <c r="E108" s="146" t="str">
        <f>VLOOKUP(A108,Estimate!A:D,4,FALSE)</f>
        <v xml:space="preserve">hr   </v>
      </c>
    </row>
    <row r="109" spans="1:5" ht="33.75" x14ac:dyDescent="0.2">
      <c r="A109" s="143">
        <v>81</v>
      </c>
      <c r="B109" s="144" t="str">
        <f>VLOOKUP(A109,Estimate!A:H,3,FALSE)</f>
        <v>Deliver Subtype 2.3 Unbound Pavement material for Subbase course, including haulage up to 18 km. (Provisional quantity, if ordered) (Contractor delivery rate) (Principal paid material)</v>
      </c>
      <c r="C109" s="145">
        <v>3993</v>
      </c>
      <c r="D109" s="146" t="s">
        <v>304</v>
      </c>
      <c r="E109" s="146" t="str">
        <f>VLOOKUP(A109,Estimate!A:D,4,FALSE)</f>
        <v xml:space="preserve">m3   </v>
      </c>
    </row>
    <row r="110" spans="1:5" ht="22.5" x14ac:dyDescent="0.2">
      <c r="A110" s="143">
        <v>82</v>
      </c>
      <c r="B110" s="144" t="str">
        <f>VLOOKUP(A110,Estimate!A:H,3,FALSE)</f>
        <v>Subbase course, unbound pavement, Subtype 2.3. (Provisional quantity, if ordered) (Contractor Installation Rate) (Principal paid material)</v>
      </c>
      <c r="C110" s="145">
        <v>3993</v>
      </c>
      <c r="D110" s="146" t="s">
        <v>304</v>
      </c>
      <c r="E110" s="146" t="str">
        <f>VLOOKUP(A110,Estimate!A:D,4,FALSE)</f>
        <v xml:space="preserve">m3   </v>
      </c>
    </row>
    <row r="111" spans="1:5" x14ac:dyDescent="0.2">
      <c r="A111" s="143">
        <v>82.2</v>
      </c>
      <c r="B111" s="144" t="str">
        <f>VLOOKUP(A111,Estimate!A:H,3,FALSE)</f>
        <v>Grader</v>
      </c>
      <c r="C111" s="145">
        <v>88.888999999999996</v>
      </c>
      <c r="D111" s="146" t="s">
        <v>275</v>
      </c>
      <c r="E111" s="146" t="str">
        <f>VLOOKUP(A111,Estimate!A:D,4,FALSE)</f>
        <v xml:space="preserve">hr   </v>
      </c>
    </row>
    <row r="112" spans="1:5" x14ac:dyDescent="0.2">
      <c r="A112" s="143">
        <v>82.3</v>
      </c>
      <c r="B112" s="144" t="s">
        <v>303</v>
      </c>
      <c r="C112" s="145">
        <v>0.3</v>
      </c>
      <c r="D112" s="146" t="s">
        <v>275</v>
      </c>
      <c r="E112" s="146">
        <f>VLOOKUP(A112,Estimate!A:D,4,FALSE)</f>
        <v>0</v>
      </c>
    </row>
    <row r="113" spans="1:5" x14ac:dyDescent="0.2">
      <c r="A113" s="143">
        <v>82.4</v>
      </c>
      <c r="B113" s="144" t="str">
        <f>VLOOKUP(A113,Estimate!A:H,3,FALSE)</f>
        <v>Grader</v>
      </c>
      <c r="C113" s="145">
        <v>350</v>
      </c>
      <c r="D113" s="146" t="s">
        <v>275</v>
      </c>
      <c r="E113" s="146" t="str">
        <f>VLOOKUP(A113,Estimate!A:D,4,FALSE)</f>
        <v xml:space="preserve">hr   </v>
      </c>
    </row>
    <row r="114" spans="1:5" ht="33.75" x14ac:dyDescent="0.2">
      <c r="A114" s="143">
        <v>84</v>
      </c>
      <c r="B114" s="144" t="str">
        <f>VLOOKUP(A114,Estimate!A:H,3,FALSE)</f>
        <v>Deliver unbound pavement, Wearing Course Type gravel for shoulders, including haulage up to 18 km (Provisional quantity, if ordered) (Contractor delivery rate) (Principal paid material)</v>
      </c>
      <c r="C114" s="145">
        <v>2152</v>
      </c>
      <c r="D114" s="146" t="s">
        <v>304</v>
      </c>
      <c r="E114" s="146" t="str">
        <f>VLOOKUP(A114,Estimate!A:D,4,FALSE)</f>
        <v xml:space="preserve">m3   </v>
      </c>
    </row>
    <row r="115" spans="1:5" ht="22.5" x14ac:dyDescent="0.2">
      <c r="A115" s="143">
        <v>85</v>
      </c>
      <c r="B115" s="144" t="str">
        <f>VLOOKUP(A115,Estimate!A:H,3,FALSE)</f>
        <v>Unbound pavement, Wearing Course Type gravel for shoulders (Provisional quantity, if ordered) (Contractor installation rate) (Principal paid material)</v>
      </c>
      <c r="C115" s="145">
        <v>2152</v>
      </c>
      <c r="D115" s="146" t="s">
        <v>304</v>
      </c>
      <c r="E115" s="146" t="str">
        <f>VLOOKUP(A115,Estimate!A:D,4,FALSE)</f>
        <v xml:space="preserve">m3   </v>
      </c>
    </row>
    <row r="116" spans="1:5" x14ac:dyDescent="0.2">
      <c r="A116" s="143">
        <v>85.2</v>
      </c>
      <c r="B116" s="144" t="str">
        <f>VLOOKUP(A116,Estimate!A:H,3,FALSE)</f>
        <v>Grader</v>
      </c>
      <c r="C116" s="145">
        <v>66.667000000000002</v>
      </c>
      <c r="D116" s="146" t="s">
        <v>275</v>
      </c>
      <c r="E116" s="146" t="str">
        <f>VLOOKUP(A116,Estimate!A:D,4,FALSE)</f>
        <v xml:space="preserve">hr   </v>
      </c>
    </row>
    <row r="117" spans="1:5" x14ac:dyDescent="0.2">
      <c r="A117" s="143">
        <v>85.3</v>
      </c>
      <c r="B117" s="144" t="s">
        <v>302</v>
      </c>
      <c r="C117" s="145">
        <v>0.15</v>
      </c>
      <c r="D117" s="146" t="s">
        <v>275</v>
      </c>
      <c r="E117" s="146">
        <f>VLOOKUP(A117,Estimate!A:D,4,FALSE)</f>
        <v>0</v>
      </c>
    </row>
    <row r="118" spans="1:5" x14ac:dyDescent="0.2">
      <c r="A118" s="143">
        <v>85.4</v>
      </c>
      <c r="B118" s="144" t="str">
        <f>VLOOKUP(A118,Estimate!A:H,3,FALSE)</f>
        <v>Grader</v>
      </c>
      <c r="C118" s="145">
        <v>350</v>
      </c>
      <c r="D118" s="146" t="s">
        <v>275</v>
      </c>
      <c r="E118" s="146" t="str">
        <f>VLOOKUP(A118,Estimate!A:D,4,FALSE)</f>
        <v xml:space="preserve">hr   </v>
      </c>
    </row>
    <row r="119" spans="1:5" ht="22.5" x14ac:dyDescent="0.2">
      <c r="A119" s="143">
        <v>86</v>
      </c>
      <c r="B119" s="144" t="str">
        <f>VLOOKUP(A119,Estimate!A:H,3,FALSE)</f>
        <v>Extra over Items MRS05-4151.2PS, MRS05-4153.2,MRS07-4203.2PS and 9005.2 for haulage in excess of 18 km (Provisional Quantity, if ordered) (m3 x km, single trip)</v>
      </c>
      <c r="C119" s="145">
        <v>130017</v>
      </c>
      <c r="D119" s="146" t="s">
        <v>304</v>
      </c>
      <c r="E119" s="146" t="str">
        <f>VLOOKUP(A119,Estimate!A:D,4,FALSE)</f>
        <v xml:space="preserve">m3 * </v>
      </c>
    </row>
    <row r="120" spans="1:5" ht="22.5" x14ac:dyDescent="0.2">
      <c r="A120" s="143">
        <v>89</v>
      </c>
      <c r="B120" s="144" t="str">
        <f>VLOOKUP(A120,Estimate!A:H,3,FALSE)</f>
        <v>Preparation of the existing sealed surface for resealing (Provisional quantity, if ordered)</v>
      </c>
      <c r="C120" s="145">
        <v>1500</v>
      </c>
      <c r="D120" s="146" t="s">
        <v>304</v>
      </c>
      <c r="E120" s="146" t="str">
        <f>VLOOKUP(A120,Estimate!A:D,4,FALSE)</f>
        <v>litre</v>
      </c>
    </row>
    <row r="121" spans="1:5" ht="22.5" x14ac:dyDescent="0.2">
      <c r="A121" s="143">
        <v>90</v>
      </c>
      <c r="B121" s="144" t="str">
        <f>VLOOKUP(A121,Estimate!A:H,3,FALSE)</f>
        <v>Enrichment spray, 60% bitumen emulsion, total 0.9L/m2 applied in 3 passes (Provisional quantity, if ordered)</v>
      </c>
      <c r="C121" s="145">
        <v>1350</v>
      </c>
      <c r="D121" s="146" t="s">
        <v>304</v>
      </c>
      <c r="E121" s="146" t="str">
        <f>VLOOKUP(A121,Estimate!A:D,4,FALSE)</f>
        <v>litre</v>
      </c>
    </row>
    <row r="122" spans="1:5" x14ac:dyDescent="0.2">
      <c r="A122" s="143">
        <v>91</v>
      </c>
      <c r="B122" s="144" t="str">
        <f>VLOOKUP(A122,Estimate!A:H,3,FALSE)</f>
        <v>Crack Filling (Provisional Quantity, if ordered)</v>
      </c>
      <c r="C122" s="145">
        <v>142</v>
      </c>
      <c r="D122" s="146" t="s">
        <v>304</v>
      </c>
      <c r="E122" s="146" t="str">
        <f>VLOOKUP(A122,Estimate!A:D,4,FALSE)</f>
        <v xml:space="preserve">m    </v>
      </c>
    </row>
    <row r="123" spans="1:5" x14ac:dyDescent="0.2">
      <c r="A123" s="143">
        <v>92</v>
      </c>
      <c r="B123" s="144" t="str">
        <f>VLOOKUP(A123,Estimate!A:H,3,FALSE)</f>
        <v>Strain alleviating fabric strips (Provisional Quantity, if ordered)</v>
      </c>
      <c r="C123" s="145">
        <v>8</v>
      </c>
      <c r="D123" s="146" t="s">
        <v>304</v>
      </c>
      <c r="E123" s="146" t="str">
        <f>VLOOKUP(A123,Estimate!A:D,4,FALSE)</f>
        <v xml:space="preserve">m    </v>
      </c>
    </row>
    <row r="124" spans="1:5" ht="22.5" x14ac:dyDescent="0.2">
      <c r="A124" s="143">
        <v>93</v>
      </c>
      <c r="B124" s="144" t="str">
        <f>VLOOKUP(A124,Estimate!A:H,3,FALSE)</f>
        <v>Primerseal, Grade AMC5, spray rate 1.5 L/m2, including supply of binder, all areas. (Seal design by Contractor) (Provisional Quantity, if ordered)</v>
      </c>
      <c r="C124" s="145">
        <v>38375</v>
      </c>
      <c r="D124" s="146" t="s">
        <v>304</v>
      </c>
      <c r="E124" s="146" t="str">
        <f>VLOOKUP(A124,Estimate!A:D,4,FALSE)</f>
        <v>litre</v>
      </c>
    </row>
    <row r="125" spans="1:5" ht="22.5" x14ac:dyDescent="0.2">
      <c r="A125" s="143">
        <v>94</v>
      </c>
      <c r="B125" s="144" t="str">
        <f>VLOOKUP(A125,Estimate!A:H,3,FALSE)</f>
        <v>Second Seal  C170 Bitumen, 1.5 L/m2 including binder (Seal design by Contractor) (Provisional Quantity, if ordered)</v>
      </c>
      <c r="C125" s="145">
        <v>38375</v>
      </c>
      <c r="D125" s="146" t="s">
        <v>304</v>
      </c>
      <c r="E125" s="146" t="str">
        <f>VLOOKUP(A125,Estimate!A:D,4,FALSE)</f>
        <v>litre</v>
      </c>
    </row>
    <row r="126" spans="1:5" ht="22.5" x14ac:dyDescent="0.2">
      <c r="A126" s="143">
        <v>95</v>
      </c>
      <c r="B126" s="144" t="str">
        <f>VLOOKUP(A126,Estimate!A:H,3,FALSE)</f>
        <v>Spreading cover aggregate to Primerseal (14mm), spread rate 110 m2/m3, all areas (Seal design by Contractor) (Provisional Quantity, if ordered)</v>
      </c>
      <c r="C126" s="145">
        <v>233</v>
      </c>
      <c r="D126" s="146" t="s">
        <v>304</v>
      </c>
      <c r="E126" s="146" t="str">
        <f>VLOOKUP(A126,Estimate!A:D,4,FALSE)</f>
        <v xml:space="preserve">m3   </v>
      </c>
    </row>
    <row r="127" spans="1:5" ht="22.5" x14ac:dyDescent="0.2">
      <c r="A127" s="143">
        <v>96</v>
      </c>
      <c r="B127" s="144" t="str">
        <f>VLOOKUP(A127,Estimate!A:H,3,FALSE)</f>
        <v>Spreading cover aggregate to Second Seal (10mm), 130 m2/m3 (Seal design by Contractor) (Provisional Quantity, if ordered)</v>
      </c>
      <c r="C127" s="145">
        <v>197</v>
      </c>
      <c r="D127" s="146" t="s">
        <v>304</v>
      </c>
      <c r="E127" s="146" t="str">
        <f>VLOOKUP(A127,Estimate!A:D,4,FALSE)</f>
        <v xml:space="preserve">m3   </v>
      </c>
    </row>
    <row r="128" spans="1:5" ht="33.75" x14ac:dyDescent="0.2">
      <c r="A128" s="143">
        <v>97</v>
      </c>
      <c r="B128" s="144" t="str">
        <f>VLOOKUP(A128,Estimate!A:H,3,FALSE)</f>
        <v>Supply of Primerseal cover aggregate, precoated, 14 mm nominal size, spread rate 110 m2/m3, all areas (Seal design by Contractor) (Provisional Quantity, if ordered)</v>
      </c>
      <c r="C128" s="145">
        <v>233</v>
      </c>
      <c r="D128" s="146" t="s">
        <v>304</v>
      </c>
      <c r="E128" s="146" t="str">
        <f>VLOOKUP(A128,Estimate!A:D,4,FALSE)</f>
        <v xml:space="preserve">m3   </v>
      </c>
    </row>
    <row r="129" spans="1:8" ht="22.5" x14ac:dyDescent="0.2">
      <c r="A129" s="143">
        <v>98</v>
      </c>
      <c r="B129" s="144" t="str">
        <f>VLOOKUP(A129,Estimate!A:H,3,FALSE)</f>
        <v>Supply of Second Seal cover aggregate, precoated, 10 mm nominal size,spread rate 130 m2/m3 (Seal design by Contractor) (Provisional Quantity)</v>
      </c>
      <c r="C129" s="145">
        <v>197</v>
      </c>
      <c r="D129" s="146" t="s">
        <v>304</v>
      </c>
      <c r="E129" s="146" t="str">
        <f>VLOOKUP(A129,Estimate!A:D,4,FALSE)</f>
        <v xml:space="preserve">m3   </v>
      </c>
    </row>
    <row r="130" spans="1:8" x14ac:dyDescent="0.2">
      <c r="A130" s="143">
        <v>100</v>
      </c>
      <c r="B130" s="144" t="str">
        <f>VLOOKUP(A130,Estimate!A:H,3,FALSE)</f>
        <v>Road edge guide posts (Provisional Quantity, if ordered)</v>
      </c>
      <c r="C130" s="145">
        <v>3</v>
      </c>
      <c r="D130" s="146" t="s">
        <v>304</v>
      </c>
      <c r="E130" s="146" t="str">
        <f>VLOOKUP(A130,Estimate!A:D,4,FALSE)</f>
        <v xml:space="preserve">each </v>
      </c>
    </row>
    <row r="131" spans="1:8" x14ac:dyDescent="0.2">
      <c r="A131" s="143">
        <v>101</v>
      </c>
      <c r="B131" s="144" t="str">
        <f>VLOOKUP(A131,Estimate!A:H,3,FALSE)</f>
        <v>Spotting only for longitudinal lines (Provisional Quantity, if ordered)</v>
      </c>
      <c r="C131" s="145">
        <v>3470</v>
      </c>
      <c r="D131" s="146" t="s">
        <v>304</v>
      </c>
      <c r="E131" s="146" t="str">
        <f>VLOOKUP(A131,Estimate!A:D,4,FALSE)</f>
        <v xml:space="preserve">m    </v>
      </c>
    </row>
    <row r="132" spans="1:8" x14ac:dyDescent="0.2">
      <c r="A132" s="143">
        <v>102</v>
      </c>
      <c r="B132" s="144" t="str">
        <f>VLOOKUP(A132,Estimate!A:H,3,FALSE)</f>
        <v>Temporary raised pavement markers (Provisional Quantity, if ordered)</v>
      </c>
      <c r="C132" s="145">
        <v>694</v>
      </c>
      <c r="D132" s="146" t="s">
        <v>304</v>
      </c>
      <c r="E132" s="146" t="str">
        <f>VLOOKUP(A132,Estimate!A:D,4,FALSE)</f>
        <v xml:space="preserve">each </v>
      </c>
    </row>
    <row r="133" spans="1:8" ht="78.75" x14ac:dyDescent="0.2">
      <c r="A133" s="147">
        <v>103</v>
      </c>
      <c r="B133" s="144" t="str">
        <f>VLOOKUP(A133,Estimate!A:H,3,FALSE)</f>
        <v>VAR01 - TC001  This equates to $3.10/m3 for delivery of 14,397m3 of material which is summation of items at MRS04 -34411.PS; MRS05-4151.2PS;MRS05-4153.2PS &amp; 9005.2PS. This adjustment is made on the basis that Allciv will not have any contractual relationship with the quarry chosen to have any ability to pass on or recoiver cost from the quarry associated with waiting time or slow production rates. This additional amount of $3.10/m3 will cover these costs should they arise (provisional Quantity , if ordered)</v>
      </c>
      <c r="C133" s="145">
        <v>11433</v>
      </c>
      <c r="D133" s="146" t="s">
        <v>304</v>
      </c>
      <c r="E133" s="146" t="str">
        <f>VLOOKUP(A133,Estimate!A:D,4,FALSE)</f>
        <v xml:space="preserve">m³   </v>
      </c>
    </row>
    <row r="134" spans="1:8" x14ac:dyDescent="0.2">
      <c r="A134" s="147">
        <v>104</v>
      </c>
      <c r="B134" s="144" t="str">
        <f>VLOOKUP(A134,Estimate!A:H,3,FALSE)</f>
        <v xml:space="preserve">MRS04 - 3101.1PS - Clearing of Shoulders - width 1m in with to hing point </v>
      </c>
      <c r="C134" s="145">
        <v>7578</v>
      </c>
      <c r="D134" s="146" t="s">
        <v>304</v>
      </c>
      <c r="E134" s="146" t="str">
        <f>VLOOKUP(A134,Estimate!A:D,4,FALSE)</f>
        <v xml:space="preserve">m²   </v>
      </c>
    </row>
    <row r="135" spans="1:8" x14ac:dyDescent="0.2">
      <c r="A135" s="147">
        <v>104.01</v>
      </c>
      <c r="B135" s="144" t="str">
        <f>VLOOKUP(A135,Estimate!A:H,3,FALSE)</f>
        <v>Grader</v>
      </c>
      <c r="C135" s="145">
        <v>320</v>
      </c>
      <c r="D135" s="146" t="s">
        <v>275</v>
      </c>
      <c r="E135" s="146" t="str">
        <f>VLOOKUP(A135,Estimate!A:D,4,FALSE)</f>
        <v xml:space="preserve">hr   </v>
      </c>
    </row>
    <row r="136" spans="1:8" ht="45" x14ac:dyDescent="0.2">
      <c r="A136" s="147">
        <v>105</v>
      </c>
      <c r="B136" s="144" t="str">
        <f>VLOOKUP(A136,Estimate!A:H,3,FALSE)</f>
        <v xml:space="preserve">MRS04- 3208.9PS: Special Excavation all material, grading of shoulders to acheive pavemnent surface drainage and disposal of material at HSC disposal site and disposal of material at HSC disposal site,including haulage up to 18km (provisional Quantity,as directed)##CRLF####CRLF##Qty =  area x 50mm </v>
      </c>
      <c r="C136" s="145">
        <v>690</v>
      </c>
      <c r="D136" s="146" t="s">
        <v>304</v>
      </c>
      <c r="E136" s="146" t="str">
        <f>VLOOKUP(A136,Estimate!A:D,4,FALSE)</f>
        <v xml:space="preserve">m³   </v>
      </c>
    </row>
    <row r="137" spans="1:8" x14ac:dyDescent="0.2">
      <c r="A137" s="147">
        <v>105.01</v>
      </c>
      <c r="B137" s="144" t="str">
        <f>VLOOKUP(A137,Estimate!A:H,3,FALSE)</f>
        <v>Grader</v>
      </c>
      <c r="C137" s="145">
        <v>7.5</v>
      </c>
      <c r="D137" s="146" t="s">
        <v>275</v>
      </c>
      <c r="E137" s="146" t="str">
        <f>VLOOKUP(A137,Estimate!A:D,4,FALSE)</f>
        <v xml:space="preserve">hr   </v>
      </c>
    </row>
    <row r="138" spans="1:8" x14ac:dyDescent="0.2">
      <c r="A138" s="147">
        <v>106</v>
      </c>
      <c r="B138" s="144" t="str">
        <f>VLOOKUP(A138,Estimate!A:H,3,FALSE)</f>
        <v xml:space="preserve">9009.1PS-  Moisture conditioning of sub-base 2.3 Gravel </v>
      </c>
      <c r="C138" s="145">
        <v>9366</v>
      </c>
      <c r="D138" s="146" t="s">
        <v>304</v>
      </c>
      <c r="E138" s="146" t="str">
        <f>VLOOKUP(A138,Estimate!A:D,4,FALSE)</f>
        <v>tonne</v>
      </c>
    </row>
    <row r="139" spans="1:8" ht="15" x14ac:dyDescent="0.25">
      <c r="A139" s="147">
        <v>107</v>
      </c>
      <c r="B139" s="144" t="str">
        <f>VLOOKUP(A139,Estimate!A:H,3,FALSE)</f>
        <v xml:space="preserve">MRS08 - 4301.5PS  Deliver Subbase 2.3 Plant mixed 3% cement </v>
      </c>
      <c r="C139" s="145">
        <v>2057</v>
      </c>
      <c r="D139" s="146" t="s">
        <v>304</v>
      </c>
      <c r="E139" s="146" t="str">
        <f>VLOOKUP(A139,Estimate!A:D,4,FALSE)</f>
        <v xml:space="preserve">m³   </v>
      </c>
      <c r="H139"/>
    </row>
    <row r="140" spans="1:8" ht="23.25" x14ac:dyDescent="0.25">
      <c r="A140" s="147">
        <v>108</v>
      </c>
      <c r="B140" s="144" t="str">
        <f>VLOOKUP(A140,Estimate!A:H,3,FALSE)</f>
        <v xml:space="preserve">9008.1PS  - EXTRA OVER ITEMS VAR 3.2, VAR3.5 ,VAR3.7 for haulage in eccess of 18km ##CRLF####CRLF##Wallaman job site  - 32.5km - 18km = 14.5km </v>
      </c>
      <c r="C140" s="145">
        <v>16894</v>
      </c>
      <c r="D140" s="146" t="s">
        <v>304</v>
      </c>
      <c r="E140" s="146" t="str">
        <f>VLOOKUP(A140,Estimate!A:D,4,FALSE)</f>
        <v>m3*km</v>
      </c>
      <c r="H140"/>
    </row>
    <row r="141" spans="1:8" ht="15" x14ac:dyDescent="0.25">
      <c r="A141" s="147">
        <v>109</v>
      </c>
      <c r="B141" s="144" t="str">
        <f>VLOOKUP(A141,Estimate!A:H,3,FALSE)</f>
        <v xml:space="preserve">MRS08-4301.6PS - Installation sub-base 2.3 3% cement </v>
      </c>
      <c r="C141" s="145">
        <v>2057</v>
      </c>
      <c r="D141" s="146" t="s">
        <v>304</v>
      </c>
      <c r="E141" s="146" t="str">
        <f>VLOOKUP(A141,Estimate!A:D,4,FALSE)</f>
        <v xml:space="preserve">m³   </v>
      </c>
      <c r="H141"/>
    </row>
    <row r="142" spans="1:8" ht="15" x14ac:dyDescent="0.25">
      <c r="A142" s="147">
        <v>109.01</v>
      </c>
      <c r="B142" s="144" t="str">
        <f>VLOOKUP(A142,Estimate!A:H,3,FALSE)</f>
        <v>Grader</v>
      </c>
      <c r="C142" s="145">
        <v>66.666666666666671</v>
      </c>
      <c r="D142" s="146" t="s">
        <v>275</v>
      </c>
      <c r="E142" s="146" t="str">
        <f>VLOOKUP(A142,Estimate!A:D,4,FALSE)</f>
        <v xml:space="preserve">hr   </v>
      </c>
      <c r="H142"/>
    </row>
    <row r="143" spans="1:8" ht="15" x14ac:dyDescent="0.25">
      <c r="A143" s="147">
        <v>109.02</v>
      </c>
      <c r="B143" s="144" t="str">
        <f>VLOOKUP(A143,Estimate!A:H,3,FALSE)</f>
        <v>Intermediate Trim: QTY based on depth</v>
      </c>
      <c r="C143" s="145">
        <v>0.3</v>
      </c>
      <c r="D143" s="146" t="s">
        <v>275</v>
      </c>
      <c r="E143" s="146">
        <f>VLOOKUP(A143,Estimate!A:D,4,FALSE)</f>
        <v>0</v>
      </c>
      <c r="H143"/>
    </row>
    <row r="144" spans="1:8" ht="15" x14ac:dyDescent="0.25">
      <c r="A144" s="147">
        <v>109.03</v>
      </c>
      <c r="B144" s="144" t="str">
        <f>VLOOKUP(A144,Estimate!A:H,3,FALSE)</f>
        <v>Grader</v>
      </c>
      <c r="C144" s="145">
        <v>200</v>
      </c>
      <c r="D144" s="146" t="s">
        <v>275</v>
      </c>
      <c r="E144" s="146" t="str">
        <f>VLOOKUP(A144,Estimate!A:D,4,FALSE)</f>
        <v xml:space="preserve">hr   </v>
      </c>
      <c r="H144"/>
    </row>
    <row r="145" spans="1:8" ht="15" x14ac:dyDescent="0.25">
      <c r="A145" s="147">
        <v>110</v>
      </c>
      <c r="B145" s="144" t="str">
        <f>VLOOKUP(A145,Estimate!A:H,3,FALSE)</f>
        <v xml:space="preserve">MRS08 4301.2PS Delivery Subtype 2.2 CMB 1.5% Cement </v>
      </c>
      <c r="C145" s="145">
        <v>801.75</v>
      </c>
      <c r="D145" s="146" t="s">
        <v>304</v>
      </c>
      <c r="E145" s="146" t="str">
        <f>VLOOKUP(A145,Estimate!A:D,4,FALSE)</f>
        <v xml:space="preserve">m³   </v>
      </c>
      <c r="H145"/>
    </row>
    <row r="146" spans="1:8" ht="15" x14ac:dyDescent="0.25">
      <c r="A146" s="147">
        <v>111</v>
      </c>
      <c r="B146" s="144" t="str">
        <f>VLOOKUP(A146,Estimate!A:H,3,FALSE)</f>
        <v xml:space="preserve">MRS08-4301.3PS  Installation subtype 2.2 Cement Treated Base 1.5% cement </v>
      </c>
      <c r="C146" s="145">
        <v>801.75</v>
      </c>
      <c r="D146" s="146" t="s">
        <v>304</v>
      </c>
      <c r="E146" s="146" t="str">
        <f>VLOOKUP(A146,Estimate!A:D,4,FALSE)</f>
        <v xml:space="preserve">m³   </v>
      </c>
      <c r="H146"/>
    </row>
    <row r="147" spans="1:8" ht="15" x14ac:dyDescent="0.25">
      <c r="A147" s="147">
        <v>111.01</v>
      </c>
      <c r="B147" s="144" t="str">
        <f>VLOOKUP(A147,Estimate!A:H,3,FALSE)</f>
        <v>Grader</v>
      </c>
      <c r="C147" s="145">
        <v>66.666666666666671</v>
      </c>
      <c r="D147" s="146" t="s">
        <v>275</v>
      </c>
      <c r="E147" s="146" t="str">
        <f>VLOOKUP(A147,Estimate!A:D,4,FALSE)</f>
        <v xml:space="preserve">hr   </v>
      </c>
      <c r="H147"/>
    </row>
    <row r="148" spans="1:8" ht="15" x14ac:dyDescent="0.25">
      <c r="A148" s="147">
        <v>111.02</v>
      </c>
      <c r="B148" s="144" t="str">
        <f>VLOOKUP(A148,Estimate!A:H,3,FALSE)</f>
        <v>Intermediate Trim: QTY based on depth</v>
      </c>
      <c r="C148" s="145">
        <v>0.3</v>
      </c>
      <c r="D148" s="146" t="s">
        <v>304</v>
      </c>
      <c r="E148" s="146">
        <f>VLOOKUP(A148,Estimate!A:D,4,FALSE)</f>
        <v>0</v>
      </c>
      <c r="H148"/>
    </row>
    <row r="149" spans="1:8" ht="15" x14ac:dyDescent="0.25">
      <c r="A149" s="147">
        <v>111.03</v>
      </c>
      <c r="B149" s="144" t="str">
        <f>VLOOKUP(A149,Estimate!A:H,3,FALSE)</f>
        <v>Grader</v>
      </c>
      <c r="C149" s="145">
        <v>200</v>
      </c>
      <c r="D149" s="146" t="s">
        <v>275</v>
      </c>
      <c r="E149" s="146" t="str">
        <f>VLOOKUP(A149,Estimate!A:D,4,FALSE)</f>
        <v xml:space="preserve">hr   </v>
      </c>
      <c r="H149"/>
    </row>
    <row r="150" spans="1:8" ht="23.25" x14ac:dyDescent="0.25">
      <c r="A150" s="147">
        <v>112</v>
      </c>
      <c r="B150" s="144" t="str">
        <f>VLOOKUP(A150,Estimate!A:H,3,FALSE)</f>
        <v>Dayworks  to undertake pavement repairs, sweeping and seal patching Wallaman Fall Road Ch 34600 - Ch 34800</v>
      </c>
      <c r="C150" s="145">
        <v>1</v>
      </c>
      <c r="D150" s="146" t="s">
        <v>304</v>
      </c>
      <c r="E150" s="146" t="str">
        <f>VLOOKUP(A150,Estimate!A:D,4,FALSE)</f>
        <v xml:space="preserve">LS   </v>
      </c>
      <c r="H150"/>
    </row>
    <row r="151" spans="1:8" ht="15" x14ac:dyDescent="0.25">
      <c r="A151" s="147">
        <v>112.01</v>
      </c>
      <c r="B151" s="144" t="str">
        <f>VLOOKUP(A151,Estimate!A:H,3,FALSE)</f>
        <v>Grader</v>
      </c>
      <c r="C151" s="145">
        <v>200</v>
      </c>
      <c r="D151" s="146" t="s">
        <v>275</v>
      </c>
      <c r="E151" s="146" t="str">
        <f>VLOOKUP(A151,Estimate!A:D,4,FALSE)</f>
        <v xml:space="preserve">hr   </v>
      </c>
      <c r="H151"/>
    </row>
    <row r="152" spans="1:8" ht="23.25" x14ac:dyDescent="0.25">
      <c r="A152" s="147">
        <v>113</v>
      </c>
      <c r="B152" s="144" t="str">
        <f>VLOOKUP(A152,Estimate!A:H,3,FALSE)</f>
        <v xml:space="preserve">Dayworks - EIR7561 - removal of loose gravel from verge intersection of Dangercamp road </v>
      </c>
      <c r="C152" s="145">
        <v>1</v>
      </c>
      <c r="D152" s="146" t="s">
        <v>304</v>
      </c>
      <c r="E152" s="146" t="str">
        <f>VLOOKUP(A152,Estimate!A:D,4,FALSE)</f>
        <v xml:space="preserve">LS   </v>
      </c>
      <c r="H152"/>
    </row>
    <row r="153" spans="1:8" ht="15" x14ac:dyDescent="0.25">
      <c r="A153" s="147">
        <v>113.01</v>
      </c>
      <c r="B153" s="144" t="str">
        <f>VLOOKUP(A153,Estimate!A:H,3,FALSE)</f>
        <v>CAT297</v>
      </c>
      <c r="C153" s="145">
        <v>0.5</v>
      </c>
      <c r="D153" s="146" t="s">
        <v>275</v>
      </c>
      <c r="E153" s="146" t="str">
        <f>VLOOKUP(A153,Estimate!A:D,4,FALSE)</f>
        <v xml:space="preserve">hr   </v>
      </c>
      <c r="H153"/>
    </row>
    <row r="154" spans="1:8" ht="15" x14ac:dyDescent="0.25">
      <c r="A154" s="147">
        <v>114</v>
      </c>
      <c r="B154" s="144" t="str">
        <f>VLOOKUP(A154,Estimate!A:H,3,FALSE)</f>
        <v xml:space="preserve">Holding 7mm Seal - Variation works  Neame street  </v>
      </c>
      <c r="C154" s="145">
        <v>2051</v>
      </c>
      <c r="D154" s="146" t="s">
        <v>304</v>
      </c>
      <c r="E154" s="146" t="str">
        <f>VLOOKUP(A154,Estimate!A:D,4,FALSE)</f>
        <v xml:space="preserve">m²   </v>
      </c>
      <c r="H154"/>
    </row>
    <row r="155" spans="1:8" ht="23.25" x14ac:dyDescent="0.25">
      <c r="A155" s="147">
        <v>115</v>
      </c>
      <c r="B155" s="144" t="str">
        <f>VLOOKUP(A155,Estimate!A:H,3,FALSE)</f>
        <v xml:space="preserve">Hawkin Creek  road washout  works  -  rate for installation of rock revised  due to qty  of rock installation rate for this works only is $111  </v>
      </c>
      <c r="C155" s="145">
        <v>147</v>
      </c>
      <c r="D155" s="146" t="s">
        <v>304</v>
      </c>
      <c r="E155" s="146" t="str">
        <f>VLOOKUP(A155,Estimate!A:D,4,FALSE)</f>
        <v xml:space="preserve">m³   </v>
      </c>
      <c r="H155"/>
    </row>
    <row r="156" spans="1:8" ht="15" x14ac:dyDescent="0.25">
      <c r="A156" s="147">
        <v>115.01</v>
      </c>
      <c r="B156" s="144" t="str">
        <f>VLOOKUP(A156,Estimate!A:H,3,FALSE)</f>
        <v>Rock</v>
      </c>
      <c r="C156" s="145">
        <v>1</v>
      </c>
      <c r="D156" s="146" t="s">
        <v>304</v>
      </c>
      <c r="E156" s="146" t="str">
        <f>VLOOKUP(A156,Estimate!A:D,4,FALSE)</f>
        <v xml:space="preserve">hr   </v>
      </c>
      <c r="H156"/>
    </row>
    <row r="157" spans="1:8" ht="15" x14ac:dyDescent="0.25">
      <c r="A157" s="147">
        <v>115.02</v>
      </c>
      <c r="B157" s="144" t="str">
        <f>VLOOKUP(A157,Estimate!A:H,3,FALSE)</f>
        <v>Excavator - 25T</v>
      </c>
      <c r="C157" s="145">
        <v>20</v>
      </c>
      <c r="D157" s="146" t="s">
        <v>275</v>
      </c>
      <c r="E157" s="146" t="str">
        <f>VLOOKUP(A157,Estimate!A:D,4,FALSE)</f>
        <v xml:space="preserve">hr   </v>
      </c>
      <c r="H157"/>
    </row>
    <row r="158" spans="1:8" ht="23.25" x14ac:dyDescent="0.25">
      <c r="A158" s="147">
        <v>116</v>
      </c>
      <c r="B158" s="144" t="str">
        <f>VLOOKUP(A158,Estimate!A:H,3,FALSE)</f>
        <v>Var 7.1 supply and Lay DG 7 asphalt ##CRLF##Var 7.2 Supply and Spray 10mm C170 ##CRLF####CRLF##</v>
      </c>
      <c r="C158" s="145">
        <v>410</v>
      </c>
      <c r="D158" s="146" t="s">
        <v>304</v>
      </c>
      <c r="E158" s="146" t="str">
        <f>VLOOKUP(A158,Estimate!A:D,4,FALSE)</f>
        <v xml:space="preserve">LS   </v>
      </c>
      <c r="H158"/>
    </row>
    <row r="159" spans="1:8" ht="15" x14ac:dyDescent="0.25">
      <c r="H159"/>
    </row>
    <row r="160" spans="1:8" ht="15" x14ac:dyDescent="0.25">
      <c r="H160"/>
    </row>
    <row r="161" spans="8:8" ht="15" x14ac:dyDescent="0.25">
      <c r="H161"/>
    </row>
    <row r="162" spans="8:8" ht="15" x14ac:dyDescent="0.25">
      <c r="H162"/>
    </row>
    <row r="163" spans="8:8" ht="15" x14ac:dyDescent="0.25">
      <c r="H163"/>
    </row>
    <row r="164" spans="8:8" ht="15" x14ac:dyDescent="0.25">
      <c r="H164"/>
    </row>
    <row r="165" spans="8:8" ht="15" x14ac:dyDescent="0.25">
      <c r="H165"/>
    </row>
    <row r="166" spans="8:8" ht="15" x14ac:dyDescent="0.25">
      <c r="H166"/>
    </row>
    <row r="167" spans="8:8" ht="15" x14ac:dyDescent="0.25">
      <c r="H167"/>
    </row>
    <row r="168" spans="8:8" ht="15" x14ac:dyDescent="0.25">
      <c r="H168"/>
    </row>
    <row r="169" spans="8:8" ht="15" x14ac:dyDescent="0.25">
      <c r="H169"/>
    </row>
    <row r="170" spans="8:8" ht="15" x14ac:dyDescent="0.25">
      <c r="H170"/>
    </row>
    <row r="171" spans="8:8" ht="15" x14ac:dyDescent="0.25">
      <c r="H171"/>
    </row>
    <row r="172" spans="8:8" ht="15" x14ac:dyDescent="0.25">
      <c r="H172"/>
    </row>
    <row r="173" spans="8:8" ht="15" x14ac:dyDescent="0.25">
      <c r="H173"/>
    </row>
    <row r="174" spans="8:8" ht="15" x14ac:dyDescent="0.25">
      <c r="H174"/>
    </row>
    <row r="175" spans="8:8" ht="15" x14ac:dyDescent="0.25">
      <c r="H175"/>
    </row>
    <row r="176" spans="8:8" ht="15" x14ac:dyDescent="0.25">
      <c r="H176"/>
    </row>
    <row r="177" spans="8:8" ht="15" x14ac:dyDescent="0.25">
      <c r="H177"/>
    </row>
    <row r="178" spans="8:8" ht="15" x14ac:dyDescent="0.25">
      <c r="H178"/>
    </row>
    <row r="179" spans="8:8" ht="15" x14ac:dyDescent="0.25">
      <c r="H179"/>
    </row>
    <row r="180" spans="8:8" ht="15" x14ac:dyDescent="0.25">
      <c r="H180"/>
    </row>
    <row r="181" spans="8:8" ht="15" x14ac:dyDescent="0.25">
      <c r="H181"/>
    </row>
    <row r="182" spans="8:8" ht="15" x14ac:dyDescent="0.25">
      <c r="H182"/>
    </row>
    <row r="183" spans="8:8" ht="15" x14ac:dyDescent="0.25">
      <c r="H183"/>
    </row>
    <row r="184" spans="8:8" ht="15" x14ac:dyDescent="0.25">
      <c r="H184"/>
    </row>
    <row r="185" spans="8:8" ht="15" x14ac:dyDescent="0.25">
      <c r="H185"/>
    </row>
    <row r="186" spans="8:8" ht="15" x14ac:dyDescent="0.25">
      <c r="H186"/>
    </row>
    <row r="187" spans="8:8" ht="15" x14ac:dyDescent="0.25">
      <c r="H187"/>
    </row>
    <row r="188" spans="8:8" ht="15" x14ac:dyDescent="0.25">
      <c r="H188"/>
    </row>
    <row r="189" spans="8:8" ht="15" x14ac:dyDescent="0.25">
      <c r="H189"/>
    </row>
    <row r="190" spans="8:8" ht="15" x14ac:dyDescent="0.25">
      <c r="H190"/>
    </row>
    <row r="191" spans="8:8" ht="15" x14ac:dyDescent="0.25">
      <c r="H191"/>
    </row>
    <row r="192" spans="8:8" ht="15" x14ac:dyDescent="0.25">
      <c r="H192"/>
    </row>
    <row r="193" spans="8:8" ht="15" x14ac:dyDescent="0.25">
      <c r="H193"/>
    </row>
    <row r="194" spans="8:8" ht="15" x14ac:dyDescent="0.25">
      <c r="H194"/>
    </row>
    <row r="195" spans="8:8" ht="15" x14ac:dyDescent="0.25">
      <c r="H195"/>
    </row>
    <row r="196" spans="8:8" ht="15" x14ac:dyDescent="0.25">
      <c r="H196"/>
    </row>
    <row r="197" spans="8:8" ht="15" x14ac:dyDescent="0.25">
      <c r="H197"/>
    </row>
    <row r="198" spans="8:8" ht="15" x14ac:dyDescent="0.25">
      <c r="H198"/>
    </row>
    <row r="199" spans="8:8" ht="15" x14ac:dyDescent="0.25">
      <c r="H199"/>
    </row>
    <row r="200" spans="8:8" ht="15" x14ac:dyDescent="0.25">
      <c r="H200"/>
    </row>
    <row r="201" spans="8:8" ht="15" x14ac:dyDescent="0.25">
      <c r="H201"/>
    </row>
    <row r="202" spans="8:8" ht="15" x14ac:dyDescent="0.25">
      <c r="H202"/>
    </row>
    <row r="203" spans="8:8" ht="15" x14ac:dyDescent="0.25">
      <c r="H203"/>
    </row>
    <row r="204" spans="8:8" ht="15" x14ac:dyDescent="0.25">
      <c r="H204"/>
    </row>
    <row r="205" spans="8:8" ht="15" x14ac:dyDescent="0.25">
      <c r="H205"/>
    </row>
    <row r="206" spans="8:8" ht="15" x14ac:dyDescent="0.25">
      <c r="H206"/>
    </row>
    <row r="207" spans="8:8" ht="15" x14ac:dyDescent="0.25">
      <c r="H207"/>
    </row>
    <row r="208" spans="8:8" ht="15" x14ac:dyDescent="0.25">
      <c r="H208"/>
    </row>
    <row r="209" spans="8:8" ht="15" x14ac:dyDescent="0.25">
      <c r="H209"/>
    </row>
    <row r="210" spans="8:8" ht="15" x14ac:dyDescent="0.25">
      <c r="H210"/>
    </row>
  </sheetData>
  <sortState xmlns:xlrd2="http://schemas.microsoft.com/office/spreadsheetml/2017/richdata2" ref="A1:C560">
    <sortCondition ref="A1:A56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3056-F9EA-4516-963D-BEB395CBF429}">
  <dimension ref="A1:O72"/>
  <sheetViews>
    <sheetView topLeftCell="A41" workbookViewId="0">
      <selection activeCell="C72" sqref="C72"/>
    </sheetView>
  </sheetViews>
  <sheetFormatPr defaultRowHeight="15" x14ac:dyDescent="0.25"/>
  <cols>
    <col min="1" max="1" width="16.85546875" bestFit="1" customWidth="1"/>
    <col min="2" max="11" width="10.140625" bestFit="1" customWidth="1"/>
  </cols>
  <sheetData>
    <row r="1" spans="2:15" s="35" customFormat="1" ht="15.75" thickBot="1" x14ac:dyDescent="0.3">
      <c r="B1" s="244" t="s">
        <v>305</v>
      </c>
      <c r="C1" s="244"/>
      <c r="D1" s="244"/>
      <c r="E1" s="244"/>
      <c r="F1" s="244"/>
      <c r="G1" s="244"/>
      <c r="H1" s="244"/>
      <c r="I1" s="244"/>
      <c r="J1" s="244"/>
      <c r="K1" s="244"/>
    </row>
    <row r="2" spans="2:15" s="35" customFormat="1" x14ac:dyDescent="0.25">
      <c r="B2" s="245">
        <v>40544</v>
      </c>
      <c r="C2" s="246"/>
      <c r="D2" s="247">
        <v>40909</v>
      </c>
      <c r="E2" s="247"/>
      <c r="F2" s="246">
        <v>41275</v>
      </c>
      <c r="G2" s="246"/>
      <c r="H2" s="247">
        <v>41640</v>
      </c>
      <c r="I2" s="247"/>
      <c r="J2" s="246">
        <v>42005</v>
      </c>
      <c r="K2" s="248"/>
    </row>
    <row r="3" spans="2:15" s="44" customFormat="1" x14ac:dyDescent="0.25">
      <c r="B3" s="40">
        <f>B5</f>
        <v>40551</v>
      </c>
      <c r="C3" s="41">
        <f>C5</f>
        <v>40552</v>
      </c>
      <c r="D3" s="42">
        <f t="shared" ref="D3:K3" si="0">D6</f>
        <v>40922</v>
      </c>
      <c r="E3" s="42">
        <f t="shared" si="0"/>
        <v>40923</v>
      </c>
      <c r="F3" s="41">
        <f t="shared" si="0"/>
        <v>41293</v>
      </c>
      <c r="G3" s="41">
        <f t="shared" si="0"/>
        <v>41294</v>
      </c>
      <c r="H3" s="42">
        <f t="shared" si="0"/>
        <v>41657</v>
      </c>
      <c r="I3" s="42">
        <f t="shared" si="0"/>
        <v>41658</v>
      </c>
      <c r="J3" s="41">
        <f t="shared" si="0"/>
        <v>42021</v>
      </c>
      <c r="K3" s="43">
        <f t="shared" si="0"/>
        <v>42022</v>
      </c>
    </row>
    <row r="4" spans="2:15" x14ac:dyDescent="0.25">
      <c r="B4" s="45">
        <v>40544</v>
      </c>
      <c r="C4" s="46">
        <f t="shared" ref="C4:C35" si="1">B4+1</f>
        <v>40545</v>
      </c>
      <c r="D4" s="47"/>
      <c r="E4" s="47">
        <v>40909</v>
      </c>
      <c r="F4" s="46">
        <v>41279</v>
      </c>
      <c r="G4" s="46">
        <f t="shared" ref="G4:G35" si="2">F4+1</f>
        <v>41280</v>
      </c>
      <c r="H4" s="47">
        <v>41643</v>
      </c>
      <c r="I4" s="47">
        <f t="shared" ref="I4:I35" si="3">H4+1</f>
        <v>41644</v>
      </c>
      <c r="J4" s="46">
        <v>42007</v>
      </c>
      <c r="K4" s="48">
        <f t="shared" ref="K4:K35" si="4">J4+1</f>
        <v>42008</v>
      </c>
      <c r="N4" s="49"/>
      <c r="O4" s="49"/>
    </row>
    <row r="5" spans="2:15" x14ac:dyDescent="0.25">
      <c r="B5" s="45">
        <f t="shared" ref="B5:B36" si="5">B4+7</f>
        <v>40551</v>
      </c>
      <c r="C5" s="46">
        <f t="shared" si="1"/>
        <v>40552</v>
      </c>
      <c r="D5" s="47">
        <f>E4+6</f>
        <v>40915</v>
      </c>
      <c r="E5" s="47">
        <f t="shared" ref="E5:E36" si="6">D5+1</f>
        <v>40916</v>
      </c>
      <c r="F5" s="46">
        <f t="shared" ref="F5:F36" si="7">F4+7</f>
        <v>41286</v>
      </c>
      <c r="G5" s="46">
        <f t="shared" si="2"/>
        <v>41287</v>
      </c>
      <c r="H5" s="47">
        <f t="shared" ref="H5:H36" si="8">H4+7</f>
        <v>41650</v>
      </c>
      <c r="I5" s="47">
        <f t="shared" si="3"/>
        <v>41651</v>
      </c>
      <c r="J5" s="46">
        <f t="shared" ref="J5:J36" si="9">J4+7</f>
        <v>42014</v>
      </c>
      <c r="K5" s="48">
        <f t="shared" si="4"/>
        <v>42015</v>
      </c>
    </row>
    <row r="6" spans="2:15" x14ac:dyDescent="0.25">
      <c r="B6" s="45">
        <f t="shared" si="5"/>
        <v>40558</v>
      </c>
      <c r="C6" s="46">
        <f t="shared" si="1"/>
        <v>40559</v>
      </c>
      <c r="D6" s="47">
        <f t="shared" ref="D6:D37" si="10">D5+7</f>
        <v>40922</v>
      </c>
      <c r="E6" s="47">
        <f t="shared" si="6"/>
        <v>40923</v>
      </c>
      <c r="F6" s="46">
        <f t="shared" si="7"/>
        <v>41293</v>
      </c>
      <c r="G6" s="46">
        <f t="shared" si="2"/>
        <v>41294</v>
      </c>
      <c r="H6" s="47">
        <f t="shared" si="8"/>
        <v>41657</v>
      </c>
      <c r="I6" s="47">
        <f t="shared" si="3"/>
        <v>41658</v>
      </c>
      <c r="J6" s="46">
        <f t="shared" si="9"/>
        <v>42021</v>
      </c>
      <c r="K6" s="48">
        <f t="shared" si="4"/>
        <v>42022</v>
      </c>
    </row>
    <row r="7" spans="2:15" x14ac:dyDescent="0.25">
      <c r="B7" s="45">
        <f t="shared" si="5"/>
        <v>40565</v>
      </c>
      <c r="C7" s="46">
        <f t="shared" si="1"/>
        <v>40566</v>
      </c>
      <c r="D7" s="47">
        <f t="shared" si="10"/>
        <v>40929</v>
      </c>
      <c r="E7" s="47">
        <f t="shared" si="6"/>
        <v>40930</v>
      </c>
      <c r="F7" s="46">
        <f t="shared" si="7"/>
        <v>41300</v>
      </c>
      <c r="G7" s="46">
        <f t="shared" si="2"/>
        <v>41301</v>
      </c>
      <c r="H7" s="47">
        <f t="shared" si="8"/>
        <v>41664</v>
      </c>
      <c r="I7" s="47">
        <f t="shared" si="3"/>
        <v>41665</v>
      </c>
      <c r="J7" s="46">
        <f t="shared" si="9"/>
        <v>42028</v>
      </c>
      <c r="K7" s="48">
        <f t="shared" si="4"/>
        <v>42029</v>
      </c>
    </row>
    <row r="8" spans="2:15" x14ac:dyDescent="0.25">
      <c r="B8" s="45">
        <f t="shared" si="5"/>
        <v>40572</v>
      </c>
      <c r="C8" s="46">
        <f t="shared" si="1"/>
        <v>40573</v>
      </c>
      <c r="D8" s="47">
        <f t="shared" si="10"/>
        <v>40936</v>
      </c>
      <c r="E8" s="47">
        <f t="shared" si="6"/>
        <v>40937</v>
      </c>
      <c r="F8" s="46">
        <f t="shared" si="7"/>
        <v>41307</v>
      </c>
      <c r="G8" s="46">
        <f t="shared" si="2"/>
        <v>41308</v>
      </c>
      <c r="H8" s="47">
        <f t="shared" si="8"/>
        <v>41671</v>
      </c>
      <c r="I8" s="47">
        <f t="shared" si="3"/>
        <v>41672</v>
      </c>
      <c r="J8" s="46">
        <f t="shared" si="9"/>
        <v>42035</v>
      </c>
      <c r="K8" s="48">
        <f t="shared" si="4"/>
        <v>42036</v>
      </c>
      <c r="M8" s="49"/>
    </row>
    <row r="9" spans="2:15" x14ac:dyDescent="0.25">
      <c r="B9" s="45">
        <f t="shared" si="5"/>
        <v>40579</v>
      </c>
      <c r="C9" s="46">
        <f t="shared" si="1"/>
        <v>40580</v>
      </c>
      <c r="D9" s="47">
        <f t="shared" si="10"/>
        <v>40943</v>
      </c>
      <c r="E9" s="47">
        <f t="shared" si="6"/>
        <v>40944</v>
      </c>
      <c r="F9" s="46">
        <f t="shared" si="7"/>
        <v>41314</v>
      </c>
      <c r="G9" s="46">
        <f t="shared" si="2"/>
        <v>41315</v>
      </c>
      <c r="H9" s="47">
        <f t="shared" si="8"/>
        <v>41678</v>
      </c>
      <c r="I9" s="47">
        <f t="shared" si="3"/>
        <v>41679</v>
      </c>
      <c r="J9" s="46">
        <f t="shared" si="9"/>
        <v>42042</v>
      </c>
      <c r="K9" s="48">
        <f t="shared" si="4"/>
        <v>42043</v>
      </c>
    </row>
    <row r="10" spans="2:15" x14ac:dyDescent="0.25">
      <c r="B10" s="45">
        <f t="shared" si="5"/>
        <v>40586</v>
      </c>
      <c r="C10" s="46">
        <f t="shared" si="1"/>
        <v>40587</v>
      </c>
      <c r="D10" s="47">
        <f t="shared" si="10"/>
        <v>40950</v>
      </c>
      <c r="E10" s="47">
        <f t="shared" si="6"/>
        <v>40951</v>
      </c>
      <c r="F10" s="46">
        <f t="shared" si="7"/>
        <v>41321</v>
      </c>
      <c r="G10" s="46">
        <f t="shared" si="2"/>
        <v>41322</v>
      </c>
      <c r="H10" s="47">
        <f t="shared" si="8"/>
        <v>41685</v>
      </c>
      <c r="I10" s="47">
        <f t="shared" si="3"/>
        <v>41686</v>
      </c>
      <c r="J10" s="46">
        <f t="shared" si="9"/>
        <v>42049</v>
      </c>
      <c r="K10" s="48">
        <f t="shared" si="4"/>
        <v>42050</v>
      </c>
    </row>
    <row r="11" spans="2:15" x14ac:dyDescent="0.25">
      <c r="B11" s="45">
        <f t="shared" si="5"/>
        <v>40593</v>
      </c>
      <c r="C11" s="46">
        <f t="shared" si="1"/>
        <v>40594</v>
      </c>
      <c r="D11" s="47">
        <f t="shared" si="10"/>
        <v>40957</v>
      </c>
      <c r="E11" s="47">
        <f t="shared" si="6"/>
        <v>40958</v>
      </c>
      <c r="F11" s="46">
        <f t="shared" si="7"/>
        <v>41328</v>
      </c>
      <c r="G11" s="46">
        <f t="shared" si="2"/>
        <v>41329</v>
      </c>
      <c r="H11" s="47">
        <f t="shared" si="8"/>
        <v>41692</v>
      </c>
      <c r="I11" s="47">
        <f t="shared" si="3"/>
        <v>41693</v>
      </c>
      <c r="J11" s="46">
        <f t="shared" si="9"/>
        <v>42056</v>
      </c>
      <c r="K11" s="48">
        <f t="shared" si="4"/>
        <v>42057</v>
      </c>
    </row>
    <row r="12" spans="2:15" x14ac:dyDescent="0.25">
      <c r="B12" s="45">
        <f t="shared" si="5"/>
        <v>40600</v>
      </c>
      <c r="C12" s="46">
        <f t="shared" si="1"/>
        <v>40601</v>
      </c>
      <c r="D12" s="47">
        <f t="shared" si="10"/>
        <v>40964</v>
      </c>
      <c r="E12" s="47">
        <f t="shared" si="6"/>
        <v>40965</v>
      </c>
      <c r="F12" s="46">
        <f t="shared" si="7"/>
        <v>41335</v>
      </c>
      <c r="G12" s="46">
        <f t="shared" si="2"/>
        <v>41336</v>
      </c>
      <c r="H12" s="47">
        <f t="shared" si="8"/>
        <v>41699</v>
      </c>
      <c r="I12" s="47">
        <f t="shared" si="3"/>
        <v>41700</v>
      </c>
      <c r="J12" s="46">
        <f t="shared" si="9"/>
        <v>42063</v>
      </c>
      <c r="K12" s="48">
        <f t="shared" si="4"/>
        <v>42064</v>
      </c>
    </row>
    <row r="13" spans="2:15" x14ac:dyDescent="0.25">
      <c r="B13" s="45">
        <f t="shared" si="5"/>
        <v>40607</v>
      </c>
      <c r="C13" s="46">
        <f t="shared" si="1"/>
        <v>40608</v>
      </c>
      <c r="D13" s="47">
        <f t="shared" si="10"/>
        <v>40971</v>
      </c>
      <c r="E13" s="47">
        <f t="shared" si="6"/>
        <v>40972</v>
      </c>
      <c r="F13" s="46">
        <f t="shared" si="7"/>
        <v>41342</v>
      </c>
      <c r="G13" s="46">
        <f t="shared" si="2"/>
        <v>41343</v>
      </c>
      <c r="H13" s="47">
        <f t="shared" si="8"/>
        <v>41706</v>
      </c>
      <c r="I13" s="47">
        <f t="shared" si="3"/>
        <v>41707</v>
      </c>
      <c r="J13" s="46">
        <f t="shared" si="9"/>
        <v>42070</v>
      </c>
      <c r="K13" s="48">
        <f t="shared" si="4"/>
        <v>42071</v>
      </c>
    </row>
    <row r="14" spans="2:15" x14ac:dyDescent="0.25">
      <c r="B14" s="45">
        <f t="shared" si="5"/>
        <v>40614</v>
      </c>
      <c r="C14" s="46">
        <f t="shared" si="1"/>
        <v>40615</v>
      </c>
      <c r="D14" s="47">
        <f t="shared" si="10"/>
        <v>40978</v>
      </c>
      <c r="E14" s="47">
        <f t="shared" si="6"/>
        <v>40979</v>
      </c>
      <c r="F14" s="46">
        <f t="shared" si="7"/>
        <v>41349</v>
      </c>
      <c r="G14" s="46">
        <f t="shared" si="2"/>
        <v>41350</v>
      </c>
      <c r="H14" s="47">
        <f t="shared" si="8"/>
        <v>41713</v>
      </c>
      <c r="I14" s="47">
        <f t="shared" si="3"/>
        <v>41714</v>
      </c>
      <c r="J14" s="46">
        <f t="shared" si="9"/>
        <v>42077</v>
      </c>
      <c r="K14" s="48">
        <f t="shared" si="4"/>
        <v>42078</v>
      </c>
    </row>
    <row r="15" spans="2:15" x14ac:dyDescent="0.25">
      <c r="B15" s="45">
        <f t="shared" si="5"/>
        <v>40621</v>
      </c>
      <c r="C15" s="46">
        <f t="shared" si="1"/>
        <v>40622</v>
      </c>
      <c r="D15" s="47">
        <f t="shared" si="10"/>
        <v>40985</v>
      </c>
      <c r="E15" s="47">
        <f t="shared" si="6"/>
        <v>40986</v>
      </c>
      <c r="F15" s="46">
        <f t="shared" si="7"/>
        <v>41356</v>
      </c>
      <c r="G15" s="46">
        <f t="shared" si="2"/>
        <v>41357</v>
      </c>
      <c r="H15" s="47">
        <f t="shared" si="8"/>
        <v>41720</v>
      </c>
      <c r="I15" s="47">
        <f t="shared" si="3"/>
        <v>41721</v>
      </c>
      <c r="J15" s="46">
        <f t="shared" si="9"/>
        <v>42084</v>
      </c>
      <c r="K15" s="48">
        <f t="shared" si="4"/>
        <v>42085</v>
      </c>
    </row>
    <row r="16" spans="2:15" x14ac:dyDescent="0.25">
      <c r="B16" s="45">
        <f t="shared" si="5"/>
        <v>40628</v>
      </c>
      <c r="C16" s="46">
        <f t="shared" si="1"/>
        <v>40629</v>
      </c>
      <c r="D16" s="47">
        <f t="shared" si="10"/>
        <v>40992</v>
      </c>
      <c r="E16" s="47">
        <f t="shared" si="6"/>
        <v>40993</v>
      </c>
      <c r="F16" s="46">
        <f t="shared" si="7"/>
        <v>41363</v>
      </c>
      <c r="G16" s="46">
        <f t="shared" si="2"/>
        <v>41364</v>
      </c>
      <c r="H16" s="47">
        <f t="shared" si="8"/>
        <v>41727</v>
      </c>
      <c r="I16" s="47">
        <f t="shared" si="3"/>
        <v>41728</v>
      </c>
      <c r="J16" s="46">
        <f t="shared" si="9"/>
        <v>42091</v>
      </c>
      <c r="K16" s="48">
        <f t="shared" si="4"/>
        <v>42092</v>
      </c>
    </row>
    <row r="17" spans="2:11" x14ac:dyDescent="0.25">
      <c r="B17" s="45">
        <f t="shared" si="5"/>
        <v>40635</v>
      </c>
      <c r="C17" s="46">
        <f t="shared" si="1"/>
        <v>40636</v>
      </c>
      <c r="D17" s="47">
        <f t="shared" si="10"/>
        <v>40999</v>
      </c>
      <c r="E17" s="47">
        <f t="shared" si="6"/>
        <v>41000</v>
      </c>
      <c r="F17" s="46">
        <f t="shared" si="7"/>
        <v>41370</v>
      </c>
      <c r="G17" s="46">
        <f t="shared" si="2"/>
        <v>41371</v>
      </c>
      <c r="H17" s="47">
        <f t="shared" si="8"/>
        <v>41734</v>
      </c>
      <c r="I17" s="47">
        <f t="shared" si="3"/>
        <v>41735</v>
      </c>
      <c r="J17" s="46">
        <f t="shared" si="9"/>
        <v>42098</v>
      </c>
      <c r="K17" s="48">
        <f t="shared" si="4"/>
        <v>42099</v>
      </c>
    </row>
    <row r="18" spans="2:11" x14ac:dyDescent="0.25">
      <c r="B18" s="45">
        <f t="shared" si="5"/>
        <v>40642</v>
      </c>
      <c r="C18" s="46">
        <f t="shared" si="1"/>
        <v>40643</v>
      </c>
      <c r="D18" s="47">
        <f t="shared" si="10"/>
        <v>41006</v>
      </c>
      <c r="E18" s="47">
        <f t="shared" si="6"/>
        <v>41007</v>
      </c>
      <c r="F18" s="46">
        <f t="shared" si="7"/>
        <v>41377</v>
      </c>
      <c r="G18" s="46">
        <f t="shared" si="2"/>
        <v>41378</v>
      </c>
      <c r="H18" s="47">
        <f t="shared" si="8"/>
        <v>41741</v>
      </c>
      <c r="I18" s="47">
        <f t="shared" si="3"/>
        <v>41742</v>
      </c>
      <c r="J18" s="46">
        <f t="shared" si="9"/>
        <v>42105</v>
      </c>
      <c r="K18" s="48">
        <f t="shared" si="4"/>
        <v>42106</v>
      </c>
    </row>
    <row r="19" spans="2:11" x14ac:dyDescent="0.25">
      <c r="B19" s="45">
        <f t="shared" si="5"/>
        <v>40649</v>
      </c>
      <c r="C19" s="46">
        <f t="shared" si="1"/>
        <v>40650</v>
      </c>
      <c r="D19" s="47">
        <f t="shared" si="10"/>
        <v>41013</v>
      </c>
      <c r="E19" s="47">
        <f t="shared" si="6"/>
        <v>41014</v>
      </c>
      <c r="F19" s="46">
        <f t="shared" si="7"/>
        <v>41384</v>
      </c>
      <c r="G19" s="46">
        <f t="shared" si="2"/>
        <v>41385</v>
      </c>
      <c r="H19" s="47">
        <f t="shared" si="8"/>
        <v>41748</v>
      </c>
      <c r="I19" s="47">
        <f t="shared" si="3"/>
        <v>41749</v>
      </c>
      <c r="J19" s="46">
        <f t="shared" si="9"/>
        <v>42112</v>
      </c>
      <c r="K19" s="48">
        <f t="shared" si="4"/>
        <v>42113</v>
      </c>
    </row>
    <row r="20" spans="2:11" x14ac:dyDescent="0.25">
      <c r="B20" s="45">
        <f t="shared" si="5"/>
        <v>40656</v>
      </c>
      <c r="C20" s="46">
        <f t="shared" si="1"/>
        <v>40657</v>
      </c>
      <c r="D20" s="47">
        <f t="shared" si="10"/>
        <v>41020</v>
      </c>
      <c r="E20" s="47">
        <f t="shared" si="6"/>
        <v>41021</v>
      </c>
      <c r="F20" s="46">
        <f t="shared" si="7"/>
        <v>41391</v>
      </c>
      <c r="G20" s="46">
        <f t="shared" si="2"/>
        <v>41392</v>
      </c>
      <c r="H20" s="47">
        <f t="shared" si="8"/>
        <v>41755</v>
      </c>
      <c r="I20" s="47">
        <f t="shared" si="3"/>
        <v>41756</v>
      </c>
      <c r="J20" s="46">
        <f t="shared" si="9"/>
        <v>42119</v>
      </c>
      <c r="K20" s="48">
        <f t="shared" si="4"/>
        <v>42120</v>
      </c>
    </row>
    <row r="21" spans="2:11" x14ac:dyDescent="0.25">
      <c r="B21" s="45">
        <f t="shared" si="5"/>
        <v>40663</v>
      </c>
      <c r="C21" s="46">
        <f t="shared" si="1"/>
        <v>40664</v>
      </c>
      <c r="D21" s="47">
        <f t="shared" si="10"/>
        <v>41027</v>
      </c>
      <c r="E21" s="47">
        <f t="shared" si="6"/>
        <v>41028</v>
      </c>
      <c r="F21" s="46">
        <f t="shared" si="7"/>
        <v>41398</v>
      </c>
      <c r="G21" s="46">
        <f t="shared" si="2"/>
        <v>41399</v>
      </c>
      <c r="H21" s="47">
        <f t="shared" si="8"/>
        <v>41762</v>
      </c>
      <c r="I21" s="47">
        <f t="shared" si="3"/>
        <v>41763</v>
      </c>
      <c r="J21" s="46">
        <f t="shared" si="9"/>
        <v>42126</v>
      </c>
      <c r="K21" s="48">
        <f t="shared" si="4"/>
        <v>42127</v>
      </c>
    </row>
    <row r="22" spans="2:11" x14ac:dyDescent="0.25">
      <c r="B22" s="45">
        <f t="shared" si="5"/>
        <v>40670</v>
      </c>
      <c r="C22" s="46">
        <f t="shared" si="1"/>
        <v>40671</v>
      </c>
      <c r="D22" s="47">
        <f t="shared" si="10"/>
        <v>41034</v>
      </c>
      <c r="E22" s="47">
        <f t="shared" si="6"/>
        <v>41035</v>
      </c>
      <c r="F22" s="46">
        <f t="shared" si="7"/>
        <v>41405</v>
      </c>
      <c r="G22" s="46">
        <f t="shared" si="2"/>
        <v>41406</v>
      </c>
      <c r="H22" s="47">
        <f t="shared" si="8"/>
        <v>41769</v>
      </c>
      <c r="I22" s="47">
        <f t="shared" si="3"/>
        <v>41770</v>
      </c>
      <c r="J22" s="46">
        <f t="shared" si="9"/>
        <v>42133</v>
      </c>
      <c r="K22" s="48">
        <f t="shared" si="4"/>
        <v>42134</v>
      </c>
    </row>
    <row r="23" spans="2:11" x14ac:dyDescent="0.25">
      <c r="B23" s="45">
        <f t="shared" si="5"/>
        <v>40677</v>
      </c>
      <c r="C23" s="46">
        <f t="shared" si="1"/>
        <v>40678</v>
      </c>
      <c r="D23" s="47">
        <f t="shared" si="10"/>
        <v>41041</v>
      </c>
      <c r="E23" s="47">
        <f t="shared" si="6"/>
        <v>41042</v>
      </c>
      <c r="F23" s="46">
        <f t="shared" si="7"/>
        <v>41412</v>
      </c>
      <c r="G23" s="46">
        <f t="shared" si="2"/>
        <v>41413</v>
      </c>
      <c r="H23" s="47">
        <f t="shared" si="8"/>
        <v>41776</v>
      </c>
      <c r="I23" s="47">
        <f t="shared" si="3"/>
        <v>41777</v>
      </c>
      <c r="J23" s="46">
        <f t="shared" si="9"/>
        <v>42140</v>
      </c>
      <c r="K23" s="48">
        <f t="shared" si="4"/>
        <v>42141</v>
      </c>
    </row>
    <row r="24" spans="2:11" x14ac:dyDescent="0.25">
      <c r="B24" s="45">
        <f t="shared" si="5"/>
        <v>40684</v>
      </c>
      <c r="C24" s="46">
        <f t="shared" si="1"/>
        <v>40685</v>
      </c>
      <c r="D24" s="47">
        <f t="shared" si="10"/>
        <v>41048</v>
      </c>
      <c r="E24" s="47">
        <f t="shared" si="6"/>
        <v>41049</v>
      </c>
      <c r="F24" s="46">
        <f t="shared" si="7"/>
        <v>41419</v>
      </c>
      <c r="G24" s="46">
        <f t="shared" si="2"/>
        <v>41420</v>
      </c>
      <c r="H24" s="47">
        <f t="shared" si="8"/>
        <v>41783</v>
      </c>
      <c r="I24" s="47">
        <f t="shared" si="3"/>
        <v>41784</v>
      </c>
      <c r="J24" s="46">
        <f t="shared" si="9"/>
        <v>42147</v>
      </c>
      <c r="K24" s="48">
        <f t="shared" si="4"/>
        <v>42148</v>
      </c>
    </row>
    <row r="25" spans="2:11" x14ac:dyDescent="0.25">
      <c r="B25" s="45">
        <f t="shared" si="5"/>
        <v>40691</v>
      </c>
      <c r="C25" s="46">
        <f t="shared" si="1"/>
        <v>40692</v>
      </c>
      <c r="D25" s="47">
        <f t="shared" si="10"/>
        <v>41055</v>
      </c>
      <c r="E25" s="47">
        <f t="shared" si="6"/>
        <v>41056</v>
      </c>
      <c r="F25" s="46">
        <f t="shared" si="7"/>
        <v>41426</v>
      </c>
      <c r="G25" s="46">
        <f t="shared" si="2"/>
        <v>41427</v>
      </c>
      <c r="H25" s="47">
        <f t="shared" si="8"/>
        <v>41790</v>
      </c>
      <c r="I25" s="47">
        <f t="shared" si="3"/>
        <v>41791</v>
      </c>
      <c r="J25" s="46">
        <f t="shared" si="9"/>
        <v>42154</v>
      </c>
      <c r="K25" s="48">
        <f t="shared" si="4"/>
        <v>42155</v>
      </c>
    </row>
    <row r="26" spans="2:11" x14ac:dyDescent="0.25">
      <c r="B26" s="45">
        <f t="shared" si="5"/>
        <v>40698</v>
      </c>
      <c r="C26" s="46">
        <f t="shared" si="1"/>
        <v>40699</v>
      </c>
      <c r="D26" s="47">
        <f t="shared" si="10"/>
        <v>41062</v>
      </c>
      <c r="E26" s="47">
        <f t="shared" si="6"/>
        <v>41063</v>
      </c>
      <c r="F26" s="46">
        <f t="shared" si="7"/>
        <v>41433</v>
      </c>
      <c r="G26" s="46">
        <f t="shared" si="2"/>
        <v>41434</v>
      </c>
      <c r="H26" s="47">
        <f t="shared" si="8"/>
        <v>41797</v>
      </c>
      <c r="I26" s="47">
        <f t="shared" si="3"/>
        <v>41798</v>
      </c>
      <c r="J26" s="46">
        <f t="shared" si="9"/>
        <v>42161</v>
      </c>
      <c r="K26" s="48">
        <f t="shared" si="4"/>
        <v>42162</v>
      </c>
    </row>
    <row r="27" spans="2:11" x14ac:dyDescent="0.25">
      <c r="B27" s="45">
        <f t="shared" si="5"/>
        <v>40705</v>
      </c>
      <c r="C27" s="46">
        <f t="shared" si="1"/>
        <v>40706</v>
      </c>
      <c r="D27" s="47">
        <f t="shared" si="10"/>
        <v>41069</v>
      </c>
      <c r="E27" s="47">
        <f t="shared" si="6"/>
        <v>41070</v>
      </c>
      <c r="F27" s="46">
        <f t="shared" si="7"/>
        <v>41440</v>
      </c>
      <c r="G27" s="46">
        <f t="shared" si="2"/>
        <v>41441</v>
      </c>
      <c r="H27" s="47">
        <f t="shared" si="8"/>
        <v>41804</v>
      </c>
      <c r="I27" s="47">
        <f t="shared" si="3"/>
        <v>41805</v>
      </c>
      <c r="J27" s="46">
        <f t="shared" si="9"/>
        <v>42168</v>
      </c>
      <c r="K27" s="48">
        <f t="shared" si="4"/>
        <v>42169</v>
      </c>
    </row>
    <row r="28" spans="2:11" x14ac:dyDescent="0.25">
      <c r="B28" s="45">
        <f t="shared" si="5"/>
        <v>40712</v>
      </c>
      <c r="C28" s="46">
        <f t="shared" si="1"/>
        <v>40713</v>
      </c>
      <c r="D28" s="47">
        <f t="shared" si="10"/>
        <v>41076</v>
      </c>
      <c r="E28" s="47">
        <f t="shared" si="6"/>
        <v>41077</v>
      </c>
      <c r="F28" s="46">
        <f t="shared" si="7"/>
        <v>41447</v>
      </c>
      <c r="G28" s="46">
        <f t="shared" si="2"/>
        <v>41448</v>
      </c>
      <c r="H28" s="47">
        <f t="shared" si="8"/>
        <v>41811</v>
      </c>
      <c r="I28" s="47">
        <f t="shared" si="3"/>
        <v>41812</v>
      </c>
      <c r="J28" s="46">
        <f t="shared" si="9"/>
        <v>42175</v>
      </c>
      <c r="K28" s="48">
        <f t="shared" si="4"/>
        <v>42176</v>
      </c>
    </row>
    <row r="29" spans="2:11" x14ac:dyDescent="0.25">
      <c r="B29" s="45">
        <f t="shared" si="5"/>
        <v>40719</v>
      </c>
      <c r="C29" s="46">
        <f t="shared" si="1"/>
        <v>40720</v>
      </c>
      <c r="D29" s="47">
        <f t="shared" si="10"/>
        <v>41083</v>
      </c>
      <c r="E29" s="47">
        <f t="shared" si="6"/>
        <v>41084</v>
      </c>
      <c r="F29" s="46">
        <f t="shared" si="7"/>
        <v>41454</v>
      </c>
      <c r="G29" s="46">
        <f t="shared" si="2"/>
        <v>41455</v>
      </c>
      <c r="H29" s="47">
        <f t="shared" si="8"/>
        <v>41818</v>
      </c>
      <c r="I29" s="47">
        <f t="shared" si="3"/>
        <v>41819</v>
      </c>
      <c r="J29" s="46">
        <f t="shared" si="9"/>
        <v>42182</v>
      </c>
      <c r="K29" s="48">
        <f t="shared" si="4"/>
        <v>42183</v>
      </c>
    </row>
    <row r="30" spans="2:11" x14ac:dyDescent="0.25">
      <c r="B30" s="45">
        <f t="shared" si="5"/>
        <v>40726</v>
      </c>
      <c r="C30" s="46">
        <f t="shared" si="1"/>
        <v>40727</v>
      </c>
      <c r="D30" s="47">
        <f t="shared" si="10"/>
        <v>41090</v>
      </c>
      <c r="E30" s="47">
        <f t="shared" si="6"/>
        <v>41091</v>
      </c>
      <c r="F30" s="46">
        <f t="shared" si="7"/>
        <v>41461</v>
      </c>
      <c r="G30" s="46">
        <f t="shared" si="2"/>
        <v>41462</v>
      </c>
      <c r="H30" s="47">
        <f t="shared" si="8"/>
        <v>41825</v>
      </c>
      <c r="I30" s="47">
        <f t="shared" si="3"/>
        <v>41826</v>
      </c>
      <c r="J30" s="46">
        <f t="shared" si="9"/>
        <v>42189</v>
      </c>
      <c r="K30" s="48">
        <f t="shared" si="4"/>
        <v>42190</v>
      </c>
    </row>
    <row r="31" spans="2:11" x14ac:dyDescent="0.25">
      <c r="B31" s="45">
        <f t="shared" si="5"/>
        <v>40733</v>
      </c>
      <c r="C31" s="46">
        <f t="shared" si="1"/>
        <v>40734</v>
      </c>
      <c r="D31" s="47">
        <f t="shared" si="10"/>
        <v>41097</v>
      </c>
      <c r="E31" s="47">
        <f t="shared" si="6"/>
        <v>41098</v>
      </c>
      <c r="F31" s="46">
        <f t="shared" si="7"/>
        <v>41468</v>
      </c>
      <c r="G31" s="46">
        <f t="shared" si="2"/>
        <v>41469</v>
      </c>
      <c r="H31" s="47">
        <f t="shared" si="8"/>
        <v>41832</v>
      </c>
      <c r="I31" s="47">
        <f t="shared" si="3"/>
        <v>41833</v>
      </c>
      <c r="J31" s="46">
        <f t="shared" si="9"/>
        <v>42196</v>
      </c>
      <c r="K31" s="48">
        <f t="shared" si="4"/>
        <v>42197</v>
      </c>
    </row>
    <row r="32" spans="2:11" x14ac:dyDescent="0.25">
      <c r="B32" s="45">
        <f t="shared" si="5"/>
        <v>40740</v>
      </c>
      <c r="C32" s="46">
        <f t="shared" si="1"/>
        <v>40741</v>
      </c>
      <c r="D32" s="47">
        <f t="shared" si="10"/>
        <v>41104</v>
      </c>
      <c r="E32" s="47">
        <f t="shared" si="6"/>
        <v>41105</v>
      </c>
      <c r="F32" s="46">
        <f t="shared" si="7"/>
        <v>41475</v>
      </c>
      <c r="G32" s="46">
        <f t="shared" si="2"/>
        <v>41476</v>
      </c>
      <c r="H32" s="47">
        <f t="shared" si="8"/>
        <v>41839</v>
      </c>
      <c r="I32" s="47">
        <f t="shared" si="3"/>
        <v>41840</v>
      </c>
      <c r="J32" s="46">
        <f t="shared" si="9"/>
        <v>42203</v>
      </c>
      <c r="K32" s="48">
        <f t="shared" si="4"/>
        <v>42204</v>
      </c>
    </row>
    <row r="33" spans="2:11" x14ac:dyDescent="0.25">
      <c r="B33" s="45">
        <f t="shared" si="5"/>
        <v>40747</v>
      </c>
      <c r="C33" s="46">
        <f t="shared" si="1"/>
        <v>40748</v>
      </c>
      <c r="D33" s="47">
        <f t="shared" si="10"/>
        <v>41111</v>
      </c>
      <c r="E33" s="47">
        <f t="shared" si="6"/>
        <v>41112</v>
      </c>
      <c r="F33" s="46">
        <f t="shared" si="7"/>
        <v>41482</v>
      </c>
      <c r="G33" s="46">
        <f t="shared" si="2"/>
        <v>41483</v>
      </c>
      <c r="H33" s="47">
        <f t="shared" si="8"/>
        <v>41846</v>
      </c>
      <c r="I33" s="47">
        <f t="shared" si="3"/>
        <v>41847</v>
      </c>
      <c r="J33" s="46">
        <f t="shared" si="9"/>
        <v>42210</v>
      </c>
      <c r="K33" s="48">
        <f t="shared" si="4"/>
        <v>42211</v>
      </c>
    </row>
    <row r="34" spans="2:11" x14ac:dyDescent="0.25">
      <c r="B34" s="45">
        <f t="shared" si="5"/>
        <v>40754</v>
      </c>
      <c r="C34" s="46">
        <f t="shared" si="1"/>
        <v>40755</v>
      </c>
      <c r="D34" s="47">
        <f t="shared" si="10"/>
        <v>41118</v>
      </c>
      <c r="E34" s="47">
        <f t="shared" si="6"/>
        <v>41119</v>
      </c>
      <c r="F34" s="46">
        <f t="shared" si="7"/>
        <v>41489</v>
      </c>
      <c r="G34" s="46">
        <f t="shared" si="2"/>
        <v>41490</v>
      </c>
      <c r="H34" s="47">
        <f t="shared" si="8"/>
        <v>41853</v>
      </c>
      <c r="I34" s="47">
        <f t="shared" si="3"/>
        <v>41854</v>
      </c>
      <c r="J34" s="46">
        <f t="shared" si="9"/>
        <v>42217</v>
      </c>
      <c r="K34" s="48">
        <f t="shared" si="4"/>
        <v>42218</v>
      </c>
    </row>
    <row r="35" spans="2:11" x14ac:dyDescent="0.25">
      <c r="B35" s="45">
        <f t="shared" si="5"/>
        <v>40761</v>
      </c>
      <c r="C35" s="46">
        <f t="shared" si="1"/>
        <v>40762</v>
      </c>
      <c r="D35" s="47">
        <f t="shared" si="10"/>
        <v>41125</v>
      </c>
      <c r="E35" s="47">
        <f t="shared" si="6"/>
        <v>41126</v>
      </c>
      <c r="F35" s="46">
        <f t="shared" si="7"/>
        <v>41496</v>
      </c>
      <c r="G35" s="46">
        <f t="shared" si="2"/>
        <v>41497</v>
      </c>
      <c r="H35" s="47">
        <f t="shared" si="8"/>
        <v>41860</v>
      </c>
      <c r="I35" s="47">
        <f t="shared" si="3"/>
        <v>41861</v>
      </c>
      <c r="J35" s="46">
        <f t="shared" si="9"/>
        <v>42224</v>
      </c>
      <c r="K35" s="48">
        <f t="shared" si="4"/>
        <v>42225</v>
      </c>
    </row>
    <row r="36" spans="2:11" x14ac:dyDescent="0.25">
      <c r="B36" s="45">
        <f t="shared" si="5"/>
        <v>40768</v>
      </c>
      <c r="C36" s="46">
        <f t="shared" ref="C36:C55" si="11">B36+1</f>
        <v>40769</v>
      </c>
      <c r="D36" s="47">
        <f t="shared" si="10"/>
        <v>41132</v>
      </c>
      <c r="E36" s="47">
        <f t="shared" si="6"/>
        <v>41133</v>
      </c>
      <c r="F36" s="46">
        <f t="shared" si="7"/>
        <v>41503</v>
      </c>
      <c r="G36" s="46">
        <f t="shared" ref="G36:G55" si="12">F36+1</f>
        <v>41504</v>
      </c>
      <c r="H36" s="47">
        <f t="shared" si="8"/>
        <v>41867</v>
      </c>
      <c r="I36" s="47">
        <f t="shared" ref="I36:I55" si="13">H36+1</f>
        <v>41868</v>
      </c>
      <c r="J36" s="46">
        <f t="shared" si="9"/>
        <v>42231</v>
      </c>
      <c r="K36" s="48">
        <f t="shared" ref="K36:K55" si="14">J36+1</f>
        <v>42232</v>
      </c>
    </row>
    <row r="37" spans="2:11" x14ac:dyDescent="0.25">
      <c r="B37" s="45">
        <f t="shared" ref="B37:B56" si="15">B36+7</f>
        <v>40775</v>
      </c>
      <c r="C37" s="46">
        <f t="shared" si="11"/>
        <v>40776</v>
      </c>
      <c r="D37" s="47">
        <f t="shared" si="10"/>
        <v>41139</v>
      </c>
      <c r="E37" s="47">
        <f t="shared" ref="E37:E56" si="16">D37+1</f>
        <v>41140</v>
      </c>
      <c r="F37" s="46">
        <f t="shared" ref="F37:F55" si="17">F36+7</f>
        <v>41510</v>
      </c>
      <c r="G37" s="46">
        <f t="shared" si="12"/>
        <v>41511</v>
      </c>
      <c r="H37" s="47">
        <f t="shared" ref="H37:H55" si="18">H36+7</f>
        <v>41874</v>
      </c>
      <c r="I37" s="47">
        <f t="shared" si="13"/>
        <v>41875</v>
      </c>
      <c r="J37" s="46">
        <f t="shared" ref="J37:J55" si="19">J36+7</f>
        <v>42238</v>
      </c>
      <c r="K37" s="48">
        <f t="shared" si="14"/>
        <v>42239</v>
      </c>
    </row>
    <row r="38" spans="2:11" x14ac:dyDescent="0.25">
      <c r="B38" s="45">
        <f t="shared" si="15"/>
        <v>40782</v>
      </c>
      <c r="C38" s="46">
        <f t="shared" si="11"/>
        <v>40783</v>
      </c>
      <c r="D38" s="47">
        <f t="shared" ref="D38:D56" si="20">D37+7</f>
        <v>41146</v>
      </c>
      <c r="E38" s="47">
        <f t="shared" si="16"/>
        <v>41147</v>
      </c>
      <c r="F38" s="46">
        <f t="shared" si="17"/>
        <v>41517</v>
      </c>
      <c r="G38" s="46">
        <f t="shared" si="12"/>
        <v>41518</v>
      </c>
      <c r="H38" s="47">
        <f t="shared" si="18"/>
        <v>41881</v>
      </c>
      <c r="I38" s="47">
        <f t="shared" si="13"/>
        <v>41882</v>
      </c>
      <c r="J38" s="46">
        <f t="shared" si="19"/>
        <v>42245</v>
      </c>
      <c r="K38" s="48">
        <f t="shared" si="14"/>
        <v>42246</v>
      </c>
    </row>
    <row r="39" spans="2:11" x14ac:dyDescent="0.25">
      <c r="B39" s="45">
        <f t="shared" si="15"/>
        <v>40789</v>
      </c>
      <c r="C39" s="46">
        <f t="shared" si="11"/>
        <v>40790</v>
      </c>
      <c r="D39" s="47">
        <f t="shared" si="20"/>
        <v>41153</v>
      </c>
      <c r="E39" s="47">
        <f t="shared" si="16"/>
        <v>41154</v>
      </c>
      <c r="F39" s="46">
        <f t="shared" si="17"/>
        <v>41524</v>
      </c>
      <c r="G39" s="46">
        <f t="shared" si="12"/>
        <v>41525</v>
      </c>
      <c r="H39" s="47">
        <f t="shared" si="18"/>
        <v>41888</v>
      </c>
      <c r="I39" s="47">
        <f t="shared" si="13"/>
        <v>41889</v>
      </c>
      <c r="J39" s="46">
        <f t="shared" si="19"/>
        <v>42252</v>
      </c>
      <c r="K39" s="48">
        <f t="shared" si="14"/>
        <v>42253</v>
      </c>
    </row>
    <row r="40" spans="2:11" x14ac:dyDescent="0.25">
      <c r="B40" s="45">
        <f t="shared" si="15"/>
        <v>40796</v>
      </c>
      <c r="C40" s="46">
        <f t="shared" si="11"/>
        <v>40797</v>
      </c>
      <c r="D40" s="47">
        <f t="shared" si="20"/>
        <v>41160</v>
      </c>
      <c r="E40" s="47">
        <f t="shared" si="16"/>
        <v>41161</v>
      </c>
      <c r="F40" s="46">
        <f t="shared" si="17"/>
        <v>41531</v>
      </c>
      <c r="G40" s="46">
        <f t="shared" si="12"/>
        <v>41532</v>
      </c>
      <c r="H40" s="47">
        <f t="shared" si="18"/>
        <v>41895</v>
      </c>
      <c r="I40" s="47">
        <f t="shared" si="13"/>
        <v>41896</v>
      </c>
      <c r="J40" s="46">
        <f t="shared" si="19"/>
        <v>42259</v>
      </c>
      <c r="K40" s="48">
        <f t="shared" si="14"/>
        <v>42260</v>
      </c>
    </row>
    <row r="41" spans="2:11" x14ac:dyDescent="0.25">
      <c r="B41" s="45">
        <f t="shared" si="15"/>
        <v>40803</v>
      </c>
      <c r="C41" s="46">
        <f t="shared" si="11"/>
        <v>40804</v>
      </c>
      <c r="D41" s="47">
        <f t="shared" si="20"/>
        <v>41167</v>
      </c>
      <c r="E41" s="47">
        <f t="shared" si="16"/>
        <v>41168</v>
      </c>
      <c r="F41" s="46">
        <f t="shared" si="17"/>
        <v>41538</v>
      </c>
      <c r="G41" s="46">
        <f t="shared" si="12"/>
        <v>41539</v>
      </c>
      <c r="H41" s="47">
        <f t="shared" si="18"/>
        <v>41902</v>
      </c>
      <c r="I41" s="47">
        <f t="shared" si="13"/>
        <v>41903</v>
      </c>
      <c r="J41" s="46">
        <f t="shared" si="19"/>
        <v>42266</v>
      </c>
      <c r="K41" s="48">
        <f t="shared" si="14"/>
        <v>42267</v>
      </c>
    </row>
    <row r="42" spans="2:11" x14ac:dyDescent="0.25">
      <c r="B42" s="45">
        <f t="shared" si="15"/>
        <v>40810</v>
      </c>
      <c r="C42" s="46">
        <f t="shared" si="11"/>
        <v>40811</v>
      </c>
      <c r="D42" s="47">
        <f t="shared" si="20"/>
        <v>41174</v>
      </c>
      <c r="E42" s="47">
        <f t="shared" si="16"/>
        <v>41175</v>
      </c>
      <c r="F42" s="46">
        <f t="shared" si="17"/>
        <v>41545</v>
      </c>
      <c r="G42" s="46">
        <f t="shared" si="12"/>
        <v>41546</v>
      </c>
      <c r="H42" s="47">
        <f t="shared" si="18"/>
        <v>41909</v>
      </c>
      <c r="I42" s="47">
        <f t="shared" si="13"/>
        <v>41910</v>
      </c>
      <c r="J42" s="46">
        <f t="shared" si="19"/>
        <v>42273</v>
      </c>
      <c r="K42" s="48">
        <f t="shared" si="14"/>
        <v>42274</v>
      </c>
    </row>
    <row r="43" spans="2:11" x14ac:dyDescent="0.25">
      <c r="B43" s="45">
        <f t="shared" si="15"/>
        <v>40817</v>
      </c>
      <c r="C43" s="46">
        <f t="shared" si="11"/>
        <v>40818</v>
      </c>
      <c r="D43" s="47">
        <f t="shared" si="20"/>
        <v>41181</v>
      </c>
      <c r="E43" s="47">
        <f t="shared" si="16"/>
        <v>41182</v>
      </c>
      <c r="F43" s="46">
        <f t="shared" si="17"/>
        <v>41552</v>
      </c>
      <c r="G43" s="46">
        <f t="shared" si="12"/>
        <v>41553</v>
      </c>
      <c r="H43" s="47">
        <f t="shared" si="18"/>
        <v>41916</v>
      </c>
      <c r="I43" s="47">
        <f t="shared" si="13"/>
        <v>41917</v>
      </c>
      <c r="J43" s="46">
        <f t="shared" si="19"/>
        <v>42280</v>
      </c>
      <c r="K43" s="48">
        <f t="shared" si="14"/>
        <v>42281</v>
      </c>
    </row>
    <row r="44" spans="2:11" x14ac:dyDescent="0.25">
      <c r="B44" s="45">
        <f t="shared" si="15"/>
        <v>40824</v>
      </c>
      <c r="C44" s="46">
        <f t="shared" si="11"/>
        <v>40825</v>
      </c>
      <c r="D44" s="47">
        <f t="shared" si="20"/>
        <v>41188</v>
      </c>
      <c r="E44" s="47">
        <f t="shared" si="16"/>
        <v>41189</v>
      </c>
      <c r="F44" s="46">
        <f t="shared" si="17"/>
        <v>41559</v>
      </c>
      <c r="G44" s="46">
        <f t="shared" si="12"/>
        <v>41560</v>
      </c>
      <c r="H44" s="47">
        <f t="shared" si="18"/>
        <v>41923</v>
      </c>
      <c r="I44" s="47">
        <f t="shared" si="13"/>
        <v>41924</v>
      </c>
      <c r="J44" s="46">
        <f t="shared" si="19"/>
        <v>42287</v>
      </c>
      <c r="K44" s="48">
        <f t="shared" si="14"/>
        <v>42288</v>
      </c>
    </row>
    <row r="45" spans="2:11" x14ac:dyDescent="0.25">
      <c r="B45" s="45">
        <f t="shared" si="15"/>
        <v>40831</v>
      </c>
      <c r="C45" s="46">
        <f t="shared" si="11"/>
        <v>40832</v>
      </c>
      <c r="D45" s="47">
        <f t="shared" si="20"/>
        <v>41195</v>
      </c>
      <c r="E45" s="47">
        <f t="shared" si="16"/>
        <v>41196</v>
      </c>
      <c r="F45" s="46">
        <f t="shared" si="17"/>
        <v>41566</v>
      </c>
      <c r="G45" s="46">
        <f t="shared" si="12"/>
        <v>41567</v>
      </c>
      <c r="H45" s="47">
        <f t="shared" si="18"/>
        <v>41930</v>
      </c>
      <c r="I45" s="47">
        <f t="shared" si="13"/>
        <v>41931</v>
      </c>
      <c r="J45" s="46">
        <f t="shared" si="19"/>
        <v>42294</v>
      </c>
      <c r="K45" s="48">
        <f t="shared" si="14"/>
        <v>42295</v>
      </c>
    </row>
    <row r="46" spans="2:11" x14ac:dyDescent="0.25">
      <c r="B46" s="45">
        <f t="shared" si="15"/>
        <v>40838</v>
      </c>
      <c r="C46" s="46">
        <f t="shared" si="11"/>
        <v>40839</v>
      </c>
      <c r="D46" s="47">
        <f t="shared" si="20"/>
        <v>41202</v>
      </c>
      <c r="E46" s="47">
        <f t="shared" si="16"/>
        <v>41203</v>
      </c>
      <c r="F46" s="46">
        <f t="shared" si="17"/>
        <v>41573</v>
      </c>
      <c r="G46" s="46">
        <f t="shared" si="12"/>
        <v>41574</v>
      </c>
      <c r="H46" s="47">
        <f t="shared" si="18"/>
        <v>41937</v>
      </c>
      <c r="I46" s="47">
        <f t="shared" si="13"/>
        <v>41938</v>
      </c>
      <c r="J46" s="46">
        <f t="shared" si="19"/>
        <v>42301</v>
      </c>
      <c r="K46" s="48">
        <f t="shared" si="14"/>
        <v>42302</v>
      </c>
    </row>
    <row r="47" spans="2:11" x14ac:dyDescent="0.25">
      <c r="B47" s="45">
        <f t="shared" si="15"/>
        <v>40845</v>
      </c>
      <c r="C47" s="46">
        <f t="shared" si="11"/>
        <v>40846</v>
      </c>
      <c r="D47" s="47">
        <f t="shared" si="20"/>
        <v>41209</v>
      </c>
      <c r="E47" s="47">
        <f t="shared" si="16"/>
        <v>41210</v>
      </c>
      <c r="F47" s="46">
        <f t="shared" si="17"/>
        <v>41580</v>
      </c>
      <c r="G47" s="46">
        <f t="shared" si="12"/>
        <v>41581</v>
      </c>
      <c r="H47" s="47">
        <f t="shared" si="18"/>
        <v>41944</v>
      </c>
      <c r="I47" s="47">
        <f t="shared" si="13"/>
        <v>41945</v>
      </c>
      <c r="J47" s="46">
        <f t="shared" si="19"/>
        <v>42308</v>
      </c>
      <c r="K47" s="48">
        <f t="shared" si="14"/>
        <v>42309</v>
      </c>
    </row>
    <row r="48" spans="2:11" x14ac:dyDescent="0.25">
      <c r="B48" s="45">
        <f t="shared" si="15"/>
        <v>40852</v>
      </c>
      <c r="C48" s="46">
        <f t="shared" si="11"/>
        <v>40853</v>
      </c>
      <c r="D48" s="47">
        <f t="shared" si="20"/>
        <v>41216</v>
      </c>
      <c r="E48" s="47">
        <f t="shared" si="16"/>
        <v>41217</v>
      </c>
      <c r="F48" s="46">
        <f t="shared" si="17"/>
        <v>41587</v>
      </c>
      <c r="G48" s="46">
        <f t="shared" si="12"/>
        <v>41588</v>
      </c>
      <c r="H48" s="47">
        <f t="shared" si="18"/>
        <v>41951</v>
      </c>
      <c r="I48" s="47">
        <f t="shared" si="13"/>
        <v>41952</v>
      </c>
      <c r="J48" s="46">
        <f t="shared" si="19"/>
        <v>42315</v>
      </c>
      <c r="K48" s="48">
        <f t="shared" si="14"/>
        <v>42316</v>
      </c>
    </row>
    <row r="49" spans="1:11" x14ac:dyDescent="0.25">
      <c r="B49" s="45">
        <f t="shared" si="15"/>
        <v>40859</v>
      </c>
      <c r="C49" s="46">
        <f t="shared" si="11"/>
        <v>40860</v>
      </c>
      <c r="D49" s="47">
        <f t="shared" si="20"/>
        <v>41223</v>
      </c>
      <c r="E49" s="47">
        <f t="shared" si="16"/>
        <v>41224</v>
      </c>
      <c r="F49" s="46">
        <f t="shared" si="17"/>
        <v>41594</v>
      </c>
      <c r="G49" s="46">
        <f t="shared" si="12"/>
        <v>41595</v>
      </c>
      <c r="H49" s="47">
        <f t="shared" si="18"/>
        <v>41958</v>
      </c>
      <c r="I49" s="47">
        <f t="shared" si="13"/>
        <v>41959</v>
      </c>
      <c r="J49" s="46">
        <f t="shared" si="19"/>
        <v>42322</v>
      </c>
      <c r="K49" s="48">
        <f t="shared" si="14"/>
        <v>42323</v>
      </c>
    </row>
    <row r="50" spans="1:11" x14ac:dyDescent="0.25">
      <c r="B50" s="45">
        <f t="shared" si="15"/>
        <v>40866</v>
      </c>
      <c r="C50" s="46">
        <f t="shared" si="11"/>
        <v>40867</v>
      </c>
      <c r="D50" s="47">
        <f t="shared" si="20"/>
        <v>41230</v>
      </c>
      <c r="E50" s="47">
        <f t="shared" si="16"/>
        <v>41231</v>
      </c>
      <c r="F50" s="46">
        <f t="shared" si="17"/>
        <v>41601</v>
      </c>
      <c r="G50" s="46">
        <f t="shared" si="12"/>
        <v>41602</v>
      </c>
      <c r="H50" s="47">
        <f t="shared" si="18"/>
        <v>41965</v>
      </c>
      <c r="I50" s="47">
        <f t="shared" si="13"/>
        <v>41966</v>
      </c>
      <c r="J50" s="46">
        <f t="shared" si="19"/>
        <v>42329</v>
      </c>
      <c r="K50" s="48">
        <f t="shared" si="14"/>
        <v>42330</v>
      </c>
    </row>
    <row r="51" spans="1:11" x14ac:dyDescent="0.25">
      <c r="B51" s="45">
        <f t="shared" si="15"/>
        <v>40873</v>
      </c>
      <c r="C51" s="46">
        <f t="shared" si="11"/>
        <v>40874</v>
      </c>
      <c r="D51" s="47">
        <f t="shared" si="20"/>
        <v>41237</v>
      </c>
      <c r="E51" s="47">
        <f t="shared" si="16"/>
        <v>41238</v>
      </c>
      <c r="F51" s="46">
        <f t="shared" si="17"/>
        <v>41608</v>
      </c>
      <c r="G51" s="46">
        <f t="shared" si="12"/>
        <v>41609</v>
      </c>
      <c r="H51" s="47">
        <f t="shared" si="18"/>
        <v>41972</v>
      </c>
      <c r="I51" s="47">
        <f t="shared" si="13"/>
        <v>41973</v>
      </c>
      <c r="J51" s="46">
        <f t="shared" si="19"/>
        <v>42336</v>
      </c>
      <c r="K51" s="48">
        <f t="shared" si="14"/>
        <v>42337</v>
      </c>
    </row>
    <row r="52" spans="1:11" x14ac:dyDescent="0.25">
      <c r="B52" s="45">
        <f t="shared" si="15"/>
        <v>40880</v>
      </c>
      <c r="C52" s="46">
        <f t="shared" si="11"/>
        <v>40881</v>
      </c>
      <c r="D52" s="47">
        <f t="shared" si="20"/>
        <v>41244</v>
      </c>
      <c r="E52" s="47">
        <f t="shared" si="16"/>
        <v>41245</v>
      </c>
      <c r="F52" s="46">
        <f t="shared" si="17"/>
        <v>41615</v>
      </c>
      <c r="G52" s="46">
        <f t="shared" si="12"/>
        <v>41616</v>
      </c>
      <c r="H52" s="47">
        <f t="shared" si="18"/>
        <v>41979</v>
      </c>
      <c r="I52" s="47">
        <f t="shared" si="13"/>
        <v>41980</v>
      </c>
      <c r="J52" s="46">
        <f t="shared" si="19"/>
        <v>42343</v>
      </c>
      <c r="K52" s="48">
        <f t="shared" si="14"/>
        <v>42344</v>
      </c>
    </row>
    <row r="53" spans="1:11" x14ac:dyDescent="0.25">
      <c r="B53" s="45">
        <f t="shared" si="15"/>
        <v>40887</v>
      </c>
      <c r="C53" s="46">
        <f t="shared" si="11"/>
        <v>40888</v>
      </c>
      <c r="D53" s="47">
        <f t="shared" si="20"/>
        <v>41251</v>
      </c>
      <c r="E53" s="47">
        <f t="shared" si="16"/>
        <v>41252</v>
      </c>
      <c r="F53" s="46">
        <f t="shared" si="17"/>
        <v>41622</v>
      </c>
      <c r="G53" s="46">
        <f t="shared" si="12"/>
        <v>41623</v>
      </c>
      <c r="H53" s="47">
        <f t="shared" si="18"/>
        <v>41986</v>
      </c>
      <c r="I53" s="47">
        <f t="shared" si="13"/>
        <v>41987</v>
      </c>
      <c r="J53" s="46">
        <f t="shared" si="19"/>
        <v>42350</v>
      </c>
      <c r="K53" s="48">
        <f t="shared" si="14"/>
        <v>42351</v>
      </c>
    </row>
    <row r="54" spans="1:11" x14ac:dyDescent="0.25">
      <c r="B54" s="45">
        <f t="shared" si="15"/>
        <v>40894</v>
      </c>
      <c r="C54" s="46">
        <f t="shared" si="11"/>
        <v>40895</v>
      </c>
      <c r="D54" s="47">
        <f t="shared" si="20"/>
        <v>41258</v>
      </c>
      <c r="E54" s="47">
        <f t="shared" si="16"/>
        <v>41259</v>
      </c>
      <c r="F54" s="46">
        <f t="shared" si="17"/>
        <v>41629</v>
      </c>
      <c r="G54" s="46">
        <f t="shared" si="12"/>
        <v>41630</v>
      </c>
      <c r="H54" s="47">
        <f t="shared" si="18"/>
        <v>41993</v>
      </c>
      <c r="I54" s="47">
        <f t="shared" si="13"/>
        <v>41994</v>
      </c>
      <c r="J54" s="46">
        <f t="shared" si="19"/>
        <v>42357</v>
      </c>
      <c r="K54" s="48">
        <f t="shared" si="14"/>
        <v>42358</v>
      </c>
    </row>
    <row r="55" spans="1:11" x14ac:dyDescent="0.25">
      <c r="B55" s="45">
        <f t="shared" si="15"/>
        <v>40901</v>
      </c>
      <c r="C55" s="46">
        <f t="shared" si="11"/>
        <v>40902</v>
      </c>
      <c r="D55" s="47">
        <f t="shared" si="20"/>
        <v>41265</v>
      </c>
      <c r="E55" s="47">
        <f t="shared" si="16"/>
        <v>41266</v>
      </c>
      <c r="F55" s="46">
        <f t="shared" si="17"/>
        <v>41636</v>
      </c>
      <c r="G55" s="46">
        <f t="shared" si="12"/>
        <v>41637</v>
      </c>
      <c r="H55" s="47">
        <f t="shared" si="18"/>
        <v>42000</v>
      </c>
      <c r="I55" s="47">
        <f t="shared" si="13"/>
        <v>42001</v>
      </c>
      <c r="J55" s="46">
        <f t="shared" si="19"/>
        <v>42364</v>
      </c>
      <c r="K55" s="48">
        <f t="shared" si="14"/>
        <v>42365</v>
      </c>
    </row>
    <row r="56" spans="1:11" ht="15.75" thickBot="1" x14ac:dyDescent="0.3">
      <c r="B56" s="50">
        <f t="shared" si="15"/>
        <v>40908</v>
      </c>
      <c r="C56" s="51"/>
      <c r="D56" s="52">
        <f t="shared" si="20"/>
        <v>41272</v>
      </c>
      <c r="E56" s="52">
        <f t="shared" si="16"/>
        <v>41273</v>
      </c>
      <c r="F56" s="51"/>
      <c r="G56" s="51"/>
      <c r="H56" s="52"/>
      <c r="I56" s="52"/>
      <c r="J56" s="51"/>
      <c r="K56" s="53"/>
    </row>
    <row r="57" spans="1:11" ht="15.75" thickTop="1" x14ac:dyDescent="0.25">
      <c r="A57" s="54" t="s">
        <v>306</v>
      </c>
      <c r="B57" s="55">
        <v>40902</v>
      </c>
      <c r="C57" s="56">
        <v>40900</v>
      </c>
      <c r="D57" s="57">
        <v>41268</v>
      </c>
      <c r="E57" s="57">
        <v>40910</v>
      </c>
      <c r="F57" s="56">
        <v>41633</v>
      </c>
      <c r="G57" s="56">
        <v>41276</v>
      </c>
      <c r="H57" s="57">
        <v>41998</v>
      </c>
      <c r="I57" s="57">
        <v>41641</v>
      </c>
      <c r="J57" s="56">
        <v>42363</v>
      </c>
      <c r="K57" s="58">
        <v>42006</v>
      </c>
    </row>
    <row r="58" spans="1:11" x14ac:dyDescent="0.25">
      <c r="A58" s="54" t="s">
        <v>307</v>
      </c>
      <c r="B58" s="45">
        <v>40904</v>
      </c>
      <c r="C58" s="46">
        <v>40901</v>
      </c>
      <c r="D58" s="47">
        <v>41269</v>
      </c>
      <c r="E58" s="47">
        <v>40911</v>
      </c>
      <c r="F58" s="46">
        <v>41634</v>
      </c>
      <c r="G58" s="46">
        <v>41277</v>
      </c>
      <c r="H58" s="47">
        <v>41999</v>
      </c>
      <c r="I58" s="47">
        <v>41642</v>
      </c>
      <c r="J58" s="46">
        <v>42364</v>
      </c>
      <c r="K58" s="48">
        <v>42009</v>
      </c>
    </row>
    <row r="59" spans="1:11" x14ac:dyDescent="0.25">
      <c r="A59" s="54" t="s">
        <v>308</v>
      </c>
      <c r="B59" s="45">
        <v>40544</v>
      </c>
      <c r="C59" s="46">
        <v>40905</v>
      </c>
      <c r="D59" s="47">
        <v>40909</v>
      </c>
      <c r="E59" s="47">
        <v>40912</v>
      </c>
      <c r="F59" s="46">
        <v>41275</v>
      </c>
      <c r="G59" s="46">
        <v>41278</v>
      </c>
      <c r="H59" s="47">
        <v>41640</v>
      </c>
      <c r="I59" s="47">
        <v>41995</v>
      </c>
      <c r="J59" s="46">
        <v>42005</v>
      </c>
      <c r="K59" s="48">
        <v>42010</v>
      </c>
    </row>
    <row r="60" spans="1:11" x14ac:dyDescent="0.25">
      <c r="A60" s="54" t="s">
        <v>309</v>
      </c>
      <c r="B60" s="45">
        <v>40569</v>
      </c>
      <c r="C60" s="46">
        <v>40906</v>
      </c>
      <c r="D60" s="47">
        <v>41300</v>
      </c>
      <c r="E60" s="47">
        <v>40913</v>
      </c>
      <c r="F60" s="46">
        <v>41302</v>
      </c>
      <c r="G60" s="46">
        <v>41631</v>
      </c>
      <c r="H60" s="47">
        <v>41666</v>
      </c>
      <c r="I60" s="47">
        <v>41996</v>
      </c>
      <c r="J60" s="46">
        <v>42030</v>
      </c>
      <c r="K60" s="48">
        <v>42011</v>
      </c>
    </row>
    <row r="61" spans="1:11" x14ac:dyDescent="0.25">
      <c r="A61" s="54" t="s">
        <v>310</v>
      </c>
      <c r="B61" s="45">
        <v>40655</v>
      </c>
      <c r="C61" s="46">
        <v>40907</v>
      </c>
      <c r="D61" s="47">
        <v>41005</v>
      </c>
      <c r="E61" s="47">
        <v>40914</v>
      </c>
      <c r="F61" s="46">
        <v>41362</v>
      </c>
      <c r="G61" s="46">
        <v>41632</v>
      </c>
      <c r="H61" s="47">
        <v>41747</v>
      </c>
      <c r="I61" s="47">
        <v>41997</v>
      </c>
      <c r="J61" s="46">
        <v>42097</v>
      </c>
      <c r="K61" s="48">
        <v>42012</v>
      </c>
    </row>
    <row r="62" spans="1:11" x14ac:dyDescent="0.25">
      <c r="A62" s="54" t="s">
        <v>311</v>
      </c>
      <c r="B62" s="45">
        <v>40658</v>
      </c>
      <c r="C62" s="46"/>
      <c r="D62" s="47">
        <v>41008</v>
      </c>
      <c r="E62" s="47">
        <v>41267</v>
      </c>
      <c r="F62" s="46">
        <v>41365</v>
      </c>
      <c r="G62" s="46">
        <v>41635</v>
      </c>
      <c r="H62" s="47">
        <v>41750</v>
      </c>
      <c r="I62" s="47">
        <v>42002</v>
      </c>
      <c r="J62" s="46">
        <v>42100</v>
      </c>
      <c r="K62" s="48">
        <v>42013</v>
      </c>
    </row>
    <row r="63" spans="1:11" x14ac:dyDescent="0.25">
      <c r="A63" s="54" t="s">
        <v>312</v>
      </c>
      <c r="B63" s="45">
        <v>40659</v>
      </c>
      <c r="C63" s="46"/>
      <c r="D63" s="47">
        <v>41024</v>
      </c>
      <c r="E63" s="47">
        <v>41270</v>
      </c>
      <c r="F63" s="46">
        <v>41389</v>
      </c>
      <c r="G63" s="46">
        <v>41638</v>
      </c>
      <c r="H63" s="47">
        <v>41754</v>
      </c>
      <c r="I63" s="47">
        <v>42003</v>
      </c>
      <c r="J63" s="46">
        <v>42121</v>
      </c>
      <c r="K63" s="48">
        <v>42362</v>
      </c>
    </row>
    <row r="64" spans="1:11" x14ac:dyDescent="0.25">
      <c r="A64" s="54" t="s">
        <v>313</v>
      </c>
      <c r="B64" s="45">
        <v>40665</v>
      </c>
      <c r="C64" s="46"/>
      <c r="D64" s="47">
        <v>41036</v>
      </c>
      <c r="E64" s="47">
        <v>41271</v>
      </c>
      <c r="F64" s="46">
        <v>41435</v>
      </c>
      <c r="G64" s="46">
        <v>41639</v>
      </c>
      <c r="H64" s="47">
        <v>41918</v>
      </c>
      <c r="I64" s="47">
        <v>42004</v>
      </c>
      <c r="J64" s="46">
        <v>42282</v>
      </c>
      <c r="K64" s="48">
        <v>42365</v>
      </c>
    </row>
    <row r="65" spans="1:11" x14ac:dyDescent="0.25">
      <c r="A65" s="54" t="s">
        <v>314</v>
      </c>
      <c r="B65" s="45">
        <v>40707</v>
      </c>
      <c r="C65" s="46"/>
      <c r="D65" s="47">
        <v>41071</v>
      </c>
      <c r="E65" s="47">
        <v>41274</v>
      </c>
      <c r="F65" s="46">
        <v>41554</v>
      </c>
      <c r="G65" s="46"/>
      <c r="H65" s="47">
        <v>41799</v>
      </c>
      <c r="I65" s="47"/>
      <c r="J65" s="46">
        <v>42163</v>
      </c>
      <c r="K65" s="48">
        <v>42366</v>
      </c>
    </row>
    <row r="66" spans="1:11" x14ac:dyDescent="0.25">
      <c r="B66" s="45"/>
      <c r="C66" s="46"/>
      <c r="D66" s="47"/>
      <c r="E66" s="47"/>
      <c r="F66" s="46"/>
      <c r="G66" s="46"/>
      <c r="H66" s="59"/>
      <c r="I66" s="59"/>
      <c r="J66" s="46"/>
      <c r="K66" s="48">
        <v>42367</v>
      </c>
    </row>
    <row r="67" spans="1:11" x14ac:dyDescent="0.25">
      <c r="B67" s="45"/>
      <c r="C67" s="46"/>
      <c r="D67" s="47"/>
      <c r="E67" s="47"/>
      <c r="F67" s="46"/>
      <c r="G67" s="46"/>
      <c r="H67" s="59"/>
      <c r="I67" s="59"/>
      <c r="J67" s="46"/>
      <c r="K67" s="48">
        <v>42368</v>
      </c>
    </row>
    <row r="68" spans="1:11" x14ac:dyDescent="0.25">
      <c r="B68" s="45"/>
      <c r="C68" s="46"/>
      <c r="D68" s="47"/>
      <c r="E68" s="47"/>
      <c r="F68" s="46"/>
      <c r="G68" s="46"/>
      <c r="H68" s="59"/>
      <c r="I68" s="59"/>
      <c r="J68" s="46"/>
      <c r="K68" s="48">
        <v>42369</v>
      </c>
    </row>
    <row r="69" spans="1:11" ht="15.75" thickBot="1" x14ac:dyDescent="0.3">
      <c r="B69" s="60"/>
      <c r="C69" s="61" t="s">
        <v>315</v>
      </c>
      <c r="D69" s="62"/>
      <c r="E69" s="61" t="s">
        <v>315</v>
      </c>
      <c r="F69" s="63"/>
      <c r="G69" s="61" t="s">
        <v>315</v>
      </c>
      <c r="H69" s="64"/>
      <c r="I69" s="61" t="s">
        <v>315</v>
      </c>
      <c r="J69" s="63"/>
      <c r="K69" s="65" t="s">
        <v>315</v>
      </c>
    </row>
    <row r="70" spans="1:11" x14ac:dyDescent="0.25">
      <c r="B70" s="66"/>
      <c r="C70" s="66"/>
      <c r="D70" s="66"/>
      <c r="E70" s="66"/>
      <c r="F70" s="67"/>
      <c r="G70" s="67"/>
      <c r="H70" s="67"/>
      <c r="I70" s="67"/>
      <c r="J70" s="67"/>
      <c r="K70" s="67"/>
    </row>
    <row r="71" spans="1:11" x14ac:dyDescent="0.25">
      <c r="A71" s="152" t="s">
        <v>513</v>
      </c>
      <c r="B71" s="153">
        <v>9</v>
      </c>
      <c r="C71" s="66"/>
      <c r="D71" s="66"/>
      <c r="E71" s="66"/>
      <c r="F71" s="67"/>
      <c r="G71" s="67"/>
      <c r="H71" s="67"/>
      <c r="I71" s="67"/>
      <c r="J71" s="67"/>
      <c r="K71" s="67"/>
    </row>
    <row r="72" spans="1:11" x14ac:dyDescent="0.25">
      <c r="A72" s="152" t="s">
        <v>1234</v>
      </c>
      <c r="B72" s="236">
        <v>41883</v>
      </c>
      <c r="C72" s="66"/>
      <c r="D72" s="66"/>
      <c r="E72" s="66"/>
      <c r="F72" s="67"/>
      <c r="G72" s="67"/>
      <c r="H72" s="67"/>
      <c r="I72" s="67"/>
      <c r="J72" s="67"/>
      <c r="K72" s="67"/>
    </row>
  </sheetData>
  <mergeCells count="6">
    <mergeCell ref="B1:K1"/>
    <mergeCell ref="B2:C2"/>
    <mergeCell ref="D2:E2"/>
    <mergeCell ref="F2:G2"/>
    <mergeCell ref="H2:I2"/>
    <mergeCell ref="J2:K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08"/>
  <sheetViews>
    <sheetView workbookViewId="0">
      <selection activeCell="Q23" sqref="Q23"/>
    </sheetView>
  </sheetViews>
  <sheetFormatPr defaultRowHeight="15" x14ac:dyDescent="0.25"/>
  <cols>
    <col min="1" max="1" width="5.140625" style="200" bestFit="1" customWidth="1"/>
    <col min="2" max="2" width="35.28515625" customWidth="1"/>
    <col min="3" max="3" width="23.28515625" customWidth="1"/>
    <col min="4" max="4" width="30.42578125" style="201" customWidth="1"/>
    <col min="5" max="5" width="21.7109375" style="201" customWidth="1"/>
    <col min="6" max="6" width="13.28515625" style="199" customWidth="1"/>
    <col min="7" max="13" width="13.28515625" customWidth="1"/>
  </cols>
  <sheetData>
    <row r="1" spans="1:13" s="171" customFormat="1" x14ac:dyDescent="0.25">
      <c r="A1" s="168" t="s">
        <v>509</v>
      </c>
      <c r="B1" s="168" t="s">
        <v>578</v>
      </c>
      <c r="C1" s="168" t="s">
        <v>258</v>
      </c>
      <c r="D1" s="169" t="s">
        <v>579</v>
      </c>
      <c r="E1" s="169" t="s">
        <v>580</v>
      </c>
      <c r="F1" s="170" t="s">
        <v>515</v>
      </c>
      <c r="G1" s="198">
        <v>41883</v>
      </c>
      <c r="H1" s="198">
        <v>41913</v>
      </c>
      <c r="I1" s="198">
        <v>41944</v>
      </c>
      <c r="J1" s="198">
        <v>41974</v>
      </c>
      <c r="K1" s="198">
        <v>42005</v>
      </c>
      <c r="L1" s="198">
        <v>42036</v>
      </c>
      <c r="M1" s="198">
        <v>42064</v>
      </c>
    </row>
    <row r="2" spans="1:13" ht="24" x14ac:dyDescent="0.25">
      <c r="A2" s="202">
        <v>1</v>
      </c>
      <c r="B2" s="203" t="s">
        <v>13</v>
      </c>
      <c r="C2" s="203">
        <f>VLOOKUP(A2,Estimate!A:L,12,FALSE)</f>
        <v>0</v>
      </c>
      <c r="D2" s="204"/>
      <c r="E2" s="205" t="s">
        <v>324</v>
      </c>
      <c r="F2" s="163">
        <f>IFERROR(VLOOKUP($A2,'Budget &amp; Revenue'!$A:$Y,4,FALSE)," ")</f>
        <v>0</v>
      </c>
      <c r="G2" s="175">
        <f>IFERROR(VLOOKUP($A2,'Budget &amp; Revenue'!$A:$Y,13,FALSE)," ")</f>
        <v>0</v>
      </c>
      <c r="H2" s="175">
        <f>IFERROR(VLOOKUP($A2,'Budget &amp; Revenue'!$A:$Y,15,FALSE)," ")</f>
        <v>0</v>
      </c>
      <c r="I2" s="175">
        <f>IFERROR(VLOOKUP($A2,'Budget &amp; Revenue'!$A:$Y,17,FALSE)," ")</f>
        <v>0</v>
      </c>
      <c r="J2" s="175">
        <f>IFERROR(VLOOKUP($A2,'Budget &amp; Revenue'!$A:$Y,19,FALSE)," ")</f>
        <v>0</v>
      </c>
      <c r="K2" s="175">
        <f>IFERROR(VLOOKUP($A2,'Budget &amp; Revenue'!$A:$Y,21,FALSE)," ")</f>
        <v>0</v>
      </c>
      <c r="L2" s="175">
        <f>IFERROR(VLOOKUP($A2,'Budget &amp; Revenue'!$A:$Y,23,FALSE)," ")</f>
        <v>0</v>
      </c>
      <c r="M2" s="175">
        <f>IFERROR(VLOOKUP($A2,'Budget &amp; Revenue'!$A:$Y,25,FALSE)," ")</f>
        <v>0</v>
      </c>
    </row>
    <row r="3" spans="1:13" x14ac:dyDescent="0.25">
      <c r="A3" s="202">
        <v>2</v>
      </c>
      <c r="B3" s="203" t="s">
        <v>15</v>
      </c>
      <c r="C3" s="203">
        <f>VLOOKUP(A3,Estimate!A:L,12,FALSE)</f>
        <v>0</v>
      </c>
      <c r="D3" s="204"/>
      <c r="E3" s="204"/>
      <c r="F3" s="163">
        <f>IFERROR(VLOOKUP($A3,'Budget &amp; Revenue'!$A:$Y,4,FALSE)," ")</f>
        <v>0</v>
      </c>
      <c r="G3" s="175">
        <f>IFERROR(VLOOKUP($A3,'Budget &amp; Revenue'!$A:$Y,13,FALSE)," ")</f>
        <v>0</v>
      </c>
      <c r="H3" s="175">
        <f>IFERROR(VLOOKUP($A3,'Budget &amp; Revenue'!$A:$Y,15,FALSE)," ")</f>
        <v>0</v>
      </c>
      <c r="I3" s="175">
        <f>IFERROR(VLOOKUP($A3,'Budget &amp; Revenue'!$A:$Y,17,FALSE)," ")</f>
        <v>0</v>
      </c>
      <c r="J3" s="175">
        <f>IFERROR(VLOOKUP($A3,'Budget &amp; Revenue'!$A:$Y,19,FALSE)," ")</f>
        <v>0</v>
      </c>
      <c r="K3" s="175">
        <f>IFERROR(VLOOKUP($A3,'Budget &amp; Revenue'!$A:$Y,21,FALSE)," ")</f>
        <v>0</v>
      </c>
      <c r="L3" s="175">
        <f>IFERROR(VLOOKUP($A3,'Budget &amp; Revenue'!$A:$Y,23,FALSE)," ")</f>
        <v>0</v>
      </c>
      <c r="M3" s="175">
        <f>IFERROR(VLOOKUP($A3,'Budget &amp; Revenue'!$A:$Y,25,FALSE)," ")</f>
        <v>0</v>
      </c>
    </row>
    <row r="4" spans="1:13" ht="48" x14ac:dyDescent="0.25">
      <c r="A4" s="202">
        <v>3</v>
      </c>
      <c r="B4" s="202" t="s">
        <v>17</v>
      </c>
      <c r="C4" s="203">
        <f>VLOOKUP(A4,Estimate!A:L,12,FALSE)</f>
        <v>5</v>
      </c>
      <c r="D4" s="205" t="s">
        <v>317</v>
      </c>
      <c r="E4" s="205" t="s">
        <v>477</v>
      </c>
      <c r="F4" s="163">
        <f>IFERROR(VLOOKUP($A4,'Budget &amp; Revenue'!$A:$Y,4,FALSE)," ")</f>
        <v>27679</v>
      </c>
      <c r="G4" s="175">
        <f>IFERROR(VLOOKUP($A4,'Budget &amp; Revenue'!$A:$Y,13,FALSE)," ")</f>
        <v>0.5</v>
      </c>
      <c r="H4" s="175">
        <f>IFERROR(VLOOKUP($A4,'Budget &amp; Revenue'!$A:$Y,15,FALSE)," ")</f>
        <v>0.8</v>
      </c>
      <c r="I4" s="175">
        <f>IFERROR(VLOOKUP($A4,'Budget &amp; Revenue'!$A:$Y,17,FALSE)," ")</f>
        <v>0.9</v>
      </c>
      <c r="J4" s="175">
        <f>IFERROR(VLOOKUP($A4,'Budget &amp; Revenue'!$A:$Y,19,FALSE)," ")</f>
        <v>0.95</v>
      </c>
      <c r="K4" s="175">
        <f>IFERROR(VLOOKUP($A4,'Budget &amp; Revenue'!$A:$Y,21,FALSE)," ")</f>
        <v>1</v>
      </c>
      <c r="L4" s="175">
        <f>IFERROR(VLOOKUP($A4,'Budget &amp; Revenue'!$A:$Y,23,FALSE)," ")</f>
        <v>1</v>
      </c>
      <c r="M4" s="175">
        <f>IFERROR(VLOOKUP($A4,'Budget &amp; Revenue'!$A:$Y,25,FALSE)," ")</f>
        <v>1</v>
      </c>
    </row>
    <row r="5" spans="1:13" ht="48" x14ac:dyDescent="0.25">
      <c r="A5" s="202">
        <v>4</v>
      </c>
      <c r="B5" s="202" t="s">
        <v>36</v>
      </c>
      <c r="C5" s="203">
        <f>VLOOKUP(A5,Estimate!A:L,12,FALSE)</f>
        <v>2</v>
      </c>
      <c r="D5" s="204"/>
      <c r="E5" s="204"/>
      <c r="F5" s="163">
        <f>IFERROR(VLOOKUP($A5,'Budget &amp; Revenue'!$A:$Y,4,FALSE)," ")</f>
        <v>18000</v>
      </c>
      <c r="G5" s="175">
        <f>IFERROR(VLOOKUP($A5,'Budget &amp; Revenue'!$A:$Y,13,FALSE)," ")</f>
        <v>0</v>
      </c>
      <c r="H5" s="175">
        <f>IFERROR(VLOOKUP($A5,'Budget &amp; Revenue'!$A:$Y,15,FALSE)," ")</f>
        <v>0</v>
      </c>
      <c r="I5" s="175">
        <f>IFERROR(VLOOKUP($A5,'Budget &amp; Revenue'!$A:$Y,17,FALSE)," ")</f>
        <v>0.11764705882352941</v>
      </c>
      <c r="J5" s="175">
        <f>IFERROR(VLOOKUP($A5,'Budget &amp; Revenue'!$A:$Y,19,FALSE)," ")</f>
        <v>0.41176470588235292</v>
      </c>
      <c r="K5" s="175">
        <f>IFERROR(VLOOKUP($A5,'Budget &amp; Revenue'!$A:$Y,21,FALSE)," ")</f>
        <v>0.41176470588235292</v>
      </c>
      <c r="L5" s="175">
        <f>IFERROR(VLOOKUP($A5,'Budget &amp; Revenue'!$A:$Y,23,FALSE)," ")</f>
        <v>1</v>
      </c>
      <c r="M5" s="175">
        <f>IFERROR(VLOOKUP($A5,'Budget &amp; Revenue'!$A:$Y,25,FALSE)," ")</f>
        <v>1</v>
      </c>
    </row>
    <row r="6" spans="1:13" ht="24" x14ac:dyDescent="0.25">
      <c r="A6" s="202">
        <v>5</v>
      </c>
      <c r="B6" s="202" t="s">
        <v>40</v>
      </c>
      <c r="C6" s="203">
        <f>VLOOKUP(A6,Estimate!A:L,12,FALSE)</f>
        <v>5</v>
      </c>
      <c r="D6" s="205" t="s">
        <v>318</v>
      </c>
      <c r="E6" s="205">
        <v>6</v>
      </c>
      <c r="F6" s="163">
        <f>IFERROR(VLOOKUP($A6,'Budget &amp; Revenue'!$A:$Y,4,FALSE)," ")</f>
        <v>4000</v>
      </c>
      <c r="G6" s="175">
        <f>IFERROR(VLOOKUP($A6,'Budget &amp; Revenue'!$A:$Y,13,FALSE)," ")</f>
        <v>1</v>
      </c>
      <c r="H6" s="175">
        <f>IFERROR(VLOOKUP($A6,'Budget &amp; Revenue'!$A:$Y,15,FALSE)," ")</f>
        <v>1</v>
      </c>
      <c r="I6" s="175">
        <f>IFERROR(VLOOKUP($A6,'Budget &amp; Revenue'!$A:$Y,17,FALSE)," ")</f>
        <v>1</v>
      </c>
      <c r="J6" s="175">
        <f>IFERROR(VLOOKUP($A6,'Budget &amp; Revenue'!$A:$Y,19,FALSE)," ")</f>
        <v>1</v>
      </c>
      <c r="K6" s="175">
        <f>IFERROR(VLOOKUP($A6,'Budget &amp; Revenue'!$A:$Y,21,FALSE)," ")</f>
        <v>1</v>
      </c>
      <c r="L6" s="175">
        <f>IFERROR(VLOOKUP($A6,'Budget &amp; Revenue'!$A:$Y,23,FALSE)," ")</f>
        <v>1</v>
      </c>
      <c r="M6" s="175">
        <f>IFERROR(VLOOKUP($A6,'Budget &amp; Revenue'!$A:$Y,25,FALSE)," ")</f>
        <v>1</v>
      </c>
    </row>
    <row r="7" spans="1:13" ht="24" x14ac:dyDescent="0.25">
      <c r="A7" s="202">
        <v>6</v>
      </c>
      <c r="B7" s="202" t="s">
        <v>44</v>
      </c>
      <c r="C7" s="203">
        <f>VLOOKUP(A7,Estimate!A:L,12,FALSE)</f>
        <v>6</v>
      </c>
      <c r="D7" s="205" t="s">
        <v>319</v>
      </c>
      <c r="E7" s="205">
        <v>207</v>
      </c>
      <c r="F7" s="163">
        <f>IFERROR(VLOOKUP($A7,'Budget &amp; Revenue'!$A:$Y,4,FALSE)," ")</f>
        <v>14800</v>
      </c>
      <c r="G7" s="175">
        <f>IFERROR(VLOOKUP($A7,'Budget &amp; Revenue'!$A:$Y,13,FALSE)," ")</f>
        <v>0.2</v>
      </c>
      <c r="H7" s="175">
        <f>IFERROR(VLOOKUP($A7,'Budget &amp; Revenue'!$A:$Y,15,FALSE)," ")</f>
        <v>0.7</v>
      </c>
      <c r="I7" s="175">
        <f>IFERROR(VLOOKUP($A7,'Budget &amp; Revenue'!$A:$Y,17,FALSE)," ")</f>
        <v>0.9</v>
      </c>
      <c r="J7" s="175">
        <f>IFERROR(VLOOKUP($A7,'Budget &amp; Revenue'!$A:$Y,19,FALSE)," ")</f>
        <v>0.95</v>
      </c>
      <c r="K7" s="175">
        <f>IFERROR(VLOOKUP($A7,'Budget &amp; Revenue'!$A:$Y,21,FALSE)," ")</f>
        <v>1</v>
      </c>
      <c r="L7" s="175">
        <f>IFERROR(VLOOKUP($A7,'Budget &amp; Revenue'!$A:$Y,23,FALSE)," ")</f>
        <v>1</v>
      </c>
      <c r="M7" s="175">
        <f>IFERROR(VLOOKUP($A7,'Budget &amp; Revenue'!$A:$Y,25,FALSE)," ")</f>
        <v>1</v>
      </c>
    </row>
    <row r="8" spans="1:13" ht="24" x14ac:dyDescent="0.25">
      <c r="A8" s="202">
        <v>7</v>
      </c>
      <c r="B8" s="202" t="s">
        <v>47</v>
      </c>
      <c r="C8" s="203">
        <f>VLOOKUP(A8,Estimate!A:L,12,FALSE)</f>
        <v>1</v>
      </c>
      <c r="D8" s="205">
        <v>1</v>
      </c>
      <c r="E8" s="205">
        <v>11</v>
      </c>
      <c r="F8" s="163">
        <f>IFERROR(VLOOKUP($A8,'Budget &amp; Revenue'!$A:$Y,4,FALSE)," ")</f>
        <v>12000</v>
      </c>
      <c r="G8" s="175">
        <f>IFERROR(VLOOKUP($A8,'Budget &amp; Revenue'!$A:$Y,13,FALSE)," ")</f>
        <v>1</v>
      </c>
      <c r="H8" s="175">
        <f>IFERROR(VLOOKUP($A8,'Budget &amp; Revenue'!$A:$Y,15,FALSE)," ")</f>
        <v>1</v>
      </c>
      <c r="I8" s="175">
        <f>IFERROR(VLOOKUP($A8,'Budget &amp; Revenue'!$A:$Y,17,FALSE)," ")</f>
        <v>1</v>
      </c>
      <c r="J8" s="175">
        <f>IFERROR(VLOOKUP($A8,'Budget &amp; Revenue'!$A:$Y,19,FALSE)," ")</f>
        <v>1</v>
      </c>
      <c r="K8" s="175">
        <f>IFERROR(VLOOKUP($A8,'Budget &amp; Revenue'!$A:$Y,21,FALSE)," ")</f>
        <v>1</v>
      </c>
      <c r="L8" s="175">
        <f>IFERROR(VLOOKUP($A8,'Budget &amp; Revenue'!$A:$Y,23,FALSE)," ")</f>
        <v>1</v>
      </c>
      <c r="M8" s="175">
        <f>IFERROR(VLOOKUP($A8,'Budget &amp; Revenue'!$A:$Y,25,FALSE)," ")</f>
        <v>1</v>
      </c>
    </row>
    <row r="9" spans="1:13" x14ac:dyDescent="0.25">
      <c r="A9" s="202">
        <v>8</v>
      </c>
      <c r="B9" s="202" t="s">
        <v>51</v>
      </c>
      <c r="C9" s="203">
        <f>VLOOKUP(A9,Estimate!A:L,12,FALSE)</f>
        <v>99</v>
      </c>
      <c r="D9" s="205" t="s">
        <v>320</v>
      </c>
      <c r="E9" s="205">
        <v>207</v>
      </c>
      <c r="F9" s="163">
        <f>IFERROR(VLOOKUP($A9,'Budget &amp; Revenue'!$A:$Y,4,FALSE)," ")</f>
        <v>117220.26700172765</v>
      </c>
      <c r="G9" s="175">
        <f>IFERROR(VLOOKUP($A9,'Budget &amp; Revenue'!$A:$Y,13,FALSE)," ")</f>
        <v>0.17857142857142858</v>
      </c>
      <c r="H9" s="175">
        <f>IFERROR(VLOOKUP($A9,'Budget &amp; Revenue'!$A:$Y,15,FALSE)," ")</f>
        <v>0.62499999999999989</v>
      </c>
      <c r="I9" s="175">
        <f>IFERROR(VLOOKUP($A9,'Budget &amp; Revenue'!$A:$Y,17,FALSE)," ")</f>
        <v>0.80357142857142849</v>
      </c>
      <c r="J9" s="175">
        <f>IFERROR(VLOOKUP($A9,'Budget &amp; Revenue'!$A:$Y,19,FALSE)," ")</f>
        <v>0.84821428571428559</v>
      </c>
      <c r="K9" s="175">
        <f>IFERROR(VLOOKUP($A9,'Budget &amp; Revenue'!$A:$Y,21,FALSE)," ")</f>
        <v>0.89285714285714279</v>
      </c>
      <c r="L9" s="175">
        <f>IFERROR(VLOOKUP($A9,'Budget &amp; Revenue'!$A:$Y,23,FALSE)," ")</f>
        <v>1</v>
      </c>
      <c r="M9" s="175">
        <f>IFERROR(VLOOKUP($A9,'Budget &amp; Revenue'!$A:$Y,25,FALSE)," ")</f>
        <v>1</v>
      </c>
    </row>
    <row r="10" spans="1:13" x14ac:dyDescent="0.25">
      <c r="A10" s="202">
        <v>9</v>
      </c>
      <c r="B10" s="202" t="s">
        <v>56</v>
      </c>
      <c r="C10" s="203">
        <f>VLOOKUP(A10,Estimate!A:L,12,FALSE)</f>
        <v>1</v>
      </c>
      <c r="D10" s="205">
        <v>1</v>
      </c>
      <c r="E10" s="205">
        <v>8</v>
      </c>
      <c r="F10" s="163">
        <f>IFERROR(VLOOKUP($A10,'Budget &amp; Revenue'!$A:$Y,4,FALSE)," ")</f>
        <v>4000</v>
      </c>
      <c r="G10" s="175">
        <f>IFERROR(VLOOKUP($A10,'Budget &amp; Revenue'!$A:$Y,13,FALSE)," ")</f>
        <v>1</v>
      </c>
      <c r="H10" s="175">
        <f>IFERROR(VLOOKUP($A10,'Budget &amp; Revenue'!$A:$Y,15,FALSE)," ")</f>
        <v>1</v>
      </c>
      <c r="I10" s="175">
        <f>IFERROR(VLOOKUP($A10,'Budget &amp; Revenue'!$A:$Y,17,FALSE)," ")</f>
        <v>1</v>
      </c>
      <c r="J10" s="175">
        <f>IFERROR(VLOOKUP($A10,'Budget &amp; Revenue'!$A:$Y,19,FALSE)," ")</f>
        <v>1</v>
      </c>
      <c r="K10" s="175">
        <f>IFERROR(VLOOKUP($A10,'Budget &amp; Revenue'!$A:$Y,21,FALSE)," ")</f>
        <v>1</v>
      </c>
      <c r="L10" s="175">
        <f>IFERROR(VLOOKUP($A10,'Budget &amp; Revenue'!$A:$Y,23,FALSE)," ")</f>
        <v>1</v>
      </c>
      <c r="M10" s="175">
        <f>IFERROR(VLOOKUP($A10,'Budget &amp; Revenue'!$A:$Y,25,FALSE)," ")</f>
        <v>1</v>
      </c>
    </row>
    <row r="11" spans="1:13" x14ac:dyDescent="0.25">
      <c r="A11" s="202">
        <v>10</v>
      </c>
      <c r="B11" s="202" t="s">
        <v>58</v>
      </c>
      <c r="C11" s="203">
        <f>VLOOKUP(A11,Estimate!A:L,12,FALSE)</f>
        <v>1</v>
      </c>
      <c r="D11" s="205">
        <v>1</v>
      </c>
      <c r="E11" s="205">
        <v>3</v>
      </c>
      <c r="F11" s="163">
        <f>IFERROR(VLOOKUP($A11,'Budget &amp; Revenue'!$A:$Y,4,FALSE)," ")</f>
        <v>4000</v>
      </c>
      <c r="G11" s="175">
        <f>IFERROR(VLOOKUP($A11,'Budget &amp; Revenue'!$A:$Y,13,FALSE)," ")</f>
        <v>1</v>
      </c>
      <c r="H11" s="175">
        <f>IFERROR(VLOOKUP($A11,'Budget &amp; Revenue'!$A:$Y,15,FALSE)," ")</f>
        <v>1</v>
      </c>
      <c r="I11" s="175">
        <f>IFERROR(VLOOKUP($A11,'Budget &amp; Revenue'!$A:$Y,17,FALSE)," ")</f>
        <v>1</v>
      </c>
      <c r="J11" s="175">
        <f>IFERROR(VLOOKUP($A11,'Budget &amp; Revenue'!$A:$Y,19,FALSE)," ")</f>
        <v>1</v>
      </c>
      <c r="K11" s="175">
        <f>IFERROR(VLOOKUP($A11,'Budget &amp; Revenue'!$A:$Y,21,FALSE)," ")</f>
        <v>1</v>
      </c>
      <c r="L11" s="175">
        <f>IFERROR(VLOOKUP($A11,'Budget &amp; Revenue'!$A:$Y,23,FALSE)," ")</f>
        <v>1</v>
      </c>
      <c r="M11" s="175">
        <f>IFERROR(VLOOKUP($A11,'Budget &amp; Revenue'!$A:$Y,25,FALSE)," ")</f>
        <v>1</v>
      </c>
    </row>
    <row r="12" spans="1:13" ht="48" x14ac:dyDescent="0.25">
      <c r="A12" s="202">
        <v>11</v>
      </c>
      <c r="B12" s="202" t="s">
        <v>60</v>
      </c>
      <c r="C12" s="203">
        <f>VLOOKUP(A12,Estimate!A:L,12,FALSE)</f>
        <v>15</v>
      </c>
      <c r="D12" s="205" t="s">
        <v>321</v>
      </c>
      <c r="E12" s="205" t="s">
        <v>325</v>
      </c>
      <c r="F12" s="163">
        <f>IFERROR(VLOOKUP($A12,'Budget &amp; Revenue'!$A:$Y,4,FALSE)," ")</f>
        <v>33305.5</v>
      </c>
      <c r="G12" s="175">
        <f>IFERROR(VLOOKUP($A12,'Budget &amp; Revenue'!$A:$Y,13,FALSE)," ")</f>
        <v>0.572294226561185</v>
      </c>
      <c r="H12" s="175">
        <f>IFERROR(VLOOKUP($A12,'Budget &amp; Revenue'!$A:$Y,15,FALSE)," ")</f>
        <v>0.84160915670762493</v>
      </c>
      <c r="I12" s="175">
        <f>IFERROR(VLOOKUP($A12,'Budget &amp; Revenue'!$A:$Y,17,FALSE)," ")</f>
        <v>0.95017673792290858</v>
      </c>
      <c r="J12" s="175">
        <f>IFERROR(VLOOKUP($A12,'Budget &amp; Revenue'!$A:$Y,19,FALSE)," ")</f>
        <v>0.95573135835717893</v>
      </c>
      <c r="K12" s="175">
        <f>IFERROR(VLOOKUP($A12,'Budget &amp; Revenue'!$A:$Y,21,FALSE)," ")</f>
        <v>0.95573135835717893</v>
      </c>
      <c r="L12" s="175">
        <f>IFERROR(VLOOKUP($A12,'Budget &amp; Revenue'!$A:$Y,23,FALSE)," ")</f>
        <v>1</v>
      </c>
      <c r="M12" s="175">
        <f>IFERROR(VLOOKUP($A12,'Budget &amp; Revenue'!$A:$Y,25,FALSE)," ")</f>
        <v>1</v>
      </c>
    </row>
    <row r="13" spans="1:13" x14ac:dyDescent="0.25">
      <c r="A13" s="202">
        <v>12</v>
      </c>
      <c r="B13" s="203" t="s">
        <v>64</v>
      </c>
      <c r="C13" s="203">
        <f>VLOOKUP(A13,Estimate!A:L,12,FALSE)</f>
        <v>0</v>
      </c>
      <c r="D13" s="204"/>
      <c r="E13" s="204"/>
      <c r="F13" s="163">
        <f>IFERROR(VLOOKUP($A13,'Budget &amp; Revenue'!$A:$Y,4,FALSE)," ")</f>
        <v>0</v>
      </c>
      <c r="G13" s="175" t="str">
        <f>IFERROR(VLOOKUP($A13,'Budget &amp; Revenue'!$A:$Y,13,FALSE)," ")</f>
        <v xml:space="preserve"> </v>
      </c>
      <c r="H13" s="175" t="str">
        <f>IFERROR(VLOOKUP($A13,'Budget &amp; Revenue'!$A:$Y,15,FALSE)," ")</f>
        <v xml:space="preserve"> </v>
      </c>
      <c r="I13" s="175" t="str">
        <f>IFERROR(VLOOKUP($A13,'Budget &amp; Revenue'!$A:$Y,17,FALSE)," ")</f>
        <v xml:space="preserve"> </v>
      </c>
      <c r="J13" s="175" t="str">
        <f>IFERROR(VLOOKUP($A13,'Budget &amp; Revenue'!$A:$Y,19,FALSE)," ")</f>
        <v xml:space="preserve"> </v>
      </c>
      <c r="K13" s="175" t="str">
        <f>IFERROR(VLOOKUP($A13,'Budget &amp; Revenue'!$A:$Y,21,FALSE)," ")</f>
        <v xml:space="preserve"> </v>
      </c>
      <c r="L13" s="175" t="str">
        <f>IFERROR(VLOOKUP($A13,'Budget &amp; Revenue'!$A:$Y,23,FALSE)," ")</f>
        <v xml:space="preserve"> </v>
      </c>
      <c r="M13" s="175" t="str">
        <f>IFERROR(VLOOKUP($A13,'Budget &amp; Revenue'!$A:$Y,25,FALSE)," ")</f>
        <v xml:space="preserve"> </v>
      </c>
    </row>
    <row r="14" spans="1:13" ht="60" x14ac:dyDescent="0.25">
      <c r="A14" s="202">
        <v>13</v>
      </c>
      <c r="B14" s="202" t="s">
        <v>66</v>
      </c>
      <c r="C14" s="203">
        <f>VLOOKUP(A14,Estimate!A:L,12,FALSE)</f>
        <v>9</v>
      </c>
      <c r="D14" s="205">
        <v>11</v>
      </c>
      <c r="E14" s="205">
        <v>22</v>
      </c>
      <c r="F14" s="163">
        <f>IFERROR(VLOOKUP($A14,'Budget &amp; Revenue'!$A:$Y,4,FALSE)," ")</f>
        <v>8544.4444444444453</v>
      </c>
      <c r="G14" s="175">
        <f>IFERROR(VLOOKUP($A14,'Budget &amp; Revenue'!$A:$Y,13,FALSE)," ")</f>
        <v>0.10116172823391202</v>
      </c>
      <c r="H14" s="175">
        <f>IFERROR(VLOOKUP($A14,'Budget &amp; Revenue'!$A:$Y,15,FALSE)," ")</f>
        <v>0.4131967106121916</v>
      </c>
      <c r="I14" s="175">
        <f>IFERROR(VLOOKUP($A14,'Budget &amp; Revenue'!$A:$Y,17,FALSE)," ")</f>
        <v>0.758190836705391</v>
      </c>
      <c r="J14" s="175">
        <f>IFERROR(VLOOKUP($A14,'Budget &amp; Revenue'!$A:$Y,19,FALSE)," ")</f>
        <v>0.82621067745725107</v>
      </c>
      <c r="K14" s="175">
        <f>IFERROR(VLOOKUP($A14,'Budget &amp; Revenue'!$A:$Y,21,FALSE)," ")</f>
        <v>0.91263542618457116</v>
      </c>
      <c r="L14" s="175">
        <f>IFERROR(VLOOKUP($A14,'Budget &amp; Revenue'!$A:$Y,23,FALSE)," ")</f>
        <v>1</v>
      </c>
      <c r="M14" s="175">
        <f>IFERROR(VLOOKUP($A14,'Budget &amp; Revenue'!$A:$Y,25,FALSE)," ")</f>
        <v>1</v>
      </c>
    </row>
    <row r="15" spans="1:13" ht="48" x14ac:dyDescent="0.25">
      <c r="A15" s="203">
        <v>14</v>
      </c>
      <c r="B15" s="203" t="s">
        <v>71</v>
      </c>
      <c r="C15" s="203">
        <f>VLOOKUP(A15,Estimate!A:L,12,FALSE)</f>
        <v>0</v>
      </c>
      <c r="D15" s="204"/>
      <c r="E15" s="204"/>
      <c r="F15" s="163">
        <f>IFERROR(VLOOKUP($A15,'Budget &amp; Revenue'!$A:$Y,4,FALSE)," ")</f>
        <v>173481.04666666669</v>
      </c>
      <c r="G15" s="175">
        <f>IFERROR(VLOOKUP($A15,'Budget &amp; Revenue'!$A:$Y,13,FALSE)," ")</f>
        <v>0.10059050247324459</v>
      </c>
      <c r="H15" s="175">
        <f>IFERROR(VLOOKUP($A15,'Budget &amp; Revenue'!$A:$Y,15,FALSE)," ")</f>
        <v>0.41393799835488554</v>
      </c>
      <c r="I15" s="175">
        <f>IFERROR(VLOOKUP($A15,'Budget &amp; Revenue'!$A:$Y,17,FALSE)," ")</f>
        <v>0.80707689015405659</v>
      </c>
      <c r="J15" s="175">
        <f>IFERROR(VLOOKUP($A15,'Budget &amp; Revenue'!$A:$Y,19,FALSE)," ")</f>
        <v>0.86848446615143526</v>
      </c>
      <c r="K15" s="175">
        <f>IFERROR(VLOOKUP($A15,'Budget &amp; Revenue'!$A:$Y,21,FALSE)," ")</f>
        <v>0.96072902200396337</v>
      </c>
      <c r="L15" s="175">
        <f>IFERROR(VLOOKUP($A15,'Budget &amp; Revenue'!$A:$Y,23,FALSE)," ")</f>
        <v>1</v>
      </c>
      <c r="M15" s="175">
        <f>IFERROR(VLOOKUP($A15,'Budget &amp; Revenue'!$A:$Y,25,FALSE)," ")</f>
        <v>1</v>
      </c>
    </row>
    <row r="16" spans="1:13" x14ac:dyDescent="0.25">
      <c r="A16" s="202">
        <v>15</v>
      </c>
      <c r="B16" s="202" t="s">
        <v>326</v>
      </c>
      <c r="C16" s="203">
        <f>VLOOKUP(A16,Estimate!A:L,12,FALSE)</f>
        <v>1</v>
      </c>
      <c r="D16" s="205">
        <v>99</v>
      </c>
      <c r="E16" s="205">
        <v>35</v>
      </c>
      <c r="F16" s="163" t="str">
        <f>IFERROR(VLOOKUP($A16,'Budget &amp; Revenue'!$A:$Y,4,FALSE)," ")</f>
        <v xml:space="preserve"> </v>
      </c>
      <c r="G16" s="175" t="str">
        <f>IFERROR(VLOOKUP($A16,'Budget &amp; Revenue'!$A:$Y,13,FALSE)," ")</f>
        <v xml:space="preserve"> </v>
      </c>
      <c r="H16" s="175" t="str">
        <f>IFERROR(VLOOKUP($A16,'Budget &amp; Revenue'!$A:$Y,15,FALSE)," ")</f>
        <v xml:space="preserve"> </v>
      </c>
      <c r="I16" s="175" t="str">
        <f>IFERROR(VLOOKUP($A16,'Budget &amp; Revenue'!$A:$Y,17,FALSE)," ")</f>
        <v xml:space="preserve"> </v>
      </c>
      <c r="J16" s="175" t="str">
        <f>IFERROR(VLOOKUP($A16,'Budget &amp; Revenue'!$A:$Y,19,FALSE)," ")</f>
        <v xml:space="preserve"> </v>
      </c>
      <c r="K16" s="175" t="str">
        <f>IFERROR(VLOOKUP($A16,'Budget &amp; Revenue'!$A:$Y,21,FALSE)," ")</f>
        <v xml:space="preserve"> </v>
      </c>
      <c r="L16" s="175" t="str">
        <f>IFERROR(VLOOKUP($A16,'Budget &amp; Revenue'!$A:$Y,23,FALSE)," ")</f>
        <v xml:space="preserve"> </v>
      </c>
      <c r="M16" s="175" t="str">
        <f>IFERROR(VLOOKUP($A16,'Budget &amp; Revenue'!$A:$Y,25,FALSE)," ")</f>
        <v xml:space="preserve"> </v>
      </c>
    </row>
    <row r="17" spans="1:13" x14ac:dyDescent="0.25">
      <c r="A17" s="202">
        <v>16</v>
      </c>
      <c r="B17" s="202" t="s">
        <v>327</v>
      </c>
      <c r="C17" s="203">
        <f>VLOOKUP(A17,Estimate!A:L,12,FALSE)</f>
        <v>1</v>
      </c>
      <c r="D17" s="205">
        <v>105</v>
      </c>
      <c r="E17" s="205">
        <v>36</v>
      </c>
      <c r="F17" s="163" t="str">
        <f>IFERROR(VLOOKUP($A17,'Budget &amp; Revenue'!$A:$Y,4,FALSE)," ")</f>
        <v xml:space="preserve"> </v>
      </c>
      <c r="G17" s="175" t="str">
        <f>IFERROR(VLOOKUP($A17,'Budget &amp; Revenue'!$A:$Y,13,FALSE)," ")</f>
        <v xml:space="preserve"> </v>
      </c>
      <c r="H17" s="175" t="str">
        <f>IFERROR(VLOOKUP($A17,'Budget &amp; Revenue'!$A:$Y,15,FALSE)," ")</f>
        <v xml:space="preserve"> </v>
      </c>
      <c r="I17" s="175" t="str">
        <f>IFERROR(VLOOKUP($A17,'Budget &amp; Revenue'!$A:$Y,17,FALSE)," ")</f>
        <v xml:space="preserve"> </v>
      </c>
      <c r="J17" s="175" t="str">
        <f>IFERROR(VLOOKUP($A17,'Budget &amp; Revenue'!$A:$Y,19,FALSE)," ")</f>
        <v xml:space="preserve"> </v>
      </c>
      <c r="K17" s="175" t="str">
        <f>IFERROR(VLOOKUP($A17,'Budget &amp; Revenue'!$A:$Y,21,FALSE)," ")</f>
        <v xml:space="preserve"> </v>
      </c>
      <c r="L17" s="175" t="str">
        <f>IFERROR(VLOOKUP($A17,'Budget &amp; Revenue'!$A:$Y,23,FALSE)," ")</f>
        <v xml:space="preserve"> </v>
      </c>
      <c r="M17" s="175" t="str">
        <f>IFERROR(VLOOKUP($A17,'Budget &amp; Revenue'!$A:$Y,25,FALSE)," ")</f>
        <v xml:space="preserve"> </v>
      </c>
    </row>
    <row r="18" spans="1:13" x14ac:dyDescent="0.25">
      <c r="A18" s="202">
        <v>17</v>
      </c>
      <c r="B18" s="202" t="s">
        <v>328</v>
      </c>
      <c r="C18" s="203">
        <f>VLOOKUP(A18,Estimate!A:L,12,FALSE)</f>
        <v>1</v>
      </c>
      <c r="D18" s="205">
        <v>94</v>
      </c>
      <c r="E18" s="205">
        <v>37</v>
      </c>
      <c r="F18" s="163" t="str">
        <f>IFERROR(VLOOKUP($A18,'Budget &amp; Revenue'!$A:$Y,4,FALSE)," ")</f>
        <v xml:space="preserve"> </v>
      </c>
      <c r="G18" s="175" t="str">
        <f>IFERROR(VLOOKUP($A18,'Budget &amp; Revenue'!$A:$Y,13,FALSE)," ")</f>
        <v xml:space="preserve"> </v>
      </c>
      <c r="H18" s="175" t="str">
        <f>IFERROR(VLOOKUP($A18,'Budget &amp; Revenue'!$A:$Y,15,FALSE)," ")</f>
        <v xml:space="preserve"> </v>
      </c>
      <c r="I18" s="175" t="str">
        <f>IFERROR(VLOOKUP($A18,'Budget &amp; Revenue'!$A:$Y,17,FALSE)," ")</f>
        <v xml:space="preserve"> </v>
      </c>
      <c r="J18" s="175" t="str">
        <f>IFERROR(VLOOKUP($A18,'Budget &amp; Revenue'!$A:$Y,19,FALSE)," ")</f>
        <v xml:space="preserve"> </v>
      </c>
      <c r="K18" s="175" t="str">
        <f>IFERROR(VLOOKUP($A18,'Budget &amp; Revenue'!$A:$Y,21,FALSE)," ")</f>
        <v xml:space="preserve"> </v>
      </c>
      <c r="L18" s="175" t="str">
        <f>IFERROR(VLOOKUP($A18,'Budget &amp; Revenue'!$A:$Y,23,FALSE)," ")</f>
        <v xml:space="preserve"> </v>
      </c>
      <c r="M18" s="175" t="str">
        <f>IFERROR(VLOOKUP($A18,'Budget &amp; Revenue'!$A:$Y,25,FALSE)," ")</f>
        <v xml:space="preserve"> </v>
      </c>
    </row>
    <row r="19" spans="1:13" x14ac:dyDescent="0.25">
      <c r="A19" s="202">
        <v>18</v>
      </c>
      <c r="B19" s="202" t="s">
        <v>329</v>
      </c>
      <c r="C19" s="203">
        <f>VLOOKUP(A19,Estimate!A:L,12,FALSE)</f>
        <v>1</v>
      </c>
      <c r="D19" s="205">
        <v>95</v>
      </c>
      <c r="E19" s="205">
        <v>38</v>
      </c>
      <c r="F19" s="163" t="str">
        <f>IFERROR(VLOOKUP($A19,'Budget &amp; Revenue'!$A:$Y,4,FALSE)," ")</f>
        <v xml:space="preserve"> </v>
      </c>
      <c r="G19" s="175" t="str">
        <f>IFERROR(VLOOKUP($A19,'Budget &amp; Revenue'!$A:$Y,13,FALSE)," ")</f>
        <v xml:space="preserve"> </v>
      </c>
      <c r="H19" s="175" t="str">
        <f>IFERROR(VLOOKUP($A19,'Budget &amp; Revenue'!$A:$Y,15,FALSE)," ")</f>
        <v xml:space="preserve"> </v>
      </c>
      <c r="I19" s="175" t="str">
        <f>IFERROR(VLOOKUP($A19,'Budget &amp; Revenue'!$A:$Y,17,FALSE)," ")</f>
        <v xml:space="preserve"> </v>
      </c>
      <c r="J19" s="175" t="str">
        <f>IFERROR(VLOOKUP($A19,'Budget &amp; Revenue'!$A:$Y,19,FALSE)," ")</f>
        <v xml:space="preserve"> </v>
      </c>
      <c r="K19" s="175" t="str">
        <f>IFERROR(VLOOKUP($A19,'Budget &amp; Revenue'!$A:$Y,21,FALSE)," ")</f>
        <v xml:space="preserve"> </v>
      </c>
      <c r="L19" s="175" t="str">
        <f>IFERROR(VLOOKUP($A19,'Budget &amp; Revenue'!$A:$Y,23,FALSE)," ")</f>
        <v xml:space="preserve"> </v>
      </c>
      <c r="M19" s="175" t="str">
        <f>IFERROR(VLOOKUP($A19,'Budget &amp; Revenue'!$A:$Y,25,FALSE)," ")</f>
        <v xml:space="preserve"> </v>
      </c>
    </row>
    <row r="20" spans="1:13" x14ac:dyDescent="0.25">
      <c r="A20" s="202">
        <v>19</v>
      </c>
      <c r="B20" s="202" t="s">
        <v>330</v>
      </c>
      <c r="C20" s="203">
        <f>VLOOKUP(A20,Estimate!A:L,12,FALSE)</f>
        <v>1</v>
      </c>
      <c r="D20" s="205">
        <v>96</v>
      </c>
      <c r="E20" s="205">
        <v>39</v>
      </c>
      <c r="F20" s="163" t="str">
        <f>IFERROR(VLOOKUP($A20,'Budget &amp; Revenue'!$A:$Y,4,FALSE)," ")</f>
        <v xml:space="preserve"> </v>
      </c>
      <c r="G20" s="175" t="str">
        <f>IFERROR(VLOOKUP($A20,'Budget &amp; Revenue'!$A:$Y,13,FALSE)," ")</f>
        <v xml:space="preserve"> </v>
      </c>
      <c r="H20" s="175" t="str">
        <f>IFERROR(VLOOKUP($A20,'Budget &amp; Revenue'!$A:$Y,15,FALSE)," ")</f>
        <v xml:space="preserve"> </v>
      </c>
      <c r="I20" s="175" t="str">
        <f>IFERROR(VLOOKUP($A20,'Budget &amp; Revenue'!$A:$Y,17,FALSE)," ")</f>
        <v xml:space="preserve"> </v>
      </c>
      <c r="J20" s="175" t="str">
        <f>IFERROR(VLOOKUP($A20,'Budget &amp; Revenue'!$A:$Y,19,FALSE)," ")</f>
        <v xml:space="preserve"> </v>
      </c>
      <c r="K20" s="175" t="str">
        <f>IFERROR(VLOOKUP($A20,'Budget &amp; Revenue'!$A:$Y,21,FALSE)," ")</f>
        <v xml:space="preserve"> </v>
      </c>
      <c r="L20" s="175" t="str">
        <f>IFERROR(VLOOKUP($A20,'Budget &amp; Revenue'!$A:$Y,23,FALSE)," ")</f>
        <v xml:space="preserve"> </v>
      </c>
      <c r="M20" s="175" t="str">
        <f>IFERROR(VLOOKUP($A20,'Budget &amp; Revenue'!$A:$Y,25,FALSE)," ")</f>
        <v xml:space="preserve"> </v>
      </c>
    </row>
    <row r="21" spans="1:13" x14ac:dyDescent="0.25">
      <c r="A21" s="202">
        <v>20</v>
      </c>
      <c r="B21" s="202" t="s">
        <v>331</v>
      </c>
      <c r="C21" s="203">
        <f>VLOOKUP(A21,Estimate!A:L,12,FALSE)</f>
        <v>1</v>
      </c>
      <c r="D21" s="205">
        <v>97</v>
      </c>
      <c r="E21" s="205">
        <v>40</v>
      </c>
      <c r="F21" s="163" t="str">
        <f>IFERROR(VLOOKUP($A21,'Budget &amp; Revenue'!$A:$Y,4,FALSE)," ")</f>
        <v xml:space="preserve"> </v>
      </c>
      <c r="G21" s="175" t="str">
        <f>IFERROR(VLOOKUP($A21,'Budget &amp; Revenue'!$A:$Y,13,FALSE)," ")</f>
        <v xml:space="preserve"> </v>
      </c>
      <c r="H21" s="175" t="str">
        <f>IFERROR(VLOOKUP($A21,'Budget &amp; Revenue'!$A:$Y,15,FALSE)," ")</f>
        <v xml:space="preserve"> </v>
      </c>
      <c r="I21" s="175" t="str">
        <f>IFERROR(VLOOKUP($A21,'Budget &amp; Revenue'!$A:$Y,17,FALSE)," ")</f>
        <v xml:space="preserve"> </v>
      </c>
      <c r="J21" s="175" t="str">
        <f>IFERROR(VLOOKUP($A21,'Budget &amp; Revenue'!$A:$Y,19,FALSE)," ")</f>
        <v xml:space="preserve"> </v>
      </c>
      <c r="K21" s="175" t="str">
        <f>IFERROR(VLOOKUP($A21,'Budget &amp; Revenue'!$A:$Y,21,FALSE)," ")</f>
        <v xml:space="preserve"> </v>
      </c>
      <c r="L21" s="175" t="str">
        <f>IFERROR(VLOOKUP($A21,'Budget &amp; Revenue'!$A:$Y,23,FALSE)," ")</f>
        <v xml:space="preserve"> </v>
      </c>
      <c r="M21" s="175" t="str">
        <f>IFERROR(VLOOKUP($A21,'Budget &amp; Revenue'!$A:$Y,25,FALSE)," ")</f>
        <v xml:space="preserve"> </v>
      </c>
    </row>
    <row r="22" spans="1:13" x14ac:dyDescent="0.25">
      <c r="A22" s="202">
        <v>21</v>
      </c>
      <c r="B22" s="202" t="s">
        <v>332</v>
      </c>
      <c r="C22" s="203">
        <f>VLOOKUP(A22,Estimate!A:L,12,FALSE)</f>
        <v>1</v>
      </c>
      <c r="D22" s="205">
        <v>102</v>
      </c>
      <c r="E22" s="205">
        <v>41</v>
      </c>
      <c r="F22" s="163" t="str">
        <f>IFERROR(VLOOKUP($A22,'Budget &amp; Revenue'!$A:$Y,4,FALSE)," ")</f>
        <v xml:space="preserve"> </v>
      </c>
      <c r="G22" s="175" t="str">
        <f>IFERROR(VLOOKUP($A22,'Budget &amp; Revenue'!$A:$Y,13,FALSE)," ")</f>
        <v xml:space="preserve"> </v>
      </c>
      <c r="H22" s="175" t="str">
        <f>IFERROR(VLOOKUP($A22,'Budget &amp; Revenue'!$A:$Y,15,FALSE)," ")</f>
        <v xml:space="preserve"> </v>
      </c>
      <c r="I22" s="175" t="str">
        <f>IFERROR(VLOOKUP($A22,'Budget &amp; Revenue'!$A:$Y,17,FALSE)," ")</f>
        <v xml:space="preserve"> </v>
      </c>
      <c r="J22" s="175" t="str">
        <f>IFERROR(VLOOKUP($A22,'Budget &amp; Revenue'!$A:$Y,19,FALSE)," ")</f>
        <v xml:space="preserve"> </v>
      </c>
      <c r="K22" s="175" t="str">
        <f>IFERROR(VLOOKUP($A22,'Budget &amp; Revenue'!$A:$Y,21,FALSE)," ")</f>
        <v xml:space="preserve"> </v>
      </c>
      <c r="L22" s="175" t="str">
        <f>IFERROR(VLOOKUP($A22,'Budget &amp; Revenue'!$A:$Y,23,FALSE)," ")</f>
        <v xml:space="preserve"> </v>
      </c>
      <c r="M22" s="175" t="str">
        <f>IFERROR(VLOOKUP($A22,'Budget &amp; Revenue'!$A:$Y,25,FALSE)," ")</f>
        <v xml:space="preserve"> </v>
      </c>
    </row>
    <row r="23" spans="1:13" x14ac:dyDescent="0.25">
      <c r="A23" s="202">
        <v>22</v>
      </c>
      <c r="B23" s="202" t="s">
        <v>333</v>
      </c>
      <c r="C23" s="203">
        <f>VLOOKUP(A23,Estimate!A:L,12,FALSE)</f>
        <v>19</v>
      </c>
      <c r="D23" s="205" t="s">
        <v>322</v>
      </c>
      <c r="E23" s="205" t="s">
        <v>334</v>
      </c>
      <c r="F23" s="163" t="str">
        <f>IFERROR(VLOOKUP($A23,'Budget &amp; Revenue'!$A:$Y,4,FALSE)," ")</f>
        <v xml:space="preserve"> </v>
      </c>
      <c r="G23" s="175" t="str">
        <f>IFERROR(VLOOKUP($A23,'Budget &amp; Revenue'!$A:$Y,13,FALSE)," ")</f>
        <v xml:space="preserve"> </v>
      </c>
      <c r="H23" s="175" t="str">
        <f>IFERROR(VLOOKUP($A23,'Budget &amp; Revenue'!$A:$Y,15,FALSE)," ")</f>
        <v xml:space="preserve"> </v>
      </c>
      <c r="I23" s="175" t="str">
        <f>IFERROR(VLOOKUP($A23,'Budget &amp; Revenue'!$A:$Y,17,FALSE)," ")</f>
        <v xml:space="preserve"> </v>
      </c>
      <c r="J23" s="175" t="str">
        <f>IFERROR(VLOOKUP($A23,'Budget &amp; Revenue'!$A:$Y,19,FALSE)," ")</f>
        <v xml:space="preserve"> </v>
      </c>
      <c r="K23" s="175" t="str">
        <f>IFERROR(VLOOKUP($A23,'Budget &amp; Revenue'!$A:$Y,21,FALSE)," ")</f>
        <v xml:space="preserve"> </v>
      </c>
      <c r="L23" s="175" t="str">
        <f>IFERROR(VLOOKUP($A23,'Budget &amp; Revenue'!$A:$Y,23,FALSE)," ")</f>
        <v xml:space="preserve"> </v>
      </c>
      <c r="M23" s="175" t="str">
        <f>IFERROR(VLOOKUP($A23,'Budget &amp; Revenue'!$A:$Y,25,FALSE)," ")</f>
        <v xml:space="preserve"> </v>
      </c>
    </row>
    <row r="24" spans="1:13" x14ac:dyDescent="0.25">
      <c r="A24" s="202">
        <v>23</v>
      </c>
      <c r="B24" s="202" t="s">
        <v>335</v>
      </c>
      <c r="C24" s="203">
        <f>VLOOKUP(A24,Estimate!A:L,12,FALSE)</f>
        <v>1</v>
      </c>
      <c r="D24" s="205">
        <v>93</v>
      </c>
      <c r="E24" s="205">
        <v>43</v>
      </c>
      <c r="F24" s="163" t="str">
        <f>IFERROR(VLOOKUP($A24,'Budget &amp; Revenue'!$A:$Y,4,FALSE)," ")</f>
        <v xml:space="preserve"> </v>
      </c>
      <c r="G24" s="175" t="str">
        <f>IFERROR(VLOOKUP($A24,'Budget &amp; Revenue'!$A:$Y,13,FALSE)," ")</f>
        <v xml:space="preserve"> </v>
      </c>
      <c r="H24" s="175" t="str">
        <f>IFERROR(VLOOKUP($A24,'Budget &amp; Revenue'!$A:$Y,15,FALSE)," ")</f>
        <v xml:space="preserve"> </v>
      </c>
      <c r="I24" s="175" t="str">
        <f>IFERROR(VLOOKUP($A24,'Budget &amp; Revenue'!$A:$Y,17,FALSE)," ")</f>
        <v xml:space="preserve"> </v>
      </c>
      <c r="J24" s="175" t="str">
        <f>IFERROR(VLOOKUP($A24,'Budget &amp; Revenue'!$A:$Y,19,FALSE)," ")</f>
        <v xml:space="preserve"> </v>
      </c>
      <c r="K24" s="175" t="str">
        <f>IFERROR(VLOOKUP($A24,'Budget &amp; Revenue'!$A:$Y,21,FALSE)," ")</f>
        <v xml:space="preserve"> </v>
      </c>
      <c r="L24" s="175" t="str">
        <f>IFERROR(VLOOKUP($A24,'Budget &amp; Revenue'!$A:$Y,23,FALSE)," ")</f>
        <v xml:space="preserve"> </v>
      </c>
      <c r="M24" s="175" t="str">
        <f>IFERROR(VLOOKUP($A24,'Budget &amp; Revenue'!$A:$Y,25,FALSE)," ")</f>
        <v xml:space="preserve"> </v>
      </c>
    </row>
    <row r="25" spans="1:13" x14ac:dyDescent="0.25">
      <c r="A25" s="202">
        <v>24</v>
      </c>
      <c r="B25" s="202" t="s">
        <v>336</v>
      </c>
      <c r="C25" s="203">
        <f>VLOOKUP(A25,Estimate!A:L,12,FALSE)</f>
        <v>6</v>
      </c>
      <c r="D25" s="205">
        <v>103</v>
      </c>
      <c r="E25" s="205">
        <v>44</v>
      </c>
      <c r="F25" s="163" t="str">
        <f>IFERROR(VLOOKUP($A25,'Budget &amp; Revenue'!$A:$Y,4,FALSE)," ")</f>
        <v xml:space="preserve"> </v>
      </c>
      <c r="G25" s="175" t="str">
        <f>IFERROR(VLOOKUP($A25,'Budget &amp; Revenue'!$A:$Y,13,FALSE)," ")</f>
        <v xml:space="preserve"> </v>
      </c>
      <c r="H25" s="175" t="str">
        <f>IFERROR(VLOOKUP($A25,'Budget &amp; Revenue'!$A:$Y,15,FALSE)," ")</f>
        <v xml:space="preserve"> </v>
      </c>
      <c r="I25" s="175" t="str">
        <f>IFERROR(VLOOKUP($A25,'Budget &amp; Revenue'!$A:$Y,17,FALSE)," ")</f>
        <v xml:space="preserve"> </v>
      </c>
      <c r="J25" s="175" t="str">
        <f>IFERROR(VLOOKUP($A25,'Budget &amp; Revenue'!$A:$Y,19,FALSE)," ")</f>
        <v xml:space="preserve"> </v>
      </c>
      <c r="K25" s="175" t="str">
        <f>IFERROR(VLOOKUP($A25,'Budget &amp; Revenue'!$A:$Y,21,FALSE)," ")</f>
        <v xml:space="preserve"> </v>
      </c>
      <c r="L25" s="175" t="str">
        <f>IFERROR(VLOOKUP($A25,'Budget &amp; Revenue'!$A:$Y,23,FALSE)," ")</f>
        <v xml:space="preserve"> </v>
      </c>
      <c r="M25" s="175" t="str">
        <f>IFERROR(VLOOKUP($A25,'Budget &amp; Revenue'!$A:$Y,25,FALSE)," ")</f>
        <v xml:space="preserve"> </v>
      </c>
    </row>
    <row r="26" spans="1:13" x14ac:dyDescent="0.25">
      <c r="A26" s="202">
        <v>25</v>
      </c>
      <c r="B26" s="202" t="s">
        <v>337</v>
      </c>
      <c r="C26" s="203">
        <f>VLOOKUP(A26,Estimate!A:L,12,FALSE)</f>
        <v>1</v>
      </c>
      <c r="D26" s="205">
        <v>98</v>
      </c>
      <c r="E26" s="205">
        <v>45</v>
      </c>
      <c r="F26" s="163" t="str">
        <f>IFERROR(VLOOKUP($A26,'Budget &amp; Revenue'!$A:$Y,4,FALSE)," ")</f>
        <v xml:space="preserve"> </v>
      </c>
      <c r="G26" s="175" t="str">
        <f>IFERROR(VLOOKUP($A26,'Budget &amp; Revenue'!$A:$Y,13,FALSE)," ")</f>
        <v xml:space="preserve"> </v>
      </c>
      <c r="H26" s="175" t="str">
        <f>IFERROR(VLOOKUP($A26,'Budget &amp; Revenue'!$A:$Y,15,FALSE)," ")</f>
        <v xml:space="preserve"> </v>
      </c>
      <c r="I26" s="175" t="str">
        <f>IFERROR(VLOOKUP($A26,'Budget &amp; Revenue'!$A:$Y,17,FALSE)," ")</f>
        <v xml:space="preserve"> </v>
      </c>
      <c r="J26" s="175" t="str">
        <f>IFERROR(VLOOKUP($A26,'Budget &amp; Revenue'!$A:$Y,19,FALSE)," ")</f>
        <v xml:space="preserve"> </v>
      </c>
      <c r="K26" s="175" t="str">
        <f>IFERROR(VLOOKUP($A26,'Budget &amp; Revenue'!$A:$Y,21,FALSE)," ")</f>
        <v xml:space="preserve"> </v>
      </c>
      <c r="L26" s="175" t="str">
        <f>IFERROR(VLOOKUP($A26,'Budget &amp; Revenue'!$A:$Y,23,FALSE)," ")</f>
        <v xml:space="preserve"> </v>
      </c>
      <c r="M26" s="175" t="str">
        <f>IFERROR(VLOOKUP($A26,'Budget &amp; Revenue'!$A:$Y,25,FALSE)," ")</f>
        <v xml:space="preserve"> </v>
      </c>
    </row>
    <row r="27" spans="1:13" x14ac:dyDescent="0.25">
      <c r="A27" s="202">
        <v>26</v>
      </c>
      <c r="B27" s="202" t="s">
        <v>338</v>
      </c>
      <c r="C27" s="203">
        <f>VLOOKUP(A27,Estimate!A:L,12,FALSE)</f>
        <v>1</v>
      </c>
      <c r="D27" s="205">
        <v>101</v>
      </c>
      <c r="E27" s="205">
        <v>46</v>
      </c>
      <c r="F27" s="163" t="str">
        <f>IFERROR(VLOOKUP($A27,'Budget &amp; Revenue'!$A:$Y,4,FALSE)," ")</f>
        <v xml:space="preserve"> </v>
      </c>
      <c r="G27" s="175" t="str">
        <f>IFERROR(VLOOKUP($A27,'Budget &amp; Revenue'!$A:$Y,13,FALSE)," ")</f>
        <v xml:space="preserve"> </v>
      </c>
      <c r="H27" s="175" t="str">
        <f>IFERROR(VLOOKUP($A27,'Budget &amp; Revenue'!$A:$Y,15,FALSE)," ")</f>
        <v xml:space="preserve"> </v>
      </c>
      <c r="I27" s="175" t="str">
        <f>IFERROR(VLOOKUP($A27,'Budget &amp; Revenue'!$A:$Y,17,FALSE)," ")</f>
        <v xml:space="preserve"> </v>
      </c>
      <c r="J27" s="175" t="str">
        <f>IFERROR(VLOOKUP($A27,'Budget &amp; Revenue'!$A:$Y,19,FALSE)," ")</f>
        <v xml:space="preserve"> </v>
      </c>
      <c r="K27" s="175" t="str">
        <f>IFERROR(VLOOKUP($A27,'Budget &amp; Revenue'!$A:$Y,21,FALSE)," ")</f>
        <v xml:space="preserve"> </v>
      </c>
      <c r="L27" s="175" t="str">
        <f>IFERROR(VLOOKUP($A27,'Budget &amp; Revenue'!$A:$Y,23,FALSE)," ")</f>
        <v xml:space="preserve"> </v>
      </c>
      <c r="M27" s="175" t="str">
        <f>IFERROR(VLOOKUP($A27,'Budget &amp; Revenue'!$A:$Y,25,FALSE)," ")</f>
        <v xml:space="preserve"> </v>
      </c>
    </row>
    <row r="28" spans="1:13" x14ac:dyDescent="0.25">
      <c r="A28" s="202">
        <v>27</v>
      </c>
      <c r="B28" s="202" t="s">
        <v>339</v>
      </c>
      <c r="C28" s="203">
        <f>VLOOKUP(A28,Estimate!A:L,12,FALSE)</f>
        <v>4</v>
      </c>
      <c r="D28" s="205">
        <v>100</v>
      </c>
      <c r="E28" s="205">
        <v>47</v>
      </c>
      <c r="F28" s="163" t="str">
        <f>IFERROR(VLOOKUP($A28,'Budget &amp; Revenue'!$A:$Y,4,FALSE)," ")</f>
        <v xml:space="preserve"> </v>
      </c>
      <c r="G28" s="175" t="str">
        <f>IFERROR(VLOOKUP($A28,'Budget &amp; Revenue'!$A:$Y,13,FALSE)," ")</f>
        <v xml:space="preserve"> </v>
      </c>
      <c r="H28" s="175" t="str">
        <f>IFERROR(VLOOKUP($A28,'Budget &amp; Revenue'!$A:$Y,15,FALSE)," ")</f>
        <v xml:space="preserve"> </v>
      </c>
      <c r="I28" s="175" t="str">
        <f>IFERROR(VLOOKUP($A28,'Budget &amp; Revenue'!$A:$Y,17,FALSE)," ")</f>
        <v xml:space="preserve"> </v>
      </c>
      <c r="J28" s="175" t="str">
        <f>IFERROR(VLOOKUP($A28,'Budget &amp; Revenue'!$A:$Y,19,FALSE)," ")</f>
        <v xml:space="preserve"> </v>
      </c>
      <c r="K28" s="175" t="str">
        <f>IFERROR(VLOOKUP($A28,'Budget &amp; Revenue'!$A:$Y,21,FALSE)," ")</f>
        <v xml:space="preserve"> </v>
      </c>
      <c r="L28" s="175" t="str">
        <f>IFERROR(VLOOKUP($A28,'Budget &amp; Revenue'!$A:$Y,23,FALSE)," ")</f>
        <v xml:space="preserve"> </v>
      </c>
      <c r="M28" s="175" t="str">
        <f>IFERROR(VLOOKUP($A28,'Budget &amp; Revenue'!$A:$Y,25,FALSE)," ")</f>
        <v xml:space="preserve"> </v>
      </c>
    </row>
    <row r="29" spans="1:13" ht="48" x14ac:dyDescent="0.25">
      <c r="A29" s="202">
        <v>28</v>
      </c>
      <c r="B29" s="202" t="s">
        <v>77</v>
      </c>
      <c r="C29" s="203">
        <f>VLOOKUP(A29,Estimate!A:L,12,FALSE)</f>
        <v>3</v>
      </c>
      <c r="D29" s="205">
        <v>3</v>
      </c>
      <c r="E29" s="205">
        <v>29</v>
      </c>
      <c r="F29" s="163">
        <f>IFERROR(VLOOKUP($A29,'Budget &amp; Revenue'!$A:$Y,4,FALSE)," ")</f>
        <v>8016</v>
      </c>
      <c r="G29" s="175">
        <f>IFERROR(VLOOKUP($A29,'Budget &amp; Revenue'!$A:$Y,13,FALSE)," ")</f>
        <v>0</v>
      </c>
      <c r="H29" s="175">
        <f>IFERROR(VLOOKUP($A29,'Budget &amp; Revenue'!$A:$Y,15,FALSE)," ")</f>
        <v>0</v>
      </c>
      <c r="I29" s="175">
        <f>IFERROR(VLOOKUP($A29,'Budget &amp; Revenue'!$A:$Y,17,FALSE)," ")</f>
        <v>0</v>
      </c>
      <c r="J29" s="175">
        <f>IFERROR(VLOOKUP($A29,'Budget &amp; Revenue'!$A:$Y,19,FALSE)," ")</f>
        <v>0</v>
      </c>
      <c r="K29" s="175">
        <f>IFERROR(VLOOKUP($A29,'Budget &amp; Revenue'!$A:$Y,21,FALSE)," ")</f>
        <v>0</v>
      </c>
      <c r="L29" s="175">
        <f>IFERROR(VLOOKUP($A29,'Budget &amp; Revenue'!$A:$Y,23,FALSE)," ")</f>
        <v>1</v>
      </c>
      <c r="M29" s="175">
        <f>IFERROR(VLOOKUP($A29,'Budget &amp; Revenue'!$A:$Y,25,FALSE)," ")</f>
        <v>1</v>
      </c>
    </row>
    <row r="30" spans="1:13" ht="60" x14ac:dyDescent="0.25">
      <c r="A30" s="202">
        <v>29</v>
      </c>
      <c r="B30" s="202" t="s">
        <v>80</v>
      </c>
      <c r="C30" s="203">
        <f>VLOOKUP(A30,Estimate!A:L,12,FALSE)</f>
        <v>5</v>
      </c>
      <c r="D30" s="205" t="s">
        <v>478</v>
      </c>
      <c r="E30" s="205">
        <v>30</v>
      </c>
      <c r="F30" s="163">
        <f>IFERROR(VLOOKUP($A30,'Budget &amp; Revenue'!$A:$Y,4,FALSE)," ")</f>
        <v>14028</v>
      </c>
      <c r="G30" s="175">
        <f>IFERROR(VLOOKUP($A30,'Budget &amp; Revenue'!$A:$Y,13,FALSE)," ")</f>
        <v>0</v>
      </c>
      <c r="H30" s="175">
        <f>IFERROR(VLOOKUP($A30,'Budget &amp; Revenue'!$A:$Y,15,FALSE)," ")</f>
        <v>0</v>
      </c>
      <c r="I30" s="175">
        <f>IFERROR(VLOOKUP($A30,'Budget &amp; Revenue'!$A:$Y,17,FALSE)," ")</f>
        <v>0</v>
      </c>
      <c r="J30" s="175">
        <f>IFERROR(VLOOKUP($A30,'Budget &amp; Revenue'!$A:$Y,19,FALSE)," ")</f>
        <v>0.92094861660079053</v>
      </c>
      <c r="K30" s="175">
        <f>IFERROR(VLOOKUP($A30,'Budget &amp; Revenue'!$A:$Y,21,FALSE)," ")</f>
        <v>0.92094861660079053</v>
      </c>
      <c r="L30" s="175">
        <f>IFERROR(VLOOKUP($A30,'Budget &amp; Revenue'!$A:$Y,23,FALSE)," ")</f>
        <v>1</v>
      </c>
      <c r="M30" s="175">
        <f>IFERROR(VLOOKUP($A30,'Budget &amp; Revenue'!$A:$Y,25,FALSE)," ")</f>
        <v>1</v>
      </c>
    </row>
    <row r="31" spans="1:13" ht="48" x14ac:dyDescent="0.25">
      <c r="A31" s="202">
        <v>30</v>
      </c>
      <c r="B31" s="202" t="s">
        <v>83</v>
      </c>
      <c r="C31" s="203">
        <f>VLOOKUP(A31,Estimate!A:L,12,FALSE)</f>
        <v>3</v>
      </c>
      <c r="D31" s="205">
        <v>29</v>
      </c>
      <c r="E31" s="205">
        <v>31</v>
      </c>
      <c r="F31" s="163">
        <f>IFERROR(VLOOKUP($A31,'Budget &amp; Revenue'!$A:$Y,4,FALSE)," ")</f>
        <v>8016</v>
      </c>
      <c r="G31" s="175">
        <f>IFERROR(VLOOKUP($A31,'Budget &amp; Revenue'!$A:$Y,13,FALSE)," ")</f>
        <v>0</v>
      </c>
      <c r="H31" s="175">
        <f>IFERROR(VLOOKUP($A31,'Budget &amp; Revenue'!$A:$Y,15,FALSE)," ")</f>
        <v>0</v>
      </c>
      <c r="I31" s="175">
        <f>IFERROR(VLOOKUP($A31,'Budget &amp; Revenue'!$A:$Y,17,FALSE)," ")</f>
        <v>0</v>
      </c>
      <c r="J31" s="175">
        <f>IFERROR(VLOOKUP($A31,'Budget &amp; Revenue'!$A:$Y,19,FALSE)," ")</f>
        <v>1</v>
      </c>
      <c r="K31" s="175">
        <f>IFERROR(VLOOKUP($A31,'Budget &amp; Revenue'!$A:$Y,21,FALSE)," ")</f>
        <v>1</v>
      </c>
      <c r="L31" s="175">
        <f>IFERROR(VLOOKUP($A31,'Budget &amp; Revenue'!$A:$Y,23,FALSE)," ")</f>
        <v>1</v>
      </c>
      <c r="M31" s="175">
        <f>IFERROR(VLOOKUP($A31,'Budget &amp; Revenue'!$A:$Y,25,FALSE)," ")</f>
        <v>1</v>
      </c>
    </row>
    <row r="32" spans="1:13" ht="72" x14ac:dyDescent="0.25">
      <c r="A32" s="202">
        <v>31</v>
      </c>
      <c r="B32" s="202" t="s">
        <v>86</v>
      </c>
      <c r="C32" s="203">
        <f>VLOOKUP(A32,Estimate!A:L,12,FALSE)</f>
        <v>1</v>
      </c>
      <c r="D32" s="205">
        <v>30</v>
      </c>
      <c r="E32" s="205">
        <v>32</v>
      </c>
      <c r="F32" s="163">
        <f>IFERROR(VLOOKUP($A32,'Budget &amp; Revenue'!$A:$Y,4,FALSE)," ")</f>
        <v>3106</v>
      </c>
      <c r="G32" s="175">
        <f>IFERROR(VLOOKUP($A32,'Budget &amp; Revenue'!$A:$Y,13,FALSE)," ")</f>
        <v>0</v>
      </c>
      <c r="H32" s="175">
        <f>IFERROR(VLOOKUP($A32,'Budget &amp; Revenue'!$A:$Y,15,FALSE)," ")</f>
        <v>0</v>
      </c>
      <c r="I32" s="175">
        <f>IFERROR(VLOOKUP($A32,'Budget &amp; Revenue'!$A:$Y,17,FALSE)," ")</f>
        <v>0</v>
      </c>
      <c r="J32" s="175">
        <f>IFERROR(VLOOKUP($A32,'Budget &amp; Revenue'!$A:$Y,19,FALSE)," ")</f>
        <v>0.33333333333333331</v>
      </c>
      <c r="K32" s="175">
        <f>IFERROR(VLOOKUP($A32,'Budget &amp; Revenue'!$A:$Y,21,FALSE)," ")</f>
        <v>0.33333333333333331</v>
      </c>
      <c r="L32" s="175">
        <f>IFERROR(VLOOKUP($A32,'Budget &amp; Revenue'!$A:$Y,23,FALSE)," ")</f>
        <v>1</v>
      </c>
      <c r="M32" s="175">
        <f>IFERROR(VLOOKUP($A32,'Budget &amp; Revenue'!$A:$Y,25,FALSE)," ")</f>
        <v>1</v>
      </c>
    </row>
    <row r="33" spans="1:13" ht="60" x14ac:dyDescent="0.25">
      <c r="A33" s="202">
        <v>32</v>
      </c>
      <c r="B33" s="202" t="s">
        <v>89</v>
      </c>
      <c r="C33" s="203">
        <f>VLOOKUP(A33,Estimate!A:L,12,FALSE)</f>
        <v>4</v>
      </c>
      <c r="D33" s="205">
        <v>31</v>
      </c>
      <c r="E33" s="205">
        <v>33</v>
      </c>
      <c r="F33" s="163">
        <f>IFERROR(VLOOKUP($A33,'Budget &amp; Revenue'!$A:$Y,4,FALSE)," ")</f>
        <v>10020</v>
      </c>
      <c r="G33" s="175">
        <f>IFERROR(VLOOKUP($A33,'Budget &amp; Revenue'!$A:$Y,13,FALSE)," ")</f>
        <v>0</v>
      </c>
      <c r="H33" s="175">
        <f>IFERROR(VLOOKUP($A33,'Budget &amp; Revenue'!$A:$Y,15,FALSE)," ")</f>
        <v>0</v>
      </c>
      <c r="I33" s="175">
        <f>IFERROR(VLOOKUP($A33,'Budget &amp; Revenue'!$A:$Y,17,FALSE)," ")</f>
        <v>0</v>
      </c>
      <c r="J33" s="175">
        <f>IFERROR(VLOOKUP($A33,'Budget &amp; Revenue'!$A:$Y,19,FALSE)," ")</f>
        <v>0.5680539932508436</v>
      </c>
      <c r="K33" s="175">
        <f>IFERROR(VLOOKUP($A33,'Budget &amp; Revenue'!$A:$Y,21,FALSE)," ")</f>
        <v>0.5680539932508436</v>
      </c>
      <c r="L33" s="175">
        <f>IFERROR(VLOOKUP($A33,'Budget &amp; Revenue'!$A:$Y,23,FALSE)," ")</f>
        <v>1</v>
      </c>
      <c r="M33" s="175">
        <f>IFERROR(VLOOKUP($A33,'Budget &amp; Revenue'!$A:$Y,25,FALSE)," ")</f>
        <v>1</v>
      </c>
    </row>
    <row r="34" spans="1:13" ht="48" x14ac:dyDescent="0.25">
      <c r="A34" s="202">
        <v>33</v>
      </c>
      <c r="B34" s="202" t="s">
        <v>92</v>
      </c>
      <c r="C34" s="203">
        <f>VLOOKUP(A34,Estimate!A:L,12,FALSE)</f>
        <v>3</v>
      </c>
      <c r="D34" s="205">
        <v>32</v>
      </c>
      <c r="E34" s="205">
        <v>76</v>
      </c>
      <c r="F34" s="163">
        <f>IFERROR(VLOOKUP($A34,'Budget &amp; Revenue'!$A:$Y,4,FALSE)," ")</f>
        <v>9124.4444444444434</v>
      </c>
      <c r="G34" s="175">
        <f>IFERROR(VLOOKUP($A34,'Budget &amp; Revenue'!$A:$Y,13,FALSE)," ")</f>
        <v>0</v>
      </c>
      <c r="H34" s="175">
        <f>IFERROR(VLOOKUP($A34,'Budget &amp; Revenue'!$A:$Y,15,FALSE)," ")</f>
        <v>3.1600407747196739E-2</v>
      </c>
      <c r="I34" s="175">
        <f>IFERROR(VLOOKUP($A34,'Budget &amp; Revenue'!$A:$Y,17,FALSE)," ")</f>
        <v>0.22273190621814473</v>
      </c>
      <c r="J34" s="175">
        <f>IFERROR(VLOOKUP($A34,'Budget &amp; Revenue'!$A:$Y,19,FALSE)," ")</f>
        <v>0.22273190621814473</v>
      </c>
      <c r="K34" s="175">
        <f>IFERROR(VLOOKUP($A34,'Budget &amp; Revenue'!$A:$Y,21,FALSE)," ")</f>
        <v>0.22273190621814473</v>
      </c>
      <c r="L34" s="175">
        <f>IFERROR(VLOOKUP($A34,'Budget &amp; Revenue'!$A:$Y,23,FALSE)," ")</f>
        <v>1</v>
      </c>
      <c r="M34" s="175">
        <f>IFERROR(VLOOKUP($A34,'Budget &amp; Revenue'!$A:$Y,25,FALSE)," ")</f>
        <v>1</v>
      </c>
    </row>
    <row r="35" spans="1:13" ht="48" x14ac:dyDescent="0.25">
      <c r="A35" s="203">
        <v>34</v>
      </c>
      <c r="B35" s="203" t="s">
        <v>94</v>
      </c>
      <c r="C35" s="203">
        <f>VLOOKUP(A35,Estimate!A:L,12,FALSE)</f>
        <v>0</v>
      </c>
      <c r="D35" s="204"/>
      <c r="E35" s="204"/>
      <c r="F35" s="163">
        <f>IFERROR(VLOOKUP($A35,'Budget &amp; Revenue'!$A:$Y,4,FALSE)," ")</f>
        <v>94060.010845680445</v>
      </c>
      <c r="G35" s="175">
        <f>IFERROR(VLOOKUP($A35,'Budget &amp; Revenue'!$A:$Y,13,FALSE)," ")</f>
        <v>0</v>
      </c>
      <c r="H35" s="175">
        <f>IFERROR(VLOOKUP($A35,'Budget &amp; Revenue'!$A:$Y,15,FALSE)," ")</f>
        <v>5.6686816374229669E-2</v>
      </c>
      <c r="I35" s="175">
        <f>IFERROR(VLOOKUP($A35,'Budget &amp; Revenue'!$A:$Y,17,FALSE)," ")</f>
        <v>0.67824924543688991</v>
      </c>
      <c r="J35" s="175">
        <f>IFERROR(VLOOKUP($A35,'Budget &amp; Revenue'!$A:$Y,19,FALSE)," ")</f>
        <v>0.84168887618439081</v>
      </c>
      <c r="K35" s="175">
        <f>IFERROR(VLOOKUP($A35,'Budget &amp; Revenue'!$A:$Y,21,FALSE)," ")</f>
        <v>1</v>
      </c>
      <c r="L35" s="175">
        <f>IFERROR(VLOOKUP($A35,'Budget &amp; Revenue'!$A:$Y,23,FALSE)," ")</f>
        <v>1</v>
      </c>
      <c r="M35" s="175">
        <f>IFERROR(VLOOKUP($A35,'Budget &amp; Revenue'!$A:$Y,25,FALSE)," ")</f>
        <v>1</v>
      </c>
    </row>
    <row r="36" spans="1:13" x14ac:dyDescent="0.25">
      <c r="A36" s="202">
        <v>35</v>
      </c>
      <c r="B36" s="202" t="s">
        <v>326</v>
      </c>
      <c r="C36" s="203">
        <f>VLOOKUP(A36,Estimate!A:L,12,FALSE)</f>
        <v>1</v>
      </c>
      <c r="D36" s="205">
        <v>15</v>
      </c>
      <c r="E36" s="205">
        <v>58</v>
      </c>
      <c r="F36" s="163" t="str">
        <f>IFERROR(VLOOKUP($A36,'Budget &amp; Revenue'!$A:$Y,4,FALSE)," ")</f>
        <v xml:space="preserve"> </v>
      </c>
      <c r="G36" s="175" t="str">
        <f>IFERROR(VLOOKUP($A36,'Budget &amp; Revenue'!$A:$Y,13,FALSE)," ")</f>
        <v xml:space="preserve"> </v>
      </c>
      <c r="H36" s="175" t="str">
        <f>IFERROR(VLOOKUP($A36,'Budget &amp; Revenue'!$A:$Y,15,FALSE)," ")</f>
        <v xml:space="preserve"> </v>
      </c>
      <c r="I36" s="175" t="str">
        <f>IFERROR(VLOOKUP($A36,'Budget &amp; Revenue'!$A:$Y,17,FALSE)," ")</f>
        <v xml:space="preserve"> </v>
      </c>
      <c r="J36" s="175" t="str">
        <f>IFERROR(VLOOKUP($A36,'Budget &amp; Revenue'!$A:$Y,19,FALSE)," ")</f>
        <v xml:space="preserve"> </v>
      </c>
      <c r="K36" s="175" t="str">
        <f>IFERROR(VLOOKUP($A36,'Budget &amp; Revenue'!$A:$Y,21,FALSE)," ")</f>
        <v xml:space="preserve"> </v>
      </c>
      <c r="L36" s="175" t="str">
        <f>IFERROR(VLOOKUP($A36,'Budget &amp; Revenue'!$A:$Y,23,FALSE)," ")</f>
        <v xml:space="preserve"> </v>
      </c>
      <c r="M36" s="175" t="str">
        <f>IFERROR(VLOOKUP($A36,'Budget &amp; Revenue'!$A:$Y,25,FALSE)," ")</f>
        <v xml:space="preserve"> </v>
      </c>
    </row>
    <row r="37" spans="1:13" x14ac:dyDescent="0.25">
      <c r="A37" s="202">
        <v>36</v>
      </c>
      <c r="B37" s="202" t="s">
        <v>327</v>
      </c>
      <c r="C37" s="203">
        <f>VLOOKUP(A37,Estimate!A:L,12,FALSE)</f>
        <v>1</v>
      </c>
      <c r="D37" s="205">
        <v>16</v>
      </c>
      <c r="E37" s="205">
        <v>59</v>
      </c>
      <c r="F37" s="163" t="str">
        <f>IFERROR(VLOOKUP($A37,'Budget &amp; Revenue'!$A:$Y,4,FALSE)," ")</f>
        <v xml:space="preserve"> </v>
      </c>
      <c r="G37" s="175" t="str">
        <f>IFERROR(VLOOKUP($A37,'Budget &amp; Revenue'!$A:$Y,13,FALSE)," ")</f>
        <v xml:space="preserve"> </v>
      </c>
      <c r="H37" s="175" t="str">
        <f>IFERROR(VLOOKUP($A37,'Budget &amp; Revenue'!$A:$Y,15,FALSE)," ")</f>
        <v xml:space="preserve"> </v>
      </c>
      <c r="I37" s="175" t="str">
        <f>IFERROR(VLOOKUP($A37,'Budget &amp; Revenue'!$A:$Y,17,FALSE)," ")</f>
        <v xml:space="preserve"> </v>
      </c>
      <c r="J37" s="175" t="str">
        <f>IFERROR(VLOOKUP($A37,'Budget &amp; Revenue'!$A:$Y,19,FALSE)," ")</f>
        <v xml:space="preserve"> </v>
      </c>
      <c r="K37" s="175" t="str">
        <f>IFERROR(VLOOKUP($A37,'Budget &amp; Revenue'!$A:$Y,21,FALSE)," ")</f>
        <v xml:space="preserve"> </v>
      </c>
      <c r="L37" s="175" t="str">
        <f>IFERROR(VLOOKUP($A37,'Budget &amp; Revenue'!$A:$Y,23,FALSE)," ")</f>
        <v xml:space="preserve"> </v>
      </c>
      <c r="M37" s="175" t="str">
        <f>IFERROR(VLOOKUP($A37,'Budget &amp; Revenue'!$A:$Y,25,FALSE)," ")</f>
        <v xml:space="preserve"> </v>
      </c>
    </row>
    <row r="38" spans="1:13" x14ac:dyDescent="0.25">
      <c r="A38" s="202">
        <v>37</v>
      </c>
      <c r="B38" s="202" t="s">
        <v>328</v>
      </c>
      <c r="C38" s="203">
        <f>VLOOKUP(A38,Estimate!A:L,12,FALSE)</f>
        <v>2</v>
      </c>
      <c r="D38" s="205">
        <v>17</v>
      </c>
      <c r="E38" s="205">
        <v>60</v>
      </c>
      <c r="F38" s="163" t="str">
        <f>IFERROR(VLOOKUP($A38,'Budget &amp; Revenue'!$A:$Y,4,FALSE)," ")</f>
        <v xml:space="preserve"> </v>
      </c>
      <c r="G38" s="175" t="str">
        <f>IFERROR(VLOOKUP($A38,'Budget &amp; Revenue'!$A:$Y,13,FALSE)," ")</f>
        <v xml:space="preserve"> </v>
      </c>
      <c r="H38" s="175" t="str">
        <f>IFERROR(VLOOKUP($A38,'Budget &amp; Revenue'!$A:$Y,15,FALSE)," ")</f>
        <v xml:space="preserve"> </v>
      </c>
      <c r="I38" s="175" t="str">
        <f>IFERROR(VLOOKUP($A38,'Budget &amp; Revenue'!$A:$Y,17,FALSE)," ")</f>
        <v xml:space="preserve"> </v>
      </c>
      <c r="J38" s="175" t="str">
        <f>IFERROR(VLOOKUP($A38,'Budget &amp; Revenue'!$A:$Y,19,FALSE)," ")</f>
        <v xml:space="preserve"> </v>
      </c>
      <c r="K38" s="175" t="str">
        <f>IFERROR(VLOOKUP($A38,'Budget &amp; Revenue'!$A:$Y,21,FALSE)," ")</f>
        <v xml:space="preserve"> </v>
      </c>
      <c r="L38" s="175" t="str">
        <f>IFERROR(VLOOKUP($A38,'Budget &amp; Revenue'!$A:$Y,23,FALSE)," ")</f>
        <v xml:space="preserve"> </v>
      </c>
      <c r="M38" s="175" t="str">
        <f>IFERROR(VLOOKUP($A38,'Budget &amp; Revenue'!$A:$Y,25,FALSE)," ")</f>
        <v xml:space="preserve"> </v>
      </c>
    </row>
    <row r="39" spans="1:13" x14ac:dyDescent="0.25">
      <c r="A39" s="202">
        <v>38</v>
      </c>
      <c r="B39" s="202" t="s">
        <v>329</v>
      </c>
      <c r="C39" s="203">
        <f>VLOOKUP(A39,Estimate!A:L,12,FALSE)</f>
        <v>2</v>
      </c>
      <c r="D39" s="205">
        <v>18</v>
      </c>
      <c r="E39" s="205">
        <v>61</v>
      </c>
      <c r="F39" s="163" t="str">
        <f>IFERROR(VLOOKUP($A39,'Budget &amp; Revenue'!$A:$Y,4,FALSE)," ")</f>
        <v xml:space="preserve"> </v>
      </c>
      <c r="G39" s="175" t="str">
        <f>IFERROR(VLOOKUP($A39,'Budget &amp; Revenue'!$A:$Y,13,FALSE)," ")</f>
        <v xml:space="preserve"> </v>
      </c>
      <c r="H39" s="175" t="str">
        <f>IFERROR(VLOOKUP($A39,'Budget &amp; Revenue'!$A:$Y,15,FALSE)," ")</f>
        <v xml:space="preserve"> </v>
      </c>
      <c r="I39" s="175" t="str">
        <f>IFERROR(VLOOKUP($A39,'Budget &amp; Revenue'!$A:$Y,17,FALSE)," ")</f>
        <v xml:space="preserve"> </v>
      </c>
      <c r="J39" s="175" t="str">
        <f>IFERROR(VLOOKUP($A39,'Budget &amp; Revenue'!$A:$Y,19,FALSE)," ")</f>
        <v xml:space="preserve"> </v>
      </c>
      <c r="K39" s="175" t="str">
        <f>IFERROR(VLOOKUP($A39,'Budget &amp; Revenue'!$A:$Y,21,FALSE)," ")</f>
        <v xml:space="preserve"> </v>
      </c>
      <c r="L39" s="175" t="str">
        <f>IFERROR(VLOOKUP($A39,'Budget &amp; Revenue'!$A:$Y,23,FALSE)," ")</f>
        <v xml:space="preserve"> </v>
      </c>
      <c r="M39" s="175" t="str">
        <f>IFERROR(VLOOKUP($A39,'Budget &amp; Revenue'!$A:$Y,25,FALSE)," ")</f>
        <v xml:space="preserve"> </v>
      </c>
    </row>
    <row r="40" spans="1:13" x14ac:dyDescent="0.25">
      <c r="A40" s="202">
        <v>39</v>
      </c>
      <c r="B40" s="202" t="s">
        <v>330</v>
      </c>
      <c r="C40" s="203">
        <f>VLOOKUP(A40,Estimate!A:L,12,FALSE)</f>
        <v>1</v>
      </c>
      <c r="D40" s="205">
        <v>19</v>
      </c>
      <c r="E40" s="205">
        <v>62</v>
      </c>
      <c r="F40" s="163" t="str">
        <f>IFERROR(VLOOKUP($A40,'Budget &amp; Revenue'!$A:$Y,4,FALSE)," ")</f>
        <v xml:space="preserve"> </v>
      </c>
      <c r="G40" s="175" t="str">
        <f>IFERROR(VLOOKUP($A40,'Budget &amp; Revenue'!$A:$Y,13,FALSE)," ")</f>
        <v xml:space="preserve"> </v>
      </c>
      <c r="H40" s="175" t="str">
        <f>IFERROR(VLOOKUP($A40,'Budget &amp; Revenue'!$A:$Y,15,FALSE)," ")</f>
        <v xml:space="preserve"> </v>
      </c>
      <c r="I40" s="175" t="str">
        <f>IFERROR(VLOOKUP($A40,'Budget &amp; Revenue'!$A:$Y,17,FALSE)," ")</f>
        <v xml:space="preserve"> </v>
      </c>
      <c r="J40" s="175" t="str">
        <f>IFERROR(VLOOKUP($A40,'Budget &amp; Revenue'!$A:$Y,19,FALSE)," ")</f>
        <v xml:space="preserve"> </v>
      </c>
      <c r="K40" s="175" t="str">
        <f>IFERROR(VLOOKUP($A40,'Budget &amp; Revenue'!$A:$Y,21,FALSE)," ")</f>
        <v xml:space="preserve"> </v>
      </c>
      <c r="L40" s="175" t="str">
        <f>IFERROR(VLOOKUP($A40,'Budget &amp; Revenue'!$A:$Y,23,FALSE)," ")</f>
        <v xml:space="preserve"> </v>
      </c>
      <c r="M40" s="175" t="str">
        <f>IFERROR(VLOOKUP($A40,'Budget &amp; Revenue'!$A:$Y,25,FALSE)," ")</f>
        <v xml:space="preserve"> </v>
      </c>
    </row>
    <row r="41" spans="1:13" x14ac:dyDescent="0.25">
      <c r="A41" s="202">
        <v>40</v>
      </c>
      <c r="B41" s="202" t="s">
        <v>331</v>
      </c>
      <c r="C41" s="203">
        <f>VLOOKUP(A41,Estimate!A:L,12,FALSE)</f>
        <v>1</v>
      </c>
      <c r="D41" s="205">
        <v>20</v>
      </c>
      <c r="E41" s="205">
        <v>63</v>
      </c>
      <c r="F41" s="163" t="str">
        <f>IFERROR(VLOOKUP($A41,'Budget &amp; Revenue'!$A:$Y,4,FALSE)," ")</f>
        <v xml:space="preserve"> </v>
      </c>
      <c r="G41" s="175" t="str">
        <f>IFERROR(VLOOKUP($A41,'Budget &amp; Revenue'!$A:$Y,13,FALSE)," ")</f>
        <v xml:space="preserve"> </v>
      </c>
      <c r="H41" s="175" t="str">
        <f>IFERROR(VLOOKUP($A41,'Budget &amp; Revenue'!$A:$Y,15,FALSE)," ")</f>
        <v xml:space="preserve"> </v>
      </c>
      <c r="I41" s="175" t="str">
        <f>IFERROR(VLOOKUP($A41,'Budget &amp; Revenue'!$A:$Y,17,FALSE)," ")</f>
        <v xml:space="preserve"> </v>
      </c>
      <c r="J41" s="175" t="str">
        <f>IFERROR(VLOOKUP($A41,'Budget &amp; Revenue'!$A:$Y,19,FALSE)," ")</f>
        <v xml:space="preserve"> </v>
      </c>
      <c r="K41" s="175" t="str">
        <f>IFERROR(VLOOKUP($A41,'Budget &amp; Revenue'!$A:$Y,21,FALSE)," ")</f>
        <v xml:space="preserve"> </v>
      </c>
      <c r="L41" s="175" t="str">
        <f>IFERROR(VLOOKUP($A41,'Budget &amp; Revenue'!$A:$Y,23,FALSE)," ")</f>
        <v xml:space="preserve"> </v>
      </c>
      <c r="M41" s="175" t="str">
        <f>IFERROR(VLOOKUP($A41,'Budget &amp; Revenue'!$A:$Y,25,FALSE)," ")</f>
        <v xml:space="preserve"> </v>
      </c>
    </row>
    <row r="42" spans="1:13" x14ac:dyDescent="0.25">
      <c r="A42" s="202">
        <v>41</v>
      </c>
      <c r="B42" s="202" t="s">
        <v>332</v>
      </c>
      <c r="C42" s="203">
        <f>VLOOKUP(A42,Estimate!A:L,12,FALSE)</f>
        <v>1</v>
      </c>
      <c r="D42" s="205">
        <v>21</v>
      </c>
      <c r="E42" s="205">
        <v>64</v>
      </c>
      <c r="F42" s="163" t="str">
        <f>IFERROR(VLOOKUP($A42,'Budget &amp; Revenue'!$A:$Y,4,FALSE)," ")</f>
        <v xml:space="preserve"> </v>
      </c>
      <c r="G42" s="175" t="str">
        <f>IFERROR(VLOOKUP($A42,'Budget &amp; Revenue'!$A:$Y,13,FALSE)," ")</f>
        <v xml:space="preserve"> </v>
      </c>
      <c r="H42" s="175" t="str">
        <f>IFERROR(VLOOKUP($A42,'Budget &amp; Revenue'!$A:$Y,15,FALSE)," ")</f>
        <v xml:space="preserve"> </v>
      </c>
      <c r="I42" s="175" t="str">
        <f>IFERROR(VLOOKUP($A42,'Budget &amp; Revenue'!$A:$Y,17,FALSE)," ")</f>
        <v xml:space="preserve"> </v>
      </c>
      <c r="J42" s="175" t="str">
        <f>IFERROR(VLOOKUP($A42,'Budget &amp; Revenue'!$A:$Y,19,FALSE)," ")</f>
        <v xml:space="preserve"> </v>
      </c>
      <c r="K42" s="175" t="str">
        <f>IFERROR(VLOOKUP($A42,'Budget &amp; Revenue'!$A:$Y,21,FALSE)," ")</f>
        <v xml:space="preserve"> </v>
      </c>
      <c r="L42" s="175" t="str">
        <f>IFERROR(VLOOKUP($A42,'Budget &amp; Revenue'!$A:$Y,23,FALSE)," ")</f>
        <v xml:space="preserve"> </v>
      </c>
      <c r="M42" s="175" t="str">
        <f>IFERROR(VLOOKUP($A42,'Budget &amp; Revenue'!$A:$Y,25,FALSE)," ")</f>
        <v xml:space="preserve"> </v>
      </c>
    </row>
    <row r="43" spans="1:13" x14ac:dyDescent="0.25">
      <c r="A43" s="202">
        <v>42</v>
      </c>
      <c r="B43" s="202" t="s">
        <v>333</v>
      </c>
      <c r="C43" s="203">
        <f>VLOOKUP(A43,Estimate!A:L,12,FALSE)</f>
        <v>9</v>
      </c>
      <c r="D43" s="205">
        <v>22</v>
      </c>
      <c r="E43" s="205">
        <v>65</v>
      </c>
      <c r="F43" s="163" t="str">
        <f>IFERROR(VLOOKUP($A43,'Budget &amp; Revenue'!$A:$Y,4,FALSE)," ")</f>
        <v xml:space="preserve"> </v>
      </c>
      <c r="G43" s="175" t="str">
        <f>IFERROR(VLOOKUP($A43,'Budget &amp; Revenue'!$A:$Y,13,FALSE)," ")</f>
        <v xml:space="preserve"> </v>
      </c>
      <c r="H43" s="175" t="str">
        <f>IFERROR(VLOOKUP($A43,'Budget &amp; Revenue'!$A:$Y,15,FALSE)," ")</f>
        <v xml:space="preserve"> </v>
      </c>
      <c r="I43" s="175" t="str">
        <f>IFERROR(VLOOKUP($A43,'Budget &amp; Revenue'!$A:$Y,17,FALSE)," ")</f>
        <v xml:space="preserve"> </v>
      </c>
      <c r="J43" s="175" t="str">
        <f>IFERROR(VLOOKUP($A43,'Budget &amp; Revenue'!$A:$Y,19,FALSE)," ")</f>
        <v xml:space="preserve"> </v>
      </c>
      <c r="K43" s="175" t="str">
        <f>IFERROR(VLOOKUP($A43,'Budget &amp; Revenue'!$A:$Y,21,FALSE)," ")</f>
        <v xml:space="preserve"> </v>
      </c>
      <c r="L43" s="175" t="str">
        <f>IFERROR(VLOOKUP($A43,'Budget &amp; Revenue'!$A:$Y,23,FALSE)," ")</f>
        <v xml:space="preserve"> </v>
      </c>
      <c r="M43" s="175" t="str">
        <f>IFERROR(VLOOKUP($A43,'Budget &amp; Revenue'!$A:$Y,25,FALSE)," ")</f>
        <v xml:space="preserve"> </v>
      </c>
    </row>
    <row r="44" spans="1:13" x14ac:dyDescent="0.25">
      <c r="A44" s="202">
        <v>43</v>
      </c>
      <c r="B44" s="202" t="s">
        <v>335</v>
      </c>
      <c r="C44" s="203">
        <f>VLOOKUP(A44,Estimate!A:L,12,FALSE)</f>
        <v>2</v>
      </c>
      <c r="D44" s="205">
        <v>23</v>
      </c>
      <c r="E44" s="205">
        <v>66</v>
      </c>
      <c r="F44" s="163" t="str">
        <f>IFERROR(VLOOKUP($A44,'Budget &amp; Revenue'!$A:$Y,4,FALSE)," ")</f>
        <v xml:space="preserve"> </v>
      </c>
      <c r="G44" s="175" t="str">
        <f>IFERROR(VLOOKUP($A44,'Budget &amp; Revenue'!$A:$Y,13,FALSE)," ")</f>
        <v xml:space="preserve"> </v>
      </c>
      <c r="H44" s="175" t="str">
        <f>IFERROR(VLOOKUP($A44,'Budget &amp; Revenue'!$A:$Y,15,FALSE)," ")</f>
        <v xml:space="preserve"> </v>
      </c>
      <c r="I44" s="175" t="str">
        <f>IFERROR(VLOOKUP($A44,'Budget &amp; Revenue'!$A:$Y,17,FALSE)," ")</f>
        <v xml:space="preserve"> </v>
      </c>
      <c r="J44" s="175" t="str">
        <f>IFERROR(VLOOKUP($A44,'Budget &amp; Revenue'!$A:$Y,19,FALSE)," ")</f>
        <v xml:space="preserve"> </v>
      </c>
      <c r="K44" s="175" t="str">
        <f>IFERROR(VLOOKUP($A44,'Budget &amp; Revenue'!$A:$Y,21,FALSE)," ")</f>
        <v xml:space="preserve"> </v>
      </c>
      <c r="L44" s="175" t="str">
        <f>IFERROR(VLOOKUP($A44,'Budget &amp; Revenue'!$A:$Y,23,FALSE)," ")</f>
        <v xml:space="preserve"> </v>
      </c>
      <c r="M44" s="175" t="str">
        <f>IFERROR(VLOOKUP($A44,'Budget &amp; Revenue'!$A:$Y,25,FALSE)," ")</f>
        <v xml:space="preserve"> </v>
      </c>
    </row>
    <row r="45" spans="1:13" x14ac:dyDescent="0.25">
      <c r="A45" s="202">
        <v>44</v>
      </c>
      <c r="B45" s="202" t="s">
        <v>336</v>
      </c>
      <c r="C45" s="203">
        <f>VLOOKUP(A45,Estimate!A:L,12,FALSE)</f>
        <v>3</v>
      </c>
      <c r="D45" s="205">
        <v>24</v>
      </c>
      <c r="E45" s="205">
        <v>67</v>
      </c>
      <c r="F45" s="163" t="str">
        <f>IFERROR(VLOOKUP($A45,'Budget &amp; Revenue'!$A:$Y,4,FALSE)," ")</f>
        <v xml:space="preserve"> </v>
      </c>
      <c r="G45" s="175" t="str">
        <f>IFERROR(VLOOKUP($A45,'Budget &amp; Revenue'!$A:$Y,13,FALSE)," ")</f>
        <v xml:space="preserve"> </v>
      </c>
      <c r="H45" s="175" t="str">
        <f>IFERROR(VLOOKUP($A45,'Budget &amp; Revenue'!$A:$Y,15,FALSE)," ")</f>
        <v xml:space="preserve"> </v>
      </c>
      <c r="I45" s="175" t="str">
        <f>IFERROR(VLOOKUP($A45,'Budget &amp; Revenue'!$A:$Y,17,FALSE)," ")</f>
        <v xml:space="preserve"> </v>
      </c>
      <c r="J45" s="175" t="str">
        <f>IFERROR(VLOOKUP($A45,'Budget &amp; Revenue'!$A:$Y,19,FALSE)," ")</f>
        <v xml:space="preserve"> </v>
      </c>
      <c r="K45" s="175" t="str">
        <f>IFERROR(VLOOKUP($A45,'Budget &amp; Revenue'!$A:$Y,21,FALSE)," ")</f>
        <v xml:space="preserve"> </v>
      </c>
      <c r="L45" s="175" t="str">
        <f>IFERROR(VLOOKUP($A45,'Budget &amp; Revenue'!$A:$Y,23,FALSE)," ")</f>
        <v xml:space="preserve"> </v>
      </c>
      <c r="M45" s="175" t="str">
        <f>IFERROR(VLOOKUP($A45,'Budget &amp; Revenue'!$A:$Y,25,FALSE)," ")</f>
        <v xml:space="preserve"> </v>
      </c>
    </row>
    <row r="46" spans="1:13" x14ac:dyDescent="0.25">
      <c r="A46" s="202">
        <v>45</v>
      </c>
      <c r="B46" s="202" t="s">
        <v>337</v>
      </c>
      <c r="C46" s="203">
        <f>VLOOKUP(A46,Estimate!A:L,12,FALSE)</f>
        <v>1</v>
      </c>
      <c r="D46" s="205">
        <v>25</v>
      </c>
      <c r="E46" s="205">
        <v>68</v>
      </c>
      <c r="F46" s="163" t="str">
        <f>IFERROR(VLOOKUP($A46,'Budget &amp; Revenue'!$A:$Y,4,FALSE)," ")</f>
        <v xml:space="preserve"> </v>
      </c>
      <c r="G46" s="175" t="str">
        <f>IFERROR(VLOOKUP($A46,'Budget &amp; Revenue'!$A:$Y,13,FALSE)," ")</f>
        <v xml:space="preserve"> </v>
      </c>
      <c r="H46" s="175" t="str">
        <f>IFERROR(VLOOKUP($A46,'Budget &amp; Revenue'!$A:$Y,15,FALSE)," ")</f>
        <v xml:space="preserve"> </v>
      </c>
      <c r="I46" s="175" t="str">
        <f>IFERROR(VLOOKUP($A46,'Budget &amp; Revenue'!$A:$Y,17,FALSE)," ")</f>
        <v xml:space="preserve"> </v>
      </c>
      <c r="J46" s="175" t="str">
        <f>IFERROR(VLOOKUP($A46,'Budget &amp; Revenue'!$A:$Y,19,FALSE)," ")</f>
        <v xml:space="preserve"> </v>
      </c>
      <c r="K46" s="175" t="str">
        <f>IFERROR(VLOOKUP($A46,'Budget &amp; Revenue'!$A:$Y,21,FALSE)," ")</f>
        <v xml:space="preserve"> </v>
      </c>
      <c r="L46" s="175" t="str">
        <f>IFERROR(VLOOKUP($A46,'Budget &amp; Revenue'!$A:$Y,23,FALSE)," ")</f>
        <v xml:space="preserve"> </v>
      </c>
      <c r="M46" s="175" t="str">
        <f>IFERROR(VLOOKUP($A46,'Budget &amp; Revenue'!$A:$Y,25,FALSE)," ")</f>
        <v xml:space="preserve"> </v>
      </c>
    </row>
    <row r="47" spans="1:13" x14ac:dyDescent="0.25">
      <c r="A47" s="202">
        <v>46</v>
      </c>
      <c r="B47" s="202" t="s">
        <v>340</v>
      </c>
      <c r="C47" s="203">
        <f>VLOOKUP(A47,Estimate!A:L,12,FALSE)</f>
        <v>1</v>
      </c>
      <c r="D47" s="205">
        <v>26</v>
      </c>
      <c r="E47" s="205">
        <v>69</v>
      </c>
      <c r="F47" s="163" t="str">
        <f>IFERROR(VLOOKUP($A47,'Budget &amp; Revenue'!$A:$Y,4,FALSE)," ")</f>
        <v xml:space="preserve"> </v>
      </c>
      <c r="G47" s="175" t="str">
        <f>IFERROR(VLOOKUP($A47,'Budget &amp; Revenue'!$A:$Y,13,FALSE)," ")</f>
        <v xml:space="preserve"> </v>
      </c>
      <c r="H47" s="175" t="str">
        <f>IFERROR(VLOOKUP($A47,'Budget &amp; Revenue'!$A:$Y,15,FALSE)," ")</f>
        <v xml:space="preserve"> </v>
      </c>
      <c r="I47" s="175" t="str">
        <f>IFERROR(VLOOKUP($A47,'Budget &amp; Revenue'!$A:$Y,17,FALSE)," ")</f>
        <v xml:space="preserve"> </v>
      </c>
      <c r="J47" s="175" t="str">
        <f>IFERROR(VLOOKUP($A47,'Budget &amp; Revenue'!$A:$Y,19,FALSE)," ")</f>
        <v xml:space="preserve"> </v>
      </c>
      <c r="K47" s="175" t="str">
        <f>IFERROR(VLOOKUP($A47,'Budget &amp; Revenue'!$A:$Y,21,FALSE)," ")</f>
        <v xml:space="preserve"> </v>
      </c>
      <c r="L47" s="175" t="str">
        <f>IFERROR(VLOOKUP($A47,'Budget &amp; Revenue'!$A:$Y,23,FALSE)," ")</f>
        <v xml:space="preserve"> </v>
      </c>
      <c r="M47" s="175" t="str">
        <f>IFERROR(VLOOKUP($A47,'Budget &amp; Revenue'!$A:$Y,25,FALSE)," ")</f>
        <v xml:space="preserve"> </v>
      </c>
    </row>
    <row r="48" spans="1:13" x14ac:dyDescent="0.25">
      <c r="A48" s="202">
        <v>47</v>
      </c>
      <c r="B48" s="202" t="s">
        <v>339</v>
      </c>
      <c r="C48" s="203">
        <f>VLOOKUP(A48,Estimate!A:L,12,FALSE)</f>
        <v>2</v>
      </c>
      <c r="D48" s="205">
        <v>27</v>
      </c>
      <c r="E48" s="205">
        <v>70</v>
      </c>
      <c r="F48" s="163" t="str">
        <f>IFERROR(VLOOKUP($A48,'Budget &amp; Revenue'!$A:$Y,4,FALSE)," ")</f>
        <v xml:space="preserve"> </v>
      </c>
      <c r="G48" s="175" t="str">
        <f>IFERROR(VLOOKUP($A48,'Budget &amp; Revenue'!$A:$Y,13,FALSE)," ")</f>
        <v xml:space="preserve"> </v>
      </c>
      <c r="H48" s="175" t="str">
        <f>IFERROR(VLOOKUP($A48,'Budget &amp; Revenue'!$A:$Y,15,FALSE)," ")</f>
        <v xml:space="preserve"> </v>
      </c>
      <c r="I48" s="175" t="str">
        <f>IFERROR(VLOOKUP($A48,'Budget &amp; Revenue'!$A:$Y,17,FALSE)," ")</f>
        <v xml:space="preserve"> </v>
      </c>
      <c r="J48" s="175" t="str">
        <f>IFERROR(VLOOKUP($A48,'Budget &amp; Revenue'!$A:$Y,19,FALSE)," ")</f>
        <v xml:space="preserve"> </v>
      </c>
      <c r="K48" s="175" t="str">
        <f>IFERROR(VLOOKUP($A48,'Budget &amp; Revenue'!$A:$Y,21,FALSE)," ")</f>
        <v xml:space="preserve"> </v>
      </c>
      <c r="L48" s="175" t="str">
        <f>IFERROR(VLOOKUP($A48,'Budget &amp; Revenue'!$A:$Y,23,FALSE)," ")</f>
        <v xml:space="preserve"> </v>
      </c>
      <c r="M48" s="175" t="str">
        <f>IFERROR(VLOOKUP($A48,'Budget &amp; Revenue'!$A:$Y,25,FALSE)," ")</f>
        <v xml:space="preserve"> </v>
      </c>
    </row>
    <row r="49" spans="1:13" ht="60" x14ac:dyDescent="0.25">
      <c r="A49" s="202">
        <v>48</v>
      </c>
      <c r="B49" s="202" t="s">
        <v>341</v>
      </c>
      <c r="C49" s="203">
        <f>VLOOKUP(A49,Estimate!A:L,12,FALSE)</f>
        <v>0</v>
      </c>
      <c r="D49" s="205" t="s">
        <v>479</v>
      </c>
      <c r="E49" s="205">
        <v>67</v>
      </c>
      <c r="F49" s="163">
        <f>IFERROR(VLOOKUP($A49,'Budget &amp; Revenue'!$A:$Y,4,FALSE)," ")</f>
        <v>0</v>
      </c>
      <c r="G49" s="175" t="str">
        <f>IFERROR(VLOOKUP($A49,'Budget &amp; Revenue'!$A:$Y,13,FALSE)," ")</f>
        <v xml:space="preserve"> </v>
      </c>
      <c r="H49" s="175" t="str">
        <f>IFERROR(VLOOKUP($A49,'Budget &amp; Revenue'!$A:$Y,15,FALSE)," ")</f>
        <v xml:space="preserve"> </v>
      </c>
      <c r="I49" s="175" t="str">
        <f>IFERROR(VLOOKUP($A49,'Budget &amp; Revenue'!$A:$Y,17,FALSE)," ")</f>
        <v xml:space="preserve"> </v>
      </c>
      <c r="J49" s="175" t="str">
        <f>IFERROR(VLOOKUP($A49,'Budget &amp; Revenue'!$A:$Y,19,FALSE)," ")</f>
        <v xml:space="preserve"> </v>
      </c>
      <c r="K49" s="175" t="str">
        <f>IFERROR(VLOOKUP($A49,'Budget &amp; Revenue'!$A:$Y,21,FALSE)," ")</f>
        <v xml:space="preserve"> </v>
      </c>
      <c r="L49" s="175" t="str">
        <f>IFERROR(VLOOKUP($A49,'Budget &amp; Revenue'!$A:$Y,23,FALSE)," ")</f>
        <v xml:space="preserve"> </v>
      </c>
      <c r="M49" s="175" t="str">
        <f>IFERROR(VLOOKUP($A49,'Budget &amp; Revenue'!$A:$Y,25,FALSE)," ")</f>
        <v xml:space="preserve"> </v>
      </c>
    </row>
    <row r="50" spans="1:13" ht="60" x14ac:dyDescent="0.25">
      <c r="A50" s="202">
        <v>49</v>
      </c>
      <c r="B50" s="202" t="s">
        <v>98</v>
      </c>
      <c r="C50" s="203">
        <f>VLOOKUP(A50,Estimate!A:L,12,FALSE)</f>
        <v>18</v>
      </c>
      <c r="D50" s="205" t="s">
        <v>480</v>
      </c>
      <c r="E50" s="205" t="s">
        <v>481</v>
      </c>
      <c r="F50" s="163">
        <f>IFERROR(VLOOKUP($A50,'Budget &amp; Revenue'!$A:$Y,4,FALSE)," ")</f>
        <v>691.19999999999993</v>
      </c>
      <c r="G50" s="175" t="str">
        <f>IFERROR(VLOOKUP($A50,'Budget &amp; Revenue'!$A:$Y,13,FALSE)," ")</f>
        <v xml:space="preserve"> </v>
      </c>
      <c r="H50" s="175" t="str">
        <f>IFERROR(VLOOKUP($A50,'Budget &amp; Revenue'!$A:$Y,15,FALSE)," ")</f>
        <v xml:space="preserve"> </v>
      </c>
      <c r="I50" s="175" t="str">
        <f>IFERROR(VLOOKUP($A50,'Budget &amp; Revenue'!$A:$Y,17,FALSE)," ")</f>
        <v xml:space="preserve"> </v>
      </c>
      <c r="J50" s="175" t="str">
        <f>IFERROR(VLOOKUP($A50,'Budget &amp; Revenue'!$A:$Y,19,FALSE)," ")</f>
        <v xml:space="preserve"> </v>
      </c>
      <c r="K50" s="175" t="str">
        <f>IFERROR(VLOOKUP($A50,'Budget &amp; Revenue'!$A:$Y,21,FALSE)," ")</f>
        <v xml:space="preserve"> </v>
      </c>
      <c r="L50" s="175" t="str">
        <f>IFERROR(VLOOKUP($A50,'Budget &amp; Revenue'!$A:$Y,23,FALSE)," ")</f>
        <v xml:space="preserve"> </v>
      </c>
      <c r="M50" s="175" t="str">
        <f>IFERROR(VLOOKUP($A50,'Budget &amp; Revenue'!$A:$Y,25,FALSE)," ")</f>
        <v xml:space="preserve"> </v>
      </c>
    </row>
    <row r="51" spans="1:13" ht="48" x14ac:dyDescent="0.25">
      <c r="A51" s="202">
        <v>50</v>
      </c>
      <c r="B51" s="202" t="s">
        <v>101</v>
      </c>
      <c r="C51" s="203">
        <f>VLOOKUP(A51,Estimate!A:L,12,FALSE)</f>
        <v>2</v>
      </c>
      <c r="D51" s="205">
        <v>49</v>
      </c>
      <c r="E51" s="205">
        <v>67</v>
      </c>
      <c r="F51" s="163">
        <f>IFERROR(VLOOKUP($A51,'Budget &amp; Revenue'!$A:$Y,4,FALSE)," ")</f>
        <v>10338.986666666666</v>
      </c>
      <c r="G51" s="175" t="str">
        <f>IFERROR(VLOOKUP($A51,'Budget &amp; Revenue'!$A:$Y,13,FALSE)," ")</f>
        <v xml:space="preserve"> </v>
      </c>
      <c r="H51" s="175" t="str">
        <f>IFERROR(VLOOKUP($A51,'Budget &amp; Revenue'!$A:$Y,15,FALSE)," ")</f>
        <v xml:space="preserve"> </v>
      </c>
      <c r="I51" s="175" t="str">
        <f>IFERROR(VLOOKUP($A51,'Budget &amp; Revenue'!$A:$Y,17,FALSE)," ")</f>
        <v xml:space="preserve"> </v>
      </c>
      <c r="J51" s="175" t="str">
        <f>IFERROR(VLOOKUP($A51,'Budget &amp; Revenue'!$A:$Y,19,FALSE)," ")</f>
        <v xml:space="preserve"> </v>
      </c>
      <c r="K51" s="175" t="str">
        <f>IFERROR(VLOOKUP($A51,'Budget &amp; Revenue'!$A:$Y,21,FALSE)," ")</f>
        <v xml:space="preserve"> </v>
      </c>
      <c r="L51" s="175" t="str">
        <f>IFERROR(VLOOKUP($A51,'Budget &amp; Revenue'!$A:$Y,23,FALSE)," ")</f>
        <v xml:space="preserve"> </v>
      </c>
      <c r="M51" s="175" t="str">
        <f>IFERROR(VLOOKUP($A51,'Budget &amp; Revenue'!$A:$Y,25,FALSE)," ")</f>
        <v xml:space="preserve"> </v>
      </c>
    </row>
    <row r="52" spans="1:13" ht="48" x14ac:dyDescent="0.25">
      <c r="A52" s="202">
        <v>51</v>
      </c>
      <c r="B52" s="202" t="s">
        <v>104</v>
      </c>
      <c r="C52" s="203">
        <f>VLOOKUP(A52,Estimate!A:L,12,FALSE)</f>
        <v>0</v>
      </c>
      <c r="D52" s="205" t="s">
        <v>482</v>
      </c>
      <c r="E52" s="205">
        <v>67</v>
      </c>
      <c r="F52" s="163">
        <f>IFERROR(VLOOKUP($A52,'Budget &amp; Revenue'!$A:$Y,4,FALSE)," ")</f>
        <v>0</v>
      </c>
      <c r="G52" s="175" t="str">
        <f>IFERROR(VLOOKUP($A52,'Budget &amp; Revenue'!$A:$Y,13,FALSE)," ")</f>
        <v xml:space="preserve"> </v>
      </c>
      <c r="H52" s="175" t="str">
        <f>IFERROR(VLOOKUP($A52,'Budget &amp; Revenue'!$A:$Y,15,FALSE)," ")</f>
        <v xml:space="preserve"> </v>
      </c>
      <c r="I52" s="175" t="str">
        <f>IFERROR(VLOOKUP($A52,'Budget &amp; Revenue'!$A:$Y,17,FALSE)," ")</f>
        <v xml:space="preserve"> </v>
      </c>
      <c r="J52" s="175" t="str">
        <f>IFERROR(VLOOKUP($A52,'Budget &amp; Revenue'!$A:$Y,19,FALSE)," ")</f>
        <v xml:space="preserve"> </v>
      </c>
      <c r="K52" s="175" t="str">
        <f>IFERROR(VLOOKUP($A52,'Budget &amp; Revenue'!$A:$Y,21,FALSE)," ")</f>
        <v xml:space="preserve"> </v>
      </c>
      <c r="L52" s="175" t="str">
        <f>IFERROR(VLOOKUP($A52,'Budget &amp; Revenue'!$A:$Y,23,FALSE)," ")</f>
        <v xml:space="preserve"> </v>
      </c>
      <c r="M52" s="175" t="str">
        <f>IFERROR(VLOOKUP($A52,'Budget &amp; Revenue'!$A:$Y,25,FALSE)," ")</f>
        <v xml:space="preserve"> </v>
      </c>
    </row>
    <row r="53" spans="1:13" ht="48" x14ac:dyDescent="0.25">
      <c r="A53" s="202">
        <v>52</v>
      </c>
      <c r="B53" s="202" t="s">
        <v>106</v>
      </c>
      <c r="C53" s="203">
        <f>VLOOKUP(A53,Estimate!A:L,12,FALSE)</f>
        <v>14</v>
      </c>
      <c r="D53" s="205" t="s">
        <v>483</v>
      </c>
      <c r="E53" s="205" t="s">
        <v>484</v>
      </c>
      <c r="F53" s="163">
        <f>IFERROR(VLOOKUP($A53,'Budget &amp; Revenue'!$A:$Y,4,FALSE)," ")</f>
        <v>539.13599999999997</v>
      </c>
      <c r="G53" s="175" t="str">
        <f>IFERROR(VLOOKUP($A53,'Budget &amp; Revenue'!$A:$Y,13,FALSE)," ")</f>
        <v xml:space="preserve"> </v>
      </c>
      <c r="H53" s="175" t="str">
        <f>IFERROR(VLOOKUP($A53,'Budget &amp; Revenue'!$A:$Y,15,FALSE)," ")</f>
        <v xml:space="preserve"> </v>
      </c>
      <c r="I53" s="175" t="str">
        <f>IFERROR(VLOOKUP($A53,'Budget &amp; Revenue'!$A:$Y,17,FALSE)," ")</f>
        <v xml:space="preserve"> </v>
      </c>
      <c r="J53" s="175" t="str">
        <f>IFERROR(VLOOKUP($A53,'Budget &amp; Revenue'!$A:$Y,19,FALSE)," ")</f>
        <v xml:space="preserve"> </v>
      </c>
      <c r="K53" s="175" t="str">
        <f>IFERROR(VLOOKUP($A53,'Budget &amp; Revenue'!$A:$Y,21,FALSE)," ")</f>
        <v xml:space="preserve"> </v>
      </c>
      <c r="L53" s="175" t="str">
        <f>IFERROR(VLOOKUP($A53,'Budget &amp; Revenue'!$A:$Y,23,FALSE)," ")</f>
        <v xml:space="preserve"> </v>
      </c>
      <c r="M53" s="175" t="str">
        <f>IFERROR(VLOOKUP($A53,'Budget &amp; Revenue'!$A:$Y,25,FALSE)," ")</f>
        <v xml:space="preserve"> </v>
      </c>
    </row>
    <row r="54" spans="1:13" ht="60" x14ac:dyDescent="0.25">
      <c r="A54" s="202">
        <v>53</v>
      </c>
      <c r="B54" s="202" t="s">
        <v>108</v>
      </c>
      <c r="C54" s="203">
        <f>VLOOKUP(A54,Estimate!A:L,12,FALSE)</f>
        <v>3</v>
      </c>
      <c r="D54" s="205">
        <v>86</v>
      </c>
      <c r="E54" s="205">
        <v>207</v>
      </c>
      <c r="F54" s="163">
        <f>IFERROR(VLOOKUP($A54,'Budget &amp; Revenue'!$A:$Y,4,FALSE)," ")</f>
        <v>6680</v>
      </c>
      <c r="G54" s="175" t="str">
        <f>IFERROR(VLOOKUP($A54,'Budget &amp; Revenue'!$A:$Y,13,FALSE)," ")</f>
        <v xml:space="preserve"> </v>
      </c>
      <c r="H54" s="175" t="str">
        <f>IFERROR(VLOOKUP($A54,'Budget &amp; Revenue'!$A:$Y,15,FALSE)," ")</f>
        <v xml:space="preserve"> </v>
      </c>
      <c r="I54" s="175" t="str">
        <f>IFERROR(VLOOKUP($A54,'Budget &amp; Revenue'!$A:$Y,17,FALSE)," ")</f>
        <v xml:space="preserve"> </v>
      </c>
      <c r="J54" s="175" t="str">
        <f>IFERROR(VLOOKUP($A54,'Budget &amp; Revenue'!$A:$Y,19,FALSE)," ")</f>
        <v xml:space="preserve"> </v>
      </c>
      <c r="K54" s="175" t="str">
        <f>IFERROR(VLOOKUP($A54,'Budget &amp; Revenue'!$A:$Y,21,FALSE)," ")</f>
        <v xml:space="preserve"> </v>
      </c>
      <c r="L54" s="175" t="str">
        <f>IFERROR(VLOOKUP($A54,'Budget &amp; Revenue'!$A:$Y,23,FALSE)," ")</f>
        <v xml:space="preserve"> </v>
      </c>
      <c r="M54" s="175" t="str">
        <f>IFERROR(VLOOKUP($A54,'Budget &amp; Revenue'!$A:$Y,25,FALSE)," ")</f>
        <v xml:space="preserve"> </v>
      </c>
    </row>
    <row r="55" spans="1:13" ht="24" x14ac:dyDescent="0.25">
      <c r="A55" s="202">
        <v>54</v>
      </c>
      <c r="B55" s="202" t="s">
        <v>111</v>
      </c>
      <c r="C55" s="203">
        <f>VLOOKUP(A55,Estimate!A:L,12,FALSE)</f>
        <v>8</v>
      </c>
      <c r="D55" s="205" t="s">
        <v>323</v>
      </c>
      <c r="E55" s="205">
        <v>67</v>
      </c>
      <c r="F55" s="163">
        <f>IFERROR(VLOOKUP($A55,'Budget &amp; Revenue'!$A:$Y,4,FALSE)," ")</f>
        <v>28719.407111111108</v>
      </c>
      <c r="G55" s="175">
        <f>IFERROR(VLOOKUP($A55,'Budget &amp; Revenue'!$A:$Y,13,FALSE)," ")</f>
        <v>0.1016575092926441</v>
      </c>
      <c r="H55" s="175">
        <f>IFERROR(VLOOKUP($A55,'Budget &amp; Revenue'!$A:$Y,15,FALSE)," ")</f>
        <v>0.41658919380676224</v>
      </c>
      <c r="I55" s="175">
        <f>IFERROR(VLOOKUP($A55,'Budget &amp; Revenue'!$A:$Y,17,FALSE)," ")</f>
        <v>0.81830031923737201</v>
      </c>
      <c r="J55" s="175">
        <f>IFERROR(VLOOKUP($A55,'Budget &amp; Revenue'!$A:$Y,19,FALSE)," ")</f>
        <v>0.85231459391924136</v>
      </c>
      <c r="K55" s="175">
        <f>IFERROR(VLOOKUP($A55,'Budget &amp; Revenue'!$A:$Y,21,FALSE)," ")</f>
        <v>0.91276473992893814</v>
      </c>
      <c r="L55" s="175">
        <f>IFERROR(VLOOKUP($A55,'Budget &amp; Revenue'!$A:$Y,23,FALSE)," ")</f>
        <v>1</v>
      </c>
      <c r="M55" s="175">
        <f>IFERROR(VLOOKUP($A55,'Budget &amp; Revenue'!$A:$Y,25,FALSE)," ")</f>
        <v>1</v>
      </c>
    </row>
    <row r="56" spans="1:13" ht="48" x14ac:dyDescent="0.25">
      <c r="A56" s="202">
        <v>55</v>
      </c>
      <c r="B56" s="202" t="s">
        <v>114</v>
      </c>
      <c r="C56" s="203">
        <f>VLOOKUP(A56,Estimate!A:L,12,FALSE)</f>
        <v>0</v>
      </c>
      <c r="D56" s="205" t="s">
        <v>485</v>
      </c>
      <c r="E56" s="204"/>
      <c r="F56" s="163">
        <f>IFERROR(VLOOKUP($A56,'Budget &amp; Revenue'!$A:$Y,4,FALSE)," ")</f>
        <v>0</v>
      </c>
      <c r="G56" s="175" t="str">
        <f>IFERROR(VLOOKUP($A56,'Budget &amp; Revenue'!$A:$Y,13,FALSE)," ")</f>
        <v xml:space="preserve"> </v>
      </c>
      <c r="H56" s="175" t="str">
        <f>IFERROR(VLOOKUP($A56,'Budget &amp; Revenue'!$A:$Y,15,FALSE)," ")</f>
        <v xml:space="preserve"> </v>
      </c>
      <c r="I56" s="175" t="str">
        <f>IFERROR(VLOOKUP($A56,'Budget &amp; Revenue'!$A:$Y,17,FALSE)," ")</f>
        <v xml:space="preserve"> </v>
      </c>
      <c r="J56" s="175" t="str">
        <f>IFERROR(VLOOKUP($A56,'Budget &amp; Revenue'!$A:$Y,19,FALSE)," ")</f>
        <v xml:space="preserve"> </v>
      </c>
      <c r="K56" s="175" t="str">
        <f>IFERROR(VLOOKUP($A56,'Budget &amp; Revenue'!$A:$Y,21,FALSE)," ")</f>
        <v xml:space="preserve"> </v>
      </c>
      <c r="L56" s="175" t="str">
        <f>IFERROR(VLOOKUP($A56,'Budget &amp; Revenue'!$A:$Y,23,FALSE)," ")</f>
        <v xml:space="preserve"> </v>
      </c>
      <c r="M56" s="175" t="str">
        <f>IFERROR(VLOOKUP($A56,'Budget &amp; Revenue'!$A:$Y,25,FALSE)," ")</f>
        <v xml:space="preserve"> </v>
      </c>
    </row>
    <row r="57" spans="1:13" ht="60" x14ac:dyDescent="0.25">
      <c r="A57" s="202">
        <v>56</v>
      </c>
      <c r="B57" s="202" t="s">
        <v>342</v>
      </c>
      <c r="C57" s="203">
        <f>VLOOKUP(A57,Estimate!A:L,12,FALSE)</f>
        <v>0</v>
      </c>
      <c r="D57" s="205" t="s">
        <v>483</v>
      </c>
      <c r="E57" s="205" t="s">
        <v>486</v>
      </c>
      <c r="F57" s="163">
        <f>IFERROR(VLOOKUP($A57,'Budget &amp; Revenue'!$A:$Y,4,FALSE)," ")</f>
        <v>44157.312000000005</v>
      </c>
      <c r="G57" s="175">
        <f>IFERROR(VLOOKUP($A57,'Budget &amp; Revenue'!$A:$Y,13,FALSE)," ")</f>
        <v>0</v>
      </c>
      <c r="H57" s="175">
        <f>IFERROR(VLOOKUP($A57,'Budget &amp; Revenue'!$A:$Y,15,FALSE)," ")</f>
        <v>5.5148370945467151E-2</v>
      </c>
      <c r="I57" s="175">
        <f>IFERROR(VLOOKUP($A57,'Budget &amp; Revenue'!$A:$Y,17,FALSE)," ")</f>
        <v>0.5119612275193578</v>
      </c>
      <c r="J57" s="175">
        <f>IFERROR(VLOOKUP($A57,'Budget &amp; Revenue'!$A:$Y,19,FALSE)," ")</f>
        <v>0.69275809096222574</v>
      </c>
      <c r="K57" s="175">
        <f>IFERROR(VLOOKUP($A57,'Budget &amp; Revenue'!$A:$Y,21,FALSE)," ")</f>
        <v>0.86075838061789767</v>
      </c>
      <c r="L57" s="175">
        <f>IFERROR(VLOOKUP($A57,'Budget &amp; Revenue'!$A:$Y,23,FALSE)," ")</f>
        <v>1</v>
      </c>
      <c r="M57" s="175">
        <f>IFERROR(VLOOKUP($A57,'Budget &amp; Revenue'!$A:$Y,25,FALSE)," ")</f>
        <v>1</v>
      </c>
    </row>
    <row r="58" spans="1:13" ht="48" x14ac:dyDescent="0.25">
      <c r="A58" s="203">
        <v>57</v>
      </c>
      <c r="B58" s="203" t="s">
        <v>118</v>
      </c>
      <c r="C58" s="203">
        <f>VLOOKUP(A58,Estimate!A:L,12,FALSE)</f>
        <v>0</v>
      </c>
      <c r="D58" s="204"/>
      <c r="E58" s="204"/>
      <c r="F58" s="163">
        <f>IFERROR(VLOOKUP($A58,'Budget &amp; Revenue'!$A:$Y,4,FALSE)," ")</f>
        <v>103203.57198214009</v>
      </c>
      <c r="G58" s="175">
        <f>IFERROR(VLOOKUP($A58,'Budget &amp; Revenue'!$A:$Y,13,FALSE)," ")</f>
        <v>0</v>
      </c>
      <c r="H58" s="175">
        <f>IFERROR(VLOOKUP($A58,'Budget &amp; Revenue'!$A:$Y,15,FALSE)," ")</f>
        <v>6.3393345541893589E-2</v>
      </c>
      <c r="I58" s="175">
        <f>IFERROR(VLOOKUP($A58,'Budget &amp; Revenue'!$A:$Y,17,FALSE)," ")</f>
        <v>0.58850215235331882</v>
      </c>
      <c r="J58" s="175">
        <f>IFERROR(VLOOKUP($A58,'Budget &amp; Revenue'!$A:$Y,19,FALSE)," ")</f>
        <v>0.79632910790306077</v>
      </c>
      <c r="K58" s="175">
        <f>IFERROR(VLOOKUP($A58,'Budget &amp; Revenue'!$A:$Y,21,FALSE)," ")</f>
        <v>0.99215163983161703</v>
      </c>
      <c r="L58" s="175">
        <f>IFERROR(VLOOKUP($A58,'Budget &amp; Revenue'!$A:$Y,23,FALSE)," ")</f>
        <v>1</v>
      </c>
      <c r="M58" s="175">
        <f>IFERROR(VLOOKUP($A58,'Budget &amp; Revenue'!$A:$Y,25,FALSE)," ")</f>
        <v>1</v>
      </c>
    </row>
    <row r="59" spans="1:13" x14ac:dyDescent="0.25">
      <c r="A59" s="202">
        <v>57.01</v>
      </c>
      <c r="B59" s="202" t="s">
        <v>326</v>
      </c>
      <c r="C59" s="203">
        <f>VLOOKUP(A59,Estimate!A:L,12,FALSE)</f>
        <v>1</v>
      </c>
      <c r="D59" s="205">
        <v>35</v>
      </c>
      <c r="E59" s="205">
        <v>125</v>
      </c>
      <c r="F59" s="163" t="str">
        <f>IFERROR(VLOOKUP($A59,'Budget &amp; Revenue'!$A:$Y,4,FALSE)," ")</f>
        <v xml:space="preserve"> </v>
      </c>
      <c r="G59" s="175" t="str">
        <f>IFERROR(VLOOKUP($A59,'Budget &amp; Revenue'!$A:$Y,13,FALSE)," ")</f>
        <v xml:space="preserve"> </v>
      </c>
      <c r="H59" s="175" t="str">
        <f>IFERROR(VLOOKUP($A59,'Budget &amp; Revenue'!$A:$Y,15,FALSE)," ")</f>
        <v xml:space="preserve"> </v>
      </c>
      <c r="I59" s="175" t="str">
        <f>IFERROR(VLOOKUP($A59,'Budget &amp; Revenue'!$A:$Y,17,FALSE)," ")</f>
        <v xml:space="preserve"> </v>
      </c>
      <c r="J59" s="175" t="str">
        <f>IFERROR(VLOOKUP($A59,'Budget &amp; Revenue'!$A:$Y,19,FALSE)," ")</f>
        <v xml:space="preserve"> </v>
      </c>
      <c r="K59" s="175" t="str">
        <f>IFERROR(VLOOKUP($A59,'Budget &amp; Revenue'!$A:$Y,21,FALSE)," ")</f>
        <v xml:space="preserve"> </v>
      </c>
      <c r="L59" s="175" t="str">
        <f>IFERROR(VLOOKUP($A59,'Budget &amp; Revenue'!$A:$Y,23,FALSE)," ")</f>
        <v xml:space="preserve"> </v>
      </c>
      <c r="M59" s="175" t="str">
        <f>IFERROR(VLOOKUP($A59,'Budget &amp; Revenue'!$A:$Y,25,FALSE)," ")</f>
        <v xml:space="preserve"> </v>
      </c>
    </row>
    <row r="60" spans="1:13" x14ac:dyDescent="0.25">
      <c r="A60" s="202">
        <v>57.02</v>
      </c>
      <c r="B60" s="202" t="s">
        <v>327</v>
      </c>
      <c r="C60" s="203">
        <f>VLOOKUP(A60,Estimate!A:L,12,FALSE)</f>
        <v>1</v>
      </c>
      <c r="D60" s="205">
        <v>36</v>
      </c>
      <c r="E60" s="205">
        <v>126</v>
      </c>
      <c r="F60" s="163" t="str">
        <f>IFERROR(VLOOKUP($A60,'Budget &amp; Revenue'!$A:$Y,4,FALSE)," ")</f>
        <v xml:space="preserve"> </v>
      </c>
      <c r="G60" s="175" t="str">
        <f>IFERROR(VLOOKUP($A60,'Budget &amp; Revenue'!$A:$Y,13,FALSE)," ")</f>
        <v xml:space="preserve"> </v>
      </c>
      <c r="H60" s="175" t="str">
        <f>IFERROR(VLOOKUP($A60,'Budget &amp; Revenue'!$A:$Y,15,FALSE)," ")</f>
        <v xml:space="preserve"> </v>
      </c>
      <c r="I60" s="175" t="str">
        <f>IFERROR(VLOOKUP($A60,'Budget &amp; Revenue'!$A:$Y,17,FALSE)," ")</f>
        <v xml:space="preserve"> </v>
      </c>
      <c r="J60" s="175" t="str">
        <f>IFERROR(VLOOKUP($A60,'Budget &amp; Revenue'!$A:$Y,19,FALSE)," ")</f>
        <v xml:space="preserve"> </v>
      </c>
      <c r="K60" s="175" t="str">
        <f>IFERROR(VLOOKUP($A60,'Budget &amp; Revenue'!$A:$Y,21,FALSE)," ")</f>
        <v xml:space="preserve"> </v>
      </c>
      <c r="L60" s="175" t="str">
        <f>IFERROR(VLOOKUP($A60,'Budget &amp; Revenue'!$A:$Y,23,FALSE)," ")</f>
        <v xml:space="preserve"> </v>
      </c>
      <c r="M60" s="175" t="str">
        <f>IFERROR(VLOOKUP($A60,'Budget &amp; Revenue'!$A:$Y,25,FALSE)," ")</f>
        <v xml:space="preserve"> </v>
      </c>
    </row>
    <row r="61" spans="1:13" x14ac:dyDescent="0.25">
      <c r="A61" s="202">
        <v>57.03</v>
      </c>
      <c r="B61" s="202" t="s">
        <v>328</v>
      </c>
      <c r="C61" s="203">
        <f>VLOOKUP(A61,Estimate!A:L,12,FALSE)</f>
        <v>1</v>
      </c>
      <c r="D61" s="205">
        <v>37</v>
      </c>
      <c r="E61" s="205">
        <v>127</v>
      </c>
      <c r="F61" s="163" t="str">
        <f>IFERROR(VLOOKUP($A61,'Budget &amp; Revenue'!$A:$Y,4,FALSE)," ")</f>
        <v xml:space="preserve"> </v>
      </c>
      <c r="G61" s="175" t="str">
        <f>IFERROR(VLOOKUP($A61,'Budget &amp; Revenue'!$A:$Y,13,FALSE)," ")</f>
        <v xml:space="preserve"> </v>
      </c>
      <c r="H61" s="175" t="str">
        <f>IFERROR(VLOOKUP($A61,'Budget &amp; Revenue'!$A:$Y,15,FALSE)," ")</f>
        <v xml:space="preserve"> </v>
      </c>
      <c r="I61" s="175" t="str">
        <f>IFERROR(VLOOKUP($A61,'Budget &amp; Revenue'!$A:$Y,17,FALSE)," ")</f>
        <v xml:space="preserve"> </v>
      </c>
      <c r="J61" s="175" t="str">
        <f>IFERROR(VLOOKUP($A61,'Budget &amp; Revenue'!$A:$Y,19,FALSE)," ")</f>
        <v xml:space="preserve"> </v>
      </c>
      <c r="K61" s="175" t="str">
        <f>IFERROR(VLOOKUP($A61,'Budget &amp; Revenue'!$A:$Y,21,FALSE)," ")</f>
        <v xml:space="preserve"> </v>
      </c>
      <c r="L61" s="175" t="str">
        <f>IFERROR(VLOOKUP($A61,'Budget &amp; Revenue'!$A:$Y,23,FALSE)," ")</f>
        <v xml:space="preserve"> </v>
      </c>
      <c r="M61" s="175" t="str">
        <f>IFERROR(VLOOKUP($A61,'Budget &amp; Revenue'!$A:$Y,25,FALSE)," ")</f>
        <v xml:space="preserve"> </v>
      </c>
    </row>
    <row r="62" spans="1:13" x14ac:dyDescent="0.25">
      <c r="A62" s="202">
        <v>57.04</v>
      </c>
      <c r="B62" s="202" t="s">
        <v>329</v>
      </c>
      <c r="C62" s="203">
        <f>VLOOKUP(A62,Estimate!A:L,12,FALSE)</f>
        <v>2</v>
      </c>
      <c r="D62" s="205">
        <v>38</v>
      </c>
      <c r="E62" s="205">
        <v>128</v>
      </c>
      <c r="F62" s="163" t="str">
        <f>IFERROR(VLOOKUP($A62,'Budget &amp; Revenue'!$A:$Y,4,FALSE)," ")</f>
        <v xml:space="preserve"> </v>
      </c>
      <c r="G62" s="175" t="str">
        <f>IFERROR(VLOOKUP($A62,'Budget &amp; Revenue'!$A:$Y,13,FALSE)," ")</f>
        <v xml:space="preserve"> </v>
      </c>
      <c r="H62" s="175" t="str">
        <f>IFERROR(VLOOKUP($A62,'Budget &amp; Revenue'!$A:$Y,15,FALSE)," ")</f>
        <v xml:space="preserve"> </v>
      </c>
      <c r="I62" s="175" t="str">
        <f>IFERROR(VLOOKUP($A62,'Budget &amp; Revenue'!$A:$Y,17,FALSE)," ")</f>
        <v xml:space="preserve"> </v>
      </c>
      <c r="J62" s="175" t="str">
        <f>IFERROR(VLOOKUP($A62,'Budget &amp; Revenue'!$A:$Y,19,FALSE)," ")</f>
        <v xml:space="preserve"> </v>
      </c>
      <c r="K62" s="175" t="str">
        <f>IFERROR(VLOOKUP($A62,'Budget &amp; Revenue'!$A:$Y,21,FALSE)," ")</f>
        <v xml:space="preserve"> </v>
      </c>
      <c r="L62" s="175" t="str">
        <f>IFERROR(VLOOKUP($A62,'Budget &amp; Revenue'!$A:$Y,23,FALSE)," ")</f>
        <v xml:space="preserve"> </v>
      </c>
      <c r="M62" s="175" t="str">
        <f>IFERROR(VLOOKUP($A62,'Budget &amp; Revenue'!$A:$Y,25,FALSE)," ")</f>
        <v xml:space="preserve"> </v>
      </c>
    </row>
    <row r="63" spans="1:13" x14ac:dyDescent="0.25">
      <c r="A63" s="202">
        <v>57.05</v>
      </c>
      <c r="B63" s="202" t="s">
        <v>330</v>
      </c>
      <c r="C63" s="203">
        <f>VLOOKUP(A63,Estimate!A:L,12,FALSE)</f>
        <v>1</v>
      </c>
      <c r="D63" s="205">
        <v>39</v>
      </c>
      <c r="E63" s="205">
        <v>129</v>
      </c>
      <c r="F63" s="163" t="str">
        <f>IFERROR(VLOOKUP($A63,'Budget &amp; Revenue'!$A:$Y,4,FALSE)," ")</f>
        <v xml:space="preserve"> </v>
      </c>
      <c r="G63" s="175" t="str">
        <f>IFERROR(VLOOKUP($A63,'Budget &amp; Revenue'!$A:$Y,13,FALSE)," ")</f>
        <v xml:space="preserve"> </v>
      </c>
      <c r="H63" s="175" t="str">
        <f>IFERROR(VLOOKUP($A63,'Budget &amp; Revenue'!$A:$Y,15,FALSE)," ")</f>
        <v xml:space="preserve"> </v>
      </c>
      <c r="I63" s="175" t="str">
        <f>IFERROR(VLOOKUP($A63,'Budget &amp; Revenue'!$A:$Y,17,FALSE)," ")</f>
        <v xml:space="preserve"> </v>
      </c>
      <c r="J63" s="175" t="str">
        <f>IFERROR(VLOOKUP($A63,'Budget &amp; Revenue'!$A:$Y,19,FALSE)," ")</f>
        <v xml:space="preserve"> </v>
      </c>
      <c r="K63" s="175" t="str">
        <f>IFERROR(VLOOKUP($A63,'Budget &amp; Revenue'!$A:$Y,21,FALSE)," ")</f>
        <v xml:space="preserve"> </v>
      </c>
      <c r="L63" s="175" t="str">
        <f>IFERROR(VLOOKUP($A63,'Budget &amp; Revenue'!$A:$Y,23,FALSE)," ")</f>
        <v xml:space="preserve"> </v>
      </c>
      <c r="M63" s="175" t="str">
        <f>IFERROR(VLOOKUP($A63,'Budget &amp; Revenue'!$A:$Y,25,FALSE)," ")</f>
        <v xml:space="preserve"> </v>
      </c>
    </row>
    <row r="64" spans="1:13" x14ac:dyDescent="0.25">
      <c r="A64" s="202">
        <v>57.06</v>
      </c>
      <c r="B64" s="202" t="s">
        <v>331</v>
      </c>
      <c r="C64" s="203">
        <f>VLOOKUP(A64,Estimate!A:L,12,FALSE)</f>
        <v>1</v>
      </c>
      <c r="D64" s="205">
        <v>40</v>
      </c>
      <c r="E64" s="205">
        <v>130</v>
      </c>
      <c r="F64" s="163" t="str">
        <f>IFERROR(VLOOKUP($A64,'Budget &amp; Revenue'!$A:$Y,4,FALSE)," ")</f>
        <v xml:space="preserve"> </v>
      </c>
      <c r="G64" s="175" t="str">
        <f>IFERROR(VLOOKUP($A64,'Budget &amp; Revenue'!$A:$Y,13,FALSE)," ")</f>
        <v xml:space="preserve"> </v>
      </c>
      <c r="H64" s="175" t="str">
        <f>IFERROR(VLOOKUP($A64,'Budget &amp; Revenue'!$A:$Y,15,FALSE)," ")</f>
        <v xml:space="preserve"> </v>
      </c>
      <c r="I64" s="175" t="str">
        <f>IFERROR(VLOOKUP($A64,'Budget &amp; Revenue'!$A:$Y,17,FALSE)," ")</f>
        <v xml:space="preserve"> </v>
      </c>
      <c r="J64" s="175" t="str">
        <f>IFERROR(VLOOKUP($A64,'Budget &amp; Revenue'!$A:$Y,19,FALSE)," ")</f>
        <v xml:space="preserve"> </v>
      </c>
      <c r="K64" s="175" t="str">
        <f>IFERROR(VLOOKUP($A64,'Budget &amp; Revenue'!$A:$Y,21,FALSE)," ")</f>
        <v xml:space="preserve"> </v>
      </c>
      <c r="L64" s="175" t="str">
        <f>IFERROR(VLOOKUP($A64,'Budget &amp; Revenue'!$A:$Y,23,FALSE)," ")</f>
        <v xml:space="preserve"> </v>
      </c>
      <c r="M64" s="175" t="str">
        <f>IFERROR(VLOOKUP($A64,'Budget &amp; Revenue'!$A:$Y,25,FALSE)," ")</f>
        <v xml:space="preserve"> </v>
      </c>
    </row>
    <row r="65" spans="1:13" x14ac:dyDescent="0.25">
      <c r="A65" s="202">
        <v>57.07</v>
      </c>
      <c r="B65" s="202" t="s">
        <v>332</v>
      </c>
      <c r="C65" s="203">
        <f>VLOOKUP(A65,Estimate!A:L,12,FALSE)</f>
        <v>1</v>
      </c>
      <c r="D65" s="205">
        <v>41</v>
      </c>
      <c r="E65" s="205">
        <v>131</v>
      </c>
      <c r="F65" s="163" t="str">
        <f>IFERROR(VLOOKUP($A65,'Budget &amp; Revenue'!$A:$Y,4,FALSE)," ")</f>
        <v xml:space="preserve"> </v>
      </c>
      <c r="G65" s="175" t="str">
        <f>IFERROR(VLOOKUP($A65,'Budget &amp; Revenue'!$A:$Y,13,FALSE)," ")</f>
        <v xml:space="preserve"> </v>
      </c>
      <c r="H65" s="175" t="str">
        <f>IFERROR(VLOOKUP($A65,'Budget &amp; Revenue'!$A:$Y,15,FALSE)," ")</f>
        <v xml:space="preserve"> </v>
      </c>
      <c r="I65" s="175" t="str">
        <f>IFERROR(VLOOKUP($A65,'Budget &amp; Revenue'!$A:$Y,17,FALSE)," ")</f>
        <v xml:space="preserve"> </v>
      </c>
      <c r="J65" s="175" t="str">
        <f>IFERROR(VLOOKUP($A65,'Budget &amp; Revenue'!$A:$Y,19,FALSE)," ")</f>
        <v xml:space="preserve"> </v>
      </c>
      <c r="K65" s="175" t="str">
        <f>IFERROR(VLOOKUP($A65,'Budget &amp; Revenue'!$A:$Y,21,FALSE)," ")</f>
        <v xml:space="preserve"> </v>
      </c>
      <c r="L65" s="175" t="str">
        <f>IFERROR(VLOOKUP($A65,'Budget &amp; Revenue'!$A:$Y,23,FALSE)," ")</f>
        <v xml:space="preserve"> </v>
      </c>
      <c r="M65" s="175" t="str">
        <f>IFERROR(VLOOKUP($A65,'Budget &amp; Revenue'!$A:$Y,25,FALSE)," ")</f>
        <v xml:space="preserve"> </v>
      </c>
    </row>
    <row r="66" spans="1:13" x14ac:dyDescent="0.25">
      <c r="A66" s="202">
        <v>57.08</v>
      </c>
      <c r="B66" s="202" t="s">
        <v>333</v>
      </c>
      <c r="C66" s="203">
        <f>VLOOKUP(A66,Estimate!A:L,12,FALSE)</f>
        <v>8</v>
      </c>
      <c r="D66" s="205">
        <v>42</v>
      </c>
      <c r="E66" s="205" t="s">
        <v>487</v>
      </c>
      <c r="F66" s="163" t="str">
        <f>IFERROR(VLOOKUP($A66,'Budget &amp; Revenue'!$A:$Y,4,FALSE)," ")</f>
        <v xml:space="preserve"> </v>
      </c>
      <c r="G66" s="175" t="str">
        <f>IFERROR(VLOOKUP($A66,'Budget &amp; Revenue'!$A:$Y,13,FALSE)," ")</f>
        <v xml:space="preserve"> </v>
      </c>
      <c r="H66" s="175" t="str">
        <f>IFERROR(VLOOKUP($A66,'Budget &amp; Revenue'!$A:$Y,15,FALSE)," ")</f>
        <v xml:space="preserve"> </v>
      </c>
      <c r="I66" s="175" t="str">
        <f>IFERROR(VLOOKUP($A66,'Budget &amp; Revenue'!$A:$Y,17,FALSE)," ")</f>
        <v xml:space="preserve"> </v>
      </c>
      <c r="J66" s="175" t="str">
        <f>IFERROR(VLOOKUP($A66,'Budget &amp; Revenue'!$A:$Y,19,FALSE)," ")</f>
        <v xml:space="preserve"> </v>
      </c>
      <c r="K66" s="175" t="str">
        <f>IFERROR(VLOOKUP($A66,'Budget &amp; Revenue'!$A:$Y,21,FALSE)," ")</f>
        <v xml:space="preserve"> </v>
      </c>
      <c r="L66" s="175" t="str">
        <f>IFERROR(VLOOKUP($A66,'Budget &amp; Revenue'!$A:$Y,23,FALSE)," ")</f>
        <v xml:space="preserve"> </v>
      </c>
      <c r="M66" s="175" t="str">
        <f>IFERROR(VLOOKUP($A66,'Budget &amp; Revenue'!$A:$Y,25,FALSE)," ")</f>
        <v xml:space="preserve"> </v>
      </c>
    </row>
    <row r="67" spans="1:13" x14ac:dyDescent="0.25">
      <c r="A67" s="202">
        <v>57.09</v>
      </c>
      <c r="B67" s="202" t="s">
        <v>335</v>
      </c>
      <c r="C67" s="203">
        <f>VLOOKUP(A67,Estimate!A:L,12,FALSE)</f>
        <v>1</v>
      </c>
      <c r="D67" s="205">
        <v>43</v>
      </c>
      <c r="E67" s="205">
        <v>133</v>
      </c>
      <c r="F67" s="163" t="str">
        <f>IFERROR(VLOOKUP($A67,'Budget &amp; Revenue'!$A:$Y,4,FALSE)," ")</f>
        <v xml:space="preserve"> </v>
      </c>
      <c r="G67" s="175" t="str">
        <f>IFERROR(VLOOKUP($A67,'Budget &amp; Revenue'!$A:$Y,13,FALSE)," ")</f>
        <v xml:space="preserve"> </v>
      </c>
      <c r="H67" s="175" t="str">
        <f>IFERROR(VLOOKUP($A67,'Budget &amp; Revenue'!$A:$Y,15,FALSE)," ")</f>
        <v xml:space="preserve"> </v>
      </c>
      <c r="I67" s="175" t="str">
        <f>IFERROR(VLOOKUP($A67,'Budget &amp; Revenue'!$A:$Y,17,FALSE)," ")</f>
        <v xml:space="preserve"> </v>
      </c>
      <c r="J67" s="175" t="str">
        <f>IFERROR(VLOOKUP($A67,'Budget &amp; Revenue'!$A:$Y,19,FALSE)," ")</f>
        <v xml:space="preserve"> </v>
      </c>
      <c r="K67" s="175" t="str">
        <f>IFERROR(VLOOKUP($A67,'Budget &amp; Revenue'!$A:$Y,21,FALSE)," ")</f>
        <v xml:space="preserve"> </v>
      </c>
      <c r="L67" s="175" t="str">
        <f>IFERROR(VLOOKUP($A67,'Budget &amp; Revenue'!$A:$Y,23,FALSE)," ")</f>
        <v xml:space="preserve"> </v>
      </c>
      <c r="M67" s="175" t="str">
        <f>IFERROR(VLOOKUP($A67,'Budget &amp; Revenue'!$A:$Y,25,FALSE)," ")</f>
        <v xml:space="preserve"> </v>
      </c>
    </row>
    <row r="68" spans="1:13" x14ac:dyDescent="0.25">
      <c r="A68" s="202">
        <v>57.1</v>
      </c>
      <c r="B68" s="202" t="s">
        <v>336</v>
      </c>
      <c r="C68" s="203">
        <f>VLOOKUP(A68,Estimate!A:L,12,FALSE)</f>
        <v>3</v>
      </c>
      <c r="D68" s="205" t="s">
        <v>488</v>
      </c>
      <c r="E68" s="205">
        <v>134</v>
      </c>
      <c r="F68" s="163" t="str">
        <f>IFERROR(VLOOKUP($A68,'Budget &amp; Revenue'!$A:$Y,4,FALSE)," ")</f>
        <v xml:space="preserve"> </v>
      </c>
      <c r="G68" s="175" t="str">
        <f>IFERROR(VLOOKUP($A68,'Budget &amp; Revenue'!$A:$Y,13,FALSE)," ")</f>
        <v xml:space="preserve"> </v>
      </c>
      <c r="H68" s="175" t="str">
        <f>IFERROR(VLOOKUP($A68,'Budget &amp; Revenue'!$A:$Y,15,FALSE)," ")</f>
        <v xml:space="preserve"> </v>
      </c>
      <c r="I68" s="175" t="str">
        <f>IFERROR(VLOOKUP($A68,'Budget &amp; Revenue'!$A:$Y,17,FALSE)," ")</f>
        <v xml:space="preserve"> </v>
      </c>
      <c r="J68" s="175" t="str">
        <f>IFERROR(VLOOKUP($A68,'Budget &amp; Revenue'!$A:$Y,19,FALSE)," ")</f>
        <v xml:space="preserve"> </v>
      </c>
      <c r="K68" s="175" t="str">
        <f>IFERROR(VLOOKUP($A68,'Budget &amp; Revenue'!$A:$Y,21,FALSE)," ")</f>
        <v xml:space="preserve"> </v>
      </c>
      <c r="L68" s="175" t="str">
        <f>IFERROR(VLOOKUP($A68,'Budget &amp; Revenue'!$A:$Y,23,FALSE)," ")</f>
        <v xml:space="preserve"> </v>
      </c>
      <c r="M68" s="175" t="str">
        <f>IFERROR(VLOOKUP($A68,'Budget &amp; Revenue'!$A:$Y,25,FALSE)," ")</f>
        <v xml:space="preserve"> </v>
      </c>
    </row>
    <row r="69" spans="1:13" x14ac:dyDescent="0.25">
      <c r="A69" s="202">
        <v>57.11</v>
      </c>
      <c r="B69" s="202" t="s">
        <v>337</v>
      </c>
      <c r="C69" s="203">
        <f>VLOOKUP(A69,Estimate!A:L,12,FALSE)</f>
        <v>1</v>
      </c>
      <c r="D69" s="205">
        <v>45</v>
      </c>
      <c r="E69" s="205">
        <v>135</v>
      </c>
      <c r="F69" s="163" t="str">
        <f>IFERROR(VLOOKUP($A69,'Budget &amp; Revenue'!$A:$Y,4,FALSE)," ")</f>
        <v xml:space="preserve"> </v>
      </c>
      <c r="G69" s="175" t="str">
        <f>IFERROR(VLOOKUP($A69,'Budget &amp; Revenue'!$A:$Y,13,FALSE)," ")</f>
        <v xml:space="preserve"> </v>
      </c>
      <c r="H69" s="175" t="str">
        <f>IFERROR(VLOOKUP($A69,'Budget &amp; Revenue'!$A:$Y,15,FALSE)," ")</f>
        <v xml:space="preserve"> </v>
      </c>
      <c r="I69" s="175" t="str">
        <f>IFERROR(VLOOKUP($A69,'Budget &amp; Revenue'!$A:$Y,17,FALSE)," ")</f>
        <v xml:space="preserve"> </v>
      </c>
      <c r="J69" s="175" t="str">
        <f>IFERROR(VLOOKUP($A69,'Budget &amp; Revenue'!$A:$Y,19,FALSE)," ")</f>
        <v xml:space="preserve"> </v>
      </c>
      <c r="K69" s="175" t="str">
        <f>IFERROR(VLOOKUP($A69,'Budget &amp; Revenue'!$A:$Y,21,FALSE)," ")</f>
        <v xml:space="preserve"> </v>
      </c>
      <c r="L69" s="175" t="str">
        <f>IFERROR(VLOOKUP($A69,'Budget &amp; Revenue'!$A:$Y,23,FALSE)," ")</f>
        <v xml:space="preserve"> </v>
      </c>
      <c r="M69" s="175" t="str">
        <f>IFERROR(VLOOKUP($A69,'Budget &amp; Revenue'!$A:$Y,25,FALSE)," ")</f>
        <v xml:space="preserve"> </v>
      </c>
    </row>
    <row r="70" spans="1:13" x14ac:dyDescent="0.25">
      <c r="A70" s="202">
        <v>57.12</v>
      </c>
      <c r="B70" s="202" t="s">
        <v>340</v>
      </c>
      <c r="C70" s="203">
        <f>VLOOKUP(A70,Estimate!A:L,12,FALSE)</f>
        <v>1</v>
      </c>
      <c r="D70" s="205">
        <v>46</v>
      </c>
      <c r="E70" s="205">
        <v>136</v>
      </c>
      <c r="F70" s="163" t="str">
        <f>IFERROR(VLOOKUP($A70,'Budget &amp; Revenue'!$A:$Y,4,FALSE)," ")</f>
        <v xml:space="preserve"> </v>
      </c>
      <c r="G70" s="175" t="str">
        <f>IFERROR(VLOOKUP($A70,'Budget &amp; Revenue'!$A:$Y,13,FALSE)," ")</f>
        <v xml:space="preserve"> </v>
      </c>
      <c r="H70" s="175" t="str">
        <f>IFERROR(VLOOKUP($A70,'Budget &amp; Revenue'!$A:$Y,15,FALSE)," ")</f>
        <v xml:space="preserve"> </v>
      </c>
      <c r="I70" s="175" t="str">
        <f>IFERROR(VLOOKUP($A70,'Budget &amp; Revenue'!$A:$Y,17,FALSE)," ")</f>
        <v xml:space="preserve"> </v>
      </c>
      <c r="J70" s="175" t="str">
        <f>IFERROR(VLOOKUP($A70,'Budget &amp; Revenue'!$A:$Y,19,FALSE)," ")</f>
        <v xml:space="preserve"> </v>
      </c>
      <c r="K70" s="175" t="str">
        <f>IFERROR(VLOOKUP($A70,'Budget &amp; Revenue'!$A:$Y,21,FALSE)," ")</f>
        <v xml:space="preserve"> </v>
      </c>
      <c r="L70" s="175" t="str">
        <f>IFERROR(VLOOKUP($A70,'Budget &amp; Revenue'!$A:$Y,23,FALSE)," ")</f>
        <v xml:space="preserve"> </v>
      </c>
      <c r="M70" s="175" t="str">
        <f>IFERROR(VLOOKUP($A70,'Budget &amp; Revenue'!$A:$Y,25,FALSE)," ")</f>
        <v xml:space="preserve"> </v>
      </c>
    </row>
    <row r="71" spans="1:13" x14ac:dyDescent="0.25">
      <c r="A71" s="202">
        <v>57.13</v>
      </c>
      <c r="B71" s="202" t="s">
        <v>339</v>
      </c>
      <c r="C71" s="203">
        <f>VLOOKUP(A71,Estimate!A:L,12,FALSE)</f>
        <v>2</v>
      </c>
      <c r="D71" s="205">
        <v>47</v>
      </c>
      <c r="E71" s="205">
        <v>137</v>
      </c>
      <c r="F71" s="163" t="str">
        <f>IFERROR(VLOOKUP($A71,'Budget &amp; Revenue'!$A:$Y,4,FALSE)," ")</f>
        <v xml:space="preserve"> </v>
      </c>
      <c r="G71" s="175" t="str">
        <f>IFERROR(VLOOKUP($A71,'Budget &amp; Revenue'!$A:$Y,13,FALSE)," ")</f>
        <v xml:space="preserve"> </v>
      </c>
      <c r="H71" s="175" t="str">
        <f>IFERROR(VLOOKUP($A71,'Budget &amp; Revenue'!$A:$Y,15,FALSE)," ")</f>
        <v xml:space="preserve"> </v>
      </c>
      <c r="I71" s="175" t="str">
        <f>IFERROR(VLOOKUP($A71,'Budget &amp; Revenue'!$A:$Y,17,FALSE)," ")</f>
        <v xml:space="preserve"> </v>
      </c>
      <c r="J71" s="175" t="str">
        <f>IFERROR(VLOOKUP($A71,'Budget &amp; Revenue'!$A:$Y,19,FALSE)," ")</f>
        <v xml:space="preserve"> </v>
      </c>
      <c r="K71" s="175" t="str">
        <f>IFERROR(VLOOKUP($A71,'Budget &amp; Revenue'!$A:$Y,21,FALSE)," ")</f>
        <v xml:space="preserve"> </v>
      </c>
      <c r="L71" s="175" t="str">
        <f>IFERROR(VLOOKUP($A71,'Budget &amp; Revenue'!$A:$Y,23,FALSE)," ")</f>
        <v xml:space="preserve"> </v>
      </c>
      <c r="M71" s="175" t="str">
        <f>IFERROR(VLOOKUP($A71,'Budget &amp; Revenue'!$A:$Y,25,FALSE)," ")</f>
        <v xml:space="preserve"> </v>
      </c>
    </row>
    <row r="72" spans="1:13" ht="72" x14ac:dyDescent="0.25">
      <c r="A72" s="202">
        <v>58</v>
      </c>
      <c r="B72" s="202" t="s">
        <v>120</v>
      </c>
      <c r="C72" s="203">
        <f>VLOOKUP(A72,Estimate!A:L,12,FALSE)</f>
        <v>0</v>
      </c>
      <c r="D72" s="204"/>
      <c r="E72" s="204"/>
      <c r="F72" s="163">
        <f>IFERROR(VLOOKUP($A72,'Budget &amp; Revenue'!$A:$Y,4,FALSE)," ")</f>
        <v>26353.800000000003</v>
      </c>
      <c r="G72" s="175">
        <f>IFERROR(VLOOKUP($A72,'Budget &amp; Revenue'!$A:$Y,13,FALSE)," ")</f>
        <v>0</v>
      </c>
      <c r="H72" s="175">
        <f>IFERROR(VLOOKUP($A72,'Budget &amp; Revenue'!$A:$Y,15,FALSE)," ")</f>
        <v>1.8208081629029121E-2</v>
      </c>
      <c r="I72" s="175">
        <f>IFERROR(VLOOKUP($A72,'Budget &amp; Revenue'!$A:$Y,17,FALSE)," ")</f>
        <v>0.62556644139914019</v>
      </c>
      <c r="J72" s="175">
        <f>IFERROR(VLOOKUP($A72,'Budget &amp; Revenue'!$A:$Y,19,FALSE)," ")</f>
        <v>0.69876757376970799</v>
      </c>
      <c r="K72" s="175">
        <f>IFERROR(VLOOKUP($A72,'Budget &amp; Revenue'!$A:$Y,21,FALSE)," ")</f>
        <v>0.8360862869104656</v>
      </c>
      <c r="L72" s="175">
        <f>IFERROR(VLOOKUP($A72,'Budget &amp; Revenue'!$A:$Y,23,FALSE)," ")</f>
        <v>1</v>
      </c>
      <c r="M72" s="175">
        <f>IFERROR(VLOOKUP($A72,'Budget &amp; Revenue'!$A:$Y,25,FALSE)," ")</f>
        <v>1</v>
      </c>
    </row>
    <row r="73" spans="1:13" ht="84" x14ac:dyDescent="0.25">
      <c r="A73" s="202">
        <v>59</v>
      </c>
      <c r="B73" s="202" t="s">
        <v>124</v>
      </c>
      <c r="C73" s="203">
        <f>VLOOKUP(A73,Estimate!A:L,12,FALSE)</f>
        <v>0</v>
      </c>
      <c r="D73" s="204"/>
      <c r="E73" s="204"/>
      <c r="F73" s="163">
        <f>IFERROR(VLOOKUP($A73,'Budget &amp; Revenue'!$A:$Y,4,FALSE)," ")</f>
        <v>19.8</v>
      </c>
      <c r="G73" s="175" t="str">
        <f>IFERROR(VLOOKUP($A73,'Budget &amp; Revenue'!$A:$Y,13,FALSE)," ")</f>
        <v xml:space="preserve"> </v>
      </c>
      <c r="H73" s="175" t="str">
        <f>IFERROR(VLOOKUP($A73,'Budget &amp; Revenue'!$A:$Y,15,FALSE)," ")</f>
        <v xml:space="preserve"> </v>
      </c>
      <c r="I73" s="175" t="str">
        <f>IFERROR(VLOOKUP($A73,'Budget &amp; Revenue'!$A:$Y,17,FALSE)," ")</f>
        <v xml:space="preserve"> </v>
      </c>
      <c r="J73" s="175" t="str">
        <f>IFERROR(VLOOKUP($A73,'Budget &amp; Revenue'!$A:$Y,19,FALSE)," ")</f>
        <v xml:space="preserve"> </v>
      </c>
      <c r="K73" s="175" t="str">
        <f>IFERROR(VLOOKUP($A73,'Budget &amp; Revenue'!$A:$Y,21,FALSE)," ")</f>
        <v xml:space="preserve"> </v>
      </c>
      <c r="L73" s="175" t="str">
        <f>IFERROR(VLOOKUP($A73,'Budget &amp; Revenue'!$A:$Y,23,FALSE)," ")</f>
        <v xml:space="preserve"> </v>
      </c>
      <c r="M73" s="175" t="str">
        <f>IFERROR(VLOOKUP($A73,'Budget &amp; Revenue'!$A:$Y,25,FALSE)," ")</f>
        <v xml:space="preserve"> </v>
      </c>
    </row>
    <row r="74" spans="1:13" ht="48" x14ac:dyDescent="0.25">
      <c r="A74" s="202">
        <v>60</v>
      </c>
      <c r="B74" s="202" t="s">
        <v>126</v>
      </c>
      <c r="C74" s="203">
        <f>VLOOKUP(A74,Estimate!A:L,12,FALSE)</f>
        <v>0</v>
      </c>
      <c r="D74" s="204"/>
      <c r="E74" s="204"/>
      <c r="F74" s="163">
        <f>IFERROR(VLOOKUP($A74,'Budget &amp; Revenue'!$A:$Y,4,FALSE)," ")</f>
        <v>49469.184000000001</v>
      </c>
      <c r="G74" s="175">
        <f>IFERROR(VLOOKUP($A74,'Budget &amp; Revenue'!$A:$Y,13,FALSE)," ")</f>
        <v>0</v>
      </c>
      <c r="H74" s="175">
        <f>IFERROR(VLOOKUP($A74,'Budget &amp; Revenue'!$A:$Y,15,FALSE)," ")</f>
        <v>0</v>
      </c>
      <c r="I74" s="175">
        <f>IFERROR(VLOOKUP($A74,'Budget &amp; Revenue'!$A:$Y,17,FALSE)," ")</f>
        <v>0</v>
      </c>
      <c r="J74" s="175">
        <f>IFERROR(VLOOKUP($A74,'Budget &amp; Revenue'!$A:$Y,19,FALSE)," ")</f>
        <v>0.85978695919188486</v>
      </c>
      <c r="K74" s="175">
        <f>IFERROR(VLOOKUP($A74,'Budget &amp; Revenue'!$A:$Y,21,FALSE)," ")</f>
        <v>1</v>
      </c>
      <c r="L74" s="175">
        <f>IFERROR(VLOOKUP($A74,'Budget &amp; Revenue'!$A:$Y,23,FALSE)," ")</f>
        <v>1</v>
      </c>
      <c r="M74" s="175">
        <f>IFERROR(VLOOKUP($A74,'Budget &amp; Revenue'!$A:$Y,25,FALSE)," ")</f>
        <v>1</v>
      </c>
    </row>
    <row r="75" spans="1:13" ht="48" x14ac:dyDescent="0.25">
      <c r="A75" s="202">
        <v>61</v>
      </c>
      <c r="B75" s="202" t="s">
        <v>130</v>
      </c>
      <c r="C75" s="203">
        <f>VLOOKUP(A75,Estimate!A:L,12,FALSE)</f>
        <v>0</v>
      </c>
      <c r="D75" s="204"/>
      <c r="E75" s="204"/>
      <c r="F75" s="163">
        <f>IFERROR(VLOOKUP($A75,'Budget &amp; Revenue'!$A:$Y,4,FALSE)," ")</f>
        <v>40927.3344</v>
      </c>
      <c r="G75" s="175" t="str">
        <f>IFERROR(VLOOKUP($A75,'Budget &amp; Revenue'!$A:$Y,13,FALSE)," ")</f>
        <v xml:space="preserve"> </v>
      </c>
      <c r="H75" s="175" t="str">
        <f>IFERROR(VLOOKUP($A75,'Budget &amp; Revenue'!$A:$Y,15,FALSE)," ")</f>
        <v xml:space="preserve"> </v>
      </c>
      <c r="I75" s="175" t="str">
        <f>IFERROR(VLOOKUP($A75,'Budget &amp; Revenue'!$A:$Y,17,FALSE)," ")</f>
        <v xml:space="preserve"> </v>
      </c>
      <c r="J75" s="175" t="str">
        <f>IFERROR(VLOOKUP($A75,'Budget &amp; Revenue'!$A:$Y,19,FALSE)," ")</f>
        <v xml:space="preserve"> </v>
      </c>
      <c r="K75" s="175" t="str">
        <f>IFERROR(VLOOKUP($A75,'Budget &amp; Revenue'!$A:$Y,21,FALSE)," ")</f>
        <v xml:space="preserve"> </v>
      </c>
      <c r="L75" s="175" t="str">
        <f>IFERROR(VLOOKUP($A75,'Budget &amp; Revenue'!$A:$Y,23,FALSE)," ")</f>
        <v xml:space="preserve"> </v>
      </c>
      <c r="M75" s="175" t="str">
        <f>IFERROR(VLOOKUP($A75,'Budget &amp; Revenue'!$A:$Y,25,FALSE)," ")</f>
        <v xml:space="preserve"> </v>
      </c>
    </row>
    <row r="76" spans="1:13" x14ac:dyDescent="0.25">
      <c r="A76" s="203">
        <v>62</v>
      </c>
      <c r="B76" s="203" t="s">
        <v>132</v>
      </c>
      <c r="C76" s="203">
        <f>VLOOKUP(A76,Estimate!A:L,12,FALSE)</f>
        <v>0</v>
      </c>
      <c r="D76" s="204"/>
      <c r="E76" s="204"/>
      <c r="F76" s="163">
        <f>IFERROR(VLOOKUP($A76,'Budget &amp; Revenue'!$A:$Y,4,FALSE)," ")</f>
        <v>0</v>
      </c>
      <c r="G76" s="175" t="str">
        <f>IFERROR(VLOOKUP($A76,'Budget &amp; Revenue'!$A:$Y,13,FALSE)," ")</f>
        <v xml:space="preserve"> </v>
      </c>
      <c r="H76" s="175" t="str">
        <f>IFERROR(VLOOKUP($A76,'Budget &amp; Revenue'!$A:$Y,15,FALSE)," ")</f>
        <v xml:space="preserve"> </v>
      </c>
      <c r="I76" s="175" t="str">
        <f>IFERROR(VLOOKUP($A76,'Budget &amp; Revenue'!$A:$Y,17,FALSE)," ")</f>
        <v xml:space="preserve"> </v>
      </c>
      <c r="J76" s="175" t="str">
        <f>IFERROR(VLOOKUP($A76,'Budget &amp; Revenue'!$A:$Y,19,FALSE)," ")</f>
        <v xml:space="preserve"> </v>
      </c>
      <c r="K76" s="175" t="str">
        <f>IFERROR(VLOOKUP($A76,'Budget &amp; Revenue'!$A:$Y,21,FALSE)," ")</f>
        <v xml:space="preserve"> </v>
      </c>
      <c r="L76" s="175" t="str">
        <f>IFERROR(VLOOKUP($A76,'Budget &amp; Revenue'!$A:$Y,23,FALSE)," ")</f>
        <v xml:space="preserve"> </v>
      </c>
      <c r="M76" s="175" t="str">
        <f>IFERROR(VLOOKUP($A76,'Budget &amp; Revenue'!$A:$Y,25,FALSE)," ")</f>
        <v xml:space="preserve"> </v>
      </c>
    </row>
    <row r="77" spans="1:13" ht="48" x14ac:dyDescent="0.25">
      <c r="A77" s="202">
        <v>63</v>
      </c>
      <c r="B77" s="202" t="s">
        <v>405</v>
      </c>
      <c r="C77" s="203">
        <f>VLOOKUP(A77,Estimate!A:L,12,FALSE)</f>
        <v>1</v>
      </c>
      <c r="D77" s="205">
        <v>33</v>
      </c>
      <c r="E77" s="205">
        <v>77</v>
      </c>
      <c r="F77" s="163">
        <f>IFERROR(VLOOKUP($A77,'Budget &amp; Revenue'!$A:$Y,4,FALSE)," ")</f>
        <v>2723.4553089382125</v>
      </c>
      <c r="G77" s="175" t="str">
        <f>IFERROR(VLOOKUP($A77,'Budget &amp; Revenue'!$A:$Y,13,FALSE)," ")</f>
        <v xml:space="preserve"> </v>
      </c>
      <c r="H77" s="175" t="str">
        <f>IFERROR(VLOOKUP($A77,'Budget &amp; Revenue'!$A:$Y,15,FALSE)," ")</f>
        <v xml:space="preserve"> </v>
      </c>
      <c r="I77" s="175" t="str">
        <f>IFERROR(VLOOKUP($A77,'Budget &amp; Revenue'!$A:$Y,17,FALSE)," ")</f>
        <v xml:space="preserve"> </v>
      </c>
      <c r="J77" s="175" t="str">
        <f>IFERROR(VLOOKUP($A77,'Budget &amp; Revenue'!$A:$Y,19,FALSE)," ")</f>
        <v xml:space="preserve"> </v>
      </c>
      <c r="K77" s="175" t="str">
        <f>IFERROR(VLOOKUP($A77,'Budget &amp; Revenue'!$A:$Y,21,FALSE)," ")</f>
        <v xml:space="preserve"> </v>
      </c>
      <c r="L77" s="175" t="str">
        <f>IFERROR(VLOOKUP($A77,'Budget &amp; Revenue'!$A:$Y,23,FALSE)," ")</f>
        <v xml:space="preserve"> </v>
      </c>
      <c r="M77" s="175" t="str">
        <f>IFERROR(VLOOKUP($A77,'Budget &amp; Revenue'!$A:$Y,25,FALSE)," ")</f>
        <v xml:space="preserve"> </v>
      </c>
    </row>
    <row r="78" spans="1:13" ht="48" x14ac:dyDescent="0.25">
      <c r="A78" s="202">
        <v>64</v>
      </c>
      <c r="B78" s="202" t="s">
        <v>406</v>
      </c>
      <c r="C78" s="203">
        <f>VLOOKUP(A78,Estimate!A:L,12,FALSE)</f>
        <v>1</v>
      </c>
      <c r="D78" s="205">
        <v>76</v>
      </c>
      <c r="E78" s="205">
        <v>78</v>
      </c>
      <c r="F78" s="163">
        <f>IFERROR(VLOOKUP($A78,'Budget &amp; Revenue'!$A:$Y,4,FALSE)," ")</f>
        <v>4085.4893138357706</v>
      </c>
      <c r="G78" s="175">
        <f>IFERROR(VLOOKUP($A78,'Budget &amp; Revenue'!$A:$Y,13,FALSE)," ")</f>
        <v>0</v>
      </c>
      <c r="H78" s="175">
        <f>IFERROR(VLOOKUP($A78,'Budget &amp; Revenue'!$A:$Y,15,FALSE)," ")</f>
        <v>0</v>
      </c>
      <c r="I78" s="175">
        <f>IFERROR(VLOOKUP($A78,'Budget &amp; Revenue'!$A:$Y,17,FALSE)," ")</f>
        <v>0</v>
      </c>
      <c r="J78" s="175">
        <f>IFERROR(VLOOKUP($A78,'Budget &amp; Revenue'!$A:$Y,19,FALSE)," ")</f>
        <v>1</v>
      </c>
      <c r="K78" s="175">
        <f>IFERROR(VLOOKUP($A78,'Budget &amp; Revenue'!$A:$Y,21,FALSE)," ")</f>
        <v>1</v>
      </c>
      <c r="L78" s="175">
        <f>IFERROR(VLOOKUP($A78,'Budget &amp; Revenue'!$A:$Y,23,FALSE)," ")</f>
        <v>1</v>
      </c>
      <c r="M78" s="175">
        <f>IFERROR(VLOOKUP($A78,'Budget &amp; Revenue'!$A:$Y,25,FALSE)," ")</f>
        <v>1</v>
      </c>
    </row>
    <row r="79" spans="1:13" ht="48" x14ac:dyDescent="0.25">
      <c r="A79" s="202">
        <v>65</v>
      </c>
      <c r="B79" s="202" t="s">
        <v>407</v>
      </c>
      <c r="C79" s="203">
        <f>VLOOKUP(A79,Estimate!A:L,12,FALSE)</f>
        <v>1</v>
      </c>
      <c r="D79" s="205">
        <v>77</v>
      </c>
      <c r="E79" s="205">
        <v>79</v>
      </c>
      <c r="F79" s="163">
        <f>IFERROR(VLOOKUP($A79,'Budget &amp; Revenue'!$A:$Y,4,FALSE)," ")</f>
        <v>817.28172817281734</v>
      </c>
      <c r="G79" s="175">
        <f>IFERROR(VLOOKUP($A79,'Budget &amp; Revenue'!$A:$Y,13,FALSE)," ")</f>
        <v>0</v>
      </c>
      <c r="H79" s="175">
        <f>IFERROR(VLOOKUP($A79,'Budget &amp; Revenue'!$A:$Y,15,FALSE)," ")</f>
        <v>0</v>
      </c>
      <c r="I79" s="175">
        <f>IFERROR(VLOOKUP($A79,'Budget &amp; Revenue'!$A:$Y,17,FALSE)," ")</f>
        <v>0</v>
      </c>
      <c r="J79" s="175">
        <f>IFERROR(VLOOKUP($A79,'Budget &amp; Revenue'!$A:$Y,19,FALSE)," ")</f>
        <v>0</v>
      </c>
      <c r="K79" s="175">
        <f>IFERROR(VLOOKUP($A79,'Budget &amp; Revenue'!$A:$Y,21,FALSE)," ")</f>
        <v>0</v>
      </c>
      <c r="L79" s="175">
        <f>IFERROR(VLOOKUP($A79,'Budget &amp; Revenue'!$A:$Y,23,FALSE)," ")</f>
        <v>1</v>
      </c>
      <c r="M79" s="175">
        <f>IFERROR(VLOOKUP($A79,'Budget &amp; Revenue'!$A:$Y,25,FALSE)," ")</f>
        <v>1</v>
      </c>
    </row>
    <row r="80" spans="1:13" ht="36" x14ac:dyDescent="0.25">
      <c r="A80" s="202">
        <v>66</v>
      </c>
      <c r="B80" s="202" t="s">
        <v>408</v>
      </c>
      <c r="C80" s="203">
        <f>VLOOKUP(A80,Estimate!A:L,12,FALSE)</f>
        <v>1</v>
      </c>
      <c r="D80" s="205">
        <v>78</v>
      </c>
      <c r="E80" s="205">
        <v>80</v>
      </c>
      <c r="F80" s="163">
        <f>IFERROR(VLOOKUP($A80,'Budget &amp; Revenue'!$A:$Y,4,FALSE)," ")</f>
        <v>2859.0480000000002</v>
      </c>
      <c r="G80" s="175">
        <f>IFERROR(VLOOKUP($A80,'Budget &amp; Revenue'!$A:$Y,13,FALSE)," ")</f>
        <v>0</v>
      </c>
      <c r="H80" s="175">
        <f>IFERROR(VLOOKUP($A80,'Budget &amp; Revenue'!$A:$Y,15,FALSE)," ")</f>
        <v>0</v>
      </c>
      <c r="I80" s="175">
        <f>IFERROR(VLOOKUP($A80,'Budget &amp; Revenue'!$A:$Y,17,FALSE)," ")</f>
        <v>0</v>
      </c>
      <c r="J80" s="175">
        <f>IFERROR(VLOOKUP($A80,'Budget &amp; Revenue'!$A:$Y,19,FALSE)," ")</f>
        <v>1</v>
      </c>
      <c r="K80" s="175">
        <f>IFERROR(VLOOKUP($A80,'Budget &amp; Revenue'!$A:$Y,21,FALSE)," ")</f>
        <v>1</v>
      </c>
      <c r="L80" s="175">
        <f>IFERROR(VLOOKUP($A80,'Budget &amp; Revenue'!$A:$Y,23,FALSE)," ")</f>
        <v>1</v>
      </c>
      <c r="M80" s="175">
        <f>IFERROR(VLOOKUP($A80,'Budget &amp; Revenue'!$A:$Y,25,FALSE)," ")</f>
        <v>1</v>
      </c>
    </row>
    <row r="81" spans="1:13" ht="36" x14ac:dyDescent="0.25">
      <c r="A81" s="202">
        <v>67</v>
      </c>
      <c r="B81" s="202" t="s">
        <v>409</v>
      </c>
      <c r="C81" s="203">
        <f>VLOOKUP(A81,Estimate!A:L,12,FALSE)</f>
        <v>1</v>
      </c>
      <c r="D81" s="205">
        <v>79</v>
      </c>
      <c r="E81" s="205">
        <v>81</v>
      </c>
      <c r="F81" s="163">
        <f>IFERROR(VLOOKUP($A81,'Budget &amp; Revenue'!$A:$Y,4,FALSE)," ")</f>
        <v>2974.9385307346329</v>
      </c>
      <c r="G81" s="175" t="str">
        <f>IFERROR(VLOOKUP($A81,'Budget &amp; Revenue'!$A:$Y,13,FALSE)," ")</f>
        <v xml:space="preserve"> </v>
      </c>
      <c r="H81" s="175" t="str">
        <f>IFERROR(VLOOKUP($A81,'Budget &amp; Revenue'!$A:$Y,15,FALSE)," ")</f>
        <v xml:space="preserve"> </v>
      </c>
      <c r="I81" s="175" t="str">
        <f>IFERROR(VLOOKUP($A81,'Budget &amp; Revenue'!$A:$Y,17,FALSE)," ")</f>
        <v xml:space="preserve"> </v>
      </c>
      <c r="J81" s="175" t="str">
        <f>IFERROR(VLOOKUP($A81,'Budget &amp; Revenue'!$A:$Y,19,FALSE)," ")</f>
        <v xml:space="preserve"> </v>
      </c>
      <c r="K81" s="175" t="str">
        <f>IFERROR(VLOOKUP($A81,'Budget &amp; Revenue'!$A:$Y,21,FALSE)," ")</f>
        <v xml:space="preserve"> </v>
      </c>
      <c r="L81" s="175" t="str">
        <f>IFERROR(VLOOKUP($A81,'Budget &amp; Revenue'!$A:$Y,23,FALSE)," ")</f>
        <v xml:space="preserve"> </v>
      </c>
      <c r="M81" s="175" t="str">
        <f>IFERROR(VLOOKUP($A81,'Budget &amp; Revenue'!$A:$Y,25,FALSE)," ")</f>
        <v xml:space="preserve"> </v>
      </c>
    </row>
    <row r="82" spans="1:13" ht="36" x14ac:dyDescent="0.25">
      <c r="A82" s="202">
        <v>68</v>
      </c>
      <c r="B82" s="202" t="s">
        <v>410</v>
      </c>
      <c r="C82" s="203">
        <f>VLOOKUP(A82,Estimate!A:L,12,FALSE)</f>
        <v>1</v>
      </c>
      <c r="D82" s="205">
        <v>80</v>
      </c>
      <c r="E82" s="205">
        <v>82</v>
      </c>
      <c r="F82" s="163">
        <f>IFERROR(VLOOKUP($A82,'Budget &amp; Revenue'!$A:$Y,4,FALSE)," ")</f>
        <v>3268.9385307346329</v>
      </c>
      <c r="G82" s="175" t="str">
        <f>IFERROR(VLOOKUP($A82,'Budget &amp; Revenue'!$A:$Y,13,FALSE)," ")</f>
        <v xml:space="preserve"> </v>
      </c>
      <c r="H82" s="175" t="str">
        <f>IFERROR(VLOOKUP($A82,'Budget &amp; Revenue'!$A:$Y,15,FALSE)," ")</f>
        <v xml:space="preserve"> </v>
      </c>
      <c r="I82" s="175" t="str">
        <f>IFERROR(VLOOKUP($A82,'Budget &amp; Revenue'!$A:$Y,17,FALSE)," ")</f>
        <v xml:space="preserve"> </v>
      </c>
      <c r="J82" s="175" t="str">
        <f>IFERROR(VLOOKUP($A82,'Budget &amp; Revenue'!$A:$Y,19,FALSE)," ")</f>
        <v xml:space="preserve"> </v>
      </c>
      <c r="K82" s="175" t="str">
        <f>IFERROR(VLOOKUP($A82,'Budget &amp; Revenue'!$A:$Y,21,FALSE)," ")</f>
        <v xml:space="preserve"> </v>
      </c>
      <c r="L82" s="175" t="str">
        <f>IFERROR(VLOOKUP($A82,'Budget &amp; Revenue'!$A:$Y,23,FALSE)," ")</f>
        <v xml:space="preserve"> </v>
      </c>
      <c r="M82" s="175" t="str">
        <f>IFERROR(VLOOKUP($A82,'Budget &amp; Revenue'!$A:$Y,25,FALSE)," ")</f>
        <v xml:space="preserve"> </v>
      </c>
    </row>
    <row r="83" spans="1:13" ht="36" x14ac:dyDescent="0.25">
      <c r="A83" s="202">
        <v>69</v>
      </c>
      <c r="B83" s="202" t="s">
        <v>411</v>
      </c>
      <c r="C83" s="203">
        <f>VLOOKUP(A83,Estimate!A:L,12,FALSE)</f>
        <v>1</v>
      </c>
      <c r="D83" s="205">
        <v>81</v>
      </c>
      <c r="E83" s="205">
        <v>83</v>
      </c>
      <c r="F83" s="163">
        <f>IFERROR(VLOOKUP($A83,'Budget &amp; Revenue'!$A:$Y,4,FALSE)," ")</f>
        <v>3568.9385307346329</v>
      </c>
      <c r="G83" s="175" t="str">
        <f>IFERROR(VLOOKUP($A83,'Budget &amp; Revenue'!$A:$Y,13,FALSE)," ")</f>
        <v xml:space="preserve"> </v>
      </c>
      <c r="H83" s="175" t="str">
        <f>IFERROR(VLOOKUP($A83,'Budget &amp; Revenue'!$A:$Y,15,FALSE)," ")</f>
        <v xml:space="preserve"> </v>
      </c>
      <c r="I83" s="175" t="str">
        <f>IFERROR(VLOOKUP($A83,'Budget &amp; Revenue'!$A:$Y,17,FALSE)," ")</f>
        <v xml:space="preserve"> </v>
      </c>
      <c r="J83" s="175" t="str">
        <f>IFERROR(VLOOKUP($A83,'Budget &amp; Revenue'!$A:$Y,19,FALSE)," ")</f>
        <v xml:space="preserve"> </v>
      </c>
      <c r="K83" s="175" t="str">
        <f>IFERROR(VLOOKUP($A83,'Budget &amp; Revenue'!$A:$Y,21,FALSE)," ")</f>
        <v xml:space="preserve"> </v>
      </c>
      <c r="L83" s="175" t="str">
        <f>IFERROR(VLOOKUP($A83,'Budget &amp; Revenue'!$A:$Y,23,FALSE)," ")</f>
        <v xml:space="preserve"> </v>
      </c>
      <c r="M83" s="175" t="str">
        <f>IFERROR(VLOOKUP($A83,'Budget &amp; Revenue'!$A:$Y,25,FALSE)," ")</f>
        <v xml:space="preserve"> </v>
      </c>
    </row>
    <row r="84" spans="1:13" ht="36" x14ac:dyDescent="0.25">
      <c r="A84" s="202">
        <v>70</v>
      </c>
      <c r="B84" s="202" t="s">
        <v>412</v>
      </c>
      <c r="C84" s="203">
        <f>VLOOKUP(A84,Estimate!A:L,12,FALSE)</f>
        <v>2</v>
      </c>
      <c r="D84" s="205">
        <v>82</v>
      </c>
      <c r="E84" s="205">
        <v>85</v>
      </c>
      <c r="F84" s="163">
        <f>IFERROR(VLOOKUP($A84,'Budget &amp; Revenue'!$A:$Y,4,FALSE)," ")</f>
        <v>2200</v>
      </c>
      <c r="G84" s="175">
        <f>IFERROR(VLOOKUP($A84,'Budget &amp; Revenue'!$A:$Y,13,FALSE)," ")</f>
        <v>0</v>
      </c>
      <c r="H84" s="175">
        <f>IFERROR(VLOOKUP($A84,'Budget &amp; Revenue'!$A:$Y,15,FALSE)," ")</f>
        <v>0</v>
      </c>
      <c r="I84" s="175">
        <f>IFERROR(VLOOKUP($A84,'Budget &amp; Revenue'!$A:$Y,17,FALSE)," ")</f>
        <v>0</v>
      </c>
      <c r="J84" s="175">
        <f>IFERROR(VLOOKUP($A84,'Budget &amp; Revenue'!$A:$Y,19,FALSE)," ")</f>
        <v>0</v>
      </c>
      <c r="K84" s="175">
        <f>IFERROR(VLOOKUP($A84,'Budget &amp; Revenue'!$A:$Y,21,FALSE)," ")</f>
        <v>0</v>
      </c>
      <c r="L84" s="175">
        <f>IFERROR(VLOOKUP($A84,'Budget &amp; Revenue'!$A:$Y,23,FALSE)," ")</f>
        <v>1</v>
      </c>
      <c r="M84" s="175">
        <f>IFERROR(VLOOKUP($A84,'Budget &amp; Revenue'!$A:$Y,25,FALSE)," ")</f>
        <v>1</v>
      </c>
    </row>
    <row r="85" spans="1:13" ht="36" x14ac:dyDescent="0.25">
      <c r="A85" s="202">
        <v>71</v>
      </c>
      <c r="B85" s="202" t="s">
        <v>413</v>
      </c>
      <c r="C85" s="203">
        <f>VLOOKUP(A85,Estimate!A:L,12,FALSE)</f>
        <v>0</v>
      </c>
      <c r="D85" s="204"/>
      <c r="E85" s="204"/>
      <c r="F85" s="163">
        <f>IFERROR(VLOOKUP($A85,'Budget &amp; Revenue'!$A:$Y,4,FALSE)," ")</f>
        <v>0</v>
      </c>
      <c r="G85" s="175" t="str">
        <f>IFERROR(VLOOKUP($A85,'Budget &amp; Revenue'!$A:$Y,13,FALSE)," ")</f>
        <v xml:space="preserve"> </v>
      </c>
      <c r="H85" s="175" t="str">
        <f>IFERROR(VLOOKUP($A85,'Budget &amp; Revenue'!$A:$Y,15,FALSE)," ")</f>
        <v xml:space="preserve"> </v>
      </c>
      <c r="I85" s="175" t="str">
        <f>IFERROR(VLOOKUP($A85,'Budget &amp; Revenue'!$A:$Y,17,FALSE)," ")</f>
        <v xml:space="preserve"> </v>
      </c>
      <c r="J85" s="175" t="str">
        <f>IFERROR(VLOOKUP($A85,'Budget &amp; Revenue'!$A:$Y,19,FALSE)," ")</f>
        <v xml:space="preserve"> </v>
      </c>
      <c r="K85" s="175" t="str">
        <f>IFERROR(VLOOKUP($A85,'Budget &amp; Revenue'!$A:$Y,21,FALSE)," ")</f>
        <v xml:space="preserve"> </v>
      </c>
      <c r="L85" s="175" t="str">
        <f>IFERROR(VLOOKUP($A85,'Budget &amp; Revenue'!$A:$Y,23,FALSE)," ")</f>
        <v xml:space="preserve"> </v>
      </c>
      <c r="M85" s="175" t="str">
        <f>IFERROR(VLOOKUP($A85,'Budget &amp; Revenue'!$A:$Y,25,FALSE)," ")</f>
        <v xml:space="preserve"> </v>
      </c>
    </row>
    <row r="86" spans="1:13" ht="36" x14ac:dyDescent="0.25">
      <c r="A86" s="202">
        <v>72</v>
      </c>
      <c r="B86" s="202" t="s">
        <v>414</v>
      </c>
      <c r="C86" s="203">
        <f>VLOOKUP(A86,Estimate!A:L,12,FALSE)</f>
        <v>2</v>
      </c>
      <c r="D86" s="205">
        <v>83</v>
      </c>
      <c r="E86" s="205">
        <v>86</v>
      </c>
      <c r="F86" s="163">
        <f>IFERROR(VLOOKUP($A86,'Budget &amp; Revenue'!$A:$Y,4,FALSE)," ")</f>
        <v>62.207999999999991</v>
      </c>
      <c r="G86" s="175">
        <f>IFERROR(VLOOKUP($A86,'Budget &amp; Revenue'!$A:$Y,13,FALSE)," ")</f>
        <v>0</v>
      </c>
      <c r="H86" s="175">
        <f>IFERROR(VLOOKUP($A86,'Budget &amp; Revenue'!$A:$Y,15,FALSE)," ")</f>
        <v>0</v>
      </c>
      <c r="I86" s="175">
        <f>IFERROR(VLOOKUP($A86,'Budget &amp; Revenue'!$A:$Y,17,FALSE)," ")</f>
        <v>0</v>
      </c>
      <c r="J86" s="175">
        <f>IFERROR(VLOOKUP($A86,'Budget &amp; Revenue'!$A:$Y,19,FALSE)," ")</f>
        <v>0</v>
      </c>
      <c r="K86" s="175">
        <f>IFERROR(VLOOKUP($A86,'Budget &amp; Revenue'!$A:$Y,21,FALSE)," ")</f>
        <v>0.22864747157028792</v>
      </c>
      <c r="L86" s="175">
        <f>IFERROR(VLOOKUP($A86,'Budget &amp; Revenue'!$A:$Y,23,FALSE)," ")</f>
        <v>1</v>
      </c>
      <c r="M86" s="175">
        <f>IFERROR(VLOOKUP($A86,'Budget &amp; Revenue'!$A:$Y,25,FALSE)," ")</f>
        <v>1</v>
      </c>
    </row>
    <row r="87" spans="1:13" ht="36" x14ac:dyDescent="0.25">
      <c r="A87" s="202">
        <v>73</v>
      </c>
      <c r="B87" s="202" t="s">
        <v>415</v>
      </c>
      <c r="C87" s="203">
        <f>VLOOKUP(A87,Estimate!A:L,12,FALSE)</f>
        <v>1</v>
      </c>
      <c r="D87" s="205">
        <v>85</v>
      </c>
      <c r="E87" s="205">
        <v>53</v>
      </c>
      <c r="F87" s="163">
        <f>IFERROR(VLOOKUP($A87,'Budget &amp; Revenue'!$A:$Y,4,FALSE)," ")</f>
        <v>1356</v>
      </c>
      <c r="G87" s="175">
        <f>IFERROR(VLOOKUP($A87,'Budget &amp; Revenue'!$A:$Y,13,FALSE)," ")</f>
        <v>0</v>
      </c>
      <c r="H87" s="175">
        <f>IFERROR(VLOOKUP($A87,'Budget &amp; Revenue'!$A:$Y,15,FALSE)," ")</f>
        <v>0</v>
      </c>
      <c r="I87" s="175">
        <f>IFERROR(VLOOKUP($A87,'Budget &amp; Revenue'!$A:$Y,17,FALSE)," ")</f>
        <v>0</v>
      </c>
      <c r="J87" s="175">
        <f>IFERROR(VLOOKUP($A87,'Budget &amp; Revenue'!$A:$Y,19,FALSE)," ")</f>
        <v>0</v>
      </c>
      <c r="K87" s="175">
        <f>IFERROR(VLOOKUP($A87,'Budget &amp; Revenue'!$A:$Y,21,FALSE)," ")</f>
        <v>0.79212070410729252</v>
      </c>
      <c r="L87" s="175">
        <f>IFERROR(VLOOKUP($A87,'Budget &amp; Revenue'!$A:$Y,23,FALSE)," ")</f>
        <v>1</v>
      </c>
      <c r="M87" s="175">
        <f>IFERROR(VLOOKUP($A87,'Budget &amp; Revenue'!$A:$Y,25,FALSE)," ")</f>
        <v>1</v>
      </c>
    </row>
    <row r="88" spans="1:13" x14ac:dyDescent="0.25">
      <c r="A88" s="202">
        <v>74</v>
      </c>
      <c r="B88" s="202" t="s">
        <v>416</v>
      </c>
      <c r="C88" s="203">
        <f>VLOOKUP(A88,Estimate!A:L,12,FALSE)</f>
        <v>0</v>
      </c>
      <c r="D88" s="205">
        <v>93</v>
      </c>
      <c r="E88" s="205">
        <v>88</v>
      </c>
      <c r="F88" s="163">
        <f>IFERROR(VLOOKUP($A88,'Budget &amp; Revenue'!$A:$Y,4,FALSE)," ")</f>
        <v>0</v>
      </c>
      <c r="G88" s="175" t="str">
        <f>IFERROR(VLOOKUP($A88,'Budget &amp; Revenue'!$A:$Y,13,FALSE)," ")</f>
        <v xml:space="preserve"> </v>
      </c>
      <c r="H88" s="175" t="str">
        <f>IFERROR(VLOOKUP($A88,'Budget &amp; Revenue'!$A:$Y,15,FALSE)," ")</f>
        <v xml:space="preserve"> </v>
      </c>
      <c r="I88" s="175" t="str">
        <f>IFERROR(VLOOKUP($A88,'Budget &amp; Revenue'!$A:$Y,17,FALSE)," ")</f>
        <v xml:space="preserve"> </v>
      </c>
      <c r="J88" s="175" t="str">
        <f>IFERROR(VLOOKUP($A88,'Budget &amp; Revenue'!$A:$Y,19,FALSE)," ")</f>
        <v xml:space="preserve"> </v>
      </c>
      <c r="K88" s="175" t="str">
        <f>IFERROR(VLOOKUP($A88,'Budget &amp; Revenue'!$A:$Y,21,FALSE)," ")</f>
        <v xml:space="preserve"> </v>
      </c>
      <c r="L88" s="175" t="str">
        <f>IFERROR(VLOOKUP($A88,'Budget &amp; Revenue'!$A:$Y,23,FALSE)," ")</f>
        <v xml:space="preserve"> </v>
      </c>
      <c r="M88" s="175" t="str">
        <f>IFERROR(VLOOKUP($A88,'Budget &amp; Revenue'!$A:$Y,25,FALSE)," ")</f>
        <v xml:space="preserve"> </v>
      </c>
    </row>
    <row r="89" spans="1:13" ht="36" x14ac:dyDescent="0.25">
      <c r="A89" s="202">
        <v>75</v>
      </c>
      <c r="B89" s="202" t="s">
        <v>417</v>
      </c>
      <c r="C89" s="203">
        <f>VLOOKUP(A89,Estimate!A:L,12,FALSE)</f>
        <v>1</v>
      </c>
      <c r="D89" s="205">
        <v>87</v>
      </c>
      <c r="E89" s="205">
        <v>141</v>
      </c>
      <c r="F89" s="163">
        <f>IFERROR(VLOOKUP($A89,'Budget &amp; Revenue'!$A:$Y,4,FALSE)," ")</f>
        <v>8000</v>
      </c>
      <c r="G89" s="175">
        <f>IFERROR(VLOOKUP($A89,'Budget &amp; Revenue'!$A:$Y,13,FALSE)," ")</f>
        <v>0</v>
      </c>
      <c r="H89" s="175">
        <f>IFERROR(VLOOKUP($A89,'Budget &amp; Revenue'!$A:$Y,15,FALSE)," ")</f>
        <v>0</v>
      </c>
      <c r="I89" s="175">
        <f>IFERROR(VLOOKUP($A89,'Budget &amp; Revenue'!$A:$Y,17,FALSE)," ")</f>
        <v>0</v>
      </c>
      <c r="J89" s="175">
        <f>IFERROR(VLOOKUP($A89,'Budget &amp; Revenue'!$A:$Y,19,FALSE)," ")</f>
        <v>0</v>
      </c>
      <c r="K89" s="175">
        <f>IFERROR(VLOOKUP($A89,'Budget &amp; Revenue'!$A:$Y,21,FALSE)," ")</f>
        <v>0</v>
      </c>
      <c r="L89" s="175">
        <f>IFERROR(VLOOKUP($A89,'Budget &amp; Revenue'!$A:$Y,23,FALSE)," ")</f>
        <v>1</v>
      </c>
      <c r="M89" s="175">
        <f>IFERROR(VLOOKUP($A89,'Budget &amp; Revenue'!$A:$Y,25,FALSE)," ")</f>
        <v>1</v>
      </c>
    </row>
    <row r="90" spans="1:13" x14ac:dyDescent="0.25">
      <c r="A90" s="203">
        <v>76</v>
      </c>
      <c r="B90" s="203" t="s">
        <v>169</v>
      </c>
      <c r="C90" s="203">
        <f>VLOOKUP(A90,Estimate!A:L,12,FALSE)</f>
        <v>0</v>
      </c>
      <c r="D90" s="204"/>
      <c r="E90" s="204"/>
      <c r="F90" s="163">
        <f>IFERROR(VLOOKUP($A90,'Budget &amp; Revenue'!$A:$Y,4,FALSE)," ")</f>
        <v>0</v>
      </c>
      <c r="G90" s="175" t="str">
        <f>IFERROR(VLOOKUP($A90,'Budget &amp; Revenue'!$A:$Y,13,FALSE)," ")</f>
        <v xml:space="preserve"> </v>
      </c>
      <c r="H90" s="175" t="str">
        <f>IFERROR(VLOOKUP($A90,'Budget &amp; Revenue'!$A:$Y,15,FALSE)," ")</f>
        <v xml:space="preserve"> </v>
      </c>
      <c r="I90" s="175" t="str">
        <f>IFERROR(VLOOKUP($A90,'Budget &amp; Revenue'!$A:$Y,17,FALSE)," ")</f>
        <v xml:space="preserve"> </v>
      </c>
      <c r="J90" s="175" t="str">
        <f>IFERROR(VLOOKUP($A90,'Budget &amp; Revenue'!$A:$Y,19,FALSE)," ")</f>
        <v xml:space="preserve"> </v>
      </c>
      <c r="K90" s="175" t="str">
        <f>IFERROR(VLOOKUP($A90,'Budget &amp; Revenue'!$A:$Y,21,FALSE)," ")</f>
        <v xml:space="preserve"> </v>
      </c>
      <c r="L90" s="175" t="str">
        <f>IFERROR(VLOOKUP($A90,'Budget &amp; Revenue'!$A:$Y,23,FALSE)," ")</f>
        <v xml:space="preserve"> </v>
      </c>
      <c r="M90" s="175" t="str">
        <f>IFERROR(VLOOKUP($A90,'Budget &amp; Revenue'!$A:$Y,25,FALSE)," ")</f>
        <v xml:space="preserve"> </v>
      </c>
    </row>
    <row r="91" spans="1:13" ht="48" x14ac:dyDescent="0.25">
      <c r="A91" s="202">
        <v>77</v>
      </c>
      <c r="B91" s="202" t="s">
        <v>343</v>
      </c>
      <c r="C91" s="203">
        <f>VLOOKUP(A91,Estimate!A:L,12,FALSE)</f>
        <v>0</v>
      </c>
      <c r="D91" s="205" t="s">
        <v>489</v>
      </c>
      <c r="E91" s="205">
        <v>102</v>
      </c>
      <c r="F91" s="163">
        <f>IFERROR(VLOOKUP($A91,'Budget &amp; Revenue'!$A:$Y,4,FALSE)," ")</f>
        <v>0</v>
      </c>
      <c r="G91" s="175" t="str">
        <f>IFERROR(VLOOKUP($A91,'Budget &amp; Revenue'!$A:$Y,13,FALSE)," ")</f>
        <v xml:space="preserve"> </v>
      </c>
      <c r="H91" s="175" t="str">
        <f>IFERROR(VLOOKUP($A91,'Budget &amp; Revenue'!$A:$Y,15,FALSE)," ")</f>
        <v xml:space="preserve"> </v>
      </c>
      <c r="I91" s="175" t="str">
        <f>IFERROR(VLOOKUP($A91,'Budget &amp; Revenue'!$A:$Y,17,FALSE)," ")</f>
        <v xml:space="preserve"> </v>
      </c>
      <c r="J91" s="175" t="str">
        <f>IFERROR(VLOOKUP($A91,'Budget &amp; Revenue'!$A:$Y,19,FALSE)," ")</f>
        <v xml:space="preserve"> </v>
      </c>
      <c r="K91" s="175" t="str">
        <f>IFERROR(VLOOKUP($A91,'Budget &amp; Revenue'!$A:$Y,21,FALSE)," ")</f>
        <v xml:space="preserve"> </v>
      </c>
      <c r="L91" s="175" t="str">
        <f>IFERROR(VLOOKUP($A91,'Budget &amp; Revenue'!$A:$Y,23,FALSE)," ")</f>
        <v xml:space="preserve"> </v>
      </c>
      <c r="M91" s="175" t="str">
        <f>IFERROR(VLOOKUP($A91,'Budget &amp; Revenue'!$A:$Y,25,FALSE)," ")</f>
        <v xml:space="preserve"> </v>
      </c>
    </row>
    <row r="92" spans="1:13" ht="60" x14ac:dyDescent="0.25">
      <c r="A92" s="202">
        <v>78</v>
      </c>
      <c r="B92" s="202" t="s">
        <v>344</v>
      </c>
      <c r="C92" s="203">
        <f>VLOOKUP(A92,Estimate!A:L,12,FALSE)</f>
        <v>3</v>
      </c>
      <c r="D92" s="205">
        <v>100</v>
      </c>
      <c r="E92" s="205" t="s">
        <v>490</v>
      </c>
      <c r="F92" s="163">
        <f>IFERROR(VLOOKUP($A92,'Budget &amp; Revenue'!$A:$Y,4,FALSE)," ")</f>
        <v>41399.423999999999</v>
      </c>
      <c r="G92" s="175">
        <f>IFERROR(VLOOKUP($A92,'Budget &amp; Revenue'!$A:$Y,13,FALSE)," ")</f>
        <v>0</v>
      </c>
      <c r="H92" s="175">
        <f>IFERROR(VLOOKUP($A92,'Budget &amp; Revenue'!$A:$Y,15,FALSE)," ")</f>
        <v>0.51436785105865179</v>
      </c>
      <c r="I92" s="175">
        <f>IFERROR(VLOOKUP($A92,'Budget &amp; Revenue'!$A:$Y,17,FALSE)," ")</f>
        <v>0.99076113409588706</v>
      </c>
      <c r="J92" s="175">
        <f>IFERROR(VLOOKUP($A92,'Budget &amp; Revenue'!$A:$Y,19,FALSE)," ")</f>
        <v>1</v>
      </c>
      <c r="K92" s="175">
        <f>IFERROR(VLOOKUP($A92,'Budget &amp; Revenue'!$A:$Y,21,FALSE)," ")</f>
        <v>1</v>
      </c>
      <c r="L92" s="175">
        <f>IFERROR(VLOOKUP($A92,'Budget &amp; Revenue'!$A:$Y,23,FALSE)," ")</f>
        <v>1</v>
      </c>
      <c r="M92" s="175">
        <f>IFERROR(VLOOKUP($A92,'Budget &amp; Revenue'!$A:$Y,25,FALSE)," ")</f>
        <v>1</v>
      </c>
    </row>
    <row r="93" spans="1:13" ht="36" x14ac:dyDescent="0.25">
      <c r="A93" s="203">
        <v>79</v>
      </c>
      <c r="B93" s="203" t="s">
        <v>345</v>
      </c>
      <c r="C93" s="203">
        <f>VLOOKUP(A93,Estimate!A:L,12,FALSE)</f>
        <v>0</v>
      </c>
      <c r="D93" s="204"/>
      <c r="E93" s="204"/>
      <c r="F93" s="163">
        <f>IFERROR(VLOOKUP($A93,'Budget &amp; Revenue'!$A:$Y,4,FALSE)," ")</f>
        <v>84519.202172925856</v>
      </c>
      <c r="G93" s="175">
        <f>IFERROR(VLOOKUP($A93,'Budget &amp; Revenue'!$A:$Y,13,FALSE)," ")</f>
        <v>0</v>
      </c>
      <c r="H93" s="175">
        <f>IFERROR(VLOOKUP($A93,'Budget &amp; Revenue'!$A:$Y,15,FALSE)," ")</f>
        <v>0.5123727272727272</v>
      </c>
      <c r="I93" s="175">
        <f>IFERROR(VLOOKUP($A93,'Budget &amp; Revenue'!$A:$Y,17,FALSE)," ")</f>
        <v>0.98691818181818181</v>
      </c>
      <c r="J93" s="175">
        <f>IFERROR(VLOOKUP($A93,'Budget &amp; Revenue'!$A:$Y,19,FALSE)," ")</f>
        <v>0.99612121212121207</v>
      </c>
      <c r="K93" s="175">
        <f>IFERROR(VLOOKUP($A93,'Budget &amp; Revenue'!$A:$Y,21,FALSE)," ")</f>
        <v>0.99612121212121207</v>
      </c>
      <c r="L93" s="175">
        <f>IFERROR(VLOOKUP($A93,'Budget &amp; Revenue'!$A:$Y,23,FALSE)," ")</f>
        <v>1</v>
      </c>
      <c r="M93" s="175">
        <f>IFERROR(VLOOKUP($A93,'Budget &amp; Revenue'!$A:$Y,25,FALSE)," ")</f>
        <v>1</v>
      </c>
    </row>
    <row r="94" spans="1:13" x14ac:dyDescent="0.25">
      <c r="A94" s="202">
        <v>79.010000000000005</v>
      </c>
      <c r="B94" s="202" t="s">
        <v>346</v>
      </c>
      <c r="C94" s="203">
        <f>VLOOKUP(A94,Estimate!A:L,12,FALSE)</f>
        <v>1</v>
      </c>
      <c r="D94" s="205">
        <v>109</v>
      </c>
      <c r="E94" s="205" t="s">
        <v>347</v>
      </c>
      <c r="F94" s="163" t="str">
        <f>IFERROR(VLOOKUP($A94,'Budget &amp; Revenue'!$A:$Y,4,FALSE)," ")</f>
        <v xml:space="preserve"> </v>
      </c>
      <c r="G94" s="175" t="str">
        <f>IFERROR(VLOOKUP($A94,'Budget &amp; Revenue'!$A:$Y,13,FALSE)," ")</f>
        <v xml:space="preserve"> </v>
      </c>
      <c r="H94" s="175" t="str">
        <f>IFERROR(VLOOKUP($A94,'Budget &amp; Revenue'!$A:$Y,15,FALSE)," ")</f>
        <v xml:space="preserve"> </v>
      </c>
      <c r="I94" s="175" t="str">
        <f>IFERROR(VLOOKUP($A94,'Budget &amp; Revenue'!$A:$Y,17,FALSE)," ")</f>
        <v xml:space="preserve"> </v>
      </c>
      <c r="J94" s="175" t="str">
        <f>IFERROR(VLOOKUP($A94,'Budget &amp; Revenue'!$A:$Y,19,FALSE)," ")</f>
        <v xml:space="preserve"> </v>
      </c>
      <c r="K94" s="175" t="str">
        <f>IFERROR(VLOOKUP($A94,'Budget &amp; Revenue'!$A:$Y,21,FALSE)," ")</f>
        <v xml:space="preserve"> </v>
      </c>
      <c r="L94" s="175" t="str">
        <f>IFERROR(VLOOKUP($A94,'Budget &amp; Revenue'!$A:$Y,23,FALSE)," ")</f>
        <v xml:space="preserve"> </v>
      </c>
      <c r="M94" s="175" t="str">
        <f>IFERROR(VLOOKUP($A94,'Budget &amp; Revenue'!$A:$Y,25,FALSE)," ")</f>
        <v xml:space="preserve"> </v>
      </c>
    </row>
    <row r="95" spans="1:13" x14ac:dyDescent="0.25">
      <c r="A95" s="202">
        <v>79.02</v>
      </c>
      <c r="B95" s="202" t="s">
        <v>348</v>
      </c>
      <c r="C95" s="203">
        <f>VLOOKUP(A95,Estimate!A:L,12,FALSE)</f>
        <v>1</v>
      </c>
      <c r="D95" s="205">
        <v>110</v>
      </c>
      <c r="E95" s="205" t="s">
        <v>349</v>
      </c>
      <c r="F95" s="163" t="str">
        <f>IFERROR(VLOOKUP($A95,'Budget &amp; Revenue'!$A:$Y,4,FALSE)," ")</f>
        <v xml:space="preserve"> </v>
      </c>
      <c r="G95" s="175" t="str">
        <f>IFERROR(VLOOKUP($A95,'Budget &amp; Revenue'!$A:$Y,13,FALSE)," ")</f>
        <v xml:space="preserve"> </v>
      </c>
      <c r="H95" s="175" t="str">
        <f>IFERROR(VLOOKUP($A95,'Budget &amp; Revenue'!$A:$Y,15,FALSE)," ")</f>
        <v xml:space="preserve"> </v>
      </c>
      <c r="I95" s="175" t="str">
        <f>IFERROR(VLOOKUP($A95,'Budget &amp; Revenue'!$A:$Y,17,FALSE)," ")</f>
        <v xml:space="preserve"> </v>
      </c>
      <c r="J95" s="175" t="str">
        <f>IFERROR(VLOOKUP($A95,'Budget &amp; Revenue'!$A:$Y,19,FALSE)," ")</f>
        <v xml:space="preserve"> </v>
      </c>
      <c r="K95" s="175" t="str">
        <f>IFERROR(VLOOKUP($A95,'Budget &amp; Revenue'!$A:$Y,21,FALSE)," ")</f>
        <v xml:space="preserve"> </v>
      </c>
      <c r="L95" s="175" t="str">
        <f>IFERROR(VLOOKUP($A95,'Budget &amp; Revenue'!$A:$Y,23,FALSE)," ")</f>
        <v xml:space="preserve"> </v>
      </c>
      <c r="M95" s="175" t="str">
        <f>IFERROR(VLOOKUP($A95,'Budget &amp; Revenue'!$A:$Y,25,FALSE)," ")</f>
        <v xml:space="preserve"> </v>
      </c>
    </row>
    <row r="96" spans="1:13" x14ac:dyDescent="0.25">
      <c r="A96" s="202">
        <v>79.03</v>
      </c>
      <c r="B96" s="202" t="s">
        <v>350</v>
      </c>
      <c r="C96" s="203">
        <f>VLOOKUP(A96,Estimate!A:L,12,FALSE)</f>
        <v>1</v>
      </c>
      <c r="D96" s="205">
        <v>111</v>
      </c>
      <c r="E96" s="205" t="s">
        <v>351</v>
      </c>
      <c r="F96" s="163" t="str">
        <f>IFERROR(VLOOKUP($A96,'Budget &amp; Revenue'!$A:$Y,4,FALSE)," ")</f>
        <v xml:space="preserve"> </v>
      </c>
      <c r="G96" s="175" t="str">
        <f>IFERROR(VLOOKUP($A96,'Budget &amp; Revenue'!$A:$Y,13,FALSE)," ")</f>
        <v xml:space="preserve"> </v>
      </c>
      <c r="H96" s="175" t="str">
        <f>IFERROR(VLOOKUP($A96,'Budget &amp; Revenue'!$A:$Y,15,FALSE)," ")</f>
        <v xml:space="preserve"> </v>
      </c>
      <c r="I96" s="175" t="str">
        <f>IFERROR(VLOOKUP($A96,'Budget &amp; Revenue'!$A:$Y,17,FALSE)," ")</f>
        <v xml:space="preserve"> </v>
      </c>
      <c r="J96" s="175" t="str">
        <f>IFERROR(VLOOKUP($A96,'Budget &amp; Revenue'!$A:$Y,19,FALSE)," ")</f>
        <v xml:space="preserve"> </v>
      </c>
      <c r="K96" s="175" t="str">
        <f>IFERROR(VLOOKUP($A96,'Budget &amp; Revenue'!$A:$Y,21,FALSE)," ")</f>
        <v xml:space="preserve"> </v>
      </c>
      <c r="L96" s="175" t="str">
        <f>IFERROR(VLOOKUP($A96,'Budget &amp; Revenue'!$A:$Y,23,FALSE)," ")</f>
        <v xml:space="preserve"> </v>
      </c>
      <c r="M96" s="175" t="str">
        <f>IFERROR(VLOOKUP($A96,'Budget &amp; Revenue'!$A:$Y,25,FALSE)," ")</f>
        <v xml:space="preserve"> </v>
      </c>
    </row>
    <row r="97" spans="1:13" x14ac:dyDescent="0.25">
      <c r="A97" s="202">
        <v>79.040000000000006</v>
      </c>
      <c r="B97" s="202" t="s">
        <v>352</v>
      </c>
      <c r="C97" s="203">
        <f>VLOOKUP(A97,Estimate!A:L,12,FALSE)</f>
        <v>1</v>
      </c>
      <c r="D97" s="205">
        <v>112</v>
      </c>
      <c r="E97" s="205" t="s">
        <v>353</v>
      </c>
      <c r="F97" s="163" t="str">
        <f>IFERROR(VLOOKUP($A97,'Budget &amp; Revenue'!$A:$Y,4,FALSE)," ")</f>
        <v xml:space="preserve"> </v>
      </c>
      <c r="G97" s="175" t="str">
        <f>IFERROR(VLOOKUP($A97,'Budget &amp; Revenue'!$A:$Y,13,FALSE)," ")</f>
        <v xml:space="preserve"> </v>
      </c>
      <c r="H97" s="175" t="str">
        <f>IFERROR(VLOOKUP($A97,'Budget &amp; Revenue'!$A:$Y,15,FALSE)," ")</f>
        <v xml:space="preserve"> </v>
      </c>
      <c r="I97" s="175" t="str">
        <f>IFERROR(VLOOKUP($A97,'Budget &amp; Revenue'!$A:$Y,17,FALSE)," ")</f>
        <v xml:space="preserve"> </v>
      </c>
      <c r="J97" s="175" t="str">
        <f>IFERROR(VLOOKUP($A97,'Budget &amp; Revenue'!$A:$Y,19,FALSE)," ")</f>
        <v xml:space="preserve"> </v>
      </c>
      <c r="K97" s="175" t="str">
        <f>IFERROR(VLOOKUP($A97,'Budget &amp; Revenue'!$A:$Y,21,FALSE)," ")</f>
        <v xml:space="preserve"> </v>
      </c>
      <c r="L97" s="175" t="str">
        <f>IFERROR(VLOOKUP($A97,'Budget &amp; Revenue'!$A:$Y,23,FALSE)," ")</f>
        <v xml:space="preserve"> </v>
      </c>
      <c r="M97" s="175" t="str">
        <f>IFERROR(VLOOKUP($A97,'Budget &amp; Revenue'!$A:$Y,25,FALSE)," ")</f>
        <v xml:space="preserve"> </v>
      </c>
    </row>
    <row r="98" spans="1:13" x14ac:dyDescent="0.25">
      <c r="A98" s="202">
        <v>79.05</v>
      </c>
      <c r="B98" s="202" t="s">
        <v>354</v>
      </c>
      <c r="C98" s="203">
        <f>VLOOKUP(A98,Estimate!A:L,12,FALSE)</f>
        <v>1</v>
      </c>
      <c r="D98" s="205">
        <v>113</v>
      </c>
      <c r="E98" s="205" t="s">
        <v>355</v>
      </c>
      <c r="F98" s="163" t="str">
        <f>IFERROR(VLOOKUP($A98,'Budget &amp; Revenue'!$A:$Y,4,FALSE)," ")</f>
        <v xml:space="preserve"> </v>
      </c>
      <c r="G98" s="175" t="str">
        <f>IFERROR(VLOOKUP($A98,'Budget &amp; Revenue'!$A:$Y,13,FALSE)," ")</f>
        <v xml:space="preserve"> </v>
      </c>
      <c r="H98" s="175" t="str">
        <f>IFERROR(VLOOKUP($A98,'Budget &amp; Revenue'!$A:$Y,15,FALSE)," ")</f>
        <v xml:space="preserve"> </v>
      </c>
      <c r="I98" s="175" t="str">
        <f>IFERROR(VLOOKUP($A98,'Budget &amp; Revenue'!$A:$Y,17,FALSE)," ")</f>
        <v xml:space="preserve"> </v>
      </c>
      <c r="J98" s="175" t="str">
        <f>IFERROR(VLOOKUP($A98,'Budget &amp; Revenue'!$A:$Y,19,FALSE)," ")</f>
        <v xml:space="preserve"> </v>
      </c>
      <c r="K98" s="175" t="str">
        <f>IFERROR(VLOOKUP($A98,'Budget &amp; Revenue'!$A:$Y,21,FALSE)," ")</f>
        <v xml:space="preserve"> </v>
      </c>
      <c r="L98" s="175" t="str">
        <f>IFERROR(VLOOKUP($A98,'Budget &amp; Revenue'!$A:$Y,23,FALSE)," ")</f>
        <v xml:space="preserve"> </v>
      </c>
      <c r="M98" s="175" t="str">
        <f>IFERROR(VLOOKUP($A98,'Budget &amp; Revenue'!$A:$Y,25,FALSE)," ")</f>
        <v xml:space="preserve"> </v>
      </c>
    </row>
    <row r="99" spans="1:13" x14ac:dyDescent="0.25">
      <c r="A99" s="202">
        <v>79.06</v>
      </c>
      <c r="B99" s="202" t="s">
        <v>356</v>
      </c>
      <c r="C99" s="203">
        <f>VLOOKUP(A99,Estimate!A:L,12,FALSE)</f>
        <v>1</v>
      </c>
      <c r="D99" s="205">
        <v>114</v>
      </c>
      <c r="E99" s="205" t="s">
        <v>357</v>
      </c>
      <c r="F99" s="163" t="str">
        <f>IFERROR(VLOOKUP($A99,'Budget &amp; Revenue'!$A:$Y,4,FALSE)," ")</f>
        <v xml:space="preserve"> </v>
      </c>
      <c r="G99" s="175" t="str">
        <f>IFERROR(VLOOKUP($A99,'Budget &amp; Revenue'!$A:$Y,13,FALSE)," ")</f>
        <v xml:space="preserve"> </v>
      </c>
      <c r="H99" s="175" t="str">
        <f>IFERROR(VLOOKUP($A99,'Budget &amp; Revenue'!$A:$Y,15,FALSE)," ")</f>
        <v xml:space="preserve"> </v>
      </c>
      <c r="I99" s="175" t="str">
        <f>IFERROR(VLOOKUP($A99,'Budget &amp; Revenue'!$A:$Y,17,FALSE)," ")</f>
        <v xml:space="preserve"> </v>
      </c>
      <c r="J99" s="175" t="str">
        <f>IFERROR(VLOOKUP($A99,'Budget &amp; Revenue'!$A:$Y,19,FALSE)," ")</f>
        <v xml:space="preserve"> </v>
      </c>
      <c r="K99" s="175" t="str">
        <f>IFERROR(VLOOKUP($A99,'Budget &amp; Revenue'!$A:$Y,21,FALSE)," ")</f>
        <v xml:space="preserve"> </v>
      </c>
      <c r="L99" s="175" t="str">
        <f>IFERROR(VLOOKUP($A99,'Budget &amp; Revenue'!$A:$Y,23,FALSE)," ")</f>
        <v xml:space="preserve"> </v>
      </c>
      <c r="M99" s="175" t="str">
        <f>IFERROR(VLOOKUP($A99,'Budget &amp; Revenue'!$A:$Y,25,FALSE)," ")</f>
        <v xml:space="preserve"> </v>
      </c>
    </row>
    <row r="100" spans="1:13" x14ac:dyDescent="0.25">
      <c r="A100" s="202">
        <v>79.069999999999993</v>
      </c>
      <c r="B100" s="202" t="s">
        <v>358</v>
      </c>
      <c r="C100" s="203">
        <f>VLOOKUP(A100,Estimate!A:L,12,FALSE)</f>
        <v>1</v>
      </c>
      <c r="D100" s="205">
        <v>115</v>
      </c>
      <c r="E100" s="205" t="s">
        <v>359</v>
      </c>
      <c r="F100" s="163" t="str">
        <f>IFERROR(VLOOKUP($A100,'Budget &amp; Revenue'!$A:$Y,4,FALSE)," ")</f>
        <v xml:space="preserve"> </v>
      </c>
      <c r="G100" s="175" t="str">
        <f>IFERROR(VLOOKUP($A100,'Budget &amp; Revenue'!$A:$Y,13,FALSE)," ")</f>
        <v xml:space="preserve"> </v>
      </c>
      <c r="H100" s="175" t="str">
        <f>IFERROR(VLOOKUP($A100,'Budget &amp; Revenue'!$A:$Y,15,FALSE)," ")</f>
        <v xml:space="preserve"> </v>
      </c>
      <c r="I100" s="175" t="str">
        <f>IFERROR(VLOOKUP($A100,'Budget &amp; Revenue'!$A:$Y,17,FALSE)," ")</f>
        <v xml:space="preserve"> </v>
      </c>
      <c r="J100" s="175" t="str">
        <f>IFERROR(VLOOKUP($A100,'Budget &amp; Revenue'!$A:$Y,19,FALSE)," ")</f>
        <v xml:space="preserve"> </v>
      </c>
      <c r="K100" s="175" t="str">
        <f>IFERROR(VLOOKUP($A100,'Budget &amp; Revenue'!$A:$Y,21,FALSE)," ")</f>
        <v xml:space="preserve"> </v>
      </c>
      <c r="L100" s="175" t="str">
        <f>IFERROR(VLOOKUP($A100,'Budget &amp; Revenue'!$A:$Y,23,FALSE)," ")</f>
        <v xml:space="preserve"> </v>
      </c>
      <c r="M100" s="175" t="str">
        <f>IFERROR(VLOOKUP($A100,'Budget &amp; Revenue'!$A:$Y,25,FALSE)," ")</f>
        <v xml:space="preserve"> </v>
      </c>
    </row>
    <row r="101" spans="1:13" x14ac:dyDescent="0.25">
      <c r="A101" s="202">
        <v>79.08</v>
      </c>
      <c r="B101" s="202" t="s">
        <v>360</v>
      </c>
      <c r="C101" s="203">
        <f>VLOOKUP(A101,Estimate!A:L,12,FALSE)</f>
        <v>6</v>
      </c>
      <c r="D101" s="205">
        <v>116</v>
      </c>
      <c r="E101" s="205" t="s">
        <v>491</v>
      </c>
      <c r="F101" s="163" t="str">
        <f>IFERROR(VLOOKUP($A101,'Budget &amp; Revenue'!$A:$Y,4,FALSE)," ")</f>
        <v xml:space="preserve"> </v>
      </c>
      <c r="G101" s="175" t="str">
        <f>IFERROR(VLOOKUP($A101,'Budget &amp; Revenue'!$A:$Y,13,FALSE)," ")</f>
        <v xml:space="preserve"> </v>
      </c>
      <c r="H101" s="175" t="str">
        <f>IFERROR(VLOOKUP($A101,'Budget &amp; Revenue'!$A:$Y,15,FALSE)," ")</f>
        <v xml:space="preserve"> </v>
      </c>
      <c r="I101" s="175" t="str">
        <f>IFERROR(VLOOKUP($A101,'Budget &amp; Revenue'!$A:$Y,17,FALSE)," ")</f>
        <v xml:space="preserve"> </v>
      </c>
      <c r="J101" s="175" t="str">
        <f>IFERROR(VLOOKUP($A101,'Budget &amp; Revenue'!$A:$Y,19,FALSE)," ")</f>
        <v xml:space="preserve"> </v>
      </c>
      <c r="K101" s="175" t="str">
        <f>IFERROR(VLOOKUP($A101,'Budget &amp; Revenue'!$A:$Y,21,FALSE)," ")</f>
        <v xml:space="preserve"> </v>
      </c>
      <c r="L101" s="175" t="str">
        <f>IFERROR(VLOOKUP($A101,'Budget &amp; Revenue'!$A:$Y,23,FALSE)," ")</f>
        <v xml:space="preserve"> </v>
      </c>
      <c r="M101" s="175" t="str">
        <f>IFERROR(VLOOKUP($A101,'Budget &amp; Revenue'!$A:$Y,25,FALSE)," ")</f>
        <v xml:space="preserve"> </v>
      </c>
    </row>
    <row r="102" spans="1:13" x14ac:dyDescent="0.25">
      <c r="A102" s="202">
        <v>79.09</v>
      </c>
      <c r="B102" s="202" t="s">
        <v>361</v>
      </c>
      <c r="C102" s="203">
        <f>VLOOKUP(A102,Estimate!A:L,12,FALSE)</f>
        <v>1</v>
      </c>
      <c r="D102" s="205">
        <v>117</v>
      </c>
      <c r="E102" s="205" t="s">
        <v>362</v>
      </c>
      <c r="F102" s="163" t="str">
        <f>IFERROR(VLOOKUP($A102,'Budget &amp; Revenue'!$A:$Y,4,FALSE)," ")</f>
        <v xml:space="preserve"> </v>
      </c>
      <c r="G102" s="175" t="str">
        <f>IFERROR(VLOOKUP($A102,'Budget &amp; Revenue'!$A:$Y,13,FALSE)," ")</f>
        <v xml:space="preserve"> </v>
      </c>
      <c r="H102" s="175" t="str">
        <f>IFERROR(VLOOKUP($A102,'Budget &amp; Revenue'!$A:$Y,15,FALSE)," ")</f>
        <v xml:space="preserve"> </v>
      </c>
      <c r="I102" s="175" t="str">
        <f>IFERROR(VLOOKUP($A102,'Budget &amp; Revenue'!$A:$Y,17,FALSE)," ")</f>
        <v xml:space="preserve"> </v>
      </c>
      <c r="J102" s="175" t="str">
        <f>IFERROR(VLOOKUP($A102,'Budget &amp; Revenue'!$A:$Y,19,FALSE)," ")</f>
        <v xml:space="preserve"> </v>
      </c>
      <c r="K102" s="175" t="str">
        <f>IFERROR(VLOOKUP($A102,'Budget &amp; Revenue'!$A:$Y,21,FALSE)," ")</f>
        <v xml:space="preserve"> </v>
      </c>
      <c r="L102" s="175" t="str">
        <f>IFERROR(VLOOKUP($A102,'Budget &amp; Revenue'!$A:$Y,23,FALSE)," ")</f>
        <v xml:space="preserve"> </v>
      </c>
      <c r="M102" s="175" t="str">
        <f>IFERROR(VLOOKUP($A102,'Budget &amp; Revenue'!$A:$Y,25,FALSE)," ")</f>
        <v xml:space="preserve"> </v>
      </c>
    </row>
    <row r="103" spans="1:13" x14ac:dyDescent="0.25">
      <c r="A103" s="202">
        <v>79.099999999999994</v>
      </c>
      <c r="B103" s="202" t="s">
        <v>363</v>
      </c>
      <c r="C103" s="203">
        <f>VLOOKUP(A103,Estimate!A:L,12,FALSE)</f>
        <v>2</v>
      </c>
      <c r="D103" s="205" t="s">
        <v>492</v>
      </c>
      <c r="E103" s="205" t="s">
        <v>364</v>
      </c>
      <c r="F103" s="163" t="str">
        <f>IFERROR(VLOOKUP($A103,'Budget &amp; Revenue'!$A:$Y,4,FALSE)," ")</f>
        <v xml:space="preserve"> </v>
      </c>
      <c r="G103" s="175" t="str">
        <f>IFERROR(VLOOKUP($A103,'Budget &amp; Revenue'!$A:$Y,13,FALSE)," ")</f>
        <v xml:space="preserve"> </v>
      </c>
      <c r="H103" s="175" t="str">
        <f>IFERROR(VLOOKUP($A103,'Budget &amp; Revenue'!$A:$Y,15,FALSE)," ")</f>
        <v xml:space="preserve"> </v>
      </c>
      <c r="I103" s="175" t="str">
        <f>IFERROR(VLOOKUP($A103,'Budget &amp; Revenue'!$A:$Y,17,FALSE)," ")</f>
        <v xml:space="preserve"> </v>
      </c>
      <c r="J103" s="175" t="str">
        <f>IFERROR(VLOOKUP($A103,'Budget &amp; Revenue'!$A:$Y,19,FALSE)," ")</f>
        <v xml:space="preserve"> </v>
      </c>
      <c r="K103" s="175" t="str">
        <f>IFERROR(VLOOKUP($A103,'Budget &amp; Revenue'!$A:$Y,21,FALSE)," ")</f>
        <v xml:space="preserve"> </v>
      </c>
      <c r="L103" s="175" t="str">
        <f>IFERROR(VLOOKUP($A103,'Budget &amp; Revenue'!$A:$Y,23,FALSE)," ")</f>
        <v xml:space="preserve"> </v>
      </c>
      <c r="M103" s="175" t="str">
        <f>IFERROR(VLOOKUP($A103,'Budget &amp; Revenue'!$A:$Y,25,FALSE)," ")</f>
        <v xml:space="preserve"> </v>
      </c>
    </row>
    <row r="104" spans="1:13" x14ac:dyDescent="0.25">
      <c r="A104" s="202">
        <v>79.11</v>
      </c>
      <c r="B104" s="202" t="s">
        <v>365</v>
      </c>
      <c r="C104" s="203">
        <f>VLOOKUP(A104,Estimate!A:L,12,FALSE)</f>
        <v>1</v>
      </c>
      <c r="D104" s="205">
        <v>119</v>
      </c>
      <c r="E104" s="205" t="s">
        <v>366</v>
      </c>
      <c r="F104" s="163" t="str">
        <f>IFERROR(VLOOKUP($A104,'Budget &amp; Revenue'!$A:$Y,4,FALSE)," ")</f>
        <v xml:space="preserve"> </v>
      </c>
      <c r="G104" s="175" t="str">
        <f>IFERROR(VLOOKUP($A104,'Budget &amp; Revenue'!$A:$Y,13,FALSE)," ")</f>
        <v xml:space="preserve"> </v>
      </c>
      <c r="H104" s="175" t="str">
        <f>IFERROR(VLOOKUP($A104,'Budget &amp; Revenue'!$A:$Y,15,FALSE)," ")</f>
        <v xml:space="preserve"> </v>
      </c>
      <c r="I104" s="175" t="str">
        <f>IFERROR(VLOOKUP($A104,'Budget &amp; Revenue'!$A:$Y,17,FALSE)," ")</f>
        <v xml:space="preserve"> </v>
      </c>
      <c r="J104" s="175" t="str">
        <f>IFERROR(VLOOKUP($A104,'Budget &amp; Revenue'!$A:$Y,19,FALSE)," ")</f>
        <v xml:space="preserve"> </v>
      </c>
      <c r="K104" s="175" t="str">
        <f>IFERROR(VLOOKUP($A104,'Budget &amp; Revenue'!$A:$Y,21,FALSE)," ")</f>
        <v xml:space="preserve"> </v>
      </c>
      <c r="L104" s="175" t="str">
        <f>IFERROR(VLOOKUP($A104,'Budget &amp; Revenue'!$A:$Y,23,FALSE)," ")</f>
        <v xml:space="preserve"> </v>
      </c>
      <c r="M104" s="175" t="str">
        <f>IFERROR(VLOOKUP($A104,'Budget &amp; Revenue'!$A:$Y,25,FALSE)," ")</f>
        <v xml:space="preserve"> </v>
      </c>
    </row>
    <row r="105" spans="1:13" x14ac:dyDescent="0.25">
      <c r="A105" s="202">
        <v>79.12</v>
      </c>
      <c r="B105" s="202" t="s">
        <v>367</v>
      </c>
      <c r="C105" s="203">
        <f>VLOOKUP(A105,Estimate!A:L,12,FALSE)</f>
        <v>1</v>
      </c>
      <c r="D105" s="205">
        <v>120</v>
      </c>
      <c r="E105" s="205">
        <v>157</v>
      </c>
      <c r="F105" s="163" t="str">
        <f>IFERROR(VLOOKUP($A105,'Budget &amp; Revenue'!$A:$Y,4,FALSE)," ")</f>
        <v xml:space="preserve"> </v>
      </c>
      <c r="G105" s="175" t="str">
        <f>IFERROR(VLOOKUP($A105,'Budget &amp; Revenue'!$A:$Y,13,FALSE)," ")</f>
        <v xml:space="preserve"> </v>
      </c>
      <c r="H105" s="175" t="str">
        <f>IFERROR(VLOOKUP($A105,'Budget &amp; Revenue'!$A:$Y,15,FALSE)," ")</f>
        <v xml:space="preserve"> </v>
      </c>
      <c r="I105" s="175" t="str">
        <f>IFERROR(VLOOKUP($A105,'Budget &amp; Revenue'!$A:$Y,17,FALSE)," ")</f>
        <v xml:space="preserve"> </v>
      </c>
      <c r="J105" s="175" t="str">
        <f>IFERROR(VLOOKUP($A105,'Budget &amp; Revenue'!$A:$Y,19,FALSE)," ")</f>
        <v xml:space="preserve"> </v>
      </c>
      <c r="K105" s="175" t="str">
        <f>IFERROR(VLOOKUP($A105,'Budget &amp; Revenue'!$A:$Y,21,FALSE)," ")</f>
        <v xml:space="preserve"> </v>
      </c>
      <c r="L105" s="175" t="str">
        <f>IFERROR(VLOOKUP($A105,'Budget &amp; Revenue'!$A:$Y,23,FALSE)," ")</f>
        <v xml:space="preserve"> </v>
      </c>
      <c r="M105" s="175" t="str">
        <f>IFERROR(VLOOKUP($A105,'Budget &amp; Revenue'!$A:$Y,25,FALSE)," ")</f>
        <v xml:space="preserve"> </v>
      </c>
    </row>
    <row r="106" spans="1:13" x14ac:dyDescent="0.25">
      <c r="A106" s="202">
        <v>79.13</v>
      </c>
      <c r="B106" s="202" t="s">
        <v>368</v>
      </c>
      <c r="C106" s="203">
        <f>VLOOKUP(A106,Estimate!A:L,12,FALSE)</f>
        <v>2</v>
      </c>
      <c r="D106" s="205">
        <v>121</v>
      </c>
      <c r="E106" s="205" t="s">
        <v>369</v>
      </c>
      <c r="F106" s="163" t="str">
        <f>IFERROR(VLOOKUP($A106,'Budget &amp; Revenue'!$A:$Y,4,FALSE)," ")</f>
        <v xml:space="preserve"> </v>
      </c>
      <c r="G106" s="175" t="str">
        <f>IFERROR(VLOOKUP($A106,'Budget &amp; Revenue'!$A:$Y,13,FALSE)," ")</f>
        <v xml:space="preserve"> </v>
      </c>
      <c r="H106" s="175" t="str">
        <f>IFERROR(VLOOKUP($A106,'Budget &amp; Revenue'!$A:$Y,15,FALSE)," ")</f>
        <v xml:space="preserve"> </v>
      </c>
      <c r="I106" s="175" t="str">
        <f>IFERROR(VLOOKUP($A106,'Budget &amp; Revenue'!$A:$Y,17,FALSE)," ")</f>
        <v xml:space="preserve"> </v>
      </c>
      <c r="J106" s="175" t="str">
        <f>IFERROR(VLOOKUP($A106,'Budget &amp; Revenue'!$A:$Y,19,FALSE)," ")</f>
        <v xml:space="preserve"> </v>
      </c>
      <c r="K106" s="175" t="str">
        <f>IFERROR(VLOOKUP($A106,'Budget &amp; Revenue'!$A:$Y,21,FALSE)," ")</f>
        <v xml:space="preserve"> </v>
      </c>
      <c r="L106" s="175" t="str">
        <f>IFERROR(VLOOKUP($A106,'Budget &amp; Revenue'!$A:$Y,23,FALSE)," ")</f>
        <v xml:space="preserve"> </v>
      </c>
      <c r="M106" s="175" t="str">
        <f>IFERROR(VLOOKUP($A106,'Budget &amp; Revenue'!$A:$Y,25,FALSE)," ")</f>
        <v xml:space="preserve"> </v>
      </c>
    </row>
    <row r="107" spans="1:13" ht="48" x14ac:dyDescent="0.25">
      <c r="A107" s="202">
        <v>80</v>
      </c>
      <c r="B107" s="202" t="s">
        <v>370</v>
      </c>
      <c r="C107" s="203">
        <f>VLOOKUP(A107,Estimate!A:L,12,FALSE)</f>
        <v>0</v>
      </c>
      <c r="D107" s="205" t="s">
        <v>493</v>
      </c>
      <c r="E107" s="205">
        <v>118</v>
      </c>
      <c r="F107" s="163">
        <f>IFERROR(VLOOKUP($A107,'Budget &amp; Revenue'!$A:$Y,4,FALSE)," ")</f>
        <v>0</v>
      </c>
      <c r="G107" s="175" t="str">
        <f>IFERROR(VLOOKUP($A107,'Budget &amp; Revenue'!$A:$Y,13,FALSE)," ")</f>
        <v xml:space="preserve"> </v>
      </c>
      <c r="H107" s="175" t="str">
        <f>IFERROR(VLOOKUP($A107,'Budget &amp; Revenue'!$A:$Y,15,FALSE)," ")</f>
        <v xml:space="preserve"> </v>
      </c>
      <c r="I107" s="175" t="str">
        <f>IFERROR(VLOOKUP($A107,'Budget &amp; Revenue'!$A:$Y,17,FALSE)," ")</f>
        <v xml:space="preserve"> </v>
      </c>
      <c r="J107" s="175" t="str">
        <f>IFERROR(VLOOKUP($A107,'Budget &amp; Revenue'!$A:$Y,19,FALSE)," ")</f>
        <v xml:space="preserve"> </v>
      </c>
      <c r="K107" s="175" t="str">
        <f>IFERROR(VLOOKUP($A107,'Budget &amp; Revenue'!$A:$Y,21,FALSE)," ")</f>
        <v xml:space="preserve"> </v>
      </c>
      <c r="L107" s="175" t="str">
        <f>IFERROR(VLOOKUP($A107,'Budget &amp; Revenue'!$A:$Y,23,FALSE)," ")</f>
        <v xml:space="preserve"> </v>
      </c>
      <c r="M107" s="175" t="str">
        <f>IFERROR(VLOOKUP($A107,'Budget &amp; Revenue'!$A:$Y,25,FALSE)," ")</f>
        <v xml:space="preserve"> </v>
      </c>
    </row>
    <row r="108" spans="1:13" ht="60" x14ac:dyDescent="0.25">
      <c r="A108" s="202">
        <v>81</v>
      </c>
      <c r="B108" s="202" t="s">
        <v>371</v>
      </c>
      <c r="C108" s="203">
        <f>VLOOKUP(A108,Estimate!A:L,12,FALSE)</f>
        <v>3</v>
      </c>
      <c r="D108" s="205" t="s">
        <v>494</v>
      </c>
      <c r="E108" s="205" t="s">
        <v>495</v>
      </c>
      <c r="F108" s="163">
        <f>IFERROR(VLOOKUP($A108,'Budget &amp; Revenue'!$A:$Y,4,FALSE)," ")</f>
        <v>41399.423999999999</v>
      </c>
      <c r="G108" s="175">
        <f>IFERROR(VLOOKUP($A108,'Budget &amp; Revenue'!$A:$Y,13,FALSE)," ")</f>
        <v>0.13662566917196028</v>
      </c>
      <c r="H108" s="175">
        <f>IFERROR(VLOOKUP($A108,'Budget &amp; Revenue'!$A:$Y,15,FALSE)," ")</f>
        <v>0.49678856222785045</v>
      </c>
      <c r="I108" s="175">
        <f>IFERROR(VLOOKUP($A108,'Budget &amp; Revenue'!$A:$Y,17,FALSE)," ")</f>
        <v>0.96425696203275491</v>
      </c>
      <c r="J108" s="175">
        <f>IFERROR(VLOOKUP($A108,'Budget &amp; Revenue'!$A:$Y,19,FALSE)," ")</f>
        <v>0.97803411822086928</v>
      </c>
      <c r="K108" s="175">
        <f>IFERROR(VLOOKUP($A108,'Budget &amp; Revenue'!$A:$Y,21,FALSE)," ")</f>
        <v>0.97803411822086928</v>
      </c>
      <c r="L108" s="175">
        <f>IFERROR(VLOOKUP($A108,'Budget &amp; Revenue'!$A:$Y,23,FALSE)," ")</f>
        <v>1</v>
      </c>
      <c r="M108" s="175">
        <f>IFERROR(VLOOKUP($A108,'Budget &amp; Revenue'!$A:$Y,25,FALSE)," ")</f>
        <v>1</v>
      </c>
    </row>
    <row r="109" spans="1:13" ht="48" x14ac:dyDescent="0.25">
      <c r="A109" s="203">
        <v>82</v>
      </c>
      <c r="B109" s="203" t="s">
        <v>372</v>
      </c>
      <c r="C109" s="203">
        <f>VLOOKUP(A109,Estimate!A:L,12,FALSE)</f>
        <v>0</v>
      </c>
      <c r="D109" s="204"/>
      <c r="E109" s="204"/>
      <c r="F109" s="163">
        <f>IFERROR(VLOOKUP($A109,'Budget &amp; Revenue'!$A:$Y,4,FALSE)," ")</f>
        <v>84519.202172925856</v>
      </c>
      <c r="G109" s="175">
        <f>IFERROR(VLOOKUP($A109,'Budget &amp; Revenue'!$A:$Y,13,FALSE)," ")</f>
        <v>0.13216384906604212</v>
      </c>
      <c r="H109" s="175">
        <f>IFERROR(VLOOKUP($A109,'Budget &amp; Revenue'!$A:$Y,15,FALSE)," ")</f>
        <v>0.48954626587387307</v>
      </c>
      <c r="I109" s="175">
        <f>IFERROR(VLOOKUP($A109,'Budget &amp; Revenue'!$A:$Y,17,FALSE)," ")</f>
        <v>0.94174842824497773</v>
      </c>
      <c r="J109" s="175">
        <f>IFERROR(VLOOKUP($A109,'Budget &amp; Revenue'!$A:$Y,19,FALSE)," ")</f>
        <v>0.97875146375015631</v>
      </c>
      <c r="K109" s="175">
        <f>IFERROR(VLOOKUP($A109,'Budget &amp; Revenue'!$A:$Y,21,FALSE)," ")</f>
        <v>0.97875146375015631</v>
      </c>
      <c r="L109" s="175">
        <f>IFERROR(VLOOKUP($A109,'Budget &amp; Revenue'!$A:$Y,23,FALSE)," ")</f>
        <v>1</v>
      </c>
      <c r="M109" s="175">
        <f>IFERROR(VLOOKUP($A109,'Budget &amp; Revenue'!$A:$Y,25,FALSE)," ")</f>
        <v>1</v>
      </c>
    </row>
    <row r="110" spans="1:13" x14ac:dyDescent="0.25">
      <c r="A110" s="202">
        <v>82.01</v>
      </c>
      <c r="B110" s="202" t="s">
        <v>346</v>
      </c>
      <c r="C110" s="203">
        <f>VLOOKUP(A110,Estimate!A:L,12,FALSE)</f>
        <v>1</v>
      </c>
      <c r="D110" s="205">
        <v>125</v>
      </c>
      <c r="E110" s="205">
        <v>93</v>
      </c>
      <c r="F110" s="163" t="str">
        <f>IFERROR(VLOOKUP($A110,'Budget &amp; Revenue'!$A:$Y,4,FALSE)," ")</f>
        <v xml:space="preserve"> </v>
      </c>
      <c r="G110" s="175" t="str">
        <f>IFERROR(VLOOKUP($A110,'Budget &amp; Revenue'!$A:$Y,13,FALSE)," ")</f>
        <v xml:space="preserve"> </v>
      </c>
      <c r="H110" s="175" t="str">
        <f>IFERROR(VLOOKUP($A110,'Budget &amp; Revenue'!$A:$Y,15,FALSE)," ")</f>
        <v xml:space="preserve"> </v>
      </c>
      <c r="I110" s="175" t="str">
        <f>IFERROR(VLOOKUP($A110,'Budget &amp; Revenue'!$A:$Y,17,FALSE)," ")</f>
        <v xml:space="preserve"> </v>
      </c>
      <c r="J110" s="175" t="str">
        <f>IFERROR(VLOOKUP($A110,'Budget &amp; Revenue'!$A:$Y,19,FALSE)," ")</f>
        <v xml:space="preserve"> </v>
      </c>
      <c r="K110" s="175" t="str">
        <f>IFERROR(VLOOKUP($A110,'Budget &amp; Revenue'!$A:$Y,21,FALSE)," ")</f>
        <v xml:space="preserve"> </v>
      </c>
      <c r="L110" s="175" t="str">
        <f>IFERROR(VLOOKUP($A110,'Budget &amp; Revenue'!$A:$Y,23,FALSE)," ")</f>
        <v xml:space="preserve"> </v>
      </c>
      <c r="M110" s="175" t="str">
        <f>IFERROR(VLOOKUP($A110,'Budget &amp; Revenue'!$A:$Y,25,FALSE)," ")</f>
        <v xml:space="preserve"> </v>
      </c>
    </row>
    <row r="111" spans="1:13" x14ac:dyDescent="0.25">
      <c r="A111" s="202">
        <v>82.02</v>
      </c>
      <c r="B111" s="202" t="s">
        <v>348</v>
      </c>
      <c r="C111" s="203">
        <f>VLOOKUP(A111,Estimate!A:L,12,FALSE)</f>
        <v>1</v>
      </c>
      <c r="D111" s="205">
        <v>126</v>
      </c>
      <c r="E111" s="205">
        <v>94</v>
      </c>
      <c r="F111" s="163" t="str">
        <f>IFERROR(VLOOKUP($A111,'Budget &amp; Revenue'!$A:$Y,4,FALSE)," ")</f>
        <v xml:space="preserve"> </v>
      </c>
      <c r="G111" s="175" t="str">
        <f>IFERROR(VLOOKUP($A111,'Budget &amp; Revenue'!$A:$Y,13,FALSE)," ")</f>
        <v xml:space="preserve"> </v>
      </c>
      <c r="H111" s="175" t="str">
        <f>IFERROR(VLOOKUP($A111,'Budget &amp; Revenue'!$A:$Y,15,FALSE)," ")</f>
        <v xml:space="preserve"> </v>
      </c>
      <c r="I111" s="175" t="str">
        <f>IFERROR(VLOOKUP($A111,'Budget &amp; Revenue'!$A:$Y,17,FALSE)," ")</f>
        <v xml:space="preserve"> </v>
      </c>
      <c r="J111" s="175" t="str">
        <f>IFERROR(VLOOKUP($A111,'Budget &amp; Revenue'!$A:$Y,19,FALSE)," ")</f>
        <v xml:space="preserve"> </v>
      </c>
      <c r="K111" s="175" t="str">
        <f>IFERROR(VLOOKUP($A111,'Budget &amp; Revenue'!$A:$Y,21,FALSE)," ")</f>
        <v xml:space="preserve"> </v>
      </c>
      <c r="L111" s="175" t="str">
        <f>IFERROR(VLOOKUP($A111,'Budget &amp; Revenue'!$A:$Y,23,FALSE)," ")</f>
        <v xml:space="preserve"> </v>
      </c>
      <c r="M111" s="175" t="str">
        <f>IFERROR(VLOOKUP($A111,'Budget &amp; Revenue'!$A:$Y,25,FALSE)," ")</f>
        <v xml:space="preserve"> </v>
      </c>
    </row>
    <row r="112" spans="1:13" x14ac:dyDescent="0.25">
      <c r="A112" s="202">
        <v>82.03</v>
      </c>
      <c r="B112" s="202" t="s">
        <v>350</v>
      </c>
      <c r="C112" s="203">
        <f>VLOOKUP(A112,Estimate!A:L,12,FALSE)</f>
        <v>1</v>
      </c>
      <c r="D112" s="205">
        <v>127</v>
      </c>
      <c r="E112" s="205">
        <v>95</v>
      </c>
      <c r="F112" s="163" t="str">
        <f>IFERROR(VLOOKUP($A112,'Budget &amp; Revenue'!$A:$Y,4,FALSE)," ")</f>
        <v xml:space="preserve"> </v>
      </c>
      <c r="G112" s="175" t="str">
        <f>IFERROR(VLOOKUP($A112,'Budget &amp; Revenue'!$A:$Y,13,FALSE)," ")</f>
        <v xml:space="preserve"> </v>
      </c>
      <c r="H112" s="175" t="str">
        <f>IFERROR(VLOOKUP($A112,'Budget &amp; Revenue'!$A:$Y,15,FALSE)," ")</f>
        <v xml:space="preserve"> </v>
      </c>
      <c r="I112" s="175" t="str">
        <f>IFERROR(VLOOKUP($A112,'Budget &amp; Revenue'!$A:$Y,17,FALSE)," ")</f>
        <v xml:space="preserve"> </v>
      </c>
      <c r="J112" s="175" t="str">
        <f>IFERROR(VLOOKUP($A112,'Budget &amp; Revenue'!$A:$Y,19,FALSE)," ")</f>
        <v xml:space="preserve"> </v>
      </c>
      <c r="K112" s="175" t="str">
        <f>IFERROR(VLOOKUP($A112,'Budget &amp; Revenue'!$A:$Y,21,FALSE)," ")</f>
        <v xml:space="preserve"> </v>
      </c>
      <c r="L112" s="175" t="str">
        <f>IFERROR(VLOOKUP($A112,'Budget &amp; Revenue'!$A:$Y,23,FALSE)," ")</f>
        <v xml:space="preserve"> </v>
      </c>
      <c r="M112" s="175" t="str">
        <f>IFERROR(VLOOKUP($A112,'Budget &amp; Revenue'!$A:$Y,25,FALSE)," ")</f>
        <v xml:space="preserve"> </v>
      </c>
    </row>
    <row r="113" spans="1:13" x14ac:dyDescent="0.25">
      <c r="A113" s="202">
        <v>82.04</v>
      </c>
      <c r="B113" s="202" t="s">
        <v>352</v>
      </c>
      <c r="C113" s="203">
        <f>VLOOKUP(A113,Estimate!A:L,12,FALSE)</f>
        <v>1</v>
      </c>
      <c r="D113" s="205">
        <v>128</v>
      </c>
      <c r="E113" s="205">
        <v>96</v>
      </c>
      <c r="F113" s="163" t="str">
        <f>IFERROR(VLOOKUP($A113,'Budget &amp; Revenue'!$A:$Y,4,FALSE)," ")</f>
        <v xml:space="preserve"> </v>
      </c>
      <c r="G113" s="175" t="str">
        <f>IFERROR(VLOOKUP($A113,'Budget &amp; Revenue'!$A:$Y,13,FALSE)," ")</f>
        <v xml:space="preserve"> </v>
      </c>
      <c r="H113" s="175" t="str">
        <f>IFERROR(VLOOKUP($A113,'Budget &amp; Revenue'!$A:$Y,15,FALSE)," ")</f>
        <v xml:space="preserve"> </v>
      </c>
      <c r="I113" s="175" t="str">
        <f>IFERROR(VLOOKUP($A113,'Budget &amp; Revenue'!$A:$Y,17,FALSE)," ")</f>
        <v xml:space="preserve"> </v>
      </c>
      <c r="J113" s="175" t="str">
        <f>IFERROR(VLOOKUP($A113,'Budget &amp; Revenue'!$A:$Y,19,FALSE)," ")</f>
        <v xml:space="preserve"> </v>
      </c>
      <c r="K113" s="175" t="str">
        <f>IFERROR(VLOOKUP($A113,'Budget &amp; Revenue'!$A:$Y,21,FALSE)," ")</f>
        <v xml:space="preserve"> </v>
      </c>
      <c r="L113" s="175" t="str">
        <f>IFERROR(VLOOKUP($A113,'Budget &amp; Revenue'!$A:$Y,23,FALSE)," ")</f>
        <v xml:space="preserve"> </v>
      </c>
      <c r="M113" s="175" t="str">
        <f>IFERROR(VLOOKUP($A113,'Budget &amp; Revenue'!$A:$Y,25,FALSE)," ")</f>
        <v xml:space="preserve"> </v>
      </c>
    </row>
    <row r="114" spans="1:13" x14ac:dyDescent="0.25">
      <c r="A114" s="202">
        <v>82.05</v>
      </c>
      <c r="B114" s="202" t="s">
        <v>354</v>
      </c>
      <c r="C114" s="203">
        <f>VLOOKUP(A114,Estimate!A:L,12,FALSE)</f>
        <v>1</v>
      </c>
      <c r="D114" s="205">
        <v>129</v>
      </c>
      <c r="E114" s="205">
        <v>97</v>
      </c>
      <c r="F114" s="163" t="str">
        <f>IFERROR(VLOOKUP($A114,'Budget &amp; Revenue'!$A:$Y,4,FALSE)," ")</f>
        <v xml:space="preserve"> </v>
      </c>
      <c r="G114" s="175" t="str">
        <f>IFERROR(VLOOKUP($A114,'Budget &amp; Revenue'!$A:$Y,13,FALSE)," ")</f>
        <v xml:space="preserve"> </v>
      </c>
      <c r="H114" s="175" t="str">
        <f>IFERROR(VLOOKUP($A114,'Budget &amp; Revenue'!$A:$Y,15,FALSE)," ")</f>
        <v xml:space="preserve"> </v>
      </c>
      <c r="I114" s="175" t="str">
        <f>IFERROR(VLOOKUP($A114,'Budget &amp; Revenue'!$A:$Y,17,FALSE)," ")</f>
        <v xml:space="preserve"> </v>
      </c>
      <c r="J114" s="175" t="str">
        <f>IFERROR(VLOOKUP($A114,'Budget &amp; Revenue'!$A:$Y,19,FALSE)," ")</f>
        <v xml:space="preserve"> </v>
      </c>
      <c r="K114" s="175" t="str">
        <f>IFERROR(VLOOKUP($A114,'Budget &amp; Revenue'!$A:$Y,21,FALSE)," ")</f>
        <v xml:space="preserve"> </v>
      </c>
      <c r="L114" s="175" t="str">
        <f>IFERROR(VLOOKUP($A114,'Budget &amp; Revenue'!$A:$Y,23,FALSE)," ")</f>
        <v xml:space="preserve"> </v>
      </c>
      <c r="M114" s="175" t="str">
        <f>IFERROR(VLOOKUP($A114,'Budget &amp; Revenue'!$A:$Y,25,FALSE)," ")</f>
        <v xml:space="preserve"> </v>
      </c>
    </row>
    <row r="115" spans="1:13" x14ac:dyDescent="0.25">
      <c r="A115" s="202">
        <v>82.06</v>
      </c>
      <c r="B115" s="202" t="s">
        <v>356</v>
      </c>
      <c r="C115" s="203">
        <f>VLOOKUP(A115,Estimate!A:L,12,FALSE)</f>
        <v>1</v>
      </c>
      <c r="D115" s="205">
        <v>130</v>
      </c>
      <c r="E115" s="205">
        <v>98</v>
      </c>
      <c r="F115" s="163" t="str">
        <f>IFERROR(VLOOKUP($A115,'Budget &amp; Revenue'!$A:$Y,4,FALSE)," ")</f>
        <v xml:space="preserve"> </v>
      </c>
      <c r="G115" s="175" t="str">
        <f>IFERROR(VLOOKUP($A115,'Budget &amp; Revenue'!$A:$Y,13,FALSE)," ")</f>
        <v xml:space="preserve"> </v>
      </c>
      <c r="H115" s="175" t="str">
        <f>IFERROR(VLOOKUP($A115,'Budget &amp; Revenue'!$A:$Y,15,FALSE)," ")</f>
        <v xml:space="preserve"> </v>
      </c>
      <c r="I115" s="175" t="str">
        <f>IFERROR(VLOOKUP($A115,'Budget &amp; Revenue'!$A:$Y,17,FALSE)," ")</f>
        <v xml:space="preserve"> </v>
      </c>
      <c r="J115" s="175" t="str">
        <f>IFERROR(VLOOKUP($A115,'Budget &amp; Revenue'!$A:$Y,19,FALSE)," ")</f>
        <v xml:space="preserve"> </v>
      </c>
      <c r="K115" s="175" t="str">
        <f>IFERROR(VLOOKUP($A115,'Budget &amp; Revenue'!$A:$Y,21,FALSE)," ")</f>
        <v xml:space="preserve"> </v>
      </c>
      <c r="L115" s="175" t="str">
        <f>IFERROR(VLOOKUP($A115,'Budget &amp; Revenue'!$A:$Y,23,FALSE)," ")</f>
        <v xml:space="preserve"> </v>
      </c>
      <c r="M115" s="175" t="str">
        <f>IFERROR(VLOOKUP($A115,'Budget &amp; Revenue'!$A:$Y,25,FALSE)," ")</f>
        <v xml:space="preserve"> </v>
      </c>
    </row>
    <row r="116" spans="1:13" x14ac:dyDescent="0.25">
      <c r="A116" s="202">
        <v>82.07</v>
      </c>
      <c r="B116" s="202" t="s">
        <v>358</v>
      </c>
      <c r="C116" s="203">
        <f>VLOOKUP(A116,Estimate!A:L,12,FALSE)</f>
        <v>1</v>
      </c>
      <c r="D116" s="205">
        <v>131</v>
      </c>
      <c r="E116" s="205">
        <v>99</v>
      </c>
      <c r="F116" s="163" t="str">
        <f>IFERROR(VLOOKUP($A116,'Budget &amp; Revenue'!$A:$Y,4,FALSE)," ")</f>
        <v xml:space="preserve"> </v>
      </c>
      <c r="G116" s="175" t="str">
        <f>IFERROR(VLOOKUP($A116,'Budget &amp; Revenue'!$A:$Y,13,FALSE)," ")</f>
        <v xml:space="preserve"> </v>
      </c>
      <c r="H116" s="175" t="str">
        <f>IFERROR(VLOOKUP($A116,'Budget &amp; Revenue'!$A:$Y,15,FALSE)," ")</f>
        <v xml:space="preserve"> </v>
      </c>
      <c r="I116" s="175" t="str">
        <f>IFERROR(VLOOKUP($A116,'Budget &amp; Revenue'!$A:$Y,17,FALSE)," ")</f>
        <v xml:space="preserve"> </v>
      </c>
      <c r="J116" s="175" t="str">
        <f>IFERROR(VLOOKUP($A116,'Budget &amp; Revenue'!$A:$Y,19,FALSE)," ")</f>
        <v xml:space="preserve"> </v>
      </c>
      <c r="K116" s="175" t="str">
        <f>IFERROR(VLOOKUP($A116,'Budget &amp; Revenue'!$A:$Y,21,FALSE)," ")</f>
        <v xml:space="preserve"> </v>
      </c>
      <c r="L116" s="175" t="str">
        <f>IFERROR(VLOOKUP($A116,'Budget &amp; Revenue'!$A:$Y,23,FALSE)," ")</f>
        <v xml:space="preserve"> </v>
      </c>
      <c r="M116" s="175" t="str">
        <f>IFERROR(VLOOKUP($A116,'Budget &amp; Revenue'!$A:$Y,25,FALSE)," ")</f>
        <v xml:space="preserve"> </v>
      </c>
    </row>
    <row r="117" spans="1:13" x14ac:dyDescent="0.25">
      <c r="A117" s="202">
        <v>82.08</v>
      </c>
      <c r="B117" s="202" t="s">
        <v>360</v>
      </c>
      <c r="C117" s="203">
        <f>VLOOKUP(A117,Estimate!A:L,12,FALSE)</f>
        <v>6</v>
      </c>
      <c r="D117" s="205">
        <v>132</v>
      </c>
      <c r="E117" s="205" t="s">
        <v>496</v>
      </c>
      <c r="F117" s="163" t="str">
        <f>IFERROR(VLOOKUP($A117,'Budget &amp; Revenue'!$A:$Y,4,FALSE)," ")</f>
        <v xml:space="preserve"> </v>
      </c>
      <c r="G117" s="175" t="str">
        <f>IFERROR(VLOOKUP($A117,'Budget &amp; Revenue'!$A:$Y,13,FALSE)," ")</f>
        <v xml:space="preserve"> </v>
      </c>
      <c r="H117" s="175" t="str">
        <f>IFERROR(VLOOKUP($A117,'Budget &amp; Revenue'!$A:$Y,15,FALSE)," ")</f>
        <v xml:space="preserve"> </v>
      </c>
      <c r="I117" s="175" t="str">
        <f>IFERROR(VLOOKUP($A117,'Budget &amp; Revenue'!$A:$Y,17,FALSE)," ")</f>
        <v xml:space="preserve"> </v>
      </c>
      <c r="J117" s="175" t="str">
        <f>IFERROR(VLOOKUP($A117,'Budget &amp; Revenue'!$A:$Y,19,FALSE)," ")</f>
        <v xml:space="preserve"> </v>
      </c>
      <c r="K117" s="175" t="str">
        <f>IFERROR(VLOOKUP($A117,'Budget &amp; Revenue'!$A:$Y,21,FALSE)," ")</f>
        <v xml:space="preserve"> </v>
      </c>
      <c r="L117" s="175" t="str">
        <f>IFERROR(VLOOKUP($A117,'Budget &amp; Revenue'!$A:$Y,23,FALSE)," ")</f>
        <v xml:space="preserve"> </v>
      </c>
      <c r="M117" s="175" t="str">
        <f>IFERROR(VLOOKUP($A117,'Budget &amp; Revenue'!$A:$Y,25,FALSE)," ")</f>
        <v xml:space="preserve"> </v>
      </c>
    </row>
    <row r="118" spans="1:13" x14ac:dyDescent="0.25">
      <c r="A118" s="202">
        <v>82.09</v>
      </c>
      <c r="B118" s="202" t="s">
        <v>361</v>
      </c>
      <c r="C118" s="203">
        <f>VLOOKUP(A118,Estimate!A:L,12,FALSE)</f>
        <v>1</v>
      </c>
      <c r="D118" s="205">
        <v>133</v>
      </c>
      <c r="E118" s="205">
        <v>101</v>
      </c>
      <c r="F118" s="163" t="str">
        <f>IFERROR(VLOOKUP($A118,'Budget &amp; Revenue'!$A:$Y,4,FALSE)," ")</f>
        <v xml:space="preserve"> </v>
      </c>
      <c r="G118" s="175" t="str">
        <f>IFERROR(VLOOKUP($A118,'Budget &amp; Revenue'!$A:$Y,13,FALSE)," ")</f>
        <v xml:space="preserve"> </v>
      </c>
      <c r="H118" s="175" t="str">
        <f>IFERROR(VLOOKUP($A118,'Budget &amp; Revenue'!$A:$Y,15,FALSE)," ")</f>
        <v xml:space="preserve"> </v>
      </c>
      <c r="I118" s="175" t="str">
        <f>IFERROR(VLOOKUP($A118,'Budget &amp; Revenue'!$A:$Y,17,FALSE)," ")</f>
        <v xml:space="preserve"> </v>
      </c>
      <c r="J118" s="175" t="str">
        <f>IFERROR(VLOOKUP($A118,'Budget &amp; Revenue'!$A:$Y,19,FALSE)," ")</f>
        <v xml:space="preserve"> </v>
      </c>
      <c r="K118" s="175" t="str">
        <f>IFERROR(VLOOKUP($A118,'Budget &amp; Revenue'!$A:$Y,21,FALSE)," ")</f>
        <v xml:space="preserve"> </v>
      </c>
      <c r="L118" s="175" t="str">
        <f>IFERROR(VLOOKUP($A118,'Budget &amp; Revenue'!$A:$Y,23,FALSE)," ")</f>
        <v xml:space="preserve"> </v>
      </c>
      <c r="M118" s="175" t="str">
        <f>IFERROR(VLOOKUP($A118,'Budget &amp; Revenue'!$A:$Y,25,FALSE)," ")</f>
        <v xml:space="preserve"> </v>
      </c>
    </row>
    <row r="119" spans="1:13" x14ac:dyDescent="0.25">
      <c r="A119" s="202">
        <v>82.1</v>
      </c>
      <c r="B119" s="202" t="s">
        <v>363</v>
      </c>
      <c r="C119" s="203">
        <f>VLOOKUP(A119,Estimate!A:L,12,FALSE)</f>
        <v>2</v>
      </c>
      <c r="D119" s="206">
        <v>134107106</v>
      </c>
      <c r="E119" s="205">
        <v>102</v>
      </c>
      <c r="F119" s="163" t="str">
        <f>IFERROR(VLOOKUP($A119,'Budget &amp; Revenue'!$A:$Y,4,FALSE)," ")</f>
        <v xml:space="preserve"> </v>
      </c>
      <c r="G119" s="175" t="str">
        <f>IFERROR(VLOOKUP($A119,'Budget &amp; Revenue'!$A:$Y,13,FALSE)," ")</f>
        <v xml:space="preserve"> </v>
      </c>
      <c r="H119" s="175" t="str">
        <f>IFERROR(VLOOKUP($A119,'Budget &amp; Revenue'!$A:$Y,15,FALSE)," ")</f>
        <v xml:space="preserve"> </v>
      </c>
      <c r="I119" s="175" t="str">
        <f>IFERROR(VLOOKUP($A119,'Budget &amp; Revenue'!$A:$Y,17,FALSE)," ")</f>
        <v xml:space="preserve"> </v>
      </c>
      <c r="J119" s="175" t="str">
        <f>IFERROR(VLOOKUP($A119,'Budget &amp; Revenue'!$A:$Y,19,FALSE)," ")</f>
        <v xml:space="preserve"> </v>
      </c>
      <c r="K119" s="175" t="str">
        <f>IFERROR(VLOOKUP($A119,'Budget &amp; Revenue'!$A:$Y,21,FALSE)," ")</f>
        <v xml:space="preserve"> </v>
      </c>
      <c r="L119" s="175" t="str">
        <f>IFERROR(VLOOKUP($A119,'Budget &amp; Revenue'!$A:$Y,23,FALSE)," ")</f>
        <v xml:space="preserve"> </v>
      </c>
      <c r="M119" s="175" t="str">
        <f>IFERROR(VLOOKUP($A119,'Budget &amp; Revenue'!$A:$Y,25,FALSE)," ")</f>
        <v xml:space="preserve"> </v>
      </c>
    </row>
    <row r="120" spans="1:13" x14ac:dyDescent="0.25">
      <c r="A120" s="202">
        <v>82.11</v>
      </c>
      <c r="B120" s="202" t="s">
        <v>365</v>
      </c>
      <c r="C120" s="203">
        <f>VLOOKUP(A120,Estimate!A:L,12,FALSE)</f>
        <v>1</v>
      </c>
      <c r="D120" s="205">
        <v>135</v>
      </c>
      <c r="E120" s="205">
        <v>103</v>
      </c>
      <c r="F120" s="163" t="str">
        <f>IFERROR(VLOOKUP($A120,'Budget &amp; Revenue'!$A:$Y,4,FALSE)," ")</f>
        <v xml:space="preserve"> </v>
      </c>
      <c r="G120" s="175" t="str">
        <f>IFERROR(VLOOKUP($A120,'Budget &amp; Revenue'!$A:$Y,13,FALSE)," ")</f>
        <v xml:space="preserve"> </v>
      </c>
      <c r="H120" s="175" t="str">
        <f>IFERROR(VLOOKUP($A120,'Budget &amp; Revenue'!$A:$Y,15,FALSE)," ")</f>
        <v xml:space="preserve"> </v>
      </c>
      <c r="I120" s="175" t="str">
        <f>IFERROR(VLOOKUP($A120,'Budget &amp; Revenue'!$A:$Y,17,FALSE)," ")</f>
        <v xml:space="preserve"> </v>
      </c>
      <c r="J120" s="175" t="str">
        <f>IFERROR(VLOOKUP($A120,'Budget &amp; Revenue'!$A:$Y,19,FALSE)," ")</f>
        <v xml:space="preserve"> </v>
      </c>
      <c r="K120" s="175" t="str">
        <f>IFERROR(VLOOKUP($A120,'Budget &amp; Revenue'!$A:$Y,21,FALSE)," ")</f>
        <v xml:space="preserve"> </v>
      </c>
      <c r="L120" s="175" t="str">
        <f>IFERROR(VLOOKUP($A120,'Budget &amp; Revenue'!$A:$Y,23,FALSE)," ")</f>
        <v xml:space="preserve"> </v>
      </c>
      <c r="M120" s="175" t="str">
        <f>IFERROR(VLOOKUP($A120,'Budget &amp; Revenue'!$A:$Y,25,FALSE)," ")</f>
        <v xml:space="preserve"> </v>
      </c>
    </row>
    <row r="121" spans="1:13" x14ac:dyDescent="0.25">
      <c r="A121" s="202">
        <v>82.12</v>
      </c>
      <c r="B121" s="202" t="s">
        <v>367</v>
      </c>
      <c r="C121" s="203">
        <f>VLOOKUP(A121,Estimate!A:L,12,FALSE)</f>
        <v>1</v>
      </c>
      <c r="D121" s="205">
        <v>136</v>
      </c>
      <c r="E121" s="205">
        <v>104</v>
      </c>
      <c r="F121" s="163" t="str">
        <f>IFERROR(VLOOKUP($A121,'Budget &amp; Revenue'!$A:$Y,4,FALSE)," ")</f>
        <v xml:space="preserve"> </v>
      </c>
      <c r="G121" s="175" t="str">
        <f>IFERROR(VLOOKUP($A121,'Budget &amp; Revenue'!$A:$Y,13,FALSE)," ")</f>
        <v xml:space="preserve"> </v>
      </c>
      <c r="H121" s="175" t="str">
        <f>IFERROR(VLOOKUP($A121,'Budget &amp; Revenue'!$A:$Y,15,FALSE)," ")</f>
        <v xml:space="preserve"> </v>
      </c>
      <c r="I121" s="175" t="str">
        <f>IFERROR(VLOOKUP($A121,'Budget &amp; Revenue'!$A:$Y,17,FALSE)," ")</f>
        <v xml:space="preserve"> </v>
      </c>
      <c r="J121" s="175" t="str">
        <f>IFERROR(VLOOKUP($A121,'Budget &amp; Revenue'!$A:$Y,19,FALSE)," ")</f>
        <v xml:space="preserve"> </v>
      </c>
      <c r="K121" s="175" t="str">
        <f>IFERROR(VLOOKUP($A121,'Budget &amp; Revenue'!$A:$Y,21,FALSE)," ")</f>
        <v xml:space="preserve"> </v>
      </c>
      <c r="L121" s="175" t="str">
        <f>IFERROR(VLOOKUP($A121,'Budget &amp; Revenue'!$A:$Y,23,FALSE)," ")</f>
        <v xml:space="preserve"> </v>
      </c>
      <c r="M121" s="175" t="str">
        <f>IFERROR(VLOOKUP($A121,'Budget &amp; Revenue'!$A:$Y,25,FALSE)," ")</f>
        <v xml:space="preserve"> </v>
      </c>
    </row>
    <row r="122" spans="1:13" x14ac:dyDescent="0.25">
      <c r="A122" s="202">
        <v>82.13</v>
      </c>
      <c r="B122" s="202" t="s">
        <v>368</v>
      </c>
      <c r="C122" s="203">
        <f>VLOOKUP(A122,Estimate!A:L,12,FALSE)</f>
        <v>2</v>
      </c>
      <c r="D122" s="205">
        <v>137</v>
      </c>
      <c r="E122" s="205">
        <v>105</v>
      </c>
      <c r="F122" s="163" t="str">
        <f>IFERROR(VLOOKUP($A122,'Budget &amp; Revenue'!$A:$Y,4,FALSE)," ")</f>
        <v xml:space="preserve"> </v>
      </c>
      <c r="G122" s="175" t="str">
        <f>IFERROR(VLOOKUP($A122,'Budget &amp; Revenue'!$A:$Y,13,FALSE)," ")</f>
        <v xml:space="preserve"> </v>
      </c>
      <c r="H122" s="175" t="str">
        <f>IFERROR(VLOOKUP($A122,'Budget &amp; Revenue'!$A:$Y,15,FALSE)," ")</f>
        <v xml:space="preserve"> </v>
      </c>
      <c r="I122" s="175" t="str">
        <f>IFERROR(VLOOKUP($A122,'Budget &amp; Revenue'!$A:$Y,17,FALSE)," ")</f>
        <v xml:space="preserve"> </v>
      </c>
      <c r="J122" s="175" t="str">
        <f>IFERROR(VLOOKUP($A122,'Budget &amp; Revenue'!$A:$Y,19,FALSE)," ")</f>
        <v xml:space="preserve"> </v>
      </c>
      <c r="K122" s="175" t="str">
        <f>IFERROR(VLOOKUP($A122,'Budget &amp; Revenue'!$A:$Y,21,FALSE)," ")</f>
        <v xml:space="preserve"> </v>
      </c>
      <c r="L122" s="175" t="str">
        <f>IFERROR(VLOOKUP($A122,'Budget &amp; Revenue'!$A:$Y,23,FALSE)," ")</f>
        <v xml:space="preserve"> </v>
      </c>
      <c r="M122" s="175" t="str">
        <f>IFERROR(VLOOKUP($A122,'Budget &amp; Revenue'!$A:$Y,25,FALSE)," ")</f>
        <v xml:space="preserve"> </v>
      </c>
    </row>
    <row r="123" spans="1:13" ht="48" x14ac:dyDescent="0.25">
      <c r="A123" s="202">
        <v>83</v>
      </c>
      <c r="B123" s="202" t="s">
        <v>373</v>
      </c>
      <c r="C123" s="203">
        <f>VLOOKUP(A123,Estimate!A:L,12,FALSE)</f>
        <v>0</v>
      </c>
      <c r="D123" s="205" t="s">
        <v>497</v>
      </c>
      <c r="E123" s="205">
        <v>134</v>
      </c>
      <c r="F123" s="163">
        <f>IFERROR(VLOOKUP($A123,'Budget &amp; Revenue'!$A:$Y,4,FALSE)," ")</f>
        <v>0</v>
      </c>
      <c r="G123" s="175" t="str">
        <f>IFERROR(VLOOKUP($A123,'Budget &amp; Revenue'!$A:$Y,13,FALSE)," ")</f>
        <v xml:space="preserve"> </v>
      </c>
      <c r="H123" s="175" t="str">
        <f>IFERROR(VLOOKUP($A123,'Budget &amp; Revenue'!$A:$Y,15,FALSE)," ")</f>
        <v xml:space="preserve"> </v>
      </c>
      <c r="I123" s="175" t="str">
        <f>IFERROR(VLOOKUP($A123,'Budget &amp; Revenue'!$A:$Y,17,FALSE)," ")</f>
        <v xml:space="preserve"> </v>
      </c>
      <c r="J123" s="175" t="str">
        <f>IFERROR(VLOOKUP($A123,'Budget &amp; Revenue'!$A:$Y,19,FALSE)," ")</f>
        <v xml:space="preserve"> </v>
      </c>
      <c r="K123" s="175" t="str">
        <f>IFERROR(VLOOKUP($A123,'Budget &amp; Revenue'!$A:$Y,21,FALSE)," ")</f>
        <v xml:space="preserve"> </v>
      </c>
      <c r="L123" s="175" t="str">
        <f>IFERROR(VLOOKUP($A123,'Budget &amp; Revenue'!$A:$Y,23,FALSE)," ")</f>
        <v xml:space="preserve"> </v>
      </c>
      <c r="M123" s="175" t="str">
        <f>IFERROR(VLOOKUP($A123,'Budget &amp; Revenue'!$A:$Y,25,FALSE)," ")</f>
        <v xml:space="preserve"> </v>
      </c>
    </row>
    <row r="124" spans="1:13" ht="60" x14ac:dyDescent="0.25">
      <c r="A124" s="202">
        <v>84</v>
      </c>
      <c r="B124" s="202" t="s">
        <v>374</v>
      </c>
      <c r="C124" s="203">
        <f>VLOOKUP(A124,Estimate!A:L,12,FALSE)</f>
        <v>2</v>
      </c>
      <c r="D124" s="205" t="s">
        <v>498</v>
      </c>
      <c r="E124" s="205" t="s">
        <v>499</v>
      </c>
      <c r="F124" s="163">
        <f>IFERROR(VLOOKUP($A124,'Budget &amp; Revenue'!$A:$Y,4,FALSE)," ")</f>
        <v>22311.935999999998</v>
      </c>
      <c r="G124" s="175">
        <f>IFERROR(VLOOKUP($A124,'Budget &amp; Revenue'!$A:$Y,13,FALSE)," ")</f>
        <v>0</v>
      </c>
      <c r="H124" s="175">
        <f>IFERROR(VLOOKUP($A124,'Budget &amp; Revenue'!$A:$Y,15,FALSE)," ")</f>
        <v>0.49964434230685051</v>
      </c>
      <c r="I124" s="175">
        <f>IFERROR(VLOOKUP($A124,'Budget &amp; Revenue'!$A:$Y,17,FALSE)," ")</f>
        <v>1</v>
      </c>
      <c r="J124" s="175">
        <f>IFERROR(VLOOKUP($A124,'Budget &amp; Revenue'!$A:$Y,19,FALSE)," ")</f>
        <v>1</v>
      </c>
      <c r="K124" s="175">
        <f>IFERROR(VLOOKUP($A124,'Budget &amp; Revenue'!$A:$Y,21,FALSE)," ")</f>
        <v>1</v>
      </c>
      <c r="L124" s="175">
        <f>IFERROR(VLOOKUP($A124,'Budget &amp; Revenue'!$A:$Y,23,FALSE)," ")</f>
        <v>1</v>
      </c>
      <c r="M124" s="175">
        <f>IFERROR(VLOOKUP($A124,'Budget &amp; Revenue'!$A:$Y,25,FALSE)," ")</f>
        <v>1</v>
      </c>
    </row>
    <row r="125" spans="1:13" ht="48" x14ac:dyDescent="0.25">
      <c r="A125" s="203">
        <v>85</v>
      </c>
      <c r="B125" s="203" t="s">
        <v>375</v>
      </c>
      <c r="C125" s="203">
        <f>VLOOKUP(A125,Estimate!A:L,12,FALSE)</f>
        <v>0</v>
      </c>
      <c r="D125" s="204"/>
      <c r="E125" s="204"/>
      <c r="F125" s="163">
        <f>IFERROR(VLOOKUP($A125,'Budget &amp; Revenue'!$A:$Y,4,FALSE)," ")</f>
        <v>68243.403331046837</v>
      </c>
      <c r="G125" s="175">
        <f>IFERROR(VLOOKUP($A125,'Budget &amp; Revenue'!$A:$Y,13,FALSE)," ")</f>
        <v>0</v>
      </c>
      <c r="H125" s="175">
        <f>IFERROR(VLOOKUP($A125,'Budget &amp; Revenue'!$A:$Y,15,FALSE)," ")</f>
        <v>0.49964434230685051</v>
      </c>
      <c r="I125" s="175">
        <f>IFERROR(VLOOKUP($A125,'Budget &amp; Revenue'!$A:$Y,17,FALSE)," ")</f>
        <v>1</v>
      </c>
      <c r="J125" s="175">
        <f>IFERROR(VLOOKUP($A125,'Budget &amp; Revenue'!$A:$Y,19,FALSE)," ")</f>
        <v>1</v>
      </c>
      <c r="K125" s="175">
        <f>IFERROR(VLOOKUP($A125,'Budget &amp; Revenue'!$A:$Y,21,FALSE)," ")</f>
        <v>1</v>
      </c>
      <c r="L125" s="175">
        <f>IFERROR(VLOOKUP($A125,'Budget &amp; Revenue'!$A:$Y,23,FALSE)," ")</f>
        <v>1</v>
      </c>
      <c r="M125" s="175">
        <f>IFERROR(VLOOKUP($A125,'Budget &amp; Revenue'!$A:$Y,25,FALSE)," ")</f>
        <v>1</v>
      </c>
    </row>
    <row r="126" spans="1:13" x14ac:dyDescent="0.25">
      <c r="A126" s="202">
        <v>85.01</v>
      </c>
      <c r="B126" s="202" t="s">
        <v>346</v>
      </c>
      <c r="C126" s="203">
        <f>VLOOKUP(A126,Estimate!A:L,12,FALSE)</f>
        <v>1</v>
      </c>
      <c r="D126" s="205">
        <v>58</v>
      </c>
      <c r="E126" s="205">
        <v>109</v>
      </c>
      <c r="F126" s="163" t="str">
        <f>IFERROR(VLOOKUP($A126,'Budget &amp; Revenue'!$A:$Y,4,FALSE)," ")</f>
        <v xml:space="preserve"> </v>
      </c>
      <c r="G126" s="175" t="str">
        <f>IFERROR(VLOOKUP($A126,'Budget &amp; Revenue'!$A:$Y,13,FALSE)," ")</f>
        <v xml:space="preserve"> </v>
      </c>
      <c r="H126" s="175" t="str">
        <f>IFERROR(VLOOKUP($A126,'Budget &amp; Revenue'!$A:$Y,15,FALSE)," ")</f>
        <v xml:space="preserve"> </v>
      </c>
      <c r="I126" s="175" t="str">
        <f>IFERROR(VLOOKUP($A126,'Budget &amp; Revenue'!$A:$Y,17,FALSE)," ")</f>
        <v xml:space="preserve"> </v>
      </c>
      <c r="J126" s="175" t="str">
        <f>IFERROR(VLOOKUP($A126,'Budget &amp; Revenue'!$A:$Y,19,FALSE)," ")</f>
        <v xml:space="preserve"> </v>
      </c>
      <c r="K126" s="175" t="str">
        <f>IFERROR(VLOOKUP($A126,'Budget &amp; Revenue'!$A:$Y,21,FALSE)," ")</f>
        <v xml:space="preserve"> </v>
      </c>
      <c r="L126" s="175" t="str">
        <f>IFERROR(VLOOKUP($A126,'Budget &amp; Revenue'!$A:$Y,23,FALSE)," ")</f>
        <v xml:space="preserve"> </v>
      </c>
      <c r="M126" s="175" t="str">
        <f>IFERROR(VLOOKUP($A126,'Budget &amp; Revenue'!$A:$Y,25,FALSE)," ")</f>
        <v xml:space="preserve"> </v>
      </c>
    </row>
    <row r="127" spans="1:13" x14ac:dyDescent="0.25">
      <c r="A127" s="202">
        <v>85.02</v>
      </c>
      <c r="B127" s="202" t="s">
        <v>348</v>
      </c>
      <c r="C127" s="203">
        <f>VLOOKUP(A127,Estimate!A:L,12,FALSE)</f>
        <v>1</v>
      </c>
      <c r="D127" s="205">
        <v>59</v>
      </c>
      <c r="E127" s="205">
        <v>110</v>
      </c>
      <c r="F127" s="163" t="str">
        <f>IFERROR(VLOOKUP($A127,'Budget &amp; Revenue'!$A:$Y,4,FALSE)," ")</f>
        <v xml:space="preserve"> </v>
      </c>
      <c r="G127" s="175" t="str">
        <f>IFERROR(VLOOKUP($A127,'Budget &amp; Revenue'!$A:$Y,13,FALSE)," ")</f>
        <v xml:space="preserve"> </v>
      </c>
      <c r="H127" s="175" t="str">
        <f>IFERROR(VLOOKUP($A127,'Budget &amp; Revenue'!$A:$Y,15,FALSE)," ")</f>
        <v xml:space="preserve"> </v>
      </c>
      <c r="I127" s="175" t="str">
        <f>IFERROR(VLOOKUP($A127,'Budget &amp; Revenue'!$A:$Y,17,FALSE)," ")</f>
        <v xml:space="preserve"> </v>
      </c>
      <c r="J127" s="175" t="str">
        <f>IFERROR(VLOOKUP($A127,'Budget &amp; Revenue'!$A:$Y,19,FALSE)," ")</f>
        <v xml:space="preserve"> </v>
      </c>
      <c r="K127" s="175" t="str">
        <f>IFERROR(VLOOKUP($A127,'Budget &amp; Revenue'!$A:$Y,21,FALSE)," ")</f>
        <v xml:space="preserve"> </v>
      </c>
      <c r="L127" s="175" t="str">
        <f>IFERROR(VLOOKUP($A127,'Budget &amp; Revenue'!$A:$Y,23,FALSE)," ")</f>
        <v xml:space="preserve"> </v>
      </c>
      <c r="M127" s="175" t="str">
        <f>IFERROR(VLOOKUP($A127,'Budget &amp; Revenue'!$A:$Y,25,FALSE)," ")</f>
        <v xml:space="preserve"> </v>
      </c>
    </row>
    <row r="128" spans="1:13" x14ac:dyDescent="0.25">
      <c r="A128" s="202">
        <v>85.03</v>
      </c>
      <c r="B128" s="202" t="s">
        <v>350</v>
      </c>
      <c r="C128" s="203">
        <f>VLOOKUP(A128,Estimate!A:L,12,FALSE)</f>
        <v>1</v>
      </c>
      <c r="D128" s="205">
        <v>60</v>
      </c>
      <c r="E128" s="205">
        <v>111</v>
      </c>
      <c r="F128" s="163" t="str">
        <f>IFERROR(VLOOKUP($A128,'Budget &amp; Revenue'!$A:$Y,4,FALSE)," ")</f>
        <v xml:space="preserve"> </v>
      </c>
      <c r="G128" s="175" t="str">
        <f>IFERROR(VLOOKUP($A128,'Budget &amp; Revenue'!$A:$Y,13,FALSE)," ")</f>
        <v xml:space="preserve"> </v>
      </c>
      <c r="H128" s="175" t="str">
        <f>IFERROR(VLOOKUP($A128,'Budget &amp; Revenue'!$A:$Y,15,FALSE)," ")</f>
        <v xml:space="preserve"> </v>
      </c>
      <c r="I128" s="175" t="str">
        <f>IFERROR(VLOOKUP($A128,'Budget &amp; Revenue'!$A:$Y,17,FALSE)," ")</f>
        <v xml:space="preserve"> </v>
      </c>
      <c r="J128" s="175" t="str">
        <f>IFERROR(VLOOKUP($A128,'Budget &amp; Revenue'!$A:$Y,19,FALSE)," ")</f>
        <v xml:space="preserve"> </v>
      </c>
      <c r="K128" s="175" t="str">
        <f>IFERROR(VLOOKUP($A128,'Budget &amp; Revenue'!$A:$Y,21,FALSE)," ")</f>
        <v xml:space="preserve"> </v>
      </c>
      <c r="L128" s="175" t="str">
        <f>IFERROR(VLOOKUP($A128,'Budget &amp; Revenue'!$A:$Y,23,FALSE)," ")</f>
        <v xml:space="preserve"> </v>
      </c>
      <c r="M128" s="175" t="str">
        <f>IFERROR(VLOOKUP($A128,'Budget &amp; Revenue'!$A:$Y,25,FALSE)," ")</f>
        <v xml:space="preserve"> </v>
      </c>
    </row>
    <row r="129" spans="1:13" x14ac:dyDescent="0.25">
      <c r="A129" s="202">
        <v>85.04</v>
      </c>
      <c r="B129" s="202" t="s">
        <v>352</v>
      </c>
      <c r="C129" s="203">
        <f>VLOOKUP(A129,Estimate!A:L,12,FALSE)</f>
        <v>1</v>
      </c>
      <c r="D129" s="205">
        <v>61</v>
      </c>
      <c r="E129" s="205">
        <v>112</v>
      </c>
      <c r="F129" s="163" t="str">
        <f>IFERROR(VLOOKUP($A129,'Budget &amp; Revenue'!$A:$Y,4,FALSE)," ")</f>
        <v xml:space="preserve"> </v>
      </c>
      <c r="G129" s="175" t="str">
        <f>IFERROR(VLOOKUP($A129,'Budget &amp; Revenue'!$A:$Y,13,FALSE)," ")</f>
        <v xml:space="preserve"> </v>
      </c>
      <c r="H129" s="175" t="str">
        <f>IFERROR(VLOOKUP($A129,'Budget &amp; Revenue'!$A:$Y,15,FALSE)," ")</f>
        <v xml:space="preserve"> </v>
      </c>
      <c r="I129" s="175" t="str">
        <f>IFERROR(VLOOKUP($A129,'Budget &amp; Revenue'!$A:$Y,17,FALSE)," ")</f>
        <v xml:space="preserve"> </v>
      </c>
      <c r="J129" s="175" t="str">
        <f>IFERROR(VLOOKUP($A129,'Budget &amp; Revenue'!$A:$Y,19,FALSE)," ")</f>
        <v xml:space="preserve"> </v>
      </c>
      <c r="K129" s="175" t="str">
        <f>IFERROR(VLOOKUP($A129,'Budget &amp; Revenue'!$A:$Y,21,FALSE)," ")</f>
        <v xml:space="preserve"> </v>
      </c>
      <c r="L129" s="175" t="str">
        <f>IFERROR(VLOOKUP($A129,'Budget &amp; Revenue'!$A:$Y,23,FALSE)," ")</f>
        <v xml:space="preserve"> </v>
      </c>
      <c r="M129" s="175" t="str">
        <f>IFERROR(VLOOKUP($A129,'Budget &amp; Revenue'!$A:$Y,25,FALSE)," ")</f>
        <v xml:space="preserve"> </v>
      </c>
    </row>
    <row r="130" spans="1:13" x14ac:dyDescent="0.25">
      <c r="A130" s="202">
        <v>85.05</v>
      </c>
      <c r="B130" s="202" t="s">
        <v>354</v>
      </c>
      <c r="C130" s="203">
        <f>VLOOKUP(A130,Estimate!A:L,12,FALSE)</f>
        <v>1</v>
      </c>
      <c r="D130" s="205">
        <v>62</v>
      </c>
      <c r="E130" s="205">
        <v>113</v>
      </c>
      <c r="F130" s="163" t="str">
        <f>IFERROR(VLOOKUP($A130,'Budget &amp; Revenue'!$A:$Y,4,FALSE)," ")</f>
        <v xml:space="preserve"> </v>
      </c>
      <c r="G130" s="175" t="str">
        <f>IFERROR(VLOOKUP($A130,'Budget &amp; Revenue'!$A:$Y,13,FALSE)," ")</f>
        <v xml:space="preserve"> </v>
      </c>
      <c r="H130" s="175" t="str">
        <f>IFERROR(VLOOKUP($A130,'Budget &amp; Revenue'!$A:$Y,15,FALSE)," ")</f>
        <v xml:space="preserve"> </v>
      </c>
      <c r="I130" s="175" t="str">
        <f>IFERROR(VLOOKUP($A130,'Budget &amp; Revenue'!$A:$Y,17,FALSE)," ")</f>
        <v xml:space="preserve"> </v>
      </c>
      <c r="J130" s="175" t="str">
        <f>IFERROR(VLOOKUP($A130,'Budget &amp; Revenue'!$A:$Y,19,FALSE)," ")</f>
        <v xml:space="preserve"> </v>
      </c>
      <c r="K130" s="175" t="str">
        <f>IFERROR(VLOOKUP($A130,'Budget &amp; Revenue'!$A:$Y,21,FALSE)," ")</f>
        <v xml:space="preserve"> </v>
      </c>
      <c r="L130" s="175" t="str">
        <f>IFERROR(VLOOKUP($A130,'Budget &amp; Revenue'!$A:$Y,23,FALSE)," ")</f>
        <v xml:space="preserve"> </v>
      </c>
      <c r="M130" s="175" t="str">
        <f>IFERROR(VLOOKUP($A130,'Budget &amp; Revenue'!$A:$Y,25,FALSE)," ")</f>
        <v xml:space="preserve"> </v>
      </c>
    </row>
    <row r="131" spans="1:13" x14ac:dyDescent="0.25">
      <c r="A131" s="202">
        <v>85.06</v>
      </c>
      <c r="B131" s="202" t="s">
        <v>356</v>
      </c>
      <c r="C131" s="203">
        <f>VLOOKUP(A131,Estimate!A:L,12,FALSE)</f>
        <v>1</v>
      </c>
      <c r="D131" s="205">
        <v>63</v>
      </c>
      <c r="E131" s="205">
        <v>114</v>
      </c>
      <c r="F131" s="163" t="str">
        <f>IFERROR(VLOOKUP($A131,'Budget &amp; Revenue'!$A:$Y,4,FALSE)," ")</f>
        <v xml:space="preserve"> </v>
      </c>
      <c r="G131" s="175" t="str">
        <f>IFERROR(VLOOKUP($A131,'Budget &amp; Revenue'!$A:$Y,13,FALSE)," ")</f>
        <v xml:space="preserve"> </v>
      </c>
      <c r="H131" s="175" t="str">
        <f>IFERROR(VLOOKUP($A131,'Budget &amp; Revenue'!$A:$Y,15,FALSE)," ")</f>
        <v xml:space="preserve"> </v>
      </c>
      <c r="I131" s="175" t="str">
        <f>IFERROR(VLOOKUP($A131,'Budget &amp; Revenue'!$A:$Y,17,FALSE)," ")</f>
        <v xml:space="preserve"> </v>
      </c>
      <c r="J131" s="175" t="str">
        <f>IFERROR(VLOOKUP($A131,'Budget &amp; Revenue'!$A:$Y,19,FALSE)," ")</f>
        <v xml:space="preserve"> </v>
      </c>
      <c r="K131" s="175" t="str">
        <f>IFERROR(VLOOKUP($A131,'Budget &amp; Revenue'!$A:$Y,21,FALSE)," ")</f>
        <v xml:space="preserve"> </v>
      </c>
      <c r="L131" s="175" t="str">
        <f>IFERROR(VLOOKUP($A131,'Budget &amp; Revenue'!$A:$Y,23,FALSE)," ")</f>
        <v xml:space="preserve"> </v>
      </c>
      <c r="M131" s="175" t="str">
        <f>IFERROR(VLOOKUP($A131,'Budget &amp; Revenue'!$A:$Y,25,FALSE)," ")</f>
        <v xml:space="preserve"> </v>
      </c>
    </row>
    <row r="132" spans="1:13" x14ac:dyDescent="0.25">
      <c r="A132" s="202">
        <v>85.07</v>
      </c>
      <c r="B132" s="202" t="s">
        <v>358</v>
      </c>
      <c r="C132" s="203">
        <f>VLOOKUP(A132,Estimate!A:L,12,FALSE)</f>
        <v>1</v>
      </c>
      <c r="D132" s="205">
        <v>64</v>
      </c>
      <c r="E132" s="205">
        <v>115</v>
      </c>
      <c r="F132" s="163" t="str">
        <f>IFERROR(VLOOKUP($A132,'Budget &amp; Revenue'!$A:$Y,4,FALSE)," ")</f>
        <v xml:space="preserve"> </v>
      </c>
      <c r="G132" s="175" t="str">
        <f>IFERROR(VLOOKUP($A132,'Budget &amp; Revenue'!$A:$Y,13,FALSE)," ")</f>
        <v xml:space="preserve"> </v>
      </c>
      <c r="H132" s="175" t="str">
        <f>IFERROR(VLOOKUP($A132,'Budget &amp; Revenue'!$A:$Y,15,FALSE)," ")</f>
        <v xml:space="preserve"> </v>
      </c>
      <c r="I132" s="175" t="str">
        <f>IFERROR(VLOOKUP($A132,'Budget &amp; Revenue'!$A:$Y,17,FALSE)," ")</f>
        <v xml:space="preserve"> </v>
      </c>
      <c r="J132" s="175" t="str">
        <f>IFERROR(VLOOKUP($A132,'Budget &amp; Revenue'!$A:$Y,19,FALSE)," ")</f>
        <v xml:space="preserve"> </v>
      </c>
      <c r="K132" s="175" t="str">
        <f>IFERROR(VLOOKUP($A132,'Budget &amp; Revenue'!$A:$Y,21,FALSE)," ")</f>
        <v xml:space="preserve"> </v>
      </c>
      <c r="L132" s="175" t="str">
        <f>IFERROR(VLOOKUP($A132,'Budget &amp; Revenue'!$A:$Y,23,FALSE)," ")</f>
        <v xml:space="preserve"> </v>
      </c>
      <c r="M132" s="175" t="str">
        <f>IFERROR(VLOOKUP($A132,'Budget &amp; Revenue'!$A:$Y,25,FALSE)," ")</f>
        <v xml:space="preserve"> </v>
      </c>
    </row>
    <row r="133" spans="1:13" x14ac:dyDescent="0.25">
      <c r="A133" s="202">
        <v>85.08</v>
      </c>
      <c r="B133" s="202" t="s">
        <v>360</v>
      </c>
      <c r="C133" s="203">
        <f>VLOOKUP(A133,Estimate!A:L,12,FALSE)</f>
        <v>4</v>
      </c>
      <c r="D133" s="205">
        <v>65</v>
      </c>
      <c r="E133" s="205" t="s">
        <v>500</v>
      </c>
      <c r="F133" s="163" t="str">
        <f>IFERROR(VLOOKUP($A133,'Budget &amp; Revenue'!$A:$Y,4,FALSE)," ")</f>
        <v xml:space="preserve"> </v>
      </c>
      <c r="G133" s="175" t="str">
        <f>IFERROR(VLOOKUP($A133,'Budget &amp; Revenue'!$A:$Y,13,FALSE)," ")</f>
        <v xml:space="preserve"> </v>
      </c>
      <c r="H133" s="175" t="str">
        <f>IFERROR(VLOOKUP($A133,'Budget &amp; Revenue'!$A:$Y,15,FALSE)," ")</f>
        <v xml:space="preserve"> </v>
      </c>
      <c r="I133" s="175" t="str">
        <f>IFERROR(VLOOKUP($A133,'Budget &amp; Revenue'!$A:$Y,17,FALSE)," ")</f>
        <v xml:space="preserve"> </v>
      </c>
      <c r="J133" s="175" t="str">
        <f>IFERROR(VLOOKUP($A133,'Budget &amp; Revenue'!$A:$Y,19,FALSE)," ")</f>
        <v xml:space="preserve"> </v>
      </c>
      <c r="K133" s="175" t="str">
        <f>IFERROR(VLOOKUP($A133,'Budget &amp; Revenue'!$A:$Y,21,FALSE)," ")</f>
        <v xml:space="preserve"> </v>
      </c>
      <c r="L133" s="175" t="str">
        <f>IFERROR(VLOOKUP($A133,'Budget &amp; Revenue'!$A:$Y,23,FALSE)," ")</f>
        <v xml:space="preserve"> </v>
      </c>
      <c r="M133" s="175" t="str">
        <f>IFERROR(VLOOKUP($A133,'Budget &amp; Revenue'!$A:$Y,25,FALSE)," ")</f>
        <v xml:space="preserve"> </v>
      </c>
    </row>
    <row r="134" spans="1:13" x14ac:dyDescent="0.25">
      <c r="A134" s="202">
        <v>85.09</v>
      </c>
      <c r="B134" s="202" t="s">
        <v>361</v>
      </c>
      <c r="C134" s="203">
        <f>VLOOKUP(A134,Estimate!A:L,12,FALSE)</f>
        <v>1</v>
      </c>
      <c r="D134" s="205">
        <v>66</v>
      </c>
      <c r="E134" s="205">
        <v>117</v>
      </c>
      <c r="F134" s="163" t="str">
        <f>IFERROR(VLOOKUP($A134,'Budget &amp; Revenue'!$A:$Y,4,FALSE)," ")</f>
        <v xml:space="preserve"> </v>
      </c>
      <c r="G134" s="175" t="str">
        <f>IFERROR(VLOOKUP($A134,'Budget &amp; Revenue'!$A:$Y,13,FALSE)," ")</f>
        <v xml:space="preserve"> </v>
      </c>
      <c r="H134" s="175" t="str">
        <f>IFERROR(VLOOKUP($A134,'Budget &amp; Revenue'!$A:$Y,15,FALSE)," ")</f>
        <v xml:space="preserve"> </v>
      </c>
      <c r="I134" s="175" t="str">
        <f>IFERROR(VLOOKUP($A134,'Budget &amp; Revenue'!$A:$Y,17,FALSE)," ")</f>
        <v xml:space="preserve"> </v>
      </c>
      <c r="J134" s="175" t="str">
        <f>IFERROR(VLOOKUP($A134,'Budget &amp; Revenue'!$A:$Y,19,FALSE)," ")</f>
        <v xml:space="preserve"> </v>
      </c>
      <c r="K134" s="175" t="str">
        <f>IFERROR(VLOOKUP($A134,'Budget &amp; Revenue'!$A:$Y,21,FALSE)," ")</f>
        <v xml:space="preserve"> </v>
      </c>
      <c r="L134" s="175" t="str">
        <f>IFERROR(VLOOKUP($A134,'Budget &amp; Revenue'!$A:$Y,23,FALSE)," ")</f>
        <v xml:space="preserve"> </v>
      </c>
      <c r="M134" s="175" t="str">
        <f>IFERROR(VLOOKUP($A134,'Budget &amp; Revenue'!$A:$Y,25,FALSE)," ")</f>
        <v xml:space="preserve"> </v>
      </c>
    </row>
    <row r="135" spans="1:13" x14ac:dyDescent="0.25">
      <c r="A135" s="202">
        <v>85.1</v>
      </c>
      <c r="B135" s="202" t="s">
        <v>363</v>
      </c>
      <c r="C135" s="203">
        <f>VLOOKUP(A135,Estimate!A:L,12,FALSE)</f>
        <v>2</v>
      </c>
      <c r="D135" s="206">
        <v>67123122</v>
      </c>
      <c r="E135" s="205">
        <v>118</v>
      </c>
      <c r="F135" s="163" t="str">
        <f>IFERROR(VLOOKUP($A135,'Budget &amp; Revenue'!$A:$Y,4,FALSE)," ")</f>
        <v xml:space="preserve"> </v>
      </c>
      <c r="G135" s="175" t="str">
        <f>IFERROR(VLOOKUP($A135,'Budget &amp; Revenue'!$A:$Y,13,FALSE)," ")</f>
        <v xml:space="preserve"> </v>
      </c>
      <c r="H135" s="175" t="str">
        <f>IFERROR(VLOOKUP($A135,'Budget &amp; Revenue'!$A:$Y,15,FALSE)," ")</f>
        <v xml:space="preserve"> </v>
      </c>
      <c r="I135" s="175" t="str">
        <f>IFERROR(VLOOKUP($A135,'Budget &amp; Revenue'!$A:$Y,17,FALSE)," ")</f>
        <v xml:space="preserve"> </v>
      </c>
      <c r="J135" s="175" t="str">
        <f>IFERROR(VLOOKUP($A135,'Budget &amp; Revenue'!$A:$Y,19,FALSE)," ")</f>
        <v xml:space="preserve"> </v>
      </c>
      <c r="K135" s="175" t="str">
        <f>IFERROR(VLOOKUP($A135,'Budget &amp; Revenue'!$A:$Y,21,FALSE)," ")</f>
        <v xml:space="preserve"> </v>
      </c>
      <c r="L135" s="175" t="str">
        <f>IFERROR(VLOOKUP($A135,'Budget &amp; Revenue'!$A:$Y,23,FALSE)," ")</f>
        <v xml:space="preserve"> </v>
      </c>
      <c r="M135" s="175" t="str">
        <f>IFERROR(VLOOKUP($A135,'Budget &amp; Revenue'!$A:$Y,25,FALSE)," ")</f>
        <v xml:space="preserve"> </v>
      </c>
    </row>
    <row r="136" spans="1:13" x14ac:dyDescent="0.25">
      <c r="A136" s="202">
        <v>85.11</v>
      </c>
      <c r="B136" s="202" t="s">
        <v>365</v>
      </c>
      <c r="C136" s="203">
        <f>VLOOKUP(A136,Estimate!A:L,12,FALSE)</f>
        <v>1</v>
      </c>
      <c r="D136" s="205">
        <v>68</v>
      </c>
      <c r="E136" s="205">
        <v>119</v>
      </c>
      <c r="F136" s="163" t="str">
        <f>IFERROR(VLOOKUP($A136,'Budget &amp; Revenue'!$A:$Y,4,FALSE)," ")</f>
        <v xml:space="preserve"> </v>
      </c>
      <c r="G136" s="175" t="str">
        <f>IFERROR(VLOOKUP($A136,'Budget &amp; Revenue'!$A:$Y,13,FALSE)," ")</f>
        <v xml:space="preserve"> </v>
      </c>
      <c r="H136" s="175" t="str">
        <f>IFERROR(VLOOKUP($A136,'Budget &amp; Revenue'!$A:$Y,15,FALSE)," ")</f>
        <v xml:space="preserve"> </v>
      </c>
      <c r="I136" s="175" t="str">
        <f>IFERROR(VLOOKUP($A136,'Budget &amp; Revenue'!$A:$Y,17,FALSE)," ")</f>
        <v xml:space="preserve"> </v>
      </c>
      <c r="J136" s="175" t="str">
        <f>IFERROR(VLOOKUP($A136,'Budget &amp; Revenue'!$A:$Y,19,FALSE)," ")</f>
        <v xml:space="preserve"> </v>
      </c>
      <c r="K136" s="175" t="str">
        <f>IFERROR(VLOOKUP($A136,'Budget &amp; Revenue'!$A:$Y,21,FALSE)," ")</f>
        <v xml:space="preserve"> </v>
      </c>
      <c r="L136" s="175" t="str">
        <f>IFERROR(VLOOKUP($A136,'Budget &amp; Revenue'!$A:$Y,23,FALSE)," ")</f>
        <v xml:space="preserve"> </v>
      </c>
      <c r="M136" s="175" t="str">
        <f>IFERROR(VLOOKUP($A136,'Budget &amp; Revenue'!$A:$Y,25,FALSE)," ")</f>
        <v xml:space="preserve"> </v>
      </c>
    </row>
    <row r="137" spans="1:13" x14ac:dyDescent="0.25">
      <c r="A137" s="202">
        <v>85.12</v>
      </c>
      <c r="B137" s="202" t="s">
        <v>367</v>
      </c>
      <c r="C137" s="203">
        <f>VLOOKUP(A137,Estimate!A:L,12,FALSE)</f>
        <v>1</v>
      </c>
      <c r="D137" s="205">
        <v>69</v>
      </c>
      <c r="E137" s="205">
        <v>120</v>
      </c>
      <c r="F137" s="163" t="str">
        <f>IFERROR(VLOOKUP($A137,'Budget &amp; Revenue'!$A:$Y,4,FALSE)," ")</f>
        <v xml:space="preserve"> </v>
      </c>
      <c r="G137" s="175" t="str">
        <f>IFERROR(VLOOKUP($A137,'Budget &amp; Revenue'!$A:$Y,13,FALSE)," ")</f>
        <v xml:space="preserve"> </v>
      </c>
      <c r="H137" s="175" t="str">
        <f>IFERROR(VLOOKUP($A137,'Budget &amp; Revenue'!$A:$Y,15,FALSE)," ")</f>
        <v xml:space="preserve"> </v>
      </c>
      <c r="I137" s="175" t="str">
        <f>IFERROR(VLOOKUP($A137,'Budget &amp; Revenue'!$A:$Y,17,FALSE)," ")</f>
        <v xml:space="preserve"> </v>
      </c>
      <c r="J137" s="175" t="str">
        <f>IFERROR(VLOOKUP($A137,'Budget &amp; Revenue'!$A:$Y,19,FALSE)," ")</f>
        <v xml:space="preserve"> </v>
      </c>
      <c r="K137" s="175" t="str">
        <f>IFERROR(VLOOKUP($A137,'Budget &amp; Revenue'!$A:$Y,21,FALSE)," ")</f>
        <v xml:space="preserve"> </v>
      </c>
      <c r="L137" s="175" t="str">
        <f>IFERROR(VLOOKUP($A137,'Budget &amp; Revenue'!$A:$Y,23,FALSE)," ")</f>
        <v xml:space="preserve"> </v>
      </c>
      <c r="M137" s="175" t="str">
        <f>IFERROR(VLOOKUP($A137,'Budget &amp; Revenue'!$A:$Y,25,FALSE)," ")</f>
        <v xml:space="preserve"> </v>
      </c>
    </row>
    <row r="138" spans="1:13" x14ac:dyDescent="0.25">
      <c r="A138" s="202">
        <v>85.13</v>
      </c>
      <c r="B138" s="202" t="s">
        <v>368</v>
      </c>
      <c r="C138" s="203">
        <f>VLOOKUP(A138,Estimate!A:L,12,FALSE)</f>
        <v>1</v>
      </c>
      <c r="D138" s="205">
        <v>70</v>
      </c>
      <c r="E138" s="205">
        <v>121</v>
      </c>
      <c r="F138" s="163" t="str">
        <f>IFERROR(VLOOKUP($A138,'Budget &amp; Revenue'!$A:$Y,4,FALSE)," ")</f>
        <v xml:space="preserve"> </v>
      </c>
      <c r="G138" s="175" t="str">
        <f>IFERROR(VLOOKUP($A138,'Budget &amp; Revenue'!$A:$Y,13,FALSE)," ")</f>
        <v xml:space="preserve"> </v>
      </c>
      <c r="H138" s="175" t="str">
        <f>IFERROR(VLOOKUP($A138,'Budget &amp; Revenue'!$A:$Y,15,FALSE)," ")</f>
        <v xml:space="preserve"> </v>
      </c>
      <c r="I138" s="175" t="str">
        <f>IFERROR(VLOOKUP($A138,'Budget &amp; Revenue'!$A:$Y,17,FALSE)," ")</f>
        <v xml:space="preserve"> </v>
      </c>
      <c r="J138" s="175" t="str">
        <f>IFERROR(VLOOKUP($A138,'Budget &amp; Revenue'!$A:$Y,19,FALSE)," ")</f>
        <v xml:space="preserve"> </v>
      </c>
      <c r="K138" s="175" t="str">
        <f>IFERROR(VLOOKUP($A138,'Budget &amp; Revenue'!$A:$Y,21,FALSE)," ")</f>
        <v xml:space="preserve"> </v>
      </c>
      <c r="L138" s="175" t="str">
        <f>IFERROR(VLOOKUP($A138,'Budget &amp; Revenue'!$A:$Y,23,FALSE)," ")</f>
        <v xml:space="preserve"> </v>
      </c>
      <c r="M138" s="175" t="str">
        <f>IFERROR(VLOOKUP($A138,'Budget &amp; Revenue'!$A:$Y,25,FALSE)," ")</f>
        <v xml:space="preserve"> </v>
      </c>
    </row>
    <row r="139" spans="1:13" ht="48" x14ac:dyDescent="0.25">
      <c r="A139" s="202">
        <v>86</v>
      </c>
      <c r="B139" s="202" t="s">
        <v>376</v>
      </c>
      <c r="C139" s="203">
        <f>VLOOKUP(A139,Estimate!A:L,12,FALSE)</f>
        <v>0</v>
      </c>
      <c r="D139" s="204"/>
      <c r="E139" s="204"/>
      <c r="F139" s="163">
        <f>IFERROR(VLOOKUP($A139,'Budget &amp; Revenue'!$A:$Y,4,FALSE)," ")</f>
        <v>89867.75039999999</v>
      </c>
      <c r="G139" s="175">
        <f>IFERROR(VLOOKUP($A139,'Budget &amp; Revenue'!$A:$Y,13,FALSE)," ")</f>
        <v>0</v>
      </c>
      <c r="H139" s="175">
        <f>IFERROR(VLOOKUP($A139,'Budget &amp; Revenue'!$A:$Y,15,FALSE)," ")</f>
        <v>0.47842159573255738</v>
      </c>
      <c r="I139" s="175">
        <f>IFERROR(VLOOKUP($A139,'Budget &amp; Revenue'!$A:$Y,17,FALSE)," ")</f>
        <v>0.92152236051897451</v>
      </c>
      <c r="J139" s="175">
        <f>IFERROR(VLOOKUP($A139,'Budget &amp; Revenue'!$A:$Y,19,FALSE)," ")</f>
        <v>0.94273078238009522</v>
      </c>
      <c r="K139" s="175">
        <f>IFERROR(VLOOKUP($A139,'Budget &amp; Revenue'!$A:$Y,21,FALSE)," ")</f>
        <v>0.94273078238009522</v>
      </c>
      <c r="L139" s="175">
        <f>IFERROR(VLOOKUP($A139,'Budget &amp; Revenue'!$A:$Y,23,FALSE)," ")</f>
        <v>1</v>
      </c>
      <c r="M139" s="175">
        <f>IFERROR(VLOOKUP($A139,'Budget &amp; Revenue'!$A:$Y,25,FALSE)," ")</f>
        <v>1</v>
      </c>
    </row>
    <row r="140" spans="1:13" x14ac:dyDescent="0.25">
      <c r="A140" s="203">
        <v>87</v>
      </c>
      <c r="B140" s="203" t="s">
        <v>377</v>
      </c>
      <c r="C140" s="203">
        <f>VLOOKUP(A140,Estimate!A:L,12,FALSE)</f>
        <v>0</v>
      </c>
      <c r="D140" s="204"/>
      <c r="E140" s="204"/>
      <c r="F140" s="163">
        <f>IFERROR(VLOOKUP($A140,'Budget &amp; Revenue'!$A:$Y,4,FALSE)," ")</f>
        <v>0</v>
      </c>
      <c r="G140" s="175" t="str">
        <f>IFERROR(VLOOKUP($A140,'Budget &amp; Revenue'!$A:$Y,13,FALSE)," ")</f>
        <v xml:space="preserve"> </v>
      </c>
      <c r="H140" s="175" t="str">
        <f>IFERROR(VLOOKUP($A140,'Budget &amp; Revenue'!$A:$Y,15,FALSE)," ")</f>
        <v xml:space="preserve"> </v>
      </c>
      <c r="I140" s="175" t="str">
        <f>IFERROR(VLOOKUP($A140,'Budget &amp; Revenue'!$A:$Y,17,FALSE)," ")</f>
        <v xml:space="preserve"> </v>
      </c>
      <c r="J140" s="175" t="str">
        <f>IFERROR(VLOOKUP($A140,'Budget &amp; Revenue'!$A:$Y,19,FALSE)," ")</f>
        <v xml:space="preserve"> </v>
      </c>
      <c r="K140" s="175" t="str">
        <f>IFERROR(VLOOKUP($A140,'Budget &amp; Revenue'!$A:$Y,21,FALSE)," ")</f>
        <v xml:space="preserve"> </v>
      </c>
      <c r="L140" s="175" t="str">
        <f>IFERROR(VLOOKUP($A140,'Budget &amp; Revenue'!$A:$Y,23,FALSE)," ")</f>
        <v xml:space="preserve"> </v>
      </c>
      <c r="M140" s="175" t="str">
        <f>IFERROR(VLOOKUP($A140,'Budget &amp; Revenue'!$A:$Y,25,FALSE)," ")</f>
        <v xml:space="preserve"> </v>
      </c>
    </row>
    <row r="141" spans="1:13" ht="24" x14ac:dyDescent="0.25">
      <c r="A141" s="202">
        <v>88</v>
      </c>
      <c r="B141" s="202" t="s">
        <v>378</v>
      </c>
      <c r="C141" s="203">
        <f>VLOOKUP(A141,Estimate!A:L,12,FALSE)</f>
        <v>0</v>
      </c>
      <c r="D141" s="205">
        <v>132</v>
      </c>
      <c r="E141" s="205">
        <v>153</v>
      </c>
      <c r="F141" s="163">
        <f>IFERROR(VLOOKUP($A141,'Budget &amp; Revenue'!$A:$Y,4,FALSE)," ")</f>
        <v>0</v>
      </c>
      <c r="G141" s="175" t="str">
        <f>IFERROR(VLOOKUP($A141,'Budget &amp; Revenue'!$A:$Y,13,FALSE)," ")</f>
        <v xml:space="preserve"> </v>
      </c>
      <c r="H141" s="175" t="str">
        <f>IFERROR(VLOOKUP($A141,'Budget &amp; Revenue'!$A:$Y,15,FALSE)," ")</f>
        <v xml:space="preserve"> </v>
      </c>
      <c r="I141" s="175" t="str">
        <f>IFERROR(VLOOKUP($A141,'Budget &amp; Revenue'!$A:$Y,17,FALSE)," ")</f>
        <v xml:space="preserve"> </v>
      </c>
      <c r="J141" s="175" t="str">
        <f>IFERROR(VLOOKUP($A141,'Budget &amp; Revenue'!$A:$Y,19,FALSE)," ")</f>
        <v xml:space="preserve"> </v>
      </c>
      <c r="K141" s="175" t="str">
        <f>IFERROR(VLOOKUP($A141,'Budget &amp; Revenue'!$A:$Y,21,FALSE)," ")</f>
        <v xml:space="preserve"> </v>
      </c>
      <c r="L141" s="175" t="str">
        <f>IFERROR(VLOOKUP($A141,'Budget &amp; Revenue'!$A:$Y,23,FALSE)," ")</f>
        <v xml:space="preserve"> </v>
      </c>
      <c r="M141" s="175" t="str">
        <f>IFERROR(VLOOKUP($A141,'Budget &amp; Revenue'!$A:$Y,25,FALSE)," ")</f>
        <v xml:space="preserve"> </v>
      </c>
    </row>
    <row r="142" spans="1:13" ht="36" x14ac:dyDescent="0.25">
      <c r="A142" s="202">
        <v>89</v>
      </c>
      <c r="B142" s="202" t="s">
        <v>379</v>
      </c>
      <c r="C142" s="203">
        <f>VLOOKUP(A142,Estimate!A:L,12,FALSE)</f>
        <v>1</v>
      </c>
      <c r="D142" s="205" t="s">
        <v>501</v>
      </c>
      <c r="E142" s="205">
        <v>142</v>
      </c>
      <c r="F142" s="163">
        <f>IFERROR(VLOOKUP($A142,'Budget &amp; Revenue'!$A:$Y,4,FALSE)," ")</f>
        <v>2565</v>
      </c>
      <c r="G142" s="175" t="str">
        <f>IFERROR(VLOOKUP($A142,'Budget &amp; Revenue'!$A:$Y,13,FALSE)," ")</f>
        <v xml:space="preserve"> </v>
      </c>
      <c r="H142" s="175" t="str">
        <f>IFERROR(VLOOKUP($A142,'Budget &amp; Revenue'!$A:$Y,15,FALSE)," ")</f>
        <v xml:space="preserve"> </v>
      </c>
      <c r="I142" s="175" t="str">
        <f>IFERROR(VLOOKUP($A142,'Budget &amp; Revenue'!$A:$Y,17,FALSE)," ")</f>
        <v xml:space="preserve"> </v>
      </c>
      <c r="J142" s="175" t="str">
        <f>IFERROR(VLOOKUP($A142,'Budget &amp; Revenue'!$A:$Y,19,FALSE)," ")</f>
        <v xml:space="preserve"> </v>
      </c>
      <c r="K142" s="175" t="str">
        <f>IFERROR(VLOOKUP($A142,'Budget &amp; Revenue'!$A:$Y,21,FALSE)," ")</f>
        <v xml:space="preserve"> </v>
      </c>
      <c r="L142" s="175" t="str">
        <f>IFERROR(VLOOKUP($A142,'Budget &amp; Revenue'!$A:$Y,23,FALSE)," ")</f>
        <v xml:space="preserve"> </v>
      </c>
      <c r="M142" s="175" t="str">
        <f>IFERROR(VLOOKUP($A142,'Budget &amp; Revenue'!$A:$Y,25,FALSE)," ")</f>
        <v xml:space="preserve"> </v>
      </c>
    </row>
    <row r="143" spans="1:13" ht="36" x14ac:dyDescent="0.25">
      <c r="A143" s="202">
        <v>90</v>
      </c>
      <c r="B143" s="202" t="s">
        <v>380</v>
      </c>
      <c r="C143" s="203">
        <f>VLOOKUP(A143,Estimate!A:L,12,FALSE)</f>
        <v>1</v>
      </c>
      <c r="D143" s="205">
        <v>141</v>
      </c>
      <c r="E143" s="205">
        <v>143</v>
      </c>
      <c r="F143" s="163">
        <f>IFERROR(VLOOKUP($A143,'Budget &amp; Revenue'!$A:$Y,4,FALSE)," ")</f>
        <v>11785.5</v>
      </c>
      <c r="G143" s="175" t="str">
        <f>IFERROR(VLOOKUP($A143,'Budget &amp; Revenue'!$A:$Y,13,FALSE)," ")</f>
        <v xml:space="preserve"> </v>
      </c>
      <c r="H143" s="175" t="str">
        <f>IFERROR(VLOOKUP($A143,'Budget &amp; Revenue'!$A:$Y,15,FALSE)," ")</f>
        <v xml:space="preserve"> </v>
      </c>
      <c r="I143" s="175" t="str">
        <f>IFERROR(VLOOKUP($A143,'Budget &amp; Revenue'!$A:$Y,17,FALSE)," ")</f>
        <v xml:space="preserve"> </v>
      </c>
      <c r="J143" s="175" t="str">
        <f>IFERROR(VLOOKUP($A143,'Budget &amp; Revenue'!$A:$Y,19,FALSE)," ")</f>
        <v xml:space="preserve"> </v>
      </c>
      <c r="K143" s="175" t="str">
        <f>IFERROR(VLOOKUP($A143,'Budget &amp; Revenue'!$A:$Y,21,FALSE)," ")</f>
        <v xml:space="preserve"> </v>
      </c>
      <c r="L143" s="175" t="str">
        <f>IFERROR(VLOOKUP($A143,'Budget &amp; Revenue'!$A:$Y,23,FALSE)," ")</f>
        <v xml:space="preserve"> </v>
      </c>
      <c r="M143" s="175" t="str">
        <f>IFERROR(VLOOKUP($A143,'Budget &amp; Revenue'!$A:$Y,25,FALSE)," ")</f>
        <v xml:space="preserve"> </v>
      </c>
    </row>
    <row r="144" spans="1:13" ht="24" x14ac:dyDescent="0.25">
      <c r="A144" s="202">
        <v>91</v>
      </c>
      <c r="B144" s="202" t="s">
        <v>381</v>
      </c>
      <c r="C144" s="203">
        <f>VLOOKUP(A144,Estimate!A:L,12,FALSE)</f>
        <v>1</v>
      </c>
      <c r="D144" s="205">
        <v>142</v>
      </c>
      <c r="E144" s="205">
        <v>144</v>
      </c>
      <c r="F144" s="163">
        <f>IFERROR(VLOOKUP($A144,'Budget &amp; Revenue'!$A:$Y,4,FALSE)," ")</f>
        <v>1485.3200000000002</v>
      </c>
      <c r="G144" s="175">
        <f>IFERROR(VLOOKUP($A144,'Budget &amp; Revenue'!$A:$Y,13,FALSE)," ")</f>
        <v>0</v>
      </c>
      <c r="H144" s="175">
        <f>IFERROR(VLOOKUP($A144,'Budget &amp; Revenue'!$A:$Y,15,FALSE)," ")</f>
        <v>0</v>
      </c>
      <c r="I144" s="175">
        <f>IFERROR(VLOOKUP($A144,'Budget &amp; Revenue'!$A:$Y,17,FALSE)," ")</f>
        <v>1</v>
      </c>
      <c r="J144" s="175">
        <f>IFERROR(VLOOKUP($A144,'Budget &amp; Revenue'!$A:$Y,19,FALSE)," ")</f>
        <v>1</v>
      </c>
      <c r="K144" s="175">
        <f>IFERROR(VLOOKUP($A144,'Budget &amp; Revenue'!$A:$Y,21,FALSE)," ")</f>
        <v>1</v>
      </c>
      <c r="L144" s="175">
        <f>IFERROR(VLOOKUP($A144,'Budget &amp; Revenue'!$A:$Y,23,FALSE)," ")</f>
        <v>1</v>
      </c>
      <c r="M144" s="175">
        <f>IFERROR(VLOOKUP($A144,'Budget &amp; Revenue'!$A:$Y,25,FALSE)," ")</f>
        <v>1</v>
      </c>
    </row>
    <row r="145" spans="1:13" ht="24" x14ac:dyDescent="0.25">
      <c r="A145" s="202">
        <v>92</v>
      </c>
      <c r="B145" s="202" t="s">
        <v>382</v>
      </c>
      <c r="C145" s="203">
        <f>VLOOKUP(A145,Estimate!A:L,12,FALSE)</f>
        <v>1</v>
      </c>
      <c r="D145" s="205">
        <v>143</v>
      </c>
      <c r="E145" s="205">
        <v>146</v>
      </c>
      <c r="F145" s="163">
        <f>IFERROR(VLOOKUP($A145,'Budget &amp; Revenue'!$A:$Y,4,FALSE)," ")</f>
        <v>64</v>
      </c>
      <c r="G145" s="175" t="str">
        <f>IFERROR(VLOOKUP($A145,'Budget &amp; Revenue'!$A:$Y,13,FALSE)," ")</f>
        <v xml:space="preserve"> </v>
      </c>
      <c r="H145" s="175" t="str">
        <f>IFERROR(VLOOKUP($A145,'Budget &amp; Revenue'!$A:$Y,15,FALSE)," ")</f>
        <v xml:space="preserve"> </v>
      </c>
      <c r="I145" s="175" t="str">
        <f>IFERROR(VLOOKUP($A145,'Budget &amp; Revenue'!$A:$Y,17,FALSE)," ")</f>
        <v xml:space="preserve"> </v>
      </c>
      <c r="J145" s="175" t="str">
        <f>IFERROR(VLOOKUP($A145,'Budget &amp; Revenue'!$A:$Y,19,FALSE)," ")</f>
        <v xml:space="preserve"> </v>
      </c>
      <c r="K145" s="175" t="str">
        <f>IFERROR(VLOOKUP($A145,'Budget &amp; Revenue'!$A:$Y,21,FALSE)," ")</f>
        <v xml:space="preserve"> </v>
      </c>
      <c r="L145" s="175" t="str">
        <f>IFERROR(VLOOKUP($A145,'Budget &amp; Revenue'!$A:$Y,23,FALSE)," ")</f>
        <v xml:space="preserve"> </v>
      </c>
      <c r="M145" s="175" t="str">
        <f>IFERROR(VLOOKUP($A145,'Budget &amp; Revenue'!$A:$Y,25,FALSE)," ")</f>
        <v xml:space="preserve"> </v>
      </c>
    </row>
    <row r="146" spans="1:13" ht="48" x14ac:dyDescent="0.25">
      <c r="A146" s="203">
        <v>93</v>
      </c>
      <c r="B146" s="203" t="s">
        <v>383</v>
      </c>
      <c r="C146" s="203">
        <f>VLOOKUP(A146,Estimate!A:L,12,FALSE)</f>
        <v>0</v>
      </c>
      <c r="D146" s="204"/>
      <c r="E146" s="204"/>
      <c r="F146" s="163">
        <f>IFERROR(VLOOKUP($A146,'Budget &amp; Revenue'!$A:$Y,4,FALSE)," ")</f>
        <v>66772.5</v>
      </c>
      <c r="G146" s="175">
        <f>IFERROR(VLOOKUP($A146,'Budget &amp; Revenue'!$A:$Y,13,FALSE)," ")</f>
        <v>0</v>
      </c>
      <c r="H146" s="175">
        <f>IFERROR(VLOOKUP($A146,'Budget &amp; Revenue'!$A:$Y,15,FALSE)," ")</f>
        <v>0</v>
      </c>
      <c r="I146" s="175">
        <f>IFERROR(VLOOKUP($A146,'Budget &amp; Revenue'!$A:$Y,17,FALSE)," ")</f>
        <v>0.64247765327961726</v>
      </c>
      <c r="J146" s="175">
        <f>IFERROR(VLOOKUP($A146,'Budget &amp; Revenue'!$A:$Y,19,FALSE)," ")</f>
        <v>1</v>
      </c>
      <c r="K146" s="175">
        <f>IFERROR(VLOOKUP($A146,'Budget &amp; Revenue'!$A:$Y,21,FALSE)," ")</f>
        <v>1</v>
      </c>
      <c r="L146" s="175">
        <f>IFERROR(VLOOKUP($A146,'Budget &amp; Revenue'!$A:$Y,23,FALSE)," ")</f>
        <v>1</v>
      </c>
      <c r="M146" s="175">
        <f>IFERROR(VLOOKUP($A146,'Budget &amp; Revenue'!$A:$Y,25,FALSE)," ")</f>
        <v>1</v>
      </c>
    </row>
    <row r="147" spans="1:13" x14ac:dyDescent="0.25">
      <c r="A147" s="202">
        <v>93.01</v>
      </c>
      <c r="B147" s="202" t="s">
        <v>384</v>
      </c>
      <c r="C147" s="203">
        <f>VLOOKUP(A147,Estimate!A:L,12,FALSE)</f>
        <v>1</v>
      </c>
      <c r="D147" s="206">
        <v>93144</v>
      </c>
      <c r="E147" s="206">
        <v>160174</v>
      </c>
      <c r="F147" s="163" t="str">
        <f>IFERROR(VLOOKUP($A147,'Budget &amp; Revenue'!$A:$Y,4,FALSE)," ")</f>
        <v xml:space="preserve"> </v>
      </c>
      <c r="G147" s="175" t="str">
        <f>IFERROR(VLOOKUP($A147,'Budget &amp; Revenue'!$A:$Y,13,FALSE)," ")</f>
        <v xml:space="preserve"> </v>
      </c>
      <c r="H147" s="175" t="str">
        <f>IFERROR(VLOOKUP($A147,'Budget &amp; Revenue'!$A:$Y,15,FALSE)," ")</f>
        <v xml:space="preserve"> </v>
      </c>
      <c r="I147" s="175" t="str">
        <f>IFERROR(VLOOKUP($A147,'Budget &amp; Revenue'!$A:$Y,17,FALSE)," ")</f>
        <v xml:space="preserve"> </v>
      </c>
      <c r="J147" s="175" t="str">
        <f>IFERROR(VLOOKUP($A147,'Budget &amp; Revenue'!$A:$Y,19,FALSE)," ")</f>
        <v xml:space="preserve"> </v>
      </c>
      <c r="K147" s="175" t="str">
        <f>IFERROR(VLOOKUP($A147,'Budget &amp; Revenue'!$A:$Y,21,FALSE)," ")</f>
        <v xml:space="preserve"> </v>
      </c>
      <c r="L147" s="175" t="str">
        <f>IFERROR(VLOOKUP($A147,'Budget &amp; Revenue'!$A:$Y,23,FALSE)," ")</f>
        <v xml:space="preserve"> </v>
      </c>
      <c r="M147" s="175" t="str">
        <f>IFERROR(VLOOKUP($A147,'Budget &amp; Revenue'!$A:$Y,25,FALSE)," ")</f>
        <v xml:space="preserve"> </v>
      </c>
    </row>
    <row r="148" spans="1:13" x14ac:dyDescent="0.25">
      <c r="A148" s="202">
        <v>93.02</v>
      </c>
      <c r="B148" s="202" t="s">
        <v>385</v>
      </c>
      <c r="C148" s="203">
        <f>VLOOKUP(A148,Estimate!A:L,12,FALSE)</f>
        <v>1</v>
      </c>
      <c r="D148" s="205">
        <v>94</v>
      </c>
      <c r="E148" s="206">
        <v>161175</v>
      </c>
      <c r="F148" s="163" t="str">
        <f>IFERROR(VLOOKUP($A148,'Budget &amp; Revenue'!$A:$Y,4,FALSE)," ")</f>
        <v xml:space="preserve"> </v>
      </c>
      <c r="G148" s="175" t="str">
        <f>IFERROR(VLOOKUP($A148,'Budget &amp; Revenue'!$A:$Y,13,FALSE)," ")</f>
        <v xml:space="preserve"> </v>
      </c>
      <c r="H148" s="175" t="str">
        <f>IFERROR(VLOOKUP($A148,'Budget &amp; Revenue'!$A:$Y,15,FALSE)," ")</f>
        <v xml:space="preserve"> </v>
      </c>
      <c r="I148" s="175" t="str">
        <f>IFERROR(VLOOKUP($A148,'Budget &amp; Revenue'!$A:$Y,17,FALSE)," ")</f>
        <v xml:space="preserve"> </v>
      </c>
      <c r="J148" s="175" t="str">
        <f>IFERROR(VLOOKUP($A148,'Budget &amp; Revenue'!$A:$Y,19,FALSE)," ")</f>
        <v xml:space="preserve"> </v>
      </c>
      <c r="K148" s="175" t="str">
        <f>IFERROR(VLOOKUP($A148,'Budget &amp; Revenue'!$A:$Y,21,FALSE)," ")</f>
        <v xml:space="preserve"> </v>
      </c>
      <c r="L148" s="175" t="str">
        <f>IFERROR(VLOOKUP($A148,'Budget &amp; Revenue'!$A:$Y,23,FALSE)," ")</f>
        <v xml:space="preserve"> </v>
      </c>
      <c r="M148" s="175" t="str">
        <f>IFERROR(VLOOKUP($A148,'Budget &amp; Revenue'!$A:$Y,25,FALSE)," ")</f>
        <v xml:space="preserve"> </v>
      </c>
    </row>
    <row r="149" spans="1:13" x14ac:dyDescent="0.25">
      <c r="A149" s="202">
        <v>93.03</v>
      </c>
      <c r="B149" s="202" t="s">
        <v>386</v>
      </c>
      <c r="C149" s="203">
        <f>VLOOKUP(A149,Estimate!A:L,12,FALSE)</f>
        <v>1</v>
      </c>
      <c r="D149" s="205">
        <v>95</v>
      </c>
      <c r="E149" s="206">
        <v>162176</v>
      </c>
      <c r="F149" s="163" t="str">
        <f>IFERROR(VLOOKUP($A149,'Budget &amp; Revenue'!$A:$Y,4,FALSE)," ")</f>
        <v xml:space="preserve"> </v>
      </c>
      <c r="G149" s="175" t="str">
        <f>IFERROR(VLOOKUP($A149,'Budget &amp; Revenue'!$A:$Y,13,FALSE)," ")</f>
        <v xml:space="preserve"> </v>
      </c>
      <c r="H149" s="175" t="str">
        <f>IFERROR(VLOOKUP($A149,'Budget &amp; Revenue'!$A:$Y,15,FALSE)," ")</f>
        <v xml:space="preserve"> </v>
      </c>
      <c r="I149" s="175" t="str">
        <f>IFERROR(VLOOKUP($A149,'Budget &amp; Revenue'!$A:$Y,17,FALSE)," ")</f>
        <v xml:space="preserve"> </v>
      </c>
      <c r="J149" s="175" t="str">
        <f>IFERROR(VLOOKUP($A149,'Budget &amp; Revenue'!$A:$Y,19,FALSE)," ")</f>
        <v xml:space="preserve"> </v>
      </c>
      <c r="K149" s="175" t="str">
        <f>IFERROR(VLOOKUP($A149,'Budget &amp; Revenue'!$A:$Y,21,FALSE)," ")</f>
        <v xml:space="preserve"> </v>
      </c>
      <c r="L149" s="175" t="str">
        <f>IFERROR(VLOOKUP($A149,'Budget &amp; Revenue'!$A:$Y,23,FALSE)," ")</f>
        <v xml:space="preserve"> </v>
      </c>
      <c r="M149" s="175" t="str">
        <f>IFERROR(VLOOKUP($A149,'Budget &amp; Revenue'!$A:$Y,25,FALSE)," ")</f>
        <v xml:space="preserve"> </v>
      </c>
    </row>
    <row r="150" spans="1:13" x14ac:dyDescent="0.25">
      <c r="A150" s="202">
        <v>93.04</v>
      </c>
      <c r="B150" s="202" t="s">
        <v>387</v>
      </c>
      <c r="C150" s="203">
        <f>VLOOKUP(A150,Estimate!A:L,12,FALSE)</f>
        <v>1</v>
      </c>
      <c r="D150" s="205">
        <v>96</v>
      </c>
      <c r="E150" s="206">
        <v>163177</v>
      </c>
      <c r="F150" s="163" t="str">
        <f>IFERROR(VLOOKUP($A150,'Budget &amp; Revenue'!$A:$Y,4,FALSE)," ")</f>
        <v xml:space="preserve"> </v>
      </c>
      <c r="G150" s="175" t="str">
        <f>IFERROR(VLOOKUP($A150,'Budget &amp; Revenue'!$A:$Y,13,FALSE)," ")</f>
        <v xml:space="preserve"> </v>
      </c>
      <c r="H150" s="175" t="str">
        <f>IFERROR(VLOOKUP($A150,'Budget &amp; Revenue'!$A:$Y,15,FALSE)," ")</f>
        <v xml:space="preserve"> </v>
      </c>
      <c r="I150" s="175" t="str">
        <f>IFERROR(VLOOKUP($A150,'Budget &amp; Revenue'!$A:$Y,17,FALSE)," ")</f>
        <v xml:space="preserve"> </v>
      </c>
      <c r="J150" s="175" t="str">
        <f>IFERROR(VLOOKUP($A150,'Budget &amp; Revenue'!$A:$Y,19,FALSE)," ")</f>
        <v xml:space="preserve"> </v>
      </c>
      <c r="K150" s="175" t="str">
        <f>IFERROR(VLOOKUP($A150,'Budget &amp; Revenue'!$A:$Y,21,FALSE)," ")</f>
        <v xml:space="preserve"> </v>
      </c>
      <c r="L150" s="175" t="str">
        <f>IFERROR(VLOOKUP($A150,'Budget &amp; Revenue'!$A:$Y,23,FALSE)," ")</f>
        <v xml:space="preserve"> </v>
      </c>
      <c r="M150" s="175" t="str">
        <f>IFERROR(VLOOKUP($A150,'Budget &amp; Revenue'!$A:$Y,25,FALSE)," ")</f>
        <v xml:space="preserve"> </v>
      </c>
    </row>
    <row r="151" spans="1:13" x14ac:dyDescent="0.25">
      <c r="A151" s="202">
        <v>93.05</v>
      </c>
      <c r="B151" s="202" t="s">
        <v>388</v>
      </c>
      <c r="C151" s="203">
        <f>VLOOKUP(A151,Estimate!A:L,12,FALSE)</f>
        <v>1</v>
      </c>
      <c r="D151" s="205">
        <v>97</v>
      </c>
      <c r="E151" s="206">
        <v>164178</v>
      </c>
      <c r="F151" s="163" t="str">
        <f>IFERROR(VLOOKUP($A151,'Budget &amp; Revenue'!$A:$Y,4,FALSE)," ")</f>
        <v xml:space="preserve"> </v>
      </c>
      <c r="G151" s="175" t="str">
        <f>IFERROR(VLOOKUP($A151,'Budget &amp; Revenue'!$A:$Y,13,FALSE)," ")</f>
        <v xml:space="preserve"> </v>
      </c>
      <c r="H151" s="175" t="str">
        <f>IFERROR(VLOOKUP($A151,'Budget &amp; Revenue'!$A:$Y,15,FALSE)," ")</f>
        <v xml:space="preserve"> </v>
      </c>
      <c r="I151" s="175" t="str">
        <f>IFERROR(VLOOKUP($A151,'Budget &amp; Revenue'!$A:$Y,17,FALSE)," ")</f>
        <v xml:space="preserve"> </v>
      </c>
      <c r="J151" s="175" t="str">
        <f>IFERROR(VLOOKUP($A151,'Budget &amp; Revenue'!$A:$Y,19,FALSE)," ")</f>
        <v xml:space="preserve"> </v>
      </c>
      <c r="K151" s="175" t="str">
        <f>IFERROR(VLOOKUP($A151,'Budget &amp; Revenue'!$A:$Y,21,FALSE)," ")</f>
        <v xml:space="preserve"> </v>
      </c>
      <c r="L151" s="175" t="str">
        <f>IFERROR(VLOOKUP($A151,'Budget &amp; Revenue'!$A:$Y,23,FALSE)," ")</f>
        <v xml:space="preserve"> </v>
      </c>
      <c r="M151" s="175" t="str">
        <f>IFERROR(VLOOKUP($A151,'Budget &amp; Revenue'!$A:$Y,25,FALSE)," ")</f>
        <v xml:space="preserve"> </v>
      </c>
    </row>
    <row r="152" spans="1:13" x14ac:dyDescent="0.25">
      <c r="A152" s="202">
        <v>93.06</v>
      </c>
      <c r="B152" s="202" t="s">
        <v>389</v>
      </c>
      <c r="C152" s="203">
        <f>VLOOKUP(A152,Estimate!A:L,12,FALSE)</f>
        <v>1</v>
      </c>
      <c r="D152" s="205">
        <v>98</v>
      </c>
      <c r="E152" s="206">
        <v>165179</v>
      </c>
      <c r="F152" s="163" t="str">
        <f>IFERROR(VLOOKUP($A152,'Budget &amp; Revenue'!$A:$Y,4,FALSE)," ")</f>
        <v xml:space="preserve"> </v>
      </c>
      <c r="G152" s="175" t="str">
        <f>IFERROR(VLOOKUP($A152,'Budget &amp; Revenue'!$A:$Y,13,FALSE)," ")</f>
        <v xml:space="preserve"> </v>
      </c>
      <c r="H152" s="175" t="str">
        <f>IFERROR(VLOOKUP($A152,'Budget &amp; Revenue'!$A:$Y,15,FALSE)," ")</f>
        <v xml:space="preserve"> </v>
      </c>
      <c r="I152" s="175" t="str">
        <f>IFERROR(VLOOKUP($A152,'Budget &amp; Revenue'!$A:$Y,17,FALSE)," ")</f>
        <v xml:space="preserve"> </v>
      </c>
      <c r="J152" s="175" t="str">
        <f>IFERROR(VLOOKUP($A152,'Budget &amp; Revenue'!$A:$Y,19,FALSE)," ")</f>
        <v xml:space="preserve"> </v>
      </c>
      <c r="K152" s="175" t="str">
        <f>IFERROR(VLOOKUP($A152,'Budget &amp; Revenue'!$A:$Y,21,FALSE)," ")</f>
        <v xml:space="preserve"> </v>
      </c>
      <c r="L152" s="175" t="str">
        <f>IFERROR(VLOOKUP($A152,'Budget &amp; Revenue'!$A:$Y,23,FALSE)," ")</f>
        <v xml:space="preserve"> </v>
      </c>
      <c r="M152" s="175" t="str">
        <f>IFERROR(VLOOKUP($A152,'Budget &amp; Revenue'!$A:$Y,25,FALSE)," ")</f>
        <v xml:space="preserve"> </v>
      </c>
    </row>
    <row r="153" spans="1:13" x14ac:dyDescent="0.25">
      <c r="A153" s="202">
        <v>93.07</v>
      </c>
      <c r="B153" s="202" t="s">
        <v>390</v>
      </c>
      <c r="C153" s="203">
        <f>VLOOKUP(A153,Estimate!A:L,12,FALSE)</f>
        <v>1</v>
      </c>
      <c r="D153" s="205">
        <v>99</v>
      </c>
      <c r="E153" s="206">
        <v>166180</v>
      </c>
      <c r="F153" s="163" t="str">
        <f>IFERROR(VLOOKUP($A153,'Budget &amp; Revenue'!$A:$Y,4,FALSE)," ")</f>
        <v xml:space="preserve"> </v>
      </c>
      <c r="G153" s="175" t="str">
        <f>IFERROR(VLOOKUP($A153,'Budget &amp; Revenue'!$A:$Y,13,FALSE)," ")</f>
        <v xml:space="preserve"> </v>
      </c>
      <c r="H153" s="175" t="str">
        <f>IFERROR(VLOOKUP($A153,'Budget &amp; Revenue'!$A:$Y,15,FALSE)," ")</f>
        <v xml:space="preserve"> </v>
      </c>
      <c r="I153" s="175" t="str">
        <f>IFERROR(VLOOKUP($A153,'Budget &amp; Revenue'!$A:$Y,17,FALSE)," ")</f>
        <v xml:space="preserve"> </v>
      </c>
      <c r="J153" s="175" t="str">
        <f>IFERROR(VLOOKUP($A153,'Budget &amp; Revenue'!$A:$Y,19,FALSE)," ")</f>
        <v xml:space="preserve"> </v>
      </c>
      <c r="K153" s="175" t="str">
        <f>IFERROR(VLOOKUP($A153,'Budget &amp; Revenue'!$A:$Y,21,FALSE)," ")</f>
        <v xml:space="preserve"> </v>
      </c>
      <c r="L153" s="175" t="str">
        <f>IFERROR(VLOOKUP($A153,'Budget &amp; Revenue'!$A:$Y,23,FALSE)," ")</f>
        <v xml:space="preserve"> </v>
      </c>
      <c r="M153" s="175" t="str">
        <f>IFERROR(VLOOKUP($A153,'Budget &amp; Revenue'!$A:$Y,25,FALSE)," ")</f>
        <v xml:space="preserve"> </v>
      </c>
    </row>
    <row r="154" spans="1:13" x14ac:dyDescent="0.25">
      <c r="A154" s="202">
        <v>93.08</v>
      </c>
      <c r="B154" s="202" t="s">
        <v>391</v>
      </c>
      <c r="C154" s="203">
        <f>VLOOKUP(A154,Estimate!A:L,12,FALSE)</f>
        <v>2</v>
      </c>
      <c r="D154" s="206">
        <v>100201140</v>
      </c>
      <c r="E154" s="206">
        <v>167181</v>
      </c>
      <c r="F154" s="163" t="str">
        <f>IFERROR(VLOOKUP($A154,'Budget &amp; Revenue'!$A:$Y,4,FALSE)," ")</f>
        <v xml:space="preserve"> </v>
      </c>
      <c r="G154" s="175" t="str">
        <f>IFERROR(VLOOKUP($A154,'Budget &amp; Revenue'!$A:$Y,13,FALSE)," ")</f>
        <v xml:space="preserve"> </v>
      </c>
      <c r="H154" s="175" t="str">
        <f>IFERROR(VLOOKUP($A154,'Budget &amp; Revenue'!$A:$Y,15,FALSE)," ")</f>
        <v xml:space="preserve"> </v>
      </c>
      <c r="I154" s="175" t="str">
        <f>IFERROR(VLOOKUP($A154,'Budget &amp; Revenue'!$A:$Y,17,FALSE)," ")</f>
        <v xml:space="preserve"> </v>
      </c>
      <c r="J154" s="175" t="str">
        <f>IFERROR(VLOOKUP($A154,'Budget &amp; Revenue'!$A:$Y,19,FALSE)," ")</f>
        <v xml:space="preserve"> </v>
      </c>
      <c r="K154" s="175" t="str">
        <f>IFERROR(VLOOKUP($A154,'Budget &amp; Revenue'!$A:$Y,21,FALSE)," ")</f>
        <v xml:space="preserve"> </v>
      </c>
      <c r="L154" s="175" t="str">
        <f>IFERROR(VLOOKUP($A154,'Budget &amp; Revenue'!$A:$Y,23,FALSE)," ")</f>
        <v xml:space="preserve"> </v>
      </c>
      <c r="M154" s="175" t="str">
        <f>IFERROR(VLOOKUP($A154,'Budget &amp; Revenue'!$A:$Y,25,FALSE)," ")</f>
        <v xml:space="preserve"> </v>
      </c>
    </row>
    <row r="155" spans="1:13" x14ac:dyDescent="0.25">
      <c r="A155" s="202">
        <v>93.09</v>
      </c>
      <c r="B155" s="202" t="s">
        <v>392</v>
      </c>
      <c r="C155" s="203">
        <f>VLOOKUP(A155,Estimate!A:L,12,FALSE)</f>
        <v>1</v>
      </c>
      <c r="D155" s="205">
        <v>101</v>
      </c>
      <c r="E155" s="206">
        <v>168182</v>
      </c>
      <c r="F155" s="163" t="str">
        <f>IFERROR(VLOOKUP($A155,'Budget &amp; Revenue'!$A:$Y,4,FALSE)," ")</f>
        <v xml:space="preserve"> </v>
      </c>
      <c r="G155" s="175" t="str">
        <f>IFERROR(VLOOKUP($A155,'Budget &amp; Revenue'!$A:$Y,13,FALSE)," ")</f>
        <v xml:space="preserve"> </v>
      </c>
      <c r="H155" s="175" t="str">
        <f>IFERROR(VLOOKUP($A155,'Budget &amp; Revenue'!$A:$Y,15,FALSE)," ")</f>
        <v xml:space="preserve"> </v>
      </c>
      <c r="I155" s="175" t="str">
        <f>IFERROR(VLOOKUP($A155,'Budget &amp; Revenue'!$A:$Y,17,FALSE)," ")</f>
        <v xml:space="preserve"> </v>
      </c>
      <c r="J155" s="175" t="str">
        <f>IFERROR(VLOOKUP($A155,'Budget &amp; Revenue'!$A:$Y,19,FALSE)," ")</f>
        <v xml:space="preserve"> </v>
      </c>
      <c r="K155" s="175" t="str">
        <f>IFERROR(VLOOKUP($A155,'Budget &amp; Revenue'!$A:$Y,21,FALSE)," ")</f>
        <v xml:space="preserve"> </v>
      </c>
      <c r="L155" s="175" t="str">
        <f>IFERROR(VLOOKUP($A155,'Budget &amp; Revenue'!$A:$Y,23,FALSE)," ")</f>
        <v xml:space="preserve"> </v>
      </c>
      <c r="M155" s="175" t="str">
        <f>IFERROR(VLOOKUP($A155,'Budget &amp; Revenue'!$A:$Y,25,FALSE)," ")</f>
        <v xml:space="preserve"> </v>
      </c>
    </row>
    <row r="156" spans="1:13" x14ac:dyDescent="0.25">
      <c r="A156" s="202">
        <v>93.1</v>
      </c>
      <c r="B156" s="202" t="s">
        <v>393</v>
      </c>
      <c r="C156" s="203">
        <f>VLOOKUP(A156,Estimate!A:L,12,FALSE)</f>
        <v>1</v>
      </c>
      <c r="D156" s="205">
        <v>102</v>
      </c>
      <c r="E156" s="206">
        <v>169183</v>
      </c>
      <c r="F156" s="163" t="str">
        <f>IFERROR(VLOOKUP($A156,'Budget &amp; Revenue'!$A:$Y,4,FALSE)," ")</f>
        <v xml:space="preserve"> </v>
      </c>
      <c r="G156" s="175" t="str">
        <f>IFERROR(VLOOKUP($A156,'Budget &amp; Revenue'!$A:$Y,13,FALSE)," ")</f>
        <v xml:space="preserve"> </v>
      </c>
      <c r="H156" s="175" t="str">
        <f>IFERROR(VLOOKUP($A156,'Budget &amp; Revenue'!$A:$Y,15,FALSE)," ")</f>
        <v xml:space="preserve"> </v>
      </c>
      <c r="I156" s="175" t="str">
        <f>IFERROR(VLOOKUP($A156,'Budget &amp; Revenue'!$A:$Y,17,FALSE)," ")</f>
        <v xml:space="preserve"> </v>
      </c>
      <c r="J156" s="175" t="str">
        <f>IFERROR(VLOOKUP($A156,'Budget &amp; Revenue'!$A:$Y,19,FALSE)," ")</f>
        <v xml:space="preserve"> </v>
      </c>
      <c r="K156" s="175" t="str">
        <f>IFERROR(VLOOKUP($A156,'Budget &amp; Revenue'!$A:$Y,21,FALSE)," ")</f>
        <v xml:space="preserve"> </v>
      </c>
      <c r="L156" s="175" t="str">
        <f>IFERROR(VLOOKUP($A156,'Budget &amp; Revenue'!$A:$Y,23,FALSE)," ")</f>
        <v xml:space="preserve"> </v>
      </c>
      <c r="M156" s="175" t="str">
        <f>IFERROR(VLOOKUP($A156,'Budget &amp; Revenue'!$A:$Y,25,FALSE)," ")</f>
        <v xml:space="preserve"> </v>
      </c>
    </row>
    <row r="157" spans="1:13" x14ac:dyDescent="0.25">
      <c r="A157" s="202">
        <v>93.11</v>
      </c>
      <c r="B157" s="202" t="s">
        <v>394</v>
      </c>
      <c r="C157" s="203">
        <f>VLOOKUP(A157,Estimate!A:L,12,FALSE)</f>
        <v>1</v>
      </c>
      <c r="D157" s="205">
        <v>103</v>
      </c>
      <c r="E157" s="206">
        <v>170184</v>
      </c>
      <c r="F157" s="163" t="str">
        <f>IFERROR(VLOOKUP($A157,'Budget &amp; Revenue'!$A:$Y,4,FALSE)," ")</f>
        <v xml:space="preserve"> </v>
      </c>
      <c r="G157" s="175" t="str">
        <f>IFERROR(VLOOKUP($A157,'Budget &amp; Revenue'!$A:$Y,13,FALSE)," ")</f>
        <v xml:space="preserve"> </v>
      </c>
      <c r="H157" s="175" t="str">
        <f>IFERROR(VLOOKUP($A157,'Budget &amp; Revenue'!$A:$Y,15,FALSE)," ")</f>
        <v xml:space="preserve"> </v>
      </c>
      <c r="I157" s="175" t="str">
        <f>IFERROR(VLOOKUP($A157,'Budget &amp; Revenue'!$A:$Y,17,FALSE)," ")</f>
        <v xml:space="preserve"> </v>
      </c>
      <c r="J157" s="175" t="str">
        <f>IFERROR(VLOOKUP($A157,'Budget &amp; Revenue'!$A:$Y,19,FALSE)," ")</f>
        <v xml:space="preserve"> </v>
      </c>
      <c r="K157" s="175" t="str">
        <f>IFERROR(VLOOKUP($A157,'Budget &amp; Revenue'!$A:$Y,21,FALSE)," ")</f>
        <v xml:space="preserve"> </v>
      </c>
      <c r="L157" s="175" t="str">
        <f>IFERROR(VLOOKUP($A157,'Budget &amp; Revenue'!$A:$Y,23,FALSE)," ")</f>
        <v xml:space="preserve"> </v>
      </c>
      <c r="M157" s="175" t="str">
        <f>IFERROR(VLOOKUP($A157,'Budget &amp; Revenue'!$A:$Y,25,FALSE)," ")</f>
        <v xml:space="preserve"> </v>
      </c>
    </row>
    <row r="158" spans="1:13" x14ac:dyDescent="0.25">
      <c r="A158" s="202">
        <v>93.12</v>
      </c>
      <c r="B158" s="202" t="s">
        <v>395</v>
      </c>
      <c r="C158" s="203">
        <f>VLOOKUP(A158,Estimate!A:L,12,FALSE)</f>
        <v>1</v>
      </c>
      <c r="D158" s="205">
        <v>104</v>
      </c>
      <c r="E158" s="206">
        <v>171185</v>
      </c>
      <c r="F158" s="163" t="str">
        <f>IFERROR(VLOOKUP($A158,'Budget &amp; Revenue'!$A:$Y,4,FALSE)," ")</f>
        <v xml:space="preserve"> </v>
      </c>
      <c r="G158" s="175" t="str">
        <f>IFERROR(VLOOKUP($A158,'Budget &amp; Revenue'!$A:$Y,13,FALSE)," ")</f>
        <v xml:space="preserve"> </v>
      </c>
      <c r="H158" s="175" t="str">
        <f>IFERROR(VLOOKUP($A158,'Budget &amp; Revenue'!$A:$Y,15,FALSE)," ")</f>
        <v xml:space="preserve"> </v>
      </c>
      <c r="I158" s="175" t="str">
        <f>IFERROR(VLOOKUP($A158,'Budget &amp; Revenue'!$A:$Y,17,FALSE)," ")</f>
        <v xml:space="preserve"> </v>
      </c>
      <c r="J158" s="175" t="str">
        <f>IFERROR(VLOOKUP($A158,'Budget &amp; Revenue'!$A:$Y,19,FALSE)," ")</f>
        <v xml:space="preserve"> </v>
      </c>
      <c r="K158" s="175" t="str">
        <f>IFERROR(VLOOKUP($A158,'Budget &amp; Revenue'!$A:$Y,21,FALSE)," ")</f>
        <v xml:space="preserve"> </v>
      </c>
      <c r="L158" s="175" t="str">
        <f>IFERROR(VLOOKUP($A158,'Budget &amp; Revenue'!$A:$Y,23,FALSE)," ")</f>
        <v xml:space="preserve"> </v>
      </c>
      <c r="M158" s="175" t="str">
        <f>IFERROR(VLOOKUP($A158,'Budget &amp; Revenue'!$A:$Y,25,FALSE)," ")</f>
        <v xml:space="preserve"> </v>
      </c>
    </row>
    <row r="159" spans="1:13" x14ac:dyDescent="0.25">
      <c r="A159" s="202">
        <v>93.13</v>
      </c>
      <c r="B159" s="202" t="s">
        <v>396</v>
      </c>
      <c r="C159" s="203">
        <f>VLOOKUP(A159,Estimate!A:L,12,FALSE)</f>
        <v>1</v>
      </c>
      <c r="D159" s="205">
        <v>105</v>
      </c>
      <c r="E159" s="206">
        <v>172186</v>
      </c>
      <c r="F159" s="163" t="str">
        <f>IFERROR(VLOOKUP($A159,'Budget &amp; Revenue'!$A:$Y,4,FALSE)," ")</f>
        <v xml:space="preserve"> </v>
      </c>
      <c r="G159" s="175" t="str">
        <f>IFERROR(VLOOKUP($A159,'Budget &amp; Revenue'!$A:$Y,13,FALSE)," ")</f>
        <v xml:space="preserve"> </v>
      </c>
      <c r="H159" s="175" t="str">
        <f>IFERROR(VLOOKUP($A159,'Budget &amp; Revenue'!$A:$Y,15,FALSE)," ")</f>
        <v xml:space="preserve"> </v>
      </c>
      <c r="I159" s="175" t="str">
        <f>IFERROR(VLOOKUP($A159,'Budget &amp; Revenue'!$A:$Y,17,FALSE)," ")</f>
        <v xml:space="preserve"> </v>
      </c>
      <c r="J159" s="175" t="str">
        <f>IFERROR(VLOOKUP($A159,'Budget &amp; Revenue'!$A:$Y,19,FALSE)," ")</f>
        <v xml:space="preserve"> </v>
      </c>
      <c r="K159" s="175" t="str">
        <f>IFERROR(VLOOKUP($A159,'Budget &amp; Revenue'!$A:$Y,21,FALSE)," ")</f>
        <v xml:space="preserve"> </v>
      </c>
      <c r="L159" s="175" t="str">
        <f>IFERROR(VLOOKUP($A159,'Budget &amp; Revenue'!$A:$Y,23,FALSE)," ")</f>
        <v xml:space="preserve"> </v>
      </c>
      <c r="M159" s="175" t="str">
        <f>IFERROR(VLOOKUP($A159,'Budget &amp; Revenue'!$A:$Y,25,FALSE)," ")</f>
        <v xml:space="preserve"> </v>
      </c>
    </row>
    <row r="160" spans="1:13" ht="36" x14ac:dyDescent="0.25">
      <c r="A160" s="203">
        <v>94</v>
      </c>
      <c r="B160" s="203" t="s">
        <v>397</v>
      </c>
      <c r="C160" s="203">
        <f>VLOOKUP(A160,Estimate!A:L,12,FALSE)</f>
        <v>0</v>
      </c>
      <c r="D160" s="204"/>
      <c r="E160" s="204"/>
      <c r="F160" s="163">
        <f>IFERROR(VLOOKUP($A160,'Budget &amp; Revenue'!$A:$Y,4,FALSE)," ")</f>
        <v>61400</v>
      </c>
      <c r="G160" s="175">
        <f>IFERROR(VLOOKUP($A160,'Budget &amp; Revenue'!$A:$Y,13,FALSE)," ")</f>
        <v>0</v>
      </c>
      <c r="H160" s="175">
        <f>IFERROR(VLOOKUP($A160,'Budget &amp; Revenue'!$A:$Y,15,FALSE)," ")</f>
        <v>0</v>
      </c>
      <c r="I160" s="175">
        <f>IFERROR(VLOOKUP($A160,'Budget &amp; Revenue'!$A:$Y,17,FALSE)," ")</f>
        <v>0.30424272222563659</v>
      </c>
      <c r="J160" s="175">
        <f>IFERROR(VLOOKUP($A160,'Budget &amp; Revenue'!$A:$Y,19,FALSE)," ")</f>
        <v>0.66203675250445582</v>
      </c>
      <c r="K160" s="175">
        <f>IFERROR(VLOOKUP($A160,'Budget &amp; Revenue'!$A:$Y,21,FALSE)," ")</f>
        <v>0.66203675250445582</v>
      </c>
      <c r="L160" s="175">
        <f>IFERROR(VLOOKUP($A160,'Budget &amp; Revenue'!$A:$Y,23,FALSE)," ")</f>
        <v>1</v>
      </c>
      <c r="M160" s="175">
        <f>IFERROR(VLOOKUP($A160,'Budget &amp; Revenue'!$A:$Y,25,FALSE)," ")</f>
        <v>1</v>
      </c>
    </row>
    <row r="161" spans="1:13" x14ac:dyDescent="0.25">
      <c r="A161" s="202">
        <v>94.01</v>
      </c>
      <c r="B161" s="202" t="s">
        <v>384</v>
      </c>
      <c r="C161" s="203">
        <f>VLOOKUP(A161,Estimate!A:L,12,FALSE)</f>
        <v>1</v>
      </c>
      <c r="D161" s="205">
        <v>146</v>
      </c>
      <c r="E161" s="206">
        <v>188205</v>
      </c>
      <c r="F161" s="163" t="str">
        <f>IFERROR(VLOOKUP($A161,'Budget &amp; Revenue'!$A:$Y,4,FALSE)," ")</f>
        <v xml:space="preserve"> </v>
      </c>
      <c r="G161" s="175" t="str">
        <f>IFERROR(VLOOKUP($A161,'Budget &amp; Revenue'!$A:$Y,13,FALSE)," ")</f>
        <v xml:space="preserve"> </v>
      </c>
      <c r="H161" s="175" t="str">
        <f>IFERROR(VLOOKUP($A161,'Budget &amp; Revenue'!$A:$Y,15,FALSE)," ")</f>
        <v xml:space="preserve"> </v>
      </c>
      <c r="I161" s="175" t="str">
        <f>IFERROR(VLOOKUP($A161,'Budget &amp; Revenue'!$A:$Y,17,FALSE)," ")</f>
        <v xml:space="preserve"> </v>
      </c>
      <c r="J161" s="175" t="str">
        <f>IFERROR(VLOOKUP($A161,'Budget &amp; Revenue'!$A:$Y,19,FALSE)," ")</f>
        <v xml:space="preserve"> </v>
      </c>
      <c r="K161" s="175" t="str">
        <f>IFERROR(VLOOKUP($A161,'Budget &amp; Revenue'!$A:$Y,21,FALSE)," ")</f>
        <v xml:space="preserve"> </v>
      </c>
      <c r="L161" s="175" t="str">
        <f>IFERROR(VLOOKUP($A161,'Budget &amp; Revenue'!$A:$Y,23,FALSE)," ")</f>
        <v xml:space="preserve"> </v>
      </c>
      <c r="M161" s="175" t="str">
        <f>IFERROR(VLOOKUP($A161,'Budget &amp; Revenue'!$A:$Y,25,FALSE)," ")</f>
        <v xml:space="preserve"> </v>
      </c>
    </row>
    <row r="162" spans="1:13" x14ac:dyDescent="0.25">
      <c r="A162" s="202">
        <v>94.02</v>
      </c>
      <c r="B162" s="202" t="s">
        <v>385</v>
      </c>
      <c r="C162" s="203">
        <f>VLOOKUP(A162,Estimate!A:L,12,FALSE)</f>
        <v>1</v>
      </c>
      <c r="D162" s="205">
        <v>147</v>
      </c>
      <c r="E162" s="206">
        <v>189205</v>
      </c>
      <c r="F162" s="163" t="str">
        <f>IFERROR(VLOOKUP($A162,'Budget &amp; Revenue'!$A:$Y,4,FALSE)," ")</f>
        <v xml:space="preserve"> </v>
      </c>
      <c r="G162" s="175" t="str">
        <f>IFERROR(VLOOKUP($A162,'Budget &amp; Revenue'!$A:$Y,13,FALSE)," ")</f>
        <v xml:space="preserve"> </v>
      </c>
      <c r="H162" s="175" t="str">
        <f>IFERROR(VLOOKUP($A162,'Budget &amp; Revenue'!$A:$Y,15,FALSE)," ")</f>
        <v xml:space="preserve"> </v>
      </c>
      <c r="I162" s="175" t="str">
        <f>IFERROR(VLOOKUP($A162,'Budget &amp; Revenue'!$A:$Y,17,FALSE)," ")</f>
        <v xml:space="preserve"> </v>
      </c>
      <c r="J162" s="175" t="str">
        <f>IFERROR(VLOOKUP($A162,'Budget &amp; Revenue'!$A:$Y,19,FALSE)," ")</f>
        <v xml:space="preserve"> </v>
      </c>
      <c r="K162" s="175" t="str">
        <f>IFERROR(VLOOKUP($A162,'Budget &amp; Revenue'!$A:$Y,21,FALSE)," ")</f>
        <v xml:space="preserve"> </v>
      </c>
      <c r="L162" s="175" t="str">
        <f>IFERROR(VLOOKUP($A162,'Budget &amp; Revenue'!$A:$Y,23,FALSE)," ")</f>
        <v xml:space="preserve"> </v>
      </c>
      <c r="M162" s="175" t="str">
        <f>IFERROR(VLOOKUP($A162,'Budget &amp; Revenue'!$A:$Y,25,FALSE)," ")</f>
        <v xml:space="preserve"> </v>
      </c>
    </row>
    <row r="163" spans="1:13" x14ac:dyDescent="0.25">
      <c r="A163" s="202">
        <v>94.03</v>
      </c>
      <c r="B163" s="202" t="s">
        <v>386</v>
      </c>
      <c r="C163" s="203">
        <f>VLOOKUP(A163,Estimate!A:L,12,FALSE)</f>
        <v>1</v>
      </c>
      <c r="D163" s="205">
        <v>148</v>
      </c>
      <c r="E163" s="206">
        <v>190205</v>
      </c>
      <c r="F163" s="163" t="str">
        <f>IFERROR(VLOOKUP($A163,'Budget &amp; Revenue'!$A:$Y,4,FALSE)," ")</f>
        <v xml:space="preserve"> </v>
      </c>
      <c r="G163" s="175" t="str">
        <f>IFERROR(VLOOKUP($A163,'Budget &amp; Revenue'!$A:$Y,13,FALSE)," ")</f>
        <v xml:space="preserve"> </v>
      </c>
      <c r="H163" s="175" t="str">
        <f>IFERROR(VLOOKUP($A163,'Budget &amp; Revenue'!$A:$Y,15,FALSE)," ")</f>
        <v xml:space="preserve"> </v>
      </c>
      <c r="I163" s="175" t="str">
        <f>IFERROR(VLOOKUP($A163,'Budget &amp; Revenue'!$A:$Y,17,FALSE)," ")</f>
        <v xml:space="preserve"> </v>
      </c>
      <c r="J163" s="175" t="str">
        <f>IFERROR(VLOOKUP($A163,'Budget &amp; Revenue'!$A:$Y,19,FALSE)," ")</f>
        <v xml:space="preserve"> </v>
      </c>
      <c r="K163" s="175" t="str">
        <f>IFERROR(VLOOKUP($A163,'Budget &amp; Revenue'!$A:$Y,21,FALSE)," ")</f>
        <v xml:space="preserve"> </v>
      </c>
      <c r="L163" s="175" t="str">
        <f>IFERROR(VLOOKUP($A163,'Budget &amp; Revenue'!$A:$Y,23,FALSE)," ")</f>
        <v xml:space="preserve"> </v>
      </c>
      <c r="M163" s="175" t="str">
        <f>IFERROR(VLOOKUP($A163,'Budget &amp; Revenue'!$A:$Y,25,FALSE)," ")</f>
        <v xml:space="preserve"> </v>
      </c>
    </row>
    <row r="164" spans="1:13" x14ac:dyDescent="0.25">
      <c r="A164" s="202">
        <v>94.04</v>
      </c>
      <c r="B164" s="202" t="s">
        <v>387</v>
      </c>
      <c r="C164" s="203">
        <f>VLOOKUP(A164,Estimate!A:L,12,FALSE)</f>
        <v>1</v>
      </c>
      <c r="D164" s="205">
        <v>149</v>
      </c>
      <c r="E164" s="206">
        <v>191205</v>
      </c>
      <c r="F164" s="163" t="str">
        <f>IFERROR(VLOOKUP($A164,'Budget &amp; Revenue'!$A:$Y,4,FALSE)," ")</f>
        <v xml:space="preserve"> </v>
      </c>
      <c r="G164" s="175" t="str">
        <f>IFERROR(VLOOKUP($A164,'Budget &amp; Revenue'!$A:$Y,13,FALSE)," ")</f>
        <v xml:space="preserve"> </v>
      </c>
      <c r="H164" s="175" t="str">
        <f>IFERROR(VLOOKUP($A164,'Budget &amp; Revenue'!$A:$Y,15,FALSE)," ")</f>
        <v xml:space="preserve"> </v>
      </c>
      <c r="I164" s="175" t="str">
        <f>IFERROR(VLOOKUP($A164,'Budget &amp; Revenue'!$A:$Y,17,FALSE)," ")</f>
        <v xml:space="preserve"> </v>
      </c>
      <c r="J164" s="175" t="str">
        <f>IFERROR(VLOOKUP($A164,'Budget &amp; Revenue'!$A:$Y,19,FALSE)," ")</f>
        <v xml:space="preserve"> </v>
      </c>
      <c r="K164" s="175" t="str">
        <f>IFERROR(VLOOKUP($A164,'Budget &amp; Revenue'!$A:$Y,21,FALSE)," ")</f>
        <v xml:space="preserve"> </v>
      </c>
      <c r="L164" s="175" t="str">
        <f>IFERROR(VLOOKUP($A164,'Budget &amp; Revenue'!$A:$Y,23,FALSE)," ")</f>
        <v xml:space="preserve"> </v>
      </c>
      <c r="M164" s="175" t="str">
        <f>IFERROR(VLOOKUP($A164,'Budget &amp; Revenue'!$A:$Y,25,FALSE)," ")</f>
        <v xml:space="preserve"> </v>
      </c>
    </row>
    <row r="165" spans="1:13" x14ac:dyDescent="0.25">
      <c r="A165" s="202">
        <v>94.05</v>
      </c>
      <c r="B165" s="202" t="s">
        <v>388</v>
      </c>
      <c r="C165" s="203">
        <f>VLOOKUP(A165,Estimate!A:L,12,FALSE)</f>
        <v>1</v>
      </c>
      <c r="D165" s="205">
        <v>150</v>
      </c>
      <c r="E165" s="206">
        <v>192205</v>
      </c>
      <c r="F165" s="163" t="str">
        <f>IFERROR(VLOOKUP($A165,'Budget &amp; Revenue'!$A:$Y,4,FALSE)," ")</f>
        <v xml:space="preserve"> </v>
      </c>
      <c r="G165" s="175" t="str">
        <f>IFERROR(VLOOKUP($A165,'Budget &amp; Revenue'!$A:$Y,13,FALSE)," ")</f>
        <v xml:space="preserve"> </v>
      </c>
      <c r="H165" s="175" t="str">
        <f>IFERROR(VLOOKUP($A165,'Budget &amp; Revenue'!$A:$Y,15,FALSE)," ")</f>
        <v xml:space="preserve"> </v>
      </c>
      <c r="I165" s="175" t="str">
        <f>IFERROR(VLOOKUP($A165,'Budget &amp; Revenue'!$A:$Y,17,FALSE)," ")</f>
        <v xml:space="preserve"> </v>
      </c>
      <c r="J165" s="175" t="str">
        <f>IFERROR(VLOOKUP($A165,'Budget &amp; Revenue'!$A:$Y,19,FALSE)," ")</f>
        <v xml:space="preserve"> </v>
      </c>
      <c r="K165" s="175" t="str">
        <f>IFERROR(VLOOKUP($A165,'Budget &amp; Revenue'!$A:$Y,21,FALSE)," ")</f>
        <v xml:space="preserve"> </v>
      </c>
      <c r="L165" s="175" t="str">
        <f>IFERROR(VLOOKUP($A165,'Budget &amp; Revenue'!$A:$Y,23,FALSE)," ")</f>
        <v xml:space="preserve"> </v>
      </c>
      <c r="M165" s="175" t="str">
        <f>IFERROR(VLOOKUP($A165,'Budget &amp; Revenue'!$A:$Y,25,FALSE)," ")</f>
        <v xml:space="preserve"> </v>
      </c>
    </row>
    <row r="166" spans="1:13" x14ac:dyDescent="0.25">
      <c r="A166" s="202">
        <v>94.06</v>
      </c>
      <c r="B166" s="202" t="s">
        <v>389</v>
      </c>
      <c r="C166" s="203">
        <f>VLOOKUP(A166,Estimate!A:L,12,FALSE)</f>
        <v>1</v>
      </c>
      <c r="D166" s="205">
        <v>151</v>
      </c>
      <c r="E166" s="206">
        <v>193205</v>
      </c>
      <c r="F166" s="163" t="str">
        <f>IFERROR(VLOOKUP($A166,'Budget &amp; Revenue'!$A:$Y,4,FALSE)," ")</f>
        <v xml:space="preserve"> </v>
      </c>
      <c r="G166" s="175" t="str">
        <f>IFERROR(VLOOKUP($A166,'Budget &amp; Revenue'!$A:$Y,13,FALSE)," ")</f>
        <v xml:space="preserve"> </v>
      </c>
      <c r="H166" s="175" t="str">
        <f>IFERROR(VLOOKUP($A166,'Budget &amp; Revenue'!$A:$Y,15,FALSE)," ")</f>
        <v xml:space="preserve"> </v>
      </c>
      <c r="I166" s="175" t="str">
        <f>IFERROR(VLOOKUP($A166,'Budget &amp; Revenue'!$A:$Y,17,FALSE)," ")</f>
        <v xml:space="preserve"> </v>
      </c>
      <c r="J166" s="175" t="str">
        <f>IFERROR(VLOOKUP($A166,'Budget &amp; Revenue'!$A:$Y,19,FALSE)," ")</f>
        <v xml:space="preserve"> </v>
      </c>
      <c r="K166" s="175" t="str">
        <f>IFERROR(VLOOKUP($A166,'Budget &amp; Revenue'!$A:$Y,21,FALSE)," ")</f>
        <v xml:space="preserve"> </v>
      </c>
      <c r="L166" s="175" t="str">
        <f>IFERROR(VLOOKUP($A166,'Budget &amp; Revenue'!$A:$Y,23,FALSE)," ")</f>
        <v xml:space="preserve"> </v>
      </c>
      <c r="M166" s="175" t="str">
        <f>IFERROR(VLOOKUP($A166,'Budget &amp; Revenue'!$A:$Y,25,FALSE)," ")</f>
        <v xml:space="preserve"> </v>
      </c>
    </row>
    <row r="167" spans="1:13" x14ac:dyDescent="0.25">
      <c r="A167" s="202">
        <v>94.07</v>
      </c>
      <c r="B167" s="202" t="s">
        <v>390</v>
      </c>
      <c r="C167" s="203">
        <f>VLOOKUP(A167,Estimate!A:L,12,FALSE)</f>
        <v>1</v>
      </c>
      <c r="D167" s="205">
        <v>152</v>
      </c>
      <c r="E167" s="206">
        <v>194205</v>
      </c>
      <c r="F167" s="163" t="str">
        <f>IFERROR(VLOOKUP($A167,'Budget &amp; Revenue'!$A:$Y,4,FALSE)," ")</f>
        <v xml:space="preserve"> </v>
      </c>
      <c r="G167" s="175" t="str">
        <f>IFERROR(VLOOKUP($A167,'Budget &amp; Revenue'!$A:$Y,13,FALSE)," ")</f>
        <v xml:space="preserve"> </v>
      </c>
      <c r="H167" s="175" t="str">
        <f>IFERROR(VLOOKUP($A167,'Budget &amp; Revenue'!$A:$Y,15,FALSE)," ")</f>
        <v xml:space="preserve"> </v>
      </c>
      <c r="I167" s="175" t="str">
        <f>IFERROR(VLOOKUP($A167,'Budget &amp; Revenue'!$A:$Y,17,FALSE)," ")</f>
        <v xml:space="preserve"> </v>
      </c>
      <c r="J167" s="175" t="str">
        <f>IFERROR(VLOOKUP($A167,'Budget &amp; Revenue'!$A:$Y,19,FALSE)," ")</f>
        <v xml:space="preserve"> </v>
      </c>
      <c r="K167" s="175" t="str">
        <f>IFERROR(VLOOKUP($A167,'Budget &amp; Revenue'!$A:$Y,21,FALSE)," ")</f>
        <v xml:space="preserve"> </v>
      </c>
      <c r="L167" s="175" t="str">
        <f>IFERROR(VLOOKUP($A167,'Budget &amp; Revenue'!$A:$Y,23,FALSE)," ")</f>
        <v xml:space="preserve"> </v>
      </c>
      <c r="M167" s="175" t="str">
        <f>IFERROR(VLOOKUP($A167,'Budget &amp; Revenue'!$A:$Y,25,FALSE)," ")</f>
        <v xml:space="preserve"> </v>
      </c>
    </row>
    <row r="168" spans="1:13" x14ac:dyDescent="0.25">
      <c r="A168" s="202">
        <v>94.08</v>
      </c>
      <c r="B168" s="202" t="s">
        <v>391</v>
      </c>
      <c r="C168" s="203">
        <f>VLOOKUP(A168,Estimate!A:L,12,FALSE)</f>
        <v>2</v>
      </c>
      <c r="D168" s="206">
        <v>153202</v>
      </c>
      <c r="E168" s="205" t="s">
        <v>503</v>
      </c>
      <c r="F168" s="163" t="str">
        <f>IFERROR(VLOOKUP($A168,'Budget &amp; Revenue'!$A:$Y,4,FALSE)," ")</f>
        <v xml:space="preserve"> </v>
      </c>
      <c r="G168" s="175" t="str">
        <f>IFERROR(VLOOKUP($A168,'Budget &amp; Revenue'!$A:$Y,13,FALSE)," ")</f>
        <v xml:space="preserve"> </v>
      </c>
      <c r="H168" s="175" t="str">
        <f>IFERROR(VLOOKUP($A168,'Budget &amp; Revenue'!$A:$Y,15,FALSE)," ")</f>
        <v xml:space="preserve"> </v>
      </c>
      <c r="I168" s="175" t="str">
        <f>IFERROR(VLOOKUP($A168,'Budget &amp; Revenue'!$A:$Y,17,FALSE)," ")</f>
        <v xml:space="preserve"> </v>
      </c>
      <c r="J168" s="175" t="str">
        <f>IFERROR(VLOOKUP($A168,'Budget &amp; Revenue'!$A:$Y,19,FALSE)," ")</f>
        <v xml:space="preserve"> </v>
      </c>
      <c r="K168" s="175" t="str">
        <f>IFERROR(VLOOKUP($A168,'Budget &amp; Revenue'!$A:$Y,21,FALSE)," ")</f>
        <v xml:space="preserve"> </v>
      </c>
      <c r="L168" s="175" t="str">
        <f>IFERROR(VLOOKUP($A168,'Budget &amp; Revenue'!$A:$Y,23,FALSE)," ")</f>
        <v xml:space="preserve"> </v>
      </c>
      <c r="M168" s="175" t="str">
        <f>IFERROR(VLOOKUP($A168,'Budget &amp; Revenue'!$A:$Y,25,FALSE)," ")</f>
        <v xml:space="preserve"> </v>
      </c>
    </row>
    <row r="169" spans="1:13" x14ac:dyDescent="0.25">
      <c r="A169" s="202">
        <v>94.09</v>
      </c>
      <c r="B169" s="202" t="s">
        <v>392</v>
      </c>
      <c r="C169" s="203">
        <f>VLOOKUP(A169,Estimate!A:L,12,FALSE)</f>
        <v>1</v>
      </c>
      <c r="D169" s="205">
        <v>154</v>
      </c>
      <c r="E169" s="206">
        <v>196205</v>
      </c>
      <c r="F169" s="163" t="str">
        <f>IFERROR(VLOOKUP($A169,'Budget &amp; Revenue'!$A:$Y,4,FALSE)," ")</f>
        <v xml:space="preserve"> </v>
      </c>
      <c r="G169" s="175" t="str">
        <f>IFERROR(VLOOKUP($A169,'Budget &amp; Revenue'!$A:$Y,13,FALSE)," ")</f>
        <v xml:space="preserve"> </v>
      </c>
      <c r="H169" s="175" t="str">
        <f>IFERROR(VLOOKUP($A169,'Budget &amp; Revenue'!$A:$Y,15,FALSE)," ")</f>
        <v xml:space="preserve"> </v>
      </c>
      <c r="I169" s="175" t="str">
        <f>IFERROR(VLOOKUP($A169,'Budget &amp; Revenue'!$A:$Y,17,FALSE)," ")</f>
        <v xml:space="preserve"> </v>
      </c>
      <c r="J169" s="175" t="str">
        <f>IFERROR(VLOOKUP($A169,'Budget &amp; Revenue'!$A:$Y,19,FALSE)," ")</f>
        <v xml:space="preserve"> </v>
      </c>
      <c r="K169" s="175" t="str">
        <f>IFERROR(VLOOKUP($A169,'Budget &amp; Revenue'!$A:$Y,21,FALSE)," ")</f>
        <v xml:space="preserve"> </v>
      </c>
      <c r="L169" s="175" t="str">
        <f>IFERROR(VLOOKUP($A169,'Budget &amp; Revenue'!$A:$Y,23,FALSE)," ")</f>
        <v xml:space="preserve"> </v>
      </c>
      <c r="M169" s="175" t="str">
        <f>IFERROR(VLOOKUP($A169,'Budget &amp; Revenue'!$A:$Y,25,FALSE)," ")</f>
        <v xml:space="preserve"> </v>
      </c>
    </row>
    <row r="170" spans="1:13" x14ac:dyDescent="0.25">
      <c r="A170" s="202">
        <v>94.1</v>
      </c>
      <c r="B170" s="202" t="s">
        <v>393</v>
      </c>
      <c r="C170" s="203">
        <f>VLOOKUP(A170,Estimate!A:L,12,FALSE)</f>
        <v>1</v>
      </c>
      <c r="D170" s="205">
        <v>155</v>
      </c>
      <c r="E170" s="206">
        <v>197205</v>
      </c>
      <c r="F170" s="163" t="str">
        <f>IFERROR(VLOOKUP($A170,'Budget &amp; Revenue'!$A:$Y,4,FALSE)," ")</f>
        <v xml:space="preserve"> </v>
      </c>
      <c r="G170" s="175" t="str">
        <f>IFERROR(VLOOKUP($A170,'Budget &amp; Revenue'!$A:$Y,13,FALSE)," ")</f>
        <v xml:space="preserve"> </v>
      </c>
      <c r="H170" s="175" t="str">
        <f>IFERROR(VLOOKUP($A170,'Budget &amp; Revenue'!$A:$Y,15,FALSE)," ")</f>
        <v xml:space="preserve"> </v>
      </c>
      <c r="I170" s="175" t="str">
        <f>IFERROR(VLOOKUP($A170,'Budget &amp; Revenue'!$A:$Y,17,FALSE)," ")</f>
        <v xml:space="preserve"> </v>
      </c>
      <c r="J170" s="175" t="str">
        <f>IFERROR(VLOOKUP($A170,'Budget &amp; Revenue'!$A:$Y,19,FALSE)," ")</f>
        <v xml:space="preserve"> </v>
      </c>
      <c r="K170" s="175" t="str">
        <f>IFERROR(VLOOKUP($A170,'Budget &amp; Revenue'!$A:$Y,21,FALSE)," ")</f>
        <v xml:space="preserve"> </v>
      </c>
      <c r="L170" s="175" t="str">
        <f>IFERROR(VLOOKUP($A170,'Budget &amp; Revenue'!$A:$Y,23,FALSE)," ")</f>
        <v xml:space="preserve"> </v>
      </c>
      <c r="M170" s="175" t="str">
        <f>IFERROR(VLOOKUP($A170,'Budget &amp; Revenue'!$A:$Y,25,FALSE)," ")</f>
        <v xml:space="preserve"> </v>
      </c>
    </row>
    <row r="171" spans="1:13" x14ac:dyDescent="0.25">
      <c r="A171" s="202">
        <v>94.11</v>
      </c>
      <c r="B171" s="202" t="s">
        <v>394</v>
      </c>
      <c r="C171" s="203">
        <f>VLOOKUP(A171,Estimate!A:L,12,FALSE)</f>
        <v>1</v>
      </c>
      <c r="D171" s="205">
        <v>156</v>
      </c>
      <c r="E171" s="206">
        <v>198205</v>
      </c>
      <c r="F171" s="163" t="str">
        <f>IFERROR(VLOOKUP($A171,'Budget &amp; Revenue'!$A:$Y,4,FALSE)," ")</f>
        <v xml:space="preserve"> </v>
      </c>
      <c r="G171" s="175" t="str">
        <f>IFERROR(VLOOKUP($A171,'Budget &amp; Revenue'!$A:$Y,13,FALSE)," ")</f>
        <v xml:space="preserve"> </v>
      </c>
      <c r="H171" s="175" t="str">
        <f>IFERROR(VLOOKUP($A171,'Budget &amp; Revenue'!$A:$Y,15,FALSE)," ")</f>
        <v xml:space="preserve"> </v>
      </c>
      <c r="I171" s="175" t="str">
        <f>IFERROR(VLOOKUP($A171,'Budget &amp; Revenue'!$A:$Y,17,FALSE)," ")</f>
        <v xml:space="preserve"> </v>
      </c>
      <c r="J171" s="175" t="str">
        <f>IFERROR(VLOOKUP($A171,'Budget &amp; Revenue'!$A:$Y,19,FALSE)," ")</f>
        <v xml:space="preserve"> </v>
      </c>
      <c r="K171" s="175" t="str">
        <f>IFERROR(VLOOKUP($A171,'Budget &amp; Revenue'!$A:$Y,21,FALSE)," ")</f>
        <v xml:space="preserve"> </v>
      </c>
      <c r="L171" s="175" t="str">
        <f>IFERROR(VLOOKUP($A171,'Budget &amp; Revenue'!$A:$Y,23,FALSE)," ")</f>
        <v xml:space="preserve"> </v>
      </c>
      <c r="M171" s="175" t="str">
        <f>IFERROR(VLOOKUP($A171,'Budget &amp; Revenue'!$A:$Y,25,FALSE)," ")</f>
        <v xml:space="preserve"> </v>
      </c>
    </row>
    <row r="172" spans="1:13" x14ac:dyDescent="0.25">
      <c r="A172" s="202">
        <v>94.12</v>
      </c>
      <c r="B172" s="202" t="s">
        <v>395</v>
      </c>
      <c r="C172" s="203">
        <f>VLOOKUP(A172,Estimate!A:L,12,FALSE)</f>
        <v>1</v>
      </c>
      <c r="D172" s="205">
        <v>157</v>
      </c>
      <c r="E172" s="206">
        <v>199205</v>
      </c>
      <c r="F172" s="163" t="str">
        <f>IFERROR(VLOOKUP($A172,'Budget &amp; Revenue'!$A:$Y,4,FALSE)," ")</f>
        <v xml:space="preserve"> </v>
      </c>
      <c r="G172" s="175" t="str">
        <f>IFERROR(VLOOKUP($A172,'Budget &amp; Revenue'!$A:$Y,13,FALSE)," ")</f>
        <v xml:space="preserve"> </v>
      </c>
      <c r="H172" s="175" t="str">
        <f>IFERROR(VLOOKUP($A172,'Budget &amp; Revenue'!$A:$Y,15,FALSE)," ")</f>
        <v xml:space="preserve"> </v>
      </c>
      <c r="I172" s="175" t="str">
        <f>IFERROR(VLOOKUP($A172,'Budget &amp; Revenue'!$A:$Y,17,FALSE)," ")</f>
        <v xml:space="preserve"> </v>
      </c>
      <c r="J172" s="175" t="str">
        <f>IFERROR(VLOOKUP($A172,'Budget &amp; Revenue'!$A:$Y,19,FALSE)," ")</f>
        <v xml:space="preserve"> </v>
      </c>
      <c r="K172" s="175" t="str">
        <f>IFERROR(VLOOKUP($A172,'Budget &amp; Revenue'!$A:$Y,21,FALSE)," ")</f>
        <v xml:space="preserve"> </v>
      </c>
      <c r="L172" s="175" t="str">
        <f>IFERROR(VLOOKUP($A172,'Budget &amp; Revenue'!$A:$Y,23,FALSE)," ")</f>
        <v xml:space="preserve"> </v>
      </c>
      <c r="M172" s="175" t="str">
        <f>IFERROR(VLOOKUP($A172,'Budget &amp; Revenue'!$A:$Y,25,FALSE)," ")</f>
        <v xml:space="preserve"> </v>
      </c>
    </row>
    <row r="173" spans="1:13" x14ac:dyDescent="0.25">
      <c r="A173" s="202">
        <v>94.13</v>
      </c>
      <c r="B173" s="202" t="s">
        <v>396</v>
      </c>
      <c r="C173" s="203">
        <f>VLOOKUP(A173,Estimate!A:L,12,FALSE)</f>
        <v>1</v>
      </c>
      <c r="D173" s="205">
        <v>158</v>
      </c>
      <c r="E173" s="206">
        <v>200205</v>
      </c>
      <c r="F173" s="163" t="str">
        <f>IFERROR(VLOOKUP($A173,'Budget &amp; Revenue'!$A:$Y,4,FALSE)," ")</f>
        <v xml:space="preserve"> </v>
      </c>
      <c r="G173" s="175" t="str">
        <f>IFERROR(VLOOKUP($A173,'Budget &amp; Revenue'!$A:$Y,13,FALSE)," ")</f>
        <v xml:space="preserve"> </v>
      </c>
      <c r="H173" s="175" t="str">
        <f>IFERROR(VLOOKUP($A173,'Budget &amp; Revenue'!$A:$Y,15,FALSE)," ")</f>
        <v xml:space="preserve"> </v>
      </c>
      <c r="I173" s="175" t="str">
        <f>IFERROR(VLOOKUP($A173,'Budget &amp; Revenue'!$A:$Y,17,FALSE)," ")</f>
        <v xml:space="preserve"> </v>
      </c>
      <c r="J173" s="175" t="str">
        <f>IFERROR(VLOOKUP($A173,'Budget &amp; Revenue'!$A:$Y,19,FALSE)," ")</f>
        <v xml:space="preserve"> </v>
      </c>
      <c r="K173" s="175" t="str">
        <f>IFERROR(VLOOKUP($A173,'Budget &amp; Revenue'!$A:$Y,21,FALSE)," ")</f>
        <v xml:space="preserve"> </v>
      </c>
      <c r="L173" s="175" t="str">
        <f>IFERROR(VLOOKUP($A173,'Budget &amp; Revenue'!$A:$Y,23,FALSE)," ")</f>
        <v xml:space="preserve"> </v>
      </c>
      <c r="M173" s="175" t="str">
        <f>IFERROR(VLOOKUP($A173,'Budget &amp; Revenue'!$A:$Y,25,FALSE)," ")</f>
        <v xml:space="preserve"> </v>
      </c>
    </row>
    <row r="174" spans="1:13" ht="48" x14ac:dyDescent="0.25">
      <c r="A174" s="203">
        <v>95</v>
      </c>
      <c r="B174" s="203" t="s">
        <v>398</v>
      </c>
      <c r="C174" s="203">
        <f>VLOOKUP(A174,Estimate!A:L,12,FALSE)</f>
        <v>0</v>
      </c>
      <c r="D174" s="204"/>
      <c r="E174" s="204"/>
      <c r="F174" s="163">
        <f>IFERROR(VLOOKUP($A174,'Budget &amp; Revenue'!$A:$Y,4,FALSE)," ")</f>
        <v>126838.21</v>
      </c>
      <c r="G174" s="175">
        <f>IFERROR(VLOOKUP($A174,'Budget &amp; Revenue'!$A:$Y,13,FALSE)," ")</f>
        <v>0</v>
      </c>
      <c r="H174" s="175">
        <f>IFERROR(VLOOKUP($A174,'Budget &amp; Revenue'!$A:$Y,15,FALSE)," ")</f>
        <v>0</v>
      </c>
      <c r="I174" s="175">
        <f>IFERROR(VLOOKUP($A174,'Budget &amp; Revenue'!$A:$Y,17,FALSE)," ")</f>
        <v>0.52526595744680848</v>
      </c>
      <c r="J174" s="175">
        <f>IFERROR(VLOOKUP($A174,'Budget &amp; Revenue'!$A:$Y,19,FALSE)," ")</f>
        <v>0.82845744680851052</v>
      </c>
      <c r="K174" s="175">
        <f>IFERROR(VLOOKUP($A174,'Budget &amp; Revenue'!$A:$Y,21,FALSE)," ")</f>
        <v>0.82845744680851052</v>
      </c>
      <c r="L174" s="175">
        <f>IFERROR(VLOOKUP($A174,'Budget &amp; Revenue'!$A:$Y,23,FALSE)," ")</f>
        <v>1</v>
      </c>
      <c r="M174" s="175">
        <f>IFERROR(VLOOKUP($A174,'Budget &amp; Revenue'!$A:$Y,25,FALSE)," ")</f>
        <v>1</v>
      </c>
    </row>
    <row r="175" spans="1:13" x14ac:dyDescent="0.25">
      <c r="A175" s="202">
        <v>95.01</v>
      </c>
      <c r="B175" s="202" t="s">
        <v>384</v>
      </c>
      <c r="C175" s="203">
        <f>VLOOKUP(A175,Estimate!A:L,12,FALSE)</f>
        <v>1</v>
      </c>
      <c r="D175" s="206">
        <v>93146</v>
      </c>
      <c r="E175" s="206"/>
      <c r="F175" s="163" t="str">
        <f>IFERROR(VLOOKUP($A175,'Budget &amp; Revenue'!$A:$Y,4,FALSE)," ")</f>
        <v xml:space="preserve"> </v>
      </c>
      <c r="G175" s="175" t="str">
        <f>IFERROR(VLOOKUP($A175,'Budget &amp; Revenue'!$A:$Y,13,FALSE)," ")</f>
        <v xml:space="preserve"> </v>
      </c>
      <c r="H175" s="175" t="str">
        <f>IFERROR(VLOOKUP($A175,'Budget &amp; Revenue'!$A:$Y,15,FALSE)," ")</f>
        <v xml:space="preserve"> </v>
      </c>
      <c r="I175" s="175" t="str">
        <f>IFERROR(VLOOKUP($A175,'Budget &amp; Revenue'!$A:$Y,17,FALSE)," ")</f>
        <v xml:space="preserve"> </v>
      </c>
      <c r="J175" s="175" t="str">
        <f>IFERROR(VLOOKUP($A175,'Budget &amp; Revenue'!$A:$Y,19,FALSE)," ")</f>
        <v xml:space="preserve"> </v>
      </c>
      <c r="K175" s="175" t="str">
        <f>IFERROR(VLOOKUP($A175,'Budget &amp; Revenue'!$A:$Y,21,FALSE)," ")</f>
        <v xml:space="preserve"> </v>
      </c>
      <c r="L175" s="175" t="str">
        <f>IFERROR(VLOOKUP($A175,'Budget &amp; Revenue'!$A:$Y,23,FALSE)," ")</f>
        <v xml:space="preserve"> </v>
      </c>
      <c r="M175" s="175" t="str">
        <f>IFERROR(VLOOKUP($A175,'Budget &amp; Revenue'!$A:$Y,25,FALSE)," ")</f>
        <v xml:space="preserve"> </v>
      </c>
    </row>
    <row r="176" spans="1:13" x14ac:dyDescent="0.25">
      <c r="A176" s="202">
        <v>95.02</v>
      </c>
      <c r="B176" s="202" t="s">
        <v>385</v>
      </c>
      <c r="C176" s="203">
        <f>VLOOKUP(A176,Estimate!A:L,12,FALSE)</f>
        <v>1</v>
      </c>
      <c r="D176" s="206">
        <v>94147</v>
      </c>
      <c r="E176" s="206"/>
      <c r="F176" s="163" t="str">
        <f>IFERROR(VLOOKUP($A176,'Budget &amp; Revenue'!$A:$Y,4,FALSE)," ")</f>
        <v xml:space="preserve"> </v>
      </c>
      <c r="G176" s="175" t="str">
        <f>IFERROR(VLOOKUP($A176,'Budget &amp; Revenue'!$A:$Y,13,FALSE)," ")</f>
        <v xml:space="preserve"> </v>
      </c>
      <c r="H176" s="175" t="str">
        <f>IFERROR(VLOOKUP($A176,'Budget &amp; Revenue'!$A:$Y,15,FALSE)," ")</f>
        <v xml:space="preserve"> </v>
      </c>
      <c r="I176" s="175" t="str">
        <f>IFERROR(VLOOKUP($A176,'Budget &amp; Revenue'!$A:$Y,17,FALSE)," ")</f>
        <v xml:space="preserve"> </v>
      </c>
      <c r="J176" s="175" t="str">
        <f>IFERROR(VLOOKUP($A176,'Budget &amp; Revenue'!$A:$Y,19,FALSE)," ")</f>
        <v xml:space="preserve"> </v>
      </c>
      <c r="K176" s="175" t="str">
        <f>IFERROR(VLOOKUP($A176,'Budget &amp; Revenue'!$A:$Y,21,FALSE)," ")</f>
        <v xml:space="preserve"> </v>
      </c>
      <c r="L176" s="175" t="str">
        <f>IFERROR(VLOOKUP($A176,'Budget &amp; Revenue'!$A:$Y,23,FALSE)," ")</f>
        <v xml:space="preserve"> </v>
      </c>
      <c r="M176" s="175" t="str">
        <f>IFERROR(VLOOKUP($A176,'Budget &amp; Revenue'!$A:$Y,25,FALSE)," ")</f>
        <v xml:space="preserve"> </v>
      </c>
    </row>
    <row r="177" spans="1:13" x14ac:dyDescent="0.25">
      <c r="A177" s="202">
        <v>95.03</v>
      </c>
      <c r="B177" s="202" t="s">
        <v>386</v>
      </c>
      <c r="C177" s="203">
        <f>VLOOKUP(A177,Estimate!A:L,12,FALSE)</f>
        <v>1</v>
      </c>
      <c r="D177" s="205">
        <v>148</v>
      </c>
      <c r="E177" s="206"/>
      <c r="F177" s="163" t="str">
        <f>IFERROR(VLOOKUP($A177,'Budget &amp; Revenue'!$A:$Y,4,FALSE)," ")</f>
        <v xml:space="preserve"> </v>
      </c>
      <c r="G177" s="175" t="str">
        <f>IFERROR(VLOOKUP($A177,'Budget &amp; Revenue'!$A:$Y,13,FALSE)," ")</f>
        <v xml:space="preserve"> </v>
      </c>
      <c r="H177" s="175" t="str">
        <f>IFERROR(VLOOKUP($A177,'Budget &amp; Revenue'!$A:$Y,15,FALSE)," ")</f>
        <v xml:space="preserve"> </v>
      </c>
      <c r="I177" s="175" t="str">
        <f>IFERROR(VLOOKUP($A177,'Budget &amp; Revenue'!$A:$Y,17,FALSE)," ")</f>
        <v xml:space="preserve"> </v>
      </c>
      <c r="J177" s="175" t="str">
        <f>IFERROR(VLOOKUP($A177,'Budget &amp; Revenue'!$A:$Y,19,FALSE)," ")</f>
        <v xml:space="preserve"> </v>
      </c>
      <c r="K177" s="175" t="str">
        <f>IFERROR(VLOOKUP($A177,'Budget &amp; Revenue'!$A:$Y,21,FALSE)," ")</f>
        <v xml:space="preserve"> </v>
      </c>
      <c r="L177" s="175" t="str">
        <f>IFERROR(VLOOKUP($A177,'Budget &amp; Revenue'!$A:$Y,23,FALSE)," ")</f>
        <v xml:space="preserve"> </v>
      </c>
      <c r="M177" s="175" t="str">
        <f>IFERROR(VLOOKUP($A177,'Budget &amp; Revenue'!$A:$Y,25,FALSE)," ")</f>
        <v xml:space="preserve"> </v>
      </c>
    </row>
    <row r="178" spans="1:13" x14ac:dyDescent="0.25">
      <c r="A178" s="202">
        <v>95.04</v>
      </c>
      <c r="B178" s="202" t="s">
        <v>387</v>
      </c>
      <c r="C178" s="203">
        <f>VLOOKUP(A178,Estimate!A:L,12,FALSE)</f>
        <v>1</v>
      </c>
      <c r="D178" s="205">
        <v>149</v>
      </c>
      <c r="E178" s="206"/>
      <c r="F178" s="163" t="str">
        <f>IFERROR(VLOOKUP($A178,'Budget &amp; Revenue'!$A:$Y,4,FALSE)," ")</f>
        <v xml:space="preserve"> </v>
      </c>
      <c r="G178" s="175" t="str">
        <f>IFERROR(VLOOKUP($A178,'Budget &amp; Revenue'!$A:$Y,13,FALSE)," ")</f>
        <v xml:space="preserve"> </v>
      </c>
      <c r="H178" s="175" t="str">
        <f>IFERROR(VLOOKUP($A178,'Budget &amp; Revenue'!$A:$Y,15,FALSE)," ")</f>
        <v xml:space="preserve"> </v>
      </c>
      <c r="I178" s="175" t="str">
        <f>IFERROR(VLOOKUP($A178,'Budget &amp; Revenue'!$A:$Y,17,FALSE)," ")</f>
        <v xml:space="preserve"> </v>
      </c>
      <c r="J178" s="175" t="str">
        <f>IFERROR(VLOOKUP($A178,'Budget &amp; Revenue'!$A:$Y,19,FALSE)," ")</f>
        <v xml:space="preserve"> </v>
      </c>
      <c r="K178" s="175" t="str">
        <f>IFERROR(VLOOKUP($A178,'Budget &amp; Revenue'!$A:$Y,21,FALSE)," ")</f>
        <v xml:space="preserve"> </v>
      </c>
      <c r="L178" s="175" t="str">
        <f>IFERROR(VLOOKUP($A178,'Budget &amp; Revenue'!$A:$Y,23,FALSE)," ")</f>
        <v xml:space="preserve"> </v>
      </c>
      <c r="M178" s="175" t="str">
        <f>IFERROR(VLOOKUP($A178,'Budget &amp; Revenue'!$A:$Y,25,FALSE)," ")</f>
        <v xml:space="preserve"> </v>
      </c>
    </row>
    <row r="179" spans="1:13" x14ac:dyDescent="0.25">
      <c r="A179" s="202">
        <v>95.05</v>
      </c>
      <c r="B179" s="202" t="s">
        <v>388</v>
      </c>
      <c r="C179" s="203">
        <f>VLOOKUP(A179,Estimate!A:L,12,FALSE)</f>
        <v>1</v>
      </c>
      <c r="D179" s="205">
        <v>150</v>
      </c>
      <c r="E179" s="206"/>
      <c r="F179" s="163" t="str">
        <f>IFERROR(VLOOKUP($A179,'Budget &amp; Revenue'!$A:$Y,4,FALSE)," ")</f>
        <v xml:space="preserve"> </v>
      </c>
      <c r="G179" s="175" t="str">
        <f>IFERROR(VLOOKUP($A179,'Budget &amp; Revenue'!$A:$Y,13,FALSE)," ")</f>
        <v xml:space="preserve"> </v>
      </c>
      <c r="H179" s="175" t="str">
        <f>IFERROR(VLOOKUP($A179,'Budget &amp; Revenue'!$A:$Y,15,FALSE)," ")</f>
        <v xml:space="preserve"> </v>
      </c>
      <c r="I179" s="175" t="str">
        <f>IFERROR(VLOOKUP($A179,'Budget &amp; Revenue'!$A:$Y,17,FALSE)," ")</f>
        <v xml:space="preserve"> </v>
      </c>
      <c r="J179" s="175" t="str">
        <f>IFERROR(VLOOKUP($A179,'Budget &amp; Revenue'!$A:$Y,19,FALSE)," ")</f>
        <v xml:space="preserve"> </v>
      </c>
      <c r="K179" s="175" t="str">
        <f>IFERROR(VLOOKUP($A179,'Budget &amp; Revenue'!$A:$Y,21,FALSE)," ")</f>
        <v xml:space="preserve"> </v>
      </c>
      <c r="L179" s="175" t="str">
        <f>IFERROR(VLOOKUP($A179,'Budget &amp; Revenue'!$A:$Y,23,FALSE)," ")</f>
        <v xml:space="preserve"> </v>
      </c>
      <c r="M179" s="175" t="str">
        <f>IFERROR(VLOOKUP($A179,'Budget &amp; Revenue'!$A:$Y,25,FALSE)," ")</f>
        <v xml:space="preserve"> </v>
      </c>
    </row>
    <row r="180" spans="1:13" x14ac:dyDescent="0.25">
      <c r="A180" s="202">
        <v>95.06</v>
      </c>
      <c r="B180" s="202" t="s">
        <v>389</v>
      </c>
      <c r="C180" s="203">
        <f>VLOOKUP(A180,Estimate!A:L,12,FALSE)</f>
        <v>1</v>
      </c>
      <c r="D180" s="205">
        <v>151</v>
      </c>
      <c r="E180" s="206"/>
      <c r="F180" s="163" t="str">
        <f>IFERROR(VLOOKUP($A180,'Budget &amp; Revenue'!$A:$Y,4,FALSE)," ")</f>
        <v xml:space="preserve"> </v>
      </c>
      <c r="G180" s="175" t="str">
        <f>IFERROR(VLOOKUP($A180,'Budget &amp; Revenue'!$A:$Y,13,FALSE)," ")</f>
        <v xml:space="preserve"> </v>
      </c>
      <c r="H180" s="175" t="str">
        <f>IFERROR(VLOOKUP($A180,'Budget &amp; Revenue'!$A:$Y,15,FALSE)," ")</f>
        <v xml:space="preserve"> </v>
      </c>
      <c r="I180" s="175" t="str">
        <f>IFERROR(VLOOKUP($A180,'Budget &amp; Revenue'!$A:$Y,17,FALSE)," ")</f>
        <v xml:space="preserve"> </v>
      </c>
      <c r="J180" s="175" t="str">
        <f>IFERROR(VLOOKUP($A180,'Budget &amp; Revenue'!$A:$Y,19,FALSE)," ")</f>
        <v xml:space="preserve"> </v>
      </c>
      <c r="K180" s="175" t="str">
        <f>IFERROR(VLOOKUP($A180,'Budget &amp; Revenue'!$A:$Y,21,FALSE)," ")</f>
        <v xml:space="preserve"> </v>
      </c>
      <c r="L180" s="175" t="str">
        <f>IFERROR(VLOOKUP($A180,'Budget &amp; Revenue'!$A:$Y,23,FALSE)," ")</f>
        <v xml:space="preserve"> </v>
      </c>
      <c r="M180" s="175" t="str">
        <f>IFERROR(VLOOKUP($A180,'Budget &amp; Revenue'!$A:$Y,25,FALSE)," ")</f>
        <v xml:space="preserve"> </v>
      </c>
    </row>
    <row r="181" spans="1:13" x14ac:dyDescent="0.25">
      <c r="A181" s="202">
        <v>95.07</v>
      </c>
      <c r="B181" s="202" t="s">
        <v>390</v>
      </c>
      <c r="C181" s="203">
        <f>VLOOKUP(A181,Estimate!A:L,12,FALSE)</f>
        <v>1</v>
      </c>
      <c r="D181" s="205">
        <v>152</v>
      </c>
      <c r="E181" s="206"/>
      <c r="F181" s="163" t="str">
        <f>IFERROR(VLOOKUP($A181,'Budget &amp; Revenue'!$A:$Y,4,FALSE)," ")</f>
        <v xml:space="preserve"> </v>
      </c>
      <c r="G181" s="175" t="str">
        <f>IFERROR(VLOOKUP($A181,'Budget &amp; Revenue'!$A:$Y,13,FALSE)," ")</f>
        <v xml:space="preserve"> </v>
      </c>
      <c r="H181" s="175" t="str">
        <f>IFERROR(VLOOKUP($A181,'Budget &amp; Revenue'!$A:$Y,15,FALSE)," ")</f>
        <v xml:space="preserve"> </v>
      </c>
      <c r="I181" s="175" t="str">
        <f>IFERROR(VLOOKUP($A181,'Budget &amp; Revenue'!$A:$Y,17,FALSE)," ")</f>
        <v xml:space="preserve"> </v>
      </c>
      <c r="J181" s="175" t="str">
        <f>IFERROR(VLOOKUP($A181,'Budget &amp; Revenue'!$A:$Y,19,FALSE)," ")</f>
        <v xml:space="preserve"> </v>
      </c>
      <c r="K181" s="175" t="str">
        <f>IFERROR(VLOOKUP($A181,'Budget &amp; Revenue'!$A:$Y,21,FALSE)," ")</f>
        <v xml:space="preserve"> </v>
      </c>
      <c r="L181" s="175" t="str">
        <f>IFERROR(VLOOKUP($A181,'Budget &amp; Revenue'!$A:$Y,23,FALSE)," ")</f>
        <v xml:space="preserve"> </v>
      </c>
      <c r="M181" s="175" t="str">
        <f>IFERROR(VLOOKUP($A181,'Budget &amp; Revenue'!$A:$Y,25,FALSE)," ")</f>
        <v xml:space="preserve"> </v>
      </c>
    </row>
    <row r="182" spans="1:13" x14ac:dyDescent="0.25">
      <c r="A182" s="202">
        <v>95.08</v>
      </c>
      <c r="B182" s="202" t="s">
        <v>391</v>
      </c>
      <c r="C182" s="203">
        <f>VLOOKUP(A182,Estimate!A:L,12,FALSE)</f>
        <v>2</v>
      </c>
      <c r="D182" s="205">
        <v>153</v>
      </c>
      <c r="E182" s="206"/>
      <c r="F182" s="163" t="str">
        <f>IFERROR(VLOOKUP($A182,'Budget &amp; Revenue'!$A:$Y,4,FALSE)," ")</f>
        <v xml:space="preserve"> </v>
      </c>
      <c r="G182" s="175" t="str">
        <f>IFERROR(VLOOKUP($A182,'Budget &amp; Revenue'!$A:$Y,13,FALSE)," ")</f>
        <v xml:space="preserve"> </v>
      </c>
      <c r="H182" s="175" t="str">
        <f>IFERROR(VLOOKUP($A182,'Budget &amp; Revenue'!$A:$Y,15,FALSE)," ")</f>
        <v xml:space="preserve"> </v>
      </c>
      <c r="I182" s="175" t="str">
        <f>IFERROR(VLOOKUP($A182,'Budget &amp; Revenue'!$A:$Y,17,FALSE)," ")</f>
        <v xml:space="preserve"> </v>
      </c>
      <c r="J182" s="175" t="str">
        <f>IFERROR(VLOOKUP($A182,'Budget &amp; Revenue'!$A:$Y,19,FALSE)," ")</f>
        <v xml:space="preserve"> </v>
      </c>
      <c r="K182" s="175" t="str">
        <f>IFERROR(VLOOKUP($A182,'Budget &amp; Revenue'!$A:$Y,21,FALSE)," ")</f>
        <v xml:space="preserve"> </v>
      </c>
      <c r="L182" s="175" t="str">
        <f>IFERROR(VLOOKUP($A182,'Budget &amp; Revenue'!$A:$Y,23,FALSE)," ")</f>
        <v xml:space="preserve"> </v>
      </c>
      <c r="M182" s="175" t="str">
        <f>IFERROR(VLOOKUP($A182,'Budget &amp; Revenue'!$A:$Y,25,FALSE)," ")</f>
        <v xml:space="preserve"> </v>
      </c>
    </row>
    <row r="183" spans="1:13" x14ac:dyDescent="0.25">
      <c r="A183" s="202">
        <v>95.09</v>
      </c>
      <c r="B183" s="202" t="s">
        <v>392</v>
      </c>
      <c r="C183" s="203">
        <f>VLOOKUP(A183,Estimate!A:L,12,FALSE)</f>
        <v>1</v>
      </c>
      <c r="D183" s="205">
        <v>154</v>
      </c>
      <c r="E183" s="206"/>
      <c r="F183" s="163" t="str">
        <f>IFERROR(VLOOKUP($A183,'Budget &amp; Revenue'!$A:$Y,4,FALSE)," ")</f>
        <v xml:space="preserve"> </v>
      </c>
      <c r="G183" s="175" t="str">
        <f>IFERROR(VLOOKUP($A183,'Budget &amp; Revenue'!$A:$Y,13,FALSE)," ")</f>
        <v xml:space="preserve"> </v>
      </c>
      <c r="H183" s="175" t="str">
        <f>IFERROR(VLOOKUP($A183,'Budget &amp; Revenue'!$A:$Y,15,FALSE)," ")</f>
        <v xml:space="preserve"> </v>
      </c>
      <c r="I183" s="175" t="str">
        <f>IFERROR(VLOOKUP($A183,'Budget &amp; Revenue'!$A:$Y,17,FALSE)," ")</f>
        <v xml:space="preserve"> </v>
      </c>
      <c r="J183" s="175" t="str">
        <f>IFERROR(VLOOKUP($A183,'Budget &amp; Revenue'!$A:$Y,19,FALSE)," ")</f>
        <v xml:space="preserve"> </v>
      </c>
      <c r="K183" s="175" t="str">
        <f>IFERROR(VLOOKUP($A183,'Budget &amp; Revenue'!$A:$Y,21,FALSE)," ")</f>
        <v xml:space="preserve"> </v>
      </c>
      <c r="L183" s="175" t="str">
        <f>IFERROR(VLOOKUP($A183,'Budget &amp; Revenue'!$A:$Y,23,FALSE)," ")</f>
        <v xml:space="preserve"> </v>
      </c>
      <c r="M183" s="175" t="str">
        <f>IFERROR(VLOOKUP($A183,'Budget &amp; Revenue'!$A:$Y,25,FALSE)," ")</f>
        <v xml:space="preserve"> </v>
      </c>
    </row>
    <row r="184" spans="1:13" x14ac:dyDescent="0.25">
      <c r="A184" s="202">
        <v>95.1</v>
      </c>
      <c r="B184" s="202" t="s">
        <v>393</v>
      </c>
      <c r="C184" s="203">
        <f>VLOOKUP(A184,Estimate!A:L,12,FALSE)</f>
        <v>1</v>
      </c>
      <c r="D184" s="205">
        <v>155</v>
      </c>
      <c r="E184" s="206"/>
      <c r="F184" s="163" t="str">
        <f>IFERROR(VLOOKUP($A184,'Budget &amp; Revenue'!$A:$Y,4,FALSE)," ")</f>
        <v xml:space="preserve"> </v>
      </c>
      <c r="G184" s="175" t="str">
        <f>IFERROR(VLOOKUP($A184,'Budget &amp; Revenue'!$A:$Y,13,FALSE)," ")</f>
        <v xml:space="preserve"> </v>
      </c>
      <c r="H184" s="175" t="str">
        <f>IFERROR(VLOOKUP($A184,'Budget &amp; Revenue'!$A:$Y,15,FALSE)," ")</f>
        <v xml:space="preserve"> </v>
      </c>
      <c r="I184" s="175" t="str">
        <f>IFERROR(VLOOKUP($A184,'Budget &amp; Revenue'!$A:$Y,17,FALSE)," ")</f>
        <v xml:space="preserve"> </v>
      </c>
      <c r="J184" s="175" t="str">
        <f>IFERROR(VLOOKUP($A184,'Budget &amp; Revenue'!$A:$Y,19,FALSE)," ")</f>
        <v xml:space="preserve"> </v>
      </c>
      <c r="K184" s="175" t="str">
        <f>IFERROR(VLOOKUP($A184,'Budget &amp; Revenue'!$A:$Y,21,FALSE)," ")</f>
        <v xml:space="preserve"> </v>
      </c>
      <c r="L184" s="175" t="str">
        <f>IFERROR(VLOOKUP($A184,'Budget &amp; Revenue'!$A:$Y,23,FALSE)," ")</f>
        <v xml:space="preserve"> </v>
      </c>
      <c r="M184" s="175" t="str">
        <f>IFERROR(VLOOKUP($A184,'Budget &amp; Revenue'!$A:$Y,25,FALSE)," ")</f>
        <v xml:space="preserve"> </v>
      </c>
    </row>
    <row r="185" spans="1:13" x14ac:dyDescent="0.25">
      <c r="A185" s="202">
        <v>95.11</v>
      </c>
      <c r="B185" s="202" t="s">
        <v>394</v>
      </c>
      <c r="C185" s="203">
        <f>VLOOKUP(A185,Estimate!A:L,12,FALSE)</f>
        <v>1</v>
      </c>
      <c r="D185" s="205">
        <v>156</v>
      </c>
      <c r="E185" s="206"/>
      <c r="F185" s="163" t="str">
        <f>IFERROR(VLOOKUP($A185,'Budget &amp; Revenue'!$A:$Y,4,FALSE)," ")</f>
        <v xml:space="preserve"> </v>
      </c>
      <c r="G185" s="175" t="str">
        <f>IFERROR(VLOOKUP($A185,'Budget &amp; Revenue'!$A:$Y,13,FALSE)," ")</f>
        <v xml:space="preserve"> </v>
      </c>
      <c r="H185" s="175" t="str">
        <f>IFERROR(VLOOKUP($A185,'Budget &amp; Revenue'!$A:$Y,15,FALSE)," ")</f>
        <v xml:space="preserve"> </v>
      </c>
      <c r="I185" s="175" t="str">
        <f>IFERROR(VLOOKUP($A185,'Budget &amp; Revenue'!$A:$Y,17,FALSE)," ")</f>
        <v xml:space="preserve"> </v>
      </c>
      <c r="J185" s="175" t="str">
        <f>IFERROR(VLOOKUP($A185,'Budget &amp; Revenue'!$A:$Y,19,FALSE)," ")</f>
        <v xml:space="preserve"> </v>
      </c>
      <c r="K185" s="175" t="str">
        <f>IFERROR(VLOOKUP($A185,'Budget &amp; Revenue'!$A:$Y,21,FALSE)," ")</f>
        <v xml:space="preserve"> </v>
      </c>
      <c r="L185" s="175" t="str">
        <f>IFERROR(VLOOKUP($A185,'Budget &amp; Revenue'!$A:$Y,23,FALSE)," ")</f>
        <v xml:space="preserve"> </v>
      </c>
      <c r="M185" s="175" t="str">
        <f>IFERROR(VLOOKUP($A185,'Budget &amp; Revenue'!$A:$Y,25,FALSE)," ")</f>
        <v xml:space="preserve"> </v>
      </c>
    </row>
    <row r="186" spans="1:13" x14ac:dyDescent="0.25">
      <c r="A186" s="202">
        <v>95.12</v>
      </c>
      <c r="B186" s="202" t="s">
        <v>395</v>
      </c>
      <c r="C186" s="203">
        <f>VLOOKUP(A186,Estimate!A:L,12,FALSE)</f>
        <v>1</v>
      </c>
      <c r="D186" s="205">
        <v>157</v>
      </c>
      <c r="E186" s="206"/>
      <c r="F186" s="163" t="str">
        <f>IFERROR(VLOOKUP($A186,'Budget &amp; Revenue'!$A:$Y,4,FALSE)," ")</f>
        <v xml:space="preserve"> </v>
      </c>
      <c r="G186" s="175" t="str">
        <f>IFERROR(VLOOKUP($A186,'Budget &amp; Revenue'!$A:$Y,13,FALSE)," ")</f>
        <v xml:space="preserve"> </v>
      </c>
      <c r="H186" s="175" t="str">
        <f>IFERROR(VLOOKUP($A186,'Budget &amp; Revenue'!$A:$Y,15,FALSE)," ")</f>
        <v xml:space="preserve"> </v>
      </c>
      <c r="I186" s="175" t="str">
        <f>IFERROR(VLOOKUP($A186,'Budget &amp; Revenue'!$A:$Y,17,FALSE)," ")</f>
        <v xml:space="preserve"> </v>
      </c>
      <c r="J186" s="175" t="str">
        <f>IFERROR(VLOOKUP($A186,'Budget &amp; Revenue'!$A:$Y,19,FALSE)," ")</f>
        <v xml:space="preserve"> </v>
      </c>
      <c r="K186" s="175" t="str">
        <f>IFERROR(VLOOKUP($A186,'Budget &amp; Revenue'!$A:$Y,21,FALSE)," ")</f>
        <v xml:space="preserve"> </v>
      </c>
      <c r="L186" s="175" t="str">
        <f>IFERROR(VLOOKUP($A186,'Budget &amp; Revenue'!$A:$Y,23,FALSE)," ")</f>
        <v xml:space="preserve"> </v>
      </c>
      <c r="M186" s="175" t="str">
        <f>IFERROR(VLOOKUP($A186,'Budget &amp; Revenue'!$A:$Y,25,FALSE)," ")</f>
        <v xml:space="preserve"> </v>
      </c>
    </row>
    <row r="187" spans="1:13" x14ac:dyDescent="0.25">
      <c r="A187" s="202">
        <v>95.13</v>
      </c>
      <c r="B187" s="202" t="s">
        <v>396</v>
      </c>
      <c r="C187" s="203">
        <f>VLOOKUP(A187,Estimate!A:L,12,FALSE)</f>
        <v>1</v>
      </c>
      <c r="D187" s="205">
        <v>158</v>
      </c>
      <c r="E187" s="206"/>
      <c r="F187" s="163" t="str">
        <f>IFERROR(VLOOKUP($A187,'Budget &amp; Revenue'!$A:$Y,4,FALSE)," ")</f>
        <v xml:space="preserve"> </v>
      </c>
      <c r="G187" s="175" t="str">
        <f>IFERROR(VLOOKUP($A187,'Budget &amp; Revenue'!$A:$Y,13,FALSE)," ")</f>
        <v xml:space="preserve"> </v>
      </c>
      <c r="H187" s="175" t="str">
        <f>IFERROR(VLOOKUP($A187,'Budget &amp; Revenue'!$A:$Y,15,FALSE)," ")</f>
        <v xml:space="preserve"> </v>
      </c>
      <c r="I187" s="175" t="str">
        <f>IFERROR(VLOOKUP($A187,'Budget &amp; Revenue'!$A:$Y,17,FALSE)," ")</f>
        <v xml:space="preserve"> </v>
      </c>
      <c r="J187" s="175" t="str">
        <f>IFERROR(VLOOKUP($A187,'Budget &amp; Revenue'!$A:$Y,19,FALSE)," ")</f>
        <v xml:space="preserve"> </v>
      </c>
      <c r="K187" s="175" t="str">
        <f>IFERROR(VLOOKUP($A187,'Budget &amp; Revenue'!$A:$Y,21,FALSE)," ")</f>
        <v xml:space="preserve"> </v>
      </c>
      <c r="L187" s="175" t="str">
        <f>IFERROR(VLOOKUP($A187,'Budget &amp; Revenue'!$A:$Y,23,FALSE)," ")</f>
        <v xml:space="preserve"> </v>
      </c>
      <c r="M187" s="175" t="str">
        <f>IFERROR(VLOOKUP($A187,'Budget &amp; Revenue'!$A:$Y,25,FALSE)," ")</f>
        <v xml:space="preserve"> </v>
      </c>
    </row>
    <row r="188" spans="1:13" ht="36" x14ac:dyDescent="0.25">
      <c r="A188" s="203">
        <v>96</v>
      </c>
      <c r="B188" s="203" t="s">
        <v>399</v>
      </c>
      <c r="C188" s="203">
        <f>VLOOKUP(A188,Estimate!A:L,12,FALSE)</f>
        <v>0</v>
      </c>
      <c r="D188" s="204"/>
      <c r="E188" s="204"/>
      <c r="F188" s="163">
        <f>IFERROR(VLOOKUP($A188,'Budget &amp; Revenue'!$A:$Y,4,FALSE)," ")</f>
        <v>94171.909999999989</v>
      </c>
      <c r="G188" s="175">
        <f>IFERROR(VLOOKUP($A188,'Budget &amp; Revenue'!$A:$Y,13,FALSE)," ")</f>
        <v>0</v>
      </c>
      <c r="H188" s="175">
        <f>IFERROR(VLOOKUP($A188,'Budget &amp; Revenue'!$A:$Y,15,FALSE)," ")</f>
        <v>0</v>
      </c>
      <c r="I188" s="175">
        <f>IFERROR(VLOOKUP($A188,'Budget &amp; Revenue'!$A:$Y,17,FALSE)," ")</f>
        <v>0.32993692382338674</v>
      </c>
      <c r="J188" s="175">
        <f>IFERROR(VLOOKUP($A188,'Budget &amp; Revenue'!$A:$Y,19,FALSE)," ")</f>
        <v>0.71324599708879188</v>
      </c>
      <c r="K188" s="175">
        <f>IFERROR(VLOOKUP($A188,'Budget &amp; Revenue'!$A:$Y,21,FALSE)," ")</f>
        <v>0.71324599708879188</v>
      </c>
      <c r="L188" s="175">
        <f>IFERROR(VLOOKUP($A188,'Budget &amp; Revenue'!$A:$Y,23,FALSE)," ")</f>
        <v>1</v>
      </c>
      <c r="M188" s="175">
        <f>IFERROR(VLOOKUP($A188,'Budget &amp; Revenue'!$A:$Y,25,FALSE)," ")</f>
        <v>1</v>
      </c>
    </row>
    <row r="189" spans="1:13" x14ac:dyDescent="0.25">
      <c r="A189" s="202">
        <v>96.01</v>
      </c>
      <c r="B189" s="202" t="s">
        <v>384</v>
      </c>
      <c r="C189" s="203">
        <f>VLOOKUP(A189,Estimate!A:L,12,FALSE)</f>
        <v>1</v>
      </c>
      <c r="D189" s="205">
        <v>160</v>
      </c>
      <c r="E189" s="206"/>
      <c r="F189" s="163" t="str">
        <f>IFERROR(VLOOKUP($A189,'Budget &amp; Revenue'!$A:$Y,4,FALSE)," ")</f>
        <v xml:space="preserve"> </v>
      </c>
      <c r="G189" s="175" t="str">
        <f>IFERROR(VLOOKUP($A189,'Budget &amp; Revenue'!$A:$Y,13,FALSE)," ")</f>
        <v xml:space="preserve"> </v>
      </c>
      <c r="H189" s="175" t="str">
        <f>IFERROR(VLOOKUP($A189,'Budget &amp; Revenue'!$A:$Y,15,FALSE)," ")</f>
        <v xml:space="preserve"> </v>
      </c>
      <c r="I189" s="175" t="str">
        <f>IFERROR(VLOOKUP($A189,'Budget &amp; Revenue'!$A:$Y,17,FALSE)," ")</f>
        <v xml:space="preserve"> </v>
      </c>
      <c r="J189" s="175" t="str">
        <f>IFERROR(VLOOKUP($A189,'Budget &amp; Revenue'!$A:$Y,19,FALSE)," ")</f>
        <v xml:space="preserve"> </v>
      </c>
      <c r="K189" s="175" t="str">
        <f>IFERROR(VLOOKUP($A189,'Budget &amp; Revenue'!$A:$Y,21,FALSE)," ")</f>
        <v xml:space="preserve"> </v>
      </c>
      <c r="L189" s="175" t="str">
        <f>IFERROR(VLOOKUP($A189,'Budget &amp; Revenue'!$A:$Y,23,FALSE)," ")</f>
        <v xml:space="preserve"> </v>
      </c>
      <c r="M189" s="175" t="str">
        <f>IFERROR(VLOOKUP($A189,'Budget &amp; Revenue'!$A:$Y,25,FALSE)," ")</f>
        <v xml:space="preserve"> </v>
      </c>
    </row>
    <row r="190" spans="1:13" x14ac:dyDescent="0.25">
      <c r="A190" s="202">
        <v>96.02</v>
      </c>
      <c r="B190" s="202" t="s">
        <v>385</v>
      </c>
      <c r="C190" s="203">
        <f>VLOOKUP(A190,Estimate!A:L,12,FALSE)</f>
        <v>1</v>
      </c>
      <c r="D190" s="205">
        <v>161</v>
      </c>
      <c r="E190" s="206"/>
      <c r="F190" s="163" t="str">
        <f>IFERROR(VLOOKUP($A190,'Budget &amp; Revenue'!$A:$Y,4,FALSE)," ")</f>
        <v xml:space="preserve"> </v>
      </c>
      <c r="G190" s="175" t="str">
        <f>IFERROR(VLOOKUP($A190,'Budget &amp; Revenue'!$A:$Y,13,FALSE)," ")</f>
        <v xml:space="preserve"> </v>
      </c>
      <c r="H190" s="175" t="str">
        <f>IFERROR(VLOOKUP($A190,'Budget &amp; Revenue'!$A:$Y,15,FALSE)," ")</f>
        <v xml:space="preserve"> </v>
      </c>
      <c r="I190" s="175" t="str">
        <f>IFERROR(VLOOKUP($A190,'Budget &amp; Revenue'!$A:$Y,17,FALSE)," ")</f>
        <v xml:space="preserve"> </v>
      </c>
      <c r="J190" s="175" t="str">
        <f>IFERROR(VLOOKUP($A190,'Budget &amp; Revenue'!$A:$Y,19,FALSE)," ")</f>
        <v xml:space="preserve"> </v>
      </c>
      <c r="K190" s="175" t="str">
        <f>IFERROR(VLOOKUP($A190,'Budget &amp; Revenue'!$A:$Y,21,FALSE)," ")</f>
        <v xml:space="preserve"> </v>
      </c>
      <c r="L190" s="175" t="str">
        <f>IFERROR(VLOOKUP($A190,'Budget &amp; Revenue'!$A:$Y,23,FALSE)," ")</f>
        <v xml:space="preserve"> </v>
      </c>
      <c r="M190" s="175" t="str">
        <f>IFERROR(VLOOKUP($A190,'Budget &amp; Revenue'!$A:$Y,25,FALSE)," ")</f>
        <v xml:space="preserve"> </v>
      </c>
    </row>
    <row r="191" spans="1:13" x14ac:dyDescent="0.25">
      <c r="A191" s="202">
        <v>96.03</v>
      </c>
      <c r="B191" s="202" t="s">
        <v>386</v>
      </c>
      <c r="C191" s="203">
        <f>VLOOKUP(A191,Estimate!A:L,12,FALSE)</f>
        <v>1</v>
      </c>
      <c r="D191" s="205">
        <v>162</v>
      </c>
      <c r="E191" s="206"/>
      <c r="F191" s="163" t="str">
        <f>IFERROR(VLOOKUP($A191,'Budget &amp; Revenue'!$A:$Y,4,FALSE)," ")</f>
        <v xml:space="preserve"> </v>
      </c>
      <c r="G191" s="175" t="str">
        <f>IFERROR(VLOOKUP($A191,'Budget &amp; Revenue'!$A:$Y,13,FALSE)," ")</f>
        <v xml:space="preserve"> </v>
      </c>
      <c r="H191" s="175" t="str">
        <f>IFERROR(VLOOKUP($A191,'Budget &amp; Revenue'!$A:$Y,15,FALSE)," ")</f>
        <v xml:space="preserve"> </v>
      </c>
      <c r="I191" s="175" t="str">
        <f>IFERROR(VLOOKUP($A191,'Budget &amp; Revenue'!$A:$Y,17,FALSE)," ")</f>
        <v xml:space="preserve"> </v>
      </c>
      <c r="J191" s="175" t="str">
        <f>IFERROR(VLOOKUP($A191,'Budget &amp; Revenue'!$A:$Y,19,FALSE)," ")</f>
        <v xml:space="preserve"> </v>
      </c>
      <c r="K191" s="175" t="str">
        <f>IFERROR(VLOOKUP($A191,'Budget &amp; Revenue'!$A:$Y,21,FALSE)," ")</f>
        <v xml:space="preserve"> </v>
      </c>
      <c r="L191" s="175" t="str">
        <f>IFERROR(VLOOKUP($A191,'Budget &amp; Revenue'!$A:$Y,23,FALSE)," ")</f>
        <v xml:space="preserve"> </v>
      </c>
      <c r="M191" s="175" t="str">
        <f>IFERROR(VLOOKUP($A191,'Budget &amp; Revenue'!$A:$Y,25,FALSE)," ")</f>
        <v xml:space="preserve"> </v>
      </c>
    </row>
    <row r="192" spans="1:13" x14ac:dyDescent="0.25">
      <c r="A192" s="202">
        <v>96.04</v>
      </c>
      <c r="B192" s="202" t="s">
        <v>387</v>
      </c>
      <c r="C192" s="203">
        <f>VLOOKUP(A192,Estimate!A:L,12,FALSE)</f>
        <v>1</v>
      </c>
      <c r="D192" s="205">
        <v>163</v>
      </c>
      <c r="E192" s="206"/>
      <c r="F192" s="163" t="str">
        <f>IFERROR(VLOOKUP($A192,'Budget &amp; Revenue'!$A:$Y,4,FALSE)," ")</f>
        <v xml:space="preserve"> </v>
      </c>
      <c r="G192" s="175" t="str">
        <f>IFERROR(VLOOKUP($A192,'Budget &amp; Revenue'!$A:$Y,13,FALSE)," ")</f>
        <v xml:space="preserve"> </v>
      </c>
      <c r="H192" s="175" t="str">
        <f>IFERROR(VLOOKUP($A192,'Budget &amp; Revenue'!$A:$Y,15,FALSE)," ")</f>
        <v xml:space="preserve"> </v>
      </c>
      <c r="I192" s="175" t="str">
        <f>IFERROR(VLOOKUP($A192,'Budget &amp; Revenue'!$A:$Y,17,FALSE)," ")</f>
        <v xml:space="preserve"> </v>
      </c>
      <c r="J192" s="175" t="str">
        <f>IFERROR(VLOOKUP($A192,'Budget &amp; Revenue'!$A:$Y,19,FALSE)," ")</f>
        <v xml:space="preserve"> </v>
      </c>
      <c r="K192" s="175" t="str">
        <f>IFERROR(VLOOKUP($A192,'Budget &amp; Revenue'!$A:$Y,21,FALSE)," ")</f>
        <v xml:space="preserve"> </v>
      </c>
      <c r="L192" s="175" t="str">
        <f>IFERROR(VLOOKUP($A192,'Budget &amp; Revenue'!$A:$Y,23,FALSE)," ")</f>
        <v xml:space="preserve"> </v>
      </c>
      <c r="M192" s="175" t="str">
        <f>IFERROR(VLOOKUP($A192,'Budget &amp; Revenue'!$A:$Y,25,FALSE)," ")</f>
        <v xml:space="preserve"> </v>
      </c>
    </row>
    <row r="193" spans="1:13" x14ac:dyDescent="0.25">
      <c r="A193" s="202">
        <v>96.05</v>
      </c>
      <c r="B193" s="202" t="s">
        <v>388</v>
      </c>
      <c r="C193" s="203">
        <f>VLOOKUP(A193,Estimate!A:L,12,FALSE)</f>
        <v>1</v>
      </c>
      <c r="D193" s="205">
        <v>164</v>
      </c>
      <c r="E193" s="206"/>
      <c r="F193" s="163" t="str">
        <f>IFERROR(VLOOKUP($A193,'Budget &amp; Revenue'!$A:$Y,4,FALSE)," ")</f>
        <v xml:space="preserve"> </v>
      </c>
      <c r="G193" s="175" t="str">
        <f>IFERROR(VLOOKUP($A193,'Budget &amp; Revenue'!$A:$Y,13,FALSE)," ")</f>
        <v xml:space="preserve"> </v>
      </c>
      <c r="H193" s="175" t="str">
        <f>IFERROR(VLOOKUP($A193,'Budget &amp; Revenue'!$A:$Y,15,FALSE)," ")</f>
        <v xml:space="preserve"> </v>
      </c>
      <c r="I193" s="175" t="str">
        <f>IFERROR(VLOOKUP($A193,'Budget &amp; Revenue'!$A:$Y,17,FALSE)," ")</f>
        <v xml:space="preserve"> </v>
      </c>
      <c r="J193" s="175" t="str">
        <f>IFERROR(VLOOKUP($A193,'Budget &amp; Revenue'!$A:$Y,19,FALSE)," ")</f>
        <v xml:space="preserve"> </v>
      </c>
      <c r="K193" s="175" t="str">
        <f>IFERROR(VLOOKUP($A193,'Budget &amp; Revenue'!$A:$Y,21,FALSE)," ")</f>
        <v xml:space="preserve"> </v>
      </c>
      <c r="L193" s="175" t="str">
        <f>IFERROR(VLOOKUP($A193,'Budget &amp; Revenue'!$A:$Y,23,FALSE)," ")</f>
        <v xml:space="preserve"> </v>
      </c>
      <c r="M193" s="175" t="str">
        <f>IFERROR(VLOOKUP($A193,'Budget &amp; Revenue'!$A:$Y,25,FALSE)," ")</f>
        <v xml:space="preserve"> </v>
      </c>
    </row>
    <row r="194" spans="1:13" x14ac:dyDescent="0.25">
      <c r="A194" s="202">
        <v>96.06</v>
      </c>
      <c r="B194" s="202" t="s">
        <v>389</v>
      </c>
      <c r="C194" s="203">
        <f>VLOOKUP(A194,Estimate!A:L,12,FALSE)</f>
        <v>1</v>
      </c>
      <c r="D194" s="205">
        <v>165</v>
      </c>
      <c r="E194" s="206"/>
      <c r="F194" s="163" t="str">
        <f>IFERROR(VLOOKUP($A194,'Budget &amp; Revenue'!$A:$Y,4,FALSE)," ")</f>
        <v xml:space="preserve"> </v>
      </c>
      <c r="G194" s="175" t="str">
        <f>IFERROR(VLOOKUP($A194,'Budget &amp; Revenue'!$A:$Y,13,FALSE)," ")</f>
        <v xml:space="preserve"> </v>
      </c>
      <c r="H194" s="175" t="str">
        <f>IFERROR(VLOOKUP($A194,'Budget &amp; Revenue'!$A:$Y,15,FALSE)," ")</f>
        <v xml:space="preserve"> </v>
      </c>
      <c r="I194" s="175" t="str">
        <f>IFERROR(VLOOKUP($A194,'Budget &amp; Revenue'!$A:$Y,17,FALSE)," ")</f>
        <v xml:space="preserve"> </v>
      </c>
      <c r="J194" s="175" t="str">
        <f>IFERROR(VLOOKUP($A194,'Budget &amp; Revenue'!$A:$Y,19,FALSE)," ")</f>
        <v xml:space="preserve"> </v>
      </c>
      <c r="K194" s="175" t="str">
        <f>IFERROR(VLOOKUP($A194,'Budget &amp; Revenue'!$A:$Y,21,FALSE)," ")</f>
        <v xml:space="preserve"> </v>
      </c>
      <c r="L194" s="175" t="str">
        <f>IFERROR(VLOOKUP($A194,'Budget &amp; Revenue'!$A:$Y,23,FALSE)," ")</f>
        <v xml:space="preserve"> </v>
      </c>
      <c r="M194" s="175" t="str">
        <f>IFERROR(VLOOKUP($A194,'Budget &amp; Revenue'!$A:$Y,25,FALSE)," ")</f>
        <v xml:space="preserve"> </v>
      </c>
    </row>
    <row r="195" spans="1:13" x14ac:dyDescent="0.25">
      <c r="A195" s="202">
        <v>96.07</v>
      </c>
      <c r="B195" s="202" t="s">
        <v>390</v>
      </c>
      <c r="C195" s="203">
        <f>VLOOKUP(A195,Estimate!A:L,12,FALSE)</f>
        <v>1</v>
      </c>
      <c r="D195" s="205">
        <v>166</v>
      </c>
      <c r="E195" s="206"/>
      <c r="F195" s="163" t="str">
        <f>IFERROR(VLOOKUP($A195,'Budget &amp; Revenue'!$A:$Y,4,FALSE)," ")</f>
        <v xml:space="preserve"> </v>
      </c>
      <c r="G195" s="175" t="str">
        <f>IFERROR(VLOOKUP($A195,'Budget &amp; Revenue'!$A:$Y,13,FALSE)," ")</f>
        <v xml:space="preserve"> </v>
      </c>
      <c r="H195" s="175" t="str">
        <f>IFERROR(VLOOKUP($A195,'Budget &amp; Revenue'!$A:$Y,15,FALSE)," ")</f>
        <v xml:space="preserve"> </v>
      </c>
      <c r="I195" s="175" t="str">
        <f>IFERROR(VLOOKUP($A195,'Budget &amp; Revenue'!$A:$Y,17,FALSE)," ")</f>
        <v xml:space="preserve"> </v>
      </c>
      <c r="J195" s="175" t="str">
        <f>IFERROR(VLOOKUP($A195,'Budget &amp; Revenue'!$A:$Y,19,FALSE)," ")</f>
        <v xml:space="preserve"> </v>
      </c>
      <c r="K195" s="175" t="str">
        <f>IFERROR(VLOOKUP($A195,'Budget &amp; Revenue'!$A:$Y,21,FALSE)," ")</f>
        <v xml:space="preserve"> </v>
      </c>
      <c r="L195" s="175" t="str">
        <f>IFERROR(VLOOKUP($A195,'Budget &amp; Revenue'!$A:$Y,23,FALSE)," ")</f>
        <v xml:space="preserve"> </v>
      </c>
      <c r="M195" s="175" t="str">
        <f>IFERROR(VLOOKUP($A195,'Budget &amp; Revenue'!$A:$Y,25,FALSE)," ")</f>
        <v xml:space="preserve"> </v>
      </c>
    </row>
    <row r="196" spans="1:13" x14ac:dyDescent="0.25">
      <c r="A196" s="202">
        <v>96.08</v>
      </c>
      <c r="B196" s="202" t="s">
        <v>391</v>
      </c>
      <c r="C196" s="203">
        <f>VLOOKUP(A196,Estimate!A:L,12,FALSE)</f>
        <v>2</v>
      </c>
      <c r="D196" s="205">
        <v>167</v>
      </c>
      <c r="E196" s="205"/>
      <c r="F196" s="163" t="str">
        <f>IFERROR(VLOOKUP($A196,'Budget &amp; Revenue'!$A:$Y,4,FALSE)," ")</f>
        <v xml:space="preserve"> </v>
      </c>
      <c r="G196" s="175" t="str">
        <f>IFERROR(VLOOKUP($A196,'Budget &amp; Revenue'!$A:$Y,13,FALSE)," ")</f>
        <v xml:space="preserve"> </v>
      </c>
      <c r="H196" s="175" t="str">
        <f>IFERROR(VLOOKUP($A196,'Budget &amp; Revenue'!$A:$Y,15,FALSE)," ")</f>
        <v xml:space="preserve"> </v>
      </c>
      <c r="I196" s="175" t="str">
        <f>IFERROR(VLOOKUP($A196,'Budget &amp; Revenue'!$A:$Y,17,FALSE)," ")</f>
        <v xml:space="preserve"> </v>
      </c>
      <c r="J196" s="175" t="str">
        <f>IFERROR(VLOOKUP($A196,'Budget &amp; Revenue'!$A:$Y,19,FALSE)," ")</f>
        <v xml:space="preserve"> </v>
      </c>
      <c r="K196" s="175" t="str">
        <f>IFERROR(VLOOKUP($A196,'Budget &amp; Revenue'!$A:$Y,21,FALSE)," ")</f>
        <v xml:space="preserve"> </v>
      </c>
      <c r="L196" s="175" t="str">
        <f>IFERROR(VLOOKUP($A196,'Budget &amp; Revenue'!$A:$Y,23,FALSE)," ")</f>
        <v xml:space="preserve"> </v>
      </c>
      <c r="M196" s="175" t="str">
        <f>IFERROR(VLOOKUP($A196,'Budget &amp; Revenue'!$A:$Y,25,FALSE)," ")</f>
        <v xml:space="preserve"> </v>
      </c>
    </row>
    <row r="197" spans="1:13" x14ac:dyDescent="0.25">
      <c r="A197" s="202">
        <v>96.09</v>
      </c>
      <c r="B197" s="202" t="s">
        <v>392</v>
      </c>
      <c r="C197" s="203">
        <f>VLOOKUP(A197,Estimate!A:L,12,FALSE)</f>
        <v>1</v>
      </c>
      <c r="D197" s="205">
        <v>168</v>
      </c>
      <c r="E197" s="206"/>
      <c r="F197" s="163" t="str">
        <f>IFERROR(VLOOKUP($A197,'Budget &amp; Revenue'!$A:$Y,4,FALSE)," ")</f>
        <v xml:space="preserve"> </v>
      </c>
      <c r="G197" s="175" t="str">
        <f>IFERROR(VLOOKUP($A197,'Budget &amp; Revenue'!$A:$Y,13,FALSE)," ")</f>
        <v xml:space="preserve"> </v>
      </c>
      <c r="H197" s="175" t="str">
        <f>IFERROR(VLOOKUP($A197,'Budget &amp; Revenue'!$A:$Y,15,FALSE)," ")</f>
        <v xml:space="preserve"> </v>
      </c>
      <c r="I197" s="175" t="str">
        <f>IFERROR(VLOOKUP($A197,'Budget &amp; Revenue'!$A:$Y,17,FALSE)," ")</f>
        <v xml:space="preserve"> </v>
      </c>
      <c r="J197" s="175" t="str">
        <f>IFERROR(VLOOKUP($A197,'Budget &amp; Revenue'!$A:$Y,19,FALSE)," ")</f>
        <v xml:space="preserve"> </v>
      </c>
      <c r="K197" s="175" t="str">
        <f>IFERROR(VLOOKUP($A197,'Budget &amp; Revenue'!$A:$Y,21,FALSE)," ")</f>
        <v xml:space="preserve"> </v>
      </c>
      <c r="L197" s="175" t="str">
        <f>IFERROR(VLOOKUP($A197,'Budget &amp; Revenue'!$A:$Y,23,FALSE)," ")</f>
        <v xml:space="preserve"> </v>
      </c>
      <c r="M197" s="175" t="str">
        <f>IFERROR(VLOOKUP($A197,'Budget &amp; Revenue'!$A:$Y,25,FALSE)," ")</f>
        <v xml:space="preserve"> </v>
      </c>
    </row>
    <row r="198" spans="1:13" x14ac:dyDescent="0.25">
      <c r="A198" s="202">
        <v>96.1</v>
      </c>
      <c r="B198" s="202" t="s">
        <v>393</v>
      </c>
      <c r="C198" s="203">
        <f>VLOOKUP(A198,Estimate!A:L,12,FALSE)</f>
        <v>1</v>
      </c>
      <c r="D198" s="205">
        <v>169</v>
      </c>
      <c r="E198" s="206"/>
      <c r="F198" s="163" t="str">
        <f>IFERROR(VLOOKUP($A198,'Budget &amp; Revenue'!$A:$Y,4,FALSE)," ")</f>
        <v xml:space="preserve"> </v>
      </c>
      <c r="G198" s="175" t="str">
        <f>IFERROR(VLOOKUP($A198,'Budget &amp; Revenue'!$A:$Y,13,FALSE)," ")</f>
        <v xml:space="preserve"> </v>
      </c>
      <c r="H198" s="175" t="str">
        <f>IFERROR(VLOOKUP($A198,'Budget &amp; Revenue'!$A:$Y,15,FALSE)," ")</f>
        <v xml:space="preserve"> </v>
      </c>
      <c r="I198" s="175" t="str">
        <f>IFERROR(VLOOKUP($A198,'Budget &amp; Revenue'!$A:$Y,17,FALSE)," ")</f>
        <v xml:space="preserve"> </v>
      </c>
      <c r="J198" s="175" t="str">
        <f>IFERROR(VLOOKUP($A198,'Budget &amp; Revenue'!$A:$Y,19,FALSE)," ")</f>
        <v xml:space="preserve"> </v>
      </c>
      <c r="K198" s="175" t="str">
        <f>IFERROR(VLOOKUP($A198,'Budget &amp; Revenue'!$A:$Y,21,FALSE)," ")</f>
        <v xml:space="preserve"> </v>
      </c>
      <c r="L198" s="175" t="str">
        <f>IFERROR(VLOOKUP($A198,'Budget &amp; Revenue'!$A:$Y,23,FALSE)," ")</f>
        <v xml:space="preserve"> </v>
      </c>
      <c r="M198" s="175" t="str">
        <f>IFERROR(VLOOKUP($A198,'Budget &amp; Revenue'!$A:$Y,25,FALSE)," ")</f>
        <v xml:space="preserve"> </v>
      </c>
    </row>
    <row r="199" spans="1:13" x14ac:dyDescent="0.25">
      <c r="A199" s="202">
        <v>96.11</v>
      </c>
      <c r="B199" s="202" t="s">
        <v>394</v>
      </c>
      <c r="C199" s="203">
        <f>VLOOKUP(A199,Estimate!A:L,12,FALSE)</f>
        <v>1</v>
      </c>
      <c r="D199" s="205">
        <v>170</v>
      </c>
      <c r="E199" s="206"/>
      <c r="F199" s="163" t="str">
        <f>IFERROR(VLOOKUP($A199,'Budget &amp; Revenue'!$A:$Y,4,FALSE)," ")</f>
        <v xml:space="preserve"> </v>
      </c>
      <c r="G199" s="175" t="str">
        <f>IFERROR(VLOOKUP($A199,'Budget &amp; Revenue'!$A:$Y,13,FALSE)," ")</f>
        <v xml:space="preserve"> </v>
      </c>
      <c r="H199" s="175" t="str">
        <f>IFERROR(VLOOKUP($A199,'Budget &amp; Revenue'!$A:$Y,15,FALSE)," ")</f>
        <v xml:space="preserve"> </v>
      </c>
      <c r="I199" s="175" t="str">
        <f>IFERROR(VLOOKUP($A199,'Budget &amp; Revenue'!$A:$Y,17,FALSE)," ")</f>
        <v xml:space="preserve"> </v>
      </c>
      <c r="J199" s="175" t="str">
        <f>IFERROR(VLOOKUP($A199,'Budget &amp; Revenue'!$A:$Y,19,FALSE)," ")</f>
        <v xml:space="preserve"> </v>
      </c>
      <c r="K199" s="175" t="str">
        <f>IFERROR(VLOOKUP($A199,'Budget &amp; Revenue'!$A:$Y,21,FALSE)," ")</f>
        <v xml:space="preserve"> </v>
      </c>
      <c r="L199" s="175" t="str">
        <f>IFERROR(VLOOKUP($A199,'Budget &amp; Revenue'!$A:$Y,23,FALSE)," ")</f>
        <v xml:space="preserve"> </v>
      </c>
      <c r="M199" s="175" t="str">
        <f>IFERROR(VLOOKUP($A199,'Budget &amp; Revenue'!$A:$Y,25,FALSE)," ")</f>
        <v xml:space="preserve"> </v>
      </c>
    </row>
    <row r="200" spans="1:13" x14ac:dyDescent="0.25">
      <c r="A200" s="202">
        <v>96.12</v>
      </c>
      <c r="B200" s="202" t="s">
        <v>395</v>
      </c>
      <c r="C200" s="203">
        <f>VLOOKUP(A200,Estimate!A:L,12,FALSE)</f>
        <v>1</v>
      </c>
      <c r="D200" s="205">
        <v>171</v>
      </c>
      <c r="E200" s="206"/>
      <c r="F200" s="163" t="str">
        <f>IFERROR(VLOOKUP($A200,'Budget &amp; Revenue'!$A:$Y,4,FALSE)," ")</f>
        <v xml:space="preserve"> </v>
      </c>
      <c r="G200" s="175" t="str">
        <f>IFERROR(VLOOKUP($A200,'Budget &amp; Revenue'!$A:$Y,13,FALSE)," ")</f>
        <v xml:space="preserve"> </v>
      </c>
      <c r="H200" s="175" t="str">
        <f>IFERROR(VLOOKUP($A200,'Budget &amp; Revenue'!$A:$Y,15,FALSE)," ")</f>
        <v xml:space="preserve"> </v>
      </c>
      <c r="I200" s="175" t="str">
        <f>IFERROR(VLOOKUP($A200,'Budget &amp; Revenue'!$A:$Y,17,FALSE)," ")</f>
        <v xml:space="preserve"> </v>
      </c>
      <c r="J200" s="175" t="str">
        <f>IFERROR(VLOOKUP($A200,'Budget &amp; Revenue'!$A:$Y,19,FALSE)," ")</f>
        <v xml:space="preserve"> </v>
      </c>
      <c r="K200" s="175" t="str">
        <f>IFERROR(VLOOKUP($A200,'Budget &amp; Revenue'!$A:$Y,21,FALSE)," ")</f>
        <v xml:space="preserve"> </v>
      </c>
      <c r="L200" s="175" t="str">
        <f>IFERROR(VLOOKUP($A200,'Budget &amp; Revenue'!$A:$Y,23,FALSE)," ")</f>
        <v xml:space="preserve"> </v>
      </c>
      <c r="M200" s="175" t="str">
        <f>IFERROR(VLOOKUP($A200,'Budget &amp; Revenue'!$A:$Y,25,FALSE)," ")</f>
        <v xml:space="preserve"> </v>
      </c>
    </row>
    <row r="201" spans="1:13" x14ac:dyDescent="0.25">
      <c r="A201" s="202">
        <v>96.13</v>
      </c>
      <c r="B201" s="202" t="s">
        <v>396</v>
      </c>
      <c r="C201" s="203">
        <f>VLOOKUP(A201,Estimate!A:L,12,FALSE)</f>
        <v>1</v>
      </c>
      <c r="D201" s="205">
        <v>172</v>
      </c>
      <c r="E201" s="206"/>
      <c r="F201" s="163" t="str">
        <f>IFERROR(VLOOKUP($A201,'Budget &amp; Revenue'!$A:$Y,4,FALSE)," ")</f>
        <v xml:space="preserve"> </v>
      </c>
      <c r="G201" s="175" t="str">
        <f>IFERROR(VLOOKUP($A201,'Budget &amp; Revenue'!$A:$Y,13,FALSE)," ")</f>
        <v xml:space="preserve"> </v>
      </c>
      <c r="H201" s="175" t="str">
        <f>IFERROR(VLOOKUP($A201,'Budget &amp; Revenue'!$A:$Y,15,FALSE)," ")</f>
        <v xml:space="preserve"> </v>
      </c>
      <c r="I201" s="175" t="str">
        <f>IFERROR(VLOOKUP($A201,'Budget &amp; Revenue'!$A:$Y,17,FALSE)," ")</f>
        <v xml:space="preserve"> </v>
      </c>
      <c r="J201" s="175" t="str">
        <f>IFERROR(VLOOKUP($A201,'Budget &amp; Revenue'!$A:$Y,19,FALSE)," ")</f>
        <v xml:space="preserve"> </v>
      </c>
      <c r="K201" s="175" t="str">
        <f>IFERROR(VLOOKUP($A201,'Budget &amp; Revenue'!$A:$Y,21,FALSE)," ")</f>
        <v xml:space="preserve"> </v>
      </c>
      <c r="L201" s="175" t="str">
        <f>IFERROR(VLOOKUP($A201,'Budget &amp; Revenue'!$A:$Y,23,FALSE)," ")</f>
        <v xml:space="preserve"> </v>
      </c>
      <c r="M201" s="175" t="str">
        <f>IFERROR(VLOOKUP($A201,'Budget &amp; Revenue'!$A:$Y,25,FALSE)," ")</f>
        <v xml:space="preserve"> </v>
      </c>
    </row>
    <row r="202" spans="1:13" ht="60" x14ac:dyDescent="0.25">
      <c r="A202" s="202">
        <v>97</v>
      </c>
      <c r="B202" s="202" t="s">
        <v>400</v>
      </c>
      <c r="C202" s="203">
        <f>VLOOKUP(A202,Estimate!A:L,12,FALSE)</f>
        <v>1</v>
      </c>
      <c r="D202" s="205">
        <v>132</v>
      </c>
      <c r="E202" s="206">
        <v>153202</v>
      </c>
      <c r="F202" s="163">
        <f>IFERROR(VLOOKUP($A202,'Budget &amp; Revenue'!$A:$Y,4,FALSE)," ")</f>
        <v>27955.34</v>
      </c>
      <c r="G202" s="175">
        <f>IFERROR(VLOOKUP($A202,'Budget &amp; Revenue'!$A:$Y,13,FALSE)," ")</f>
        <v>0</v>
      </c>
      <c r="H202" s="175">
        <f>IFERROR(VLOOKUP($A202,'Budget &amp; Revenue'!$A:$Y,15,FALSE)," ")</f>
        <v>0</v>
      </c>
      <c r="I202" s="175">
        <f>IFERROR(VLOOKUP($A202,'Budget &amp; Revenue'!$A:$Y,17,FALSE)," ")</f>
        <v>0.80784574468085102</v>
      </c>
      <c r="J202" s="175">
        <f>IFERROR(VLOOKUP($A202,'Budget &amp; Revenue'!$A:$Y,19,FALSE)," ")</f>
        <v>0.9414893617021276</v>
      </c>
      <c r="K202" s="175">
        <f>IFERROR(VLOOKUP($A202,'Budget &amp; Revenue'!$A:$Y,21,FALSE)," ")</f>
        <v>0.9414893617021276</v>
      </c>
      <c r="L202" s="175">
        <f>IFERROR(VLOOKUP($A202,'Budget &amp; Revenue'!$A:$Y,23,FALSE)," ")</f>
        <v>1</v>
      </c>
      <c r="M202" s="175">
        <f>IFERROR(VLOOKUP($A202,'Budget &amp; Revenue'!$A:$Y,25,FALSE)," ")</f>
        <v>1</v>
      </c>
    </row>
    <row r="203" spans="1:13" ht="48" x14ac:dyDescent="0.25">
      <c r="A203" s="202">
        <v>98</v>
      </c>
      <c r="B203" s="202" t="s">
        <v>401</v>
      </c>
      <c r="C203" s="203">
        <f>VLOOKUP(A203,Estimate!A:L,12,FALSE)</f>
        <v>1</v>
      </c>
      <c r="D203" s="205">
        <v>201</v>
      </c>
      <c r="E203" s="205">
        <v>167</v>
      </c>
      <c r="F203" s="163">
        <f>IFERROR(VLOOKUP($A203,'Budget &amp; Revenue'!$A:$Y,4,FALSE)," ")</f>
        <v>22422.539999999997</v>
      </c>
      <c r="G203" s="175">
        <f>IFERROR(VLOOKUP($A203,'Budget &amp; Revenue'!$A:$Y,13,FALSE)," ")</f>
        <v>0</v>
      </c>
      <c r="H203" s="175">
        <f>IFERROR(VLOOKUP($A203,'Budget &amp; Revenue'!$A:$Y,15,FALSE)," ")</f>
        <v>0</v>
      </c>
      <c r="I203" s="175">
        <f>IFERROR(VLOOKUP($A203,'Budget &amp; Revenue'!$A:$Y,17,FALSE)," ")</f>
        <v>0.77700145560407563</v>
      </c>
      <c r="J203" s="175">
        <f>IFERROR(VLOOKUP($A203,'Budget &amp; Revenue'!$A:$Y,19,FALSE)," ")</f>
        <v>0.88859776807375057</v>
      </c>
      <c r="K203" s="175">
        <f>IFERROR(VLOOKUP($A203,'Budget &amp; Revenue'!$A:$Y,21,FALSE)," ")</f>
        <v>0.88859776807375057</v>
      </c>
      <c r="L203" s="175">
        <f>IFERROR(VLOOKUP($A203,'Budget &amp; Revenue'!$A:$Y,23,FALSE)," ")</f>
        <v>1</v>
      </c>
      <c r="M203" s="175">
        <f>IFERROR(VLOOKUP($A203,'Budget &amp; Revenue'!$A:$Y,25,FALSE)," ")</f>
        <v>1</v>
      </c>
    </row>
    <row r="204" spans="1:13" ht="24" x14ac:dyDescent="0.25">
      <c r="A204" s="203">
        <v>99</v>
      </c>
      <c r="B204" s="203" t="s">
        <v>223</v>
      </c>
      <c r="C204" s="203">
        <f>VLOOKUP(A204,Estimate!A:L,12,FALSE)</f>
        <v>0</v>
      </c>
      <c r="D204" s="204"/>
      <c r="E204" s="204"/>
      <c r="F204" s="163">
        <f>IFERROR(VLOOKUP($A204,'Budget &amp; Revenue'!$A:$Y,4,FALSE)," ")</f>
        <v>0</v>
      </c>
      <c r="G204" s="175" t="str">
        <f>IFERROR(VLOOKUP($A204,'Budget &amp; Revenue'!$A:$Y,13,FALSE)," ")</f>
        <v xml:space="preserve"> </v>
      </c>
      <c r="H204" s="175" t="str">
        <f>IFERROR(VLOOKUP($A204,'Budget &amp; Revenue'!$A:$Y,15,FALSE)," ")</f>
        <v xml:space="preserve"> </v>
      </c>
      <c r="I204" s="175" t="str">
        <f>IFERROR(VLOOKUP($A204,'Budget &amp; Revenue'!$A:$Y,17,FALSE)," ")</f>
        <v xml:space="preserve"> </v>
      </c>
      <c r="J204" s="175" t="str">
        <f>IFERROR(VLOOKUP($A204,'Budget &amp; Revenue'!$A:$Y,19,FALSE)," ")</f>
        <v xml:space="preserve"> </v>
      </c>
      <c r="K204" s="175" t="str">
        <f>IFERROR(VLOOKUP($A204,'Budget &amp; Revenue'!$A:$Y,21,FALSE)," ")</f>
        <v xml:space="preserve"> </v>
      </c>
      <c r="L204" s="175" t="str">
        <f>IFERROR(VLOOKUP($A204,'Budget &amp; Revenue'!$A:$Y,23,FALSE)," ")</f>
        <v xml:space="preserve"> </v>
      </c>
      <c r="M204" s="175" t="str">
        <f>IFERROR(VLOOKUP($A204,'Budget &amp; Revenue'!$A:$Y,25,FALSE)," ")</f>
        <v xml:space="preserve"> </v>
      </c>
    </row>
    <row r="205" spans="1:13" ht="24" x14ac:dyDescent="0.25">
      <c r="A205" s="202">
        <v>100</v>
      </c>
      <c r="B205" s="202" t="s">
        <v>402</v>
      </c>
      <c r="C205" s="203">
        <f>VLOOKUP(A205,Estimate!A:L,12,FALSE)</f>
        <v>1</v>
      </c>
      <c r="D205" s="205">
        <v>205</v>
      </c>
      <c r="E205" s="205">
        <v>207</v>
      </c>
      <c r="F205" s="163">
        <f>IFERROR(VLOOKUP($A205,'Budget &amp; Revenue'!$A:$Y,4,FALSE)," ")</f>
        <v>195</v>
      </c>
      <c r="G205" s="175">
        <f>IFERROR(VLOOKUP($A205,'Budget &amp; Revenue'!$A:$Y,13,FALSE)," ")</f>
        <v>0</v>
      </c>
      <c r="H205" s="175">
        <f>IFERROR(VLOOKUP($A205,'Budget &amp; Revenue'!$A:$Y,15,FALSE)," ")</f>
        <v>0</v>
      </c>
      <c r="I205" s="175">
        <f>IFERROR(VLOOKUP($A205,'Budget &amp; Revenue'!$A:$Y,17,FALSE)," ")</f>
        <v>0</v>
      </c>
      <c r="J205" s="175">
        <f>IFERROR(VLOOKUP($A205,'Budget &amp; Revenue'!$A:$Y,19,FALSE)," ")</f>
        <v>0.875</v>
      </c>
      <c r="K205" s="175">
        <f>IFERROR(VLOOKUP($A205,'Budget &amp; Revenue'!$A:$Y,21,FALSE)," ")</f>
        <v>0.875</v>
      </c>
      <c r="L205" s="175">
        <f>IFERROR(VLOOKUP($A205,'Budget &amp; Revenue'!$A:$Y,23,FALSE)," ")</f>
        <v>1</v>
      </c>
      <c r="M205" s="175">
        <f>IFERROR(VLOOKUP($A205,'Budget &amp; Revenue'!$A:$Y,25,FALSE)," ")</f>
        <v>1</v>
      </c>
    </row>
    <row r="206" spans="1:13" ht="30" x14ac:dyDescent="0.25">
      <c r="A206" s="202">
        <v>101</v>
      </c>
      <c r="B206" s="202" t="s">
        <v>403</v>
      </c>
      <c r="C206" s="203">
        <f>VLOOKUP(A206,Estimate!A:L,12,FALSE)</f>
        <v>4</v>
      </c>
      <c r="D206" s="205" t="s">
        <v>504</v>
      </c>
      <c r="E206" s="206">
        <v>206204</v>
      </c>
      <c r="F206" s="163">
        <f>IFERROR(VLOOKUP($A206,'Budget &amp; Revenue'!$A:$Y,4,FALSE)," ")</f>
        <v>3470</v>
      </c>
      <c r="G206" s="175">
        <f>IFERROR(VLOOKUP($A206,'Budget &amp; Revenue'!$A:$Y,13,FALSE)," ")</f>
        <v>0</v>
      </c>
      <c r="H206" s="175">
        <f>IFERROR(VLOOKUP($A206,'Budget &amp; Revenue'!$A:$Y,15,FALSE)," ")</f>
        <v>0</v>
      </c>
      <c r="I206" s="175">
        <f>IFERROR(VLOOKUP($A206,'Budget &amp; Revenue'!$A:$Y,17,FALSE)," ")</f>
        <v>0</v>
      </c>
      <c r="J206" s="175">
        <f>IFERROR(VLOOKUP($A206,'Budget &amp; Revenue'!$A:$Y,19,FALSE)," ")</f>
        <v>0.83390764989662303</v>
      </c>
      <c r="K206" s="175">
        <f>IFERROR(VLOOKUP($A206,'Budget &amp; Revenue'!$A:$Y,21,FALSE)," ")</f>
        <v>0.83390764989662303</v>
      </c>
      <c r="L206" s="175">
        <f>IFERROR(VLOOKUP($A206,'Budget &amp; Revenue'!$A:$Y,23,FALSE)," ")</f>
        <v>1</v>
      </c>
      <c r="M206" s="175">
        <f>IFERROR(VLOOKUP($A206,'Budget &amp; Revenue'!$A:$Y,25,FALSE)," ")</f>
        <v>1</v>
      </c>
    </row>
    <row r="207" spans="1:13" ht="24" x14ac:dyDescent="0.25">
      <c r="A207" s="202">
        <v>102</v>
      </c>
      <c r="B207" s="202" t="s">
        <v>404</v>
      </c>
      <c r="C207" s="203">
        <f>VLOOKUP(A207,Estimate!A:L,12,FALSE)</f>
        <v>0</v>
      </c>
      <c r="D207" s="205">
        <v>205</v>
      </c>
      <c r="E207" s="205">
        <v>207</v>
      </c>
      <c r="F207" s="163">
        <f>IFERROR(VLOOKUP($A207,'Budget &amp; Revenue'!$A:$Y,4,FALSE)," ")</f>
        <v>2429</v>
      </c>
      <c r="G207" s="175">
        <f>IFERROR(VLOOKUP($A207,'Budget &amp; Revenue'!$A:$Y,13,FALSE)," ")</f>
        <v>0</v>
      </c>
      <c r="H207" s="175">
        <f>IFERROR(VLOOKUP($A207,'Budget &amp; Revenue'!$A:$Y,15,FALSE)," ")</f>
        <v>0</v>
      </c>
      <c r="I207" s="175">
        <f>IFERROR(VLOOKUP($A207,'Budget &amp; Revenue'!$A:$Y,17,FALSE)," ")</f>
        <v>0</v>
      </c>
      <c r="J207" s="175">
        <f>IFERROR(VLOOKUP($A207,'Budget &amp; Revenue'!$A:$Y,19,FALSE)," ")</f>
        <v>0</v>
      </c>
      <c r="K207" s="175">
        <f>IFERROR(VLOOKUP($A207,'Budget &amp; Revenue'!$A:$Y,21,FALSE)," ")</f>
        <v>0.82524271844660191</v>
      </c>
      <c r="L207" s="175">
        <f>IFERROR(VLOOKUP($A207,'Budget &amp; Revenue'!$A:$Y,23,FALSE)," ")</f>
        <v>1</v>
      </c>
      <c r="M207" s="175">
        <f>IFERROR(VLOOKUP($A207,'Budget &amp; Revenue'!$A:$Y,25,FALSE)," ")</f>
        <v>1</v>
      </c>
    </row>
    <row r="208" spans="1:13" x14ac:dyDescent="0.25">
      <c r="A208" s="207"/>
      <c r="B208" s="208" t="s">
        <v>316</v>
      </c>
      <c r="C208" s="203"/>
      <c r="D208" s="205" t="s">
        <v>502</v>
      </c>
      <c r="E208" s="204"/>
      <c r="F208" s="163"/>
      <c r="G208" s="174"/>
      <c r="H208" s="174"/>
      <c r="I208" s="174"/>
      <c r="J208" s="174"/>
      <c r="K208" s="174"/>
      <c r="L208" s="174"/>
      <c r="M208" s="174"/>
    </row>
  </sheetData>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2D3D-AE23-4F7D-B151-C6581BB20DFD}">
  <dimension ref="A1:AG117"/>
  <sheetViews>
    <sheetView workbookViewId="0">
      <pane ySplit="2" topLeftCell="A103" activePane="bottomLeft" state="frozen"/>
      <selection pane="bottomLeft" activeCell="J124" sqref="J124"/>
    </sheetView>
  </sheetViews>
  <sheetFormatPr defaultColWidth="9.140625" defaultRowHeight="15" x14ac:dyDescent="0.25"/>
  <cols>
    <col min="1" max="1" width="9.140625" style="141"/>
    <col min="2" max="2" width="9.85546875" style="186" customWidth="1"/>
    <col min="3" max="3" width="47" style="186" customWidth="1"/>
    <col min="4" max="4" width="13.85546875" style="187" customWidth="1"/>
    <col min="5" max="5" width="7.7109375" style="19" bestFit="1" customWidth="1"/>
    <col min="6" max="6" width="11.42578125" style="19" bestFit="1" customWidth="1"/>
    <col min="7" max="7" width="12.42578125" style="19" bestFit="1" customWidth="1"/>
    <col min="8" max="8" width="12" style="19" bestFit="1" customWidth="1"/>
    <col min="9" max="9" width="12.28515625" style="19" customWidth="1"/>
    <col min="10" max="10" width="15.7109375" style="19" customWidth="1"/>
    <col min="11" max="11" width="4" style="19" customWidth="1"/>
    <col min="12" max="12" width="11.140625" style="19" bestFit="1" customWidth="1"/>
    <col min="13" max="13" width="21.7109375" style="19" bestFit="1" customWidth="1"/>
    <col min="14" max="14" width="13" style="19" bestFit="1" customWidth="1"/>
    <col min="15" max="15" width="14.85546875" style="19" bestFit="1" customWidth="1"/>
    <col min="16" max="16" width="13.42578125" style="19" bestFit="1" customWidth="1"/>
    <col min="17" max="17" width="16.85546875" style="19" bestFit="1" customWidth="1"/>
    <col min="18" max="18" width="13.42578125" style="19" bestFit="1" customWidth="1"/>
    <col min="19" max="19" width="16.85546875" style="19" bestFit="1" customWidth="1"/>
    <col min="20" max="20" width="13.42578125" style="19" bestFit="1" customWidth="1"/>
    <col min="21" max="21" width="17.28515625" style="19" bestFit="1" customWidth="1"/>
    <col min="22" max="22" width="13.42578125" style="19" bestFit="1" customWidth="1"/>
    <col min="23" max="23" width="16.42578125" style="19" bestFit="1" customWidth="1"/>
    <col min="24" max="24" width="13.42578125" style="19" bestFit="1" customWidth="1"/>
    <col min="25" max="25" width="17.28515625" style="19" bestFit="1" customWidth="1"/>
    <col min="26" max="26" width="4.28515625" style="19" customWidth="1"/>
    <col min="27" max="33" width="18.85546875" style="19" customWidth="1"/>
    <col min="34" max="16384" width="9.140625" style="19"/>
  </cols>
  <sheetData>
    <row r="1" spans="1:33" s="22" customFormat="1" ht="30" x14ac:dyDescent="0.25">
      <c r="A1" s="176" t="s">
        <v>509</v>
      </c>
      <c r="B1" s="176" t="s">
        <v>514</v>
      </c>
      <c r="C1" s="176" t="s">
        <v>259</v>
      </c>
      <c r="D1" s="190" t="s">
        <v>574</v>
      </c>
      <c r="E1" s="176" t="s">
        <v>2</v>
      </c>
      <c r="F1" s="176" t="s">
        <v>516</v>
      </c>
      <c r="G1" s="176" t="s">
        <v>517</v>
      </c>
      <c r="H1" s="176" t="s">
        <v>575</v>
      </c>
      <c r="I1" s="176" t="s">
        <v>576</v>
      </c>
      <c r="J1" s="176" t="s">
        <v>577</v>
      </c>
      <c r="K1" s="176"/>
      <c r="L1" s="191">
        <v>41883</v>
      </c>
      <c r="M1" s="191" t="s">
        <v>582</v>
      </c>
      <c r="N1" s="191">
        <v>41913</v>
      </c>
      <c r="O1" s="191" t="s">
        <v>581</v>
      </c>
      <c r="P1" s="191">
        <v>41944</v>
      </c>
      <c r="Q1" s="191" t="s">
        <v>583</v>
      </c>
      <c r="R1" s="191">
        <v>41974</v>
      </c>
      <c r="S1" s="191" t="s">
        <v>584</v>
      </c>
      <c r="T1" s="191">
        <v>42005</v>
      </c>
      <c r="U1" s="191" t="s">
        <v>585</v>
      </c>
      <c r="V1" s="191">
        <v>42036</v>
      </c>
      <c r="W1" s="191" t="s">
        <v>586</v>
      </c>
      <c r="X1" s="191">
        <v>42064</v>
      </c>
      <c r="Y1" s="191" t="s">
        <v>587</v>
      </c>
      <c r="Z1" s="176"/>
      <c r="AA1" s="176" t="s">
        <v>518</v>
      </c>
      <c r="AB1" s="176" t="s">
        <v>519</v>
      </c>
      <c r="AC1" s="176" t="s">
        <v>520</v>
      </c>
      <c r="AD1" s="176" t="s">
        <v>521</v>
      </c>
      <c r="AE1" s="176" t="s">
        <v>522</v>
      </c>
      <c r="AF1" s="176" t="s">
        <v>523</v>
      </c>
      <c r="AG1" s="176" t="s">
        <v>524</v>
      </c>
    </row>
    <row r="2" spans="1:33" x14ac:dyDescent="0.25">
      <c r="A2" s="192" t="s">
        <v>418</v>
      </c>
      <c r="B2" s="193" t="s">
        <v>418</v>
      </c>
      <c r="C2" s="193" t="s">
        <v>525</v>
      </c>
      <c r="D2" s="194"/>
      <c r="E2" s="195" t="s">
        <v>418</v>
      </c>
      <c r="F2" s="196" t="s">
        <v>418</v>
      </c>
      <c r="G2" s="196" t="s">
        <v>418</v>
      </c>
      <c r="H2" s="197" t="s">
        <v>418</v>
      </c>
      <c r="I2" s="197" t="s">
        <v>418</v>
      </c>
      <c r="J2" s="197" t="s">
        <v>418</v>
      </c>
      <c r="K2" s="197"/>
      <c r="L2" s="196" t="s">
        <v>418</v>
      </c>
      <c r="M2" s="196"/>
      <c r="N2" s="196" t="s">
        <v>418</v>
      </c>
      <c r="O2" s="196"/>
      <c r="P2" s="196" t="s">
        <v>418</v>
      </c>
      <c r="Q2" s="196"/>
      <c r="R2" s="196" t="s">
        <v>418</v>
      </c>
      <c r="S2" s="196"/>
      <c r="T2" s="196" t="s">
        <v>418</v>
      </c>
      <c r="U2" s="196"/>
      <c r="V2" s="196" t="s">
        <v>418</v>
      </c>
      <c r="W2" s="196"/>
      <c r="X2" s="196" t="s">
        <v>418</v>
      </c>
      <c r="Y2" s="196"/>
      <c r="Z2" s="196"/>
      <c r="AA2" s="196"/>
      <c r="AB2" s="196"/>
      <c r="AC2" s="196"/>
      <c r="AD2" s="196"/>
      <c r="AE2" s="196"/>
      <c r="AF2" s="196"/>
      <c r="AG2" s="196"/>
    </row>
    <row r="3" spans="1:33" x14ac:dyDescent="0.25">
      <c r="A3" s="177"/>
      <c r="B3" s="178" t="s">
        <v>418</v>
      </c>
      <c r="C3" s="178" t="s">
        <v>418</v>
      </c>
      <c r="D3" s="179"/>
      <c r="E3" s="180" t="s">
        <v>418</v>
      </c>
      <c r="F3" s="181" t="s">
        <v>418</v>
      </c>
      <c r="G3" s="181" t="s">
        <v>418</v>
      </c>
      <c r="H3" s="182" t="s">
        <v>418</v>
      </c>
      <c r="I3" s="182" t="s">
        <v>418</v>
      </c>
      <c r="J3" s="182" t="s">
        <v>418</v>
      </c>
      <c r="K3" s="182"/>
      <c r="L3" s="181" t="s">
        <v>418</v>
      </c>
      <c r="M3" s="181"/>
      <c r="N3" s="181" t="s">
        <v>418</v>
      </c>
      <c r="O3" s="181"/>
      <c r="P3" s="181" t="s">
        <v>418</v>
      </c>
      <c r="Q3" s="181"/>
      <c r="R3" s="181" t="s">
        <v>418</v>
      </c>
      <c r="S3" s="181"/>
      <c r="T3" s="181" t="s">
        <v>418</v>
      </c>
      <c r="U3" s="181"/>
      <c r="V3" s="181" t="s">
        <v>418</v>
      </c>
      <c r="W3" s="181"/>
      <c r="X3" s="181" t="s">
        <v>418</v>
      </c>
      <c r="Y3" s="181"/>
      <c r="Z3" s="180"/>
      <c r="AA3" s="180"/>
      <c r="AB3" s="180"/>
      <c r="AC3" s="180"/>
      <c r="AD3" s="180"/>
      <c r="AE3" s="180"/>
      <c r="AF3" s="180"/>
      <c r="AG3" s="180"/>
    </row>
    <row r="4" spans="1:33" ht="30" x14ac:dyDescent="0.25">
      <c r="A4" s="177">
        <v>1</v>
      </c>
      <c r="B4" s="178" t="s">
        <v>526</v>
      </c>
      <c r="C4" s="178" t="s">
        <v>13</v>
      </c>
      <c r="D4" s="179"/>
      <c r="E4" s="180" t="s">
        <v>527</v>
      </c>
      <c r="F4" s="181" t="s">
        <v>418</v>
      </c>
      <c r="G4" s="181" t="s">
        <v>418</v>
      </c>
      <c r="H4" s="182" t="s">
        <v>418</v>
      </c>
      <c r="I4" s="182" t="s">
        <v>418</v>
      </c>
      <c r="J4" s="182" t="s">
        <v>418</v>
      </c>
      <c r="K4" s="182"/>
      <c r="L4" s="181" t="s">
        <v>418</v>
      </c>
      <c r="M4" s="181"/>
      <c r="N4" s="181" t="s">
        <v>418</v>
      </c>
      <c r="O4" s="181"/>
      <c r="P4" s="181" t="s">
        <v>418</v>
      </c>
      <c r="Q4" s="181"/>
      <c r="R4" s="181" t="s">
        <v>418</v>
      </c>
      <c r="S4" s="181"/>
      <c r="T4" s="181" t="s">
        <v>418</v>
      </c>
      <c r="U4" s="181"/>
      <c r="V4" s="181" t="s">
        <v>418</v>
      </c>
      <c r="W4" s="181"/>
      <c r="X4" s="181" t="s">
        <v>418</v>
      </c>
      <c r="Y4" s="181"/>
      <c r="Z4" s="180"/>
      <c r="AA4" s="180"/>
      <c r="AB4" s="180"/>
      <c r="AC4" s="180"/>
      <c r="AD4" s="180"/>
      <c r="AE4" s="180"/>
      <c r="AF4" s="180"/>
      <c r="AG4" s="180"/>
    </row>
    <row r="5" spans="1:33" x14ac:dyDescent="0.25">
      <c r="A5" s="177" t="s">
        <v>418</v>
      </c>
      <c r="B5" s="178" t="s">
        <v>526</v>
      </c>
      <c r="C5" s="178" t="s">
        <v>418</v>
      </c>
      <c r="D5" s="179"/>
      <c r="E5" s="180" t="s">
        <v>527</v>
      </c>
      <c r="F5" s="181" t="s">
        <v>418</v>
      </c>
      <c r="G5" s="181" t="s">
        <v>418</v>
      </c>
      <c r="H5" s="182" t="s">
        <v>418</v>
      </c>
      <c r="I5" s="182" t="s">
        <v>418</v>
      </c>
      <c r="J5" s="182" t="s">
        <v>418</v>
      </c>
      <c r="K5" s="182"/>
      <c r="L5" s="181" t="s">
        <v>418</v>
      </c>
      <c r="M5" s="181"/>
      <c r="N5" s="181" t="s">
        <v>418</v>
      </c>
      <c r="O5" s="181"/>
      <c r="P5" s="181" t="s">
        <v>418</v>
      </c>
      <c r="Q5" s="181"/>
      <c r="R5" s="181" t="s">
        <v>418</v>
      </c>
      <c r="S5" s="181"/>
      <c r="T5" s="181" t="s">
        <v>418</v>
      </c>
      <c r="U5" s="181"/>
      <c r="V5" s="181" t="s">
        <v>418</v>
      </c>
      <c r="W5" s="181"/>
      <c r="X5" s="181" t="s">
        <v>418</v>
      </c>
      <c r="Y5" s="181"/>
      <c r="Z5" s="180"/>
      <c r="AA5" s="180"/>
      <c r="AB5" s="180"/>
      <c r="AC5" s="180"/>
      <c r="AD5" s="180"/>
      <c r="AE5" s="180"/>
      <c r="AF5" s="180"/>
      <c r="AG5" s="180"/>
    </row>
    <row r="6" spans="1:33" x14ac:dyDescent="0.25">
      <c r="A6" s="177">
        <v>2</v>
      </c>
      <c r="B6" s="178" t="s">
        <v>526</v>
      </c>
      <c r="C6" s="178" t="s">
        <v>15</v>
      </c>
      <c r="D6" s="179"/>
      <c r="E6" s="180" t="s">
        <v>527</v>
      </c>
      <c r="F6" s="181" t="s">
        <v>418</v>
      </c>
      <c r="G6" s="181" t="s">
        <v>418</v>
      </c>
      <c r="H6" s="182" t="s">
        <v>418</v>
      </c>
      <c r="I6" s="182" t="s">
        <v>418</v>
      </c>
      <c r="J6" s="182" t="s">
        <v>418</v>
      </c>
      <c r="K6" s="182"/>
      <c r="L6" s="181" t="s">
        <v>418</v>
      </c>
      <c r="M6" s="181"/>
      <c r="N6" s="181" t="s">
        <v>418</v>
      </c>
      <c r="O6" s="181"/>
      <c r="P6" s="181" t="s">
        <v>418</v>
      </c>
      <c r="Q6" s="181"/>
      <c r="R6" s="181" t="s">
        <v>418</v>
      </c>
      <c r="S6" s="181"/>
      <c r="T6" s="181" t="s">
        <v>418</v>
      </c>
      <c r="U6" s="181"/>
      <c r="V6" s="181" t="s">
        <v>418</v>
      </c>
      <c r="W6" s="181"/>
      <c r="X6" s="181" t="s">
        <v>418</v>
      </c>
      <c r="Y6" s="181"/>
      <c r="Z6" s="180"/>
      <c r="AA6" s="180"/>
      <c r="AB6" s="180"/>
      <c r="AC6" s="180"/>
      <c r="AD6" s="180"/>
      <c r="AE6" s="180"/>
      <c r="AF6" s="180"/>
      <c r="AG6" s="180"/>
    </row>
    <row r="7" spans="1:33" x14ac:dyDescent="0.25">
      <c r="A7" s="177" t="s">
        <v>418</v>
      </c>
      <c r="B7" s="178" t="s">
        <v>526</v>
      </c>
      <c r="C7" s="178" t="s">
        <v>418</v>
      </c>
      <c r="D7" s="179"/>
      <c r="E7" s="180" t="s">
        <v>527</v>
      </c>
      <c r="F7" s="181" t="s">
        <v>418</v>
      </c>
      <c r="G7" s="181" t="s">
        <v>418</v>
      </c>
      <c r="H7" s="182" t="s">
        <v>418</v>
      </c>
      <c r="I7" s="182" t="s">
        <v>418</v>
      </c>
      <c r="J7" s="182" t="s">
        <v>418</v>
      </c>
      <c r="K7" s="182"/>
      <c r="L7" s="181" t="s">
        <v>418</v>
      </c>
      <c r="M7" s="181"/>
      <c r="N7" s="181" t="s">
        <v>418</v>
      </c>
      <c r="O7" s="181"/>
      <c r="P7" s="181" t="s">
        <v>418</v>
      </c>
      <c r="Q7" s="181"/>
      <c r="R7" s="181" t="s">
        <v>418</v>
      </c>
      <c r="S7" s="181"/>
      <c r="T7" s="181" t="s">
        <v>418</v>
      </c>
      <c r="U7" s="181"/>
      <c r="V7" s="181" t="s">
        <v>418</v>
      </c>
      <c r="W7" s="181"/>
      <c r="X7" s="181" t="s">
        <v>418</v>
      </c>
      <c r="Y7" s="181"/>
      <c r="Z7" s="180"/>
      <c r="AA7" s="180"/>
      <c r="AB7" s="180"/>
      <c r="AC7" s="180"/>
      <c r="AD7" s="180"/>
      <c r="AE7" s="180"/>
      <c r="AF7" s="180"/>
      <c r="AG7" s="180"/>
    </row>
    <row r="8" spans="1:33" ht="45" x14ac:dyDescent="0.25">
      <c r="A8" s="177">
        <v>3</v>
      </c>
      <c r="B8" s="178" t="s">
        <v>528</v>
      </c>
      <c r="C8" s="178" t="s">
        <v>17</v>
      </c>
      <c r="D8" s="179">
        <v>27679</v>
      </c>
      <c r="E8" s="180" t="s">
        <v>18</v>
      </c>
      <c r="F8" s="181">
        <f>IFERROR(I8/H8," ")</f>
        <v>1</v>
      </c>
      <c r="G8" s="181">
        <v>1</v>
      </c>
      <c r="H8" s="182">
        <v>35190.44</v>
      </c>
      <c r="I8" s="182">
        <v>35190.44</v>
      </c>
      <c r="J8" s="182">
        <v>35190.44</v>
      </c>
      <c r="K8" s="182"/>
      <c r="L8" s="181">
        <v>0.5</v>
      </c>
      <c r="M8" s="183">
        <f>IFERROR(L8/$G8," ")</f>
        <v>0.5</v>
      </c>
      <c r="N8" s="181">
        <v>0.8</v>
      </c>
      <c r="O8" s="183">
        <f>IFERROR(N8/$G8," ")</f>
        <v>0.8</v>
      </c>
      <c r="P8" s="181">
        <v>0.9</v>
      </c>
      <c r="Q8" s="183">
        <f>IFERROR(P8/$G8," ")</f>
        <v>0.9</v>
      </c>
      <c r="R8" s="181">
        <v>0.95</v>
      </c>
      <c r="S8" s="183">
        <f>IFERROR(R8/$G8," ")</f>
        <v>0.95</v>
      </c>
      <c r="T8" s="181">
        <v>1</v>
      </c>
      <c r="U8" s="183">
        <f>IFERROR(T8/$G8," ")</f>
        <v>1</v>
      </c>
      <c r="V8" s="181">
        <v>1</v>
      </c>
      <c r="W8" s="183">
        <f>IFERROR(V8/$G8," ")</f>
        <v>1</v>
      </c>
      <c r="X8" s="181">
        <v>1</v>
      </c>
      <c r="Y8" s="183">
        <f>IFERROR(X8/$G8," ")</f>
        <v>1</v>
      </c>
      <c r="Z8" s="180"/>
      <c r="AA8" s="184">
        <f>IFERROR(L8*$H8," ")</f>
        <v>17595.22</v>
      </c>
      <c r="AB8" s="184">
        <f>IFERROR(N8*$H8," ")</f>
        <v>28152.352000000003</v>
      </c>
      <c r="AC8" s="184">
        <f>IFERROR(P8*$H8," ")</f>
        <v>31671.396000000004</v>
      </c>
      <c r="AD8" s="184">
        <f>IFERROR(R8*$H8," ")</f>
        <v>33430.917999999998</v>
      </c>
      <c r="AE8" s="184">
        <f>IFERROR(T8*$H8," ")</f>
        <v>35190.44</v>
      </c>
      <c r="AF8" s="184">
        <f>IFERROR(V8*$H8," ")</f>
        <v>35190.44</v>
      </c>
      <c r="AG8" s="184">
        <f>IFERROR(X8*$H8," ")</f>
        <v>35190.44</v>
      </c>
    </row>
    <row r="9" spans="1:33" ht="45" x14ac:dyDescent="0.25">
      <c r="A9" s="177">
        <v>4</v>
      </c>
      <c r="B9" s="178" t="s">
        <v>528</v>
      </c>
      <c r="C9" s="178" t="s">
        <v>36</v>
      </c>
      <c r="D9" s="179">
        <v>18000</v>
      </c>
      <c r="E9" s="180" t="s">
        <v>37</v>
      </c>
      <c r="F9" s="181">
        <f t="shared" ref="F9:F70" si="0">IFERROR(I9/H9," ")</f>
        <v>12</v>
      </c>
      <c r="G9" s="181">
        <v>17</v>
      </c>
      <c r="H9" s="182">
        <v>1907.07</v>
      </c>
      <c r="I9" s="182">
        <v>22884.84</v>
      </c>
      <c r="J9" s="182">
        <v>32420.19</v>
      </c>
      <c r="K9" s="182"/>
      <c r="L9" s="181"/>
      <c r="M9" s="183">
        <f t="shared" ref="M9:O69" si="1">IFERROR(L9/$G9," ")</f>
        <v>0</v>
      </c>
      <c r="N9" s="181"/>
      <c r="O9" s="183">
        <f t="shared" si="1"/>
        <v>0</v>
      </c>
      <c r="P9" s="181">
        <v>2</v>
      </c>
      <c r="Q9" s="183">
        <f t="shared" ref="Q9:Q70" si="2">IFERROR(P9/$G9," ")</f>
        <v>0.11764705882352941</v>
      </c>
      <c r="R9" s="181">
        <v>7</v>
      </c>
      <c r="S9" s="183">
        <f t="shared" ref="S9:S70" si="3">IFERROR(R9/$G9," ")</f>
        <v>0.41176470588235292</v>
      </c>
      <c r="T9" s="181">
        <v>7</v>
      </c>
      <c r="U9" s="183">
        <f t="shared" ref="U9:U70" si="4">IFERROR(T9/$G9," ")</f>
        <v>0.41176470588235292</v>
      </c>
      <c r="V9" s="181">
        <v>17</v>
      </c>
      <c r="W9" s="183">
        <f t="shared" ref="W9:W70" si="5">IFERROR(V9/$G9," ")</f>
        <v>1</v>
      </c>
      <c r="X9" s="181">
        <v>17</v>
      </c>
      <c r="Y9" s="183">
        <f t="shared" ref="Y9:Y70" si="6">IFERROR(X9/$G9," ")</f>
        <v>1</v>
      </c>
      <c r="Z9" s="180"/>
      <c r="AA9" s="184">
        <f t="shared" ref="AA9:AA70" si="7">IFERROR(L9*$H9," ")</f>
        <v>0</v>
      </c>
      <c r="AB9" s="184">
        <f t="shared" ref="AB9:AB70" si="8">IFERROR(N9*$H9," ")</f>
        <v>0</v>
      </c>
      <c r="AC9" s="184">
        <f t="shared" ref="AC9:AC70" si="9">IFERROR(P9*$H9," ")</f>
        <v>3814.14</v>
      </c>
      <c r="AD9" s="184">
        <f t="shared" ref="AD9:AD70" si="10">IFERROR(R9*$H9," ")</f>
        <v>13349.49</v>
      </c>
      <c r="AE9" s="184">
        <f t="shared" ref="AE9:AE70" si="11">IFERROR(T9*$H9," ")</f>
        <v>13349.49</v>
      </c>
      <c r="AF9" s="184">
        <f t="shared" ref="AF9:AF70" si="12">IFERROR(V9*$H9," ")</f>
        <v>32420.19</v>
      </c>
      <c r="AG9" s="184">
        <f t="shared" ref="AG9:AG70" si="13">IFERROR(X9*$H9," ")</f>
        <v>32420.19</v>
      </c>
    </row>
    <row r="10" spans="1:33" ht="30" x14ac:dyDescent="0.25">
      <c r="A10" s="177">
        <v>5</v>
      </c>
      <c r="B10" s="178" t="s">
        <v>529</v>
      </c>
      <c r="C10" s="178" t="s">
        <v>40</v>
      </c>
      <c r="D10" s="179">
        <v>4000</v>
      </c>
      <c r="E10" s="180" t="s">
        <v>18</v>
      </c>
      <c r="F10" s="181">
        <f t="shared" si="0"/>
        <v>1</v>
      </c>
      <c r="G10" s="181">
        <v>1</v>
      </c>
      <c r="H10" s="182">
        <v>5085.51</v>
      </c>
      <c r="I10" s="182">
        <v>5085.51</v>
      </c>
      <c r="J10" s="182">
        <v>5085.51</v>
      </c>
      <c r="K10" s="182"/>
      <c r="L10" s="181">
        <v>1</v>
      </c>
      <c r="M10" s="183">
        <f t="shared" si="1"/>
        <v>1</v>
      </c>
      <c r="N10" s="181">
        <v>1</v>
      </c>
      <c r="O10" s="183">
        <f t="shared" si="1"/>
        <v>1</v>
      </c>
      <c r="P10" s="181">
        <v>1</v>
      </c>
      <c r="Q10" s="183">
        <f t="shared" si="2"/>
        <v>1</v>
      </c>
      <c r="R10" s="181">
        <v>1</v>
      </c>
      <c r="S10" s="183">
        <f t="shared" si="3"/>
        <v>1</v>
      </c>
      <c r="T10" s="181">
        <v>1</v>
      </c>
      <c r="U10" s="183">
        <f t="shared" si="4"/>
        <v>1</v>
      </c>
      <c r="V10" s="181">
        <v>1</v>
      </c>
      <c r="W10" s="183">
        <f t="shared" si="5"/>
        <v>1</v>
      </c>
      <c r="X10" s="181">
        <v>1</v>
      </c>
      <c r="Y10" s="183">
        <f t="shared" si="6"/>
        <v>1</v>
      </c>
      <c r="Z10" s="180"/>
      <c r="AA10" s="184">
        <f t="shared" si="7"/>
        <v>5085.51</v>
      </c>
      <c r="AB10" s="184">
        <f t="shared" si="8"/>
        <v>5085.51</v>
      </c>
      <c r="AC10" s="184">
        <f t="shared" si="9"/>
        <v>5085.51</v>
      </c>
      <c r="AD10" s="184">
        <f t="shared" si="10"/>
        <v>5085.51</v>
      </c>
      <c r="AE10" s="184">
        <f t="shared" si="11"/>
        <v>5085.51</v>
      </c>
      <c r="AF10" s="184">
        <f t="shared" si="12"/>
        <v>5085.51</v>
      </c>
      <c r="AG10" s="184">
        <f t="shared" si="13"/>
        <v>5085.51</v>
      </c>
    </row>
    <row r="11" spans="1:33" ht="30" x14ac:dyDescent="0.25">
      <c r="A11" s="177">
        <v>6</v>
      </c>
      <c r="B11" s="178" t="s">
        <v>530</v>
      </c>
      <c r="C11" s="178" t="s">
        <v>44</v>
      </c>
      <c r="D11" s="179">
        <v>14800</v>
      </c>
      <c r="E11" s="180" t="s">
        <v>18</v>
      </c>
      <c r="F11" s="181">
        <f t="shared" si="0"/>
        <v>1</v>
      </c>
      <c r="G11" s="181">
        <v>1</v>
      </c>
      <c r="H11" s="182">
        <v>18816.38</v>
      </c>
      <c r="I11" s="182">
        <v>18816.38</v>
      </c>
      <c r="J11" s="182">
        <v>18816.38</v>
      </c>
      <c r="K11" s="182"/>
      <c r="L11" s="181">
        <v>0.2</v>
      </c>
      <c r="M11" s="183">
        <f t="shared" si="1"/>
        <v>0.2</v>
      </c>
      <c r="N11" s="181">
        <v>0.7</v>
      </c>
      <c r="O11" s="183">
        <f t="shared" si="1"/>
        <v>0.7</v>
      </c>
      <c r="P11" s="181">
        <v>0.9</v>
      </c>
      <c r="Q11" s="183">
        <f t="shared" si="2"/>
        <v>0.9</v>
      </c>
      <c r="R11" s="181">
        <v>0.95</v>
      </c>
      <c r="S11" s="183">
        <f t="shared" si="3"/>
        <v>0.95</v>
      </c>
      <c r="T11" s="181">
        <v>1</v>
      </c>
      <c r="U11" s="183">
        <f t="shared" si="4"/>
        <v>1</v>
      </c>
      <c r="V11" s="181">
        <v>1</v>
      </c>
      <c r="W11" s="183">
        <f t="shared" si="5"/>
        <v>1</v>
      </c>
      <c r="X11" s="181">
        <v>1</v>
      </c>
      <c r="Y11" s="183">
        <f t="shared" si="6"/>
        <v>1</v>
      </c>
      <c r="Z11" s="180"/>
      <c r="AA11" s="184">
        <f t="shared" si="7"/>
        <v>3763.2760000000003</v>
      </c>
      <c r="AB11" s="184">
        <f t="shared" si="8"/>
        <v>13171.466</v>
      </c>
      <c r="AC11" s="184">
        <f t="shared" si="9"/>
        <v>16934.742000000002</v>
      </c>
      <c r="AD11" s="184">
        <f t="shared" si="10"/>
        <v>17875.561000000002</v>
      </c>
      <c r="AE11" s="184">
        <f t="shared" si="11"/>
        <v>18816.38</v>
      </c>
      <c r="AF11" s="184">
        <f t="shared" si="12"/>
        <v>18816.38</v>
      </c>
      <c r="AG11" s="184">
        <f t="shared" si="13"/>
        <v>18816.38</v>
      </c>
    </row>
    <row r="12" spans="1:33" ht="30" x14ac:dyDescent="0.25">
      <c r="A12" s="177">
        <v>7</v>
      </c>
      <c r="B12" s="178" t="s">
        <v>531</v>
      </c>
      <c r="C12" s="178" t="s">
        <v>47</v>
      </c>
      <c r="D12" s="179">
        <v>12000</v>
      </c>
      <c r="E12" s="180" t="s">
        <v>18</v>
      </c>
      <c r="F12" s="181">
        <f t="shared" si="0"/>
        <v>1</v>
      </c>
      <c r="G12" s="181">
        <v>1</v>
      </c>
      <c r="H12" s="182">
        <v>15256.52</v>
      </c>
      <c r="I12" s="182">
        <v>15256.52</v>
      </c>
      <c r="J12" s="182">
        <v>15256.52</v>
      </c>
      <c r="K12" s="182"/>
      <c r="L12" s="181">
        <v>1</v>
      </c>
      <c r="M12" s="183">
        <f t="shared" si="1"/>
        <v>1</v>
      </c>
      <c r="N12" s="181">
        <v>1</v>
      </c>
      <c r="O12" s="183">
        <f t="shared" si="1"/>
        <v>1</v>
      </c>
      <c r="P12" s="181">
        <v>1</v>
      </c>
      <c r="Q12" s="183">
        <f t="shared" si="2"/>
        <v>1</v>
      </c>
      <c r="R12" s="181">
        <v>1</v>
      </c>
      <c r="S12" s="183">
        <f t="shared" si="3"/>
        <v>1</v>
      </c>
      <c r="T12" s="181">
        <v>1</v>
      </c>
      <c r="U12" s="183">
        <f t="shared" si="4"/>
        <v>1</v>
      </c>
      <c r="V12" s="181">
        <v>1</v>
      </c>
      <c r="W12" s="183">
        <f t="shared" si="5"/>
        <v>1</v>
      </c>
      <c r="X12" s="181">
        <v>1</v>
      </c>
      <c r="Y12" s="183">
        <f t="shared" si="6"/>
        <v>1</v>
      </c>
      <c r="Z12" s="180"/>
      <c r="AA12" s="184">
        <f t="shared" si="7"/>
        <v>15256.52</v>
      </c>
      <c r="AB12" s="184">
        <f t="shared" si="8"/>
        <v>15256.52</v>
      </c>
      <c r="AC12" s="184">
        <f t="shared" si="9"/>
        <v>15256.52</v>
      </c>
      <c r="AD12" s="184">
        <f t="shared" si="10"/>
        <v>15256.52</v>
      </c>
      <c r="AE12" s="184">
        <f t="shared" si="11"/>
        <v>15256.52</v>
      </c>
      <c r="AF12" s="184">
        <f t="shared" si="12"/>
        <v>15256.52</v>
      </c>
      <c r="AG12" s="184">
        <f t="shared" si="13"/>
        <v>15256.52</v>
      </c>
    </row>
    <row r="13" spans="1:33" ht="30" x14ac:dyDescent="0.25">
      <c r="A13" s="177">
        <v>8</v>
      </c>
      <c r="B13" s="178" t="s">
        <v>532</v>
      </c>
      <c r="C13" s="178" t="s">
        <v>51</v>
      </c>
      <c r="D13" s="179">
        <v>117220.26700172765</v>
      </c>
      <c r="E13" s="180" t="s">
        <v>18</v>
      </c>
      <c r="F13" s="181">
        <f t="shared" si="0"/>
        <v>1</v>
      </c>
      <c r="G13" s="181">
        <v>1.1200000000000001</v>
      </c>
      <c r="H13" s="182">
        <v>149030.78</v>
      </c>
      <c r="I13" s="182">
        <v>149030.78</v>
      </c>
      <c r="J13" s="182">
        <v>166914.4736</v>
      </c>
      <c r="K13" s="182"/>
      <c r="L13" s="181">
        <v>0.2</v>
      </c>
      <c r="M13" s="183">
        <f t="shared" si="1"/>
        <v>0.17857142857142858</v>
      </c>
      <c r="N13" s="181">
        <v>0.7</v>
      </c>
      <c r="O13" s="183">
        <f t="shared" si="1"/>
        <v>0.62499999999999989</v>
      </c>
      <c r="P13" s="181">
        <v>0.9</v>
      </c>
      <c r="Q13" s="183">
        <f t="shared" si="2"/>
        <v>0.80357142857142849</v>
      </c>
      <c r="R13" s="181">
        <v>0.95</v>
      </c>
      <c r="S13" s="183">
        <f t="shared" si="3"/>
        <v>0.84821428571428559</v>
      </c>
      <c r="T13" s="181">
        <v>1</v>
      </c>
      <c r="U13" s="183">
        <f t="shared" si="4"/>
        <v>0.89285714285714279</v>
      </c>
      <c r="V13" s="181">
        <v>1.1200000000000001</v>
      </c>
      <c r="W13" s="183">
        <f t="shared" si="5"/>
        <v>1</v>
      </c>
      <c r="X13" s="181">
        <v>1.1200000000000001</v>
      </c>
      <c r="Y13" s="183">
        <f t="shared" si="6"/>
        <v>1</v>
      </c>
      <c r="Z13" s="180"/>
      <c r="AA13" s="184">
        <f t="shared" si="7"/>
        <v>29806.156000000003</v>
      </c>
      <c r="AB13" s="184">
        <f t="shared" si="8"/>
        <v>104321.54599999999</v>
      </c>
      <c r="AC13" s="184">
        <f t="shared" si="9"/>
        <v>134127.70199999999</v>
      </c>
      <c r="AD13" s="184">
        <f t="shared" si="10"/>
        <v>141579.24099999998</v>
      </c>
      <c r="AE13" s="184">
        <f t="shared" si="11"/>
        <v>149030.78</v>
      </c>
      <c r="AF13" s="184">
        <f t="shared" si="12"/>
        <v>166914.47360000003</v>
      </c>
      <c r="AG13" s="184">
        <f t="shared" si="13"/>
        <v>166914.47360000003</v>
      </c>
    </row>
    <row r="14" spans="1:33" ht="30" x14ac:dyDescent="0.25">
      <c r="A14" s="177">
        <v>9</v>
      </c>
      <c r="B14" s="178" t="s">
        <v>533</v>
      </c>
      <c r="C14" s="178" t="s">
        <v>56</v>
      </c>
      <c r="D14" s="179">
        <v>4000</v>
      </c>
      <c r="E14" s="180" t="s">
        <v>18</v>
      </c>
      <c r="F14" s="181">
        <f t="shared" si="0"/>
        <v>1</v>
      </c>
      <c r="G14" s="181">
        <v>1</v>
      </c>
      <c r="H14" s="182">
        <v>5085.51</v>
      </c>
      <c r="I14" s="182">
        <v>5085.51</v>
      </c>
      <c r="J14" s="182">
        <v>5085.51</v>
      </c>
      <c r="K14" s="182"/>
      <c r="L14" s="181">
        <v>1</v>
      </c>
      <c r="M14" s="183">
        <f t="shared" si="1"/>
        <v>1</v>
      </c>
      <c r="N14" s="181">
        <v>1</v>
      </c>
      <c r="O14" s="183">
        <f t="shared" si="1"/>
        <v>1</v>
      </c>
      <c r="P14" s="181">
        <v>1</v>
      </c>
      <c r="Q14" s="183">
        <f t="shared" si="2"/>
        <v>1</v>
      </c>
      <c r="R14" s="181">
        <v>1</v>
      </c>
      <c r="S14" s="183">
        <f t="shared" si="3"/>
        <v>1</v>
      </c>
      <c r="T14" s="181">
        <v>1</v>
      </c>
      <c r="U14" s="183">
        <f t="shared" si="4"/>
        <v>1</v>
      </c>
      <c r="V14" s="181">
        <v>1</v>
      </c>
      <c r="W14" s="183">
        <f t="shared" si="5"/>
        <v>1</v>
      </c>
      <c r="X14" s="181">
        <v>1</v>
      </c>
      <c r="Y14" s="183">
        <f t="shared" si="6"/>
        <v>1</v>
      </c>
      <c r="Z14" s="180"/>
      <c r="AA14" s="184">
        <f t="shared" si="7"/>
        <v>5085.51</v>
      </c>
      <c r="AB14" s="184">
        <f t="shared" si="8"/>
        <v>5085.51</v>
      </c>
      <c r="AC14" s="184">
        <f t="shared" si="9"/>
        <v>5085.51</v>
      </c>
      <c r="AD14" s="184">
        <f t="shared" si="10"/>
        <v>5085.51</v>
      </c>
      <c r="AE14" s="184">
        <f t="shared" si="11"/>
        <v>5085.51</v>
      </c>
      <c r="AF14" s="184">
        <f t="shared" si="12"/>
        <v>5085.51</v>
      </c>
      <c r="AG14" s="184">
        <f t="shared" si="13"/>
        <v>5085.51</v>
      </c>
    </row>
    <row r="15" spans="1:33" x14ac:dyDescent="0.25">
      <c r="A15" s="177">
        <v>10</v>
      </c>
      <c r="B15" s="178" t="s">
        <v>531</v>
      </c>
      <c r="C15" s="178" t="s">
        <v>58</v>
      </c>
      <c r="D15" s="179">
        <v>4000</v>
      </c>
      <c r="E15" s="180" t="s">
        <v>18</v>
      </c>
      <c r="F15" s="181">
        <f t="shared" si="0"/>
        <v>1</v>
      </c>
      <c r="G15" s="181">
        <v>1</v>
      </c>
      <c r="H15" s="182">
        <v>5085.51</v>
      </c>
      <c r="I15" s="182">
        <v>5085.51</v>
      </c>
      <c r="J15" s="182">
        <v>5085.51</v>
      </c>
      <c r="K15" s="182"/>
      <c r="L15" s="181">
        <v>1</v>
      </c>
      <c r="M15" s="183">
        <f t="shared" si="1"/>
        <v>1</v>
      </c>
      <c r="N15" s="181">
        <v>1</v>
      </c>
      <c r="O15" s="183">
        <f t="shared" si="1"/>
        <v>1</v>
      </c>
      <c r="P15" s="181">
        <v>1</v>
      </c>
      <c r="Q15" s="183">
        <f t="shared" si="2"/>
        <v>1</v>
      </c>
      <c r="R15" s="181">
        <v>1</v>
      </c>
      <c r="S15" s="183">
        <f t="shared" si="3"/>
        <v>1</v>
      </c>
      <c r="T15" s="181">
        <v>1</v>
      </c>
      <c r="U15" s="183">
        <f t="shared" si="4"/>
        <v>1</v>
      </c>
      <c r="V15" s="181">
        <v>1</v>
      </c>
      <c r="W15" s="183">
        <f t="shared" si="5"/>
        <v>1</v>
      </c>
      <c r="X15" s="181">
        <v>1</v>
      </c>
      <c r="Y15" s="183">
        <f t="shared" si="6"/>
        <v>1</v>
      </c>
      <c r="Z15" s="180"/>
      <c r="AA15" s="184">
        <f t="shared" si="7"/>
        <v>5085.51</v>
      </c>
      <c r="AB15" s="184">
        <f t="shared" si="8"/>
        <v>5085.51</v>
      </c>
      <c r="AC15" s="184">
        <f t="shared" si="9"/>
        <v>5085.51</v>
      </c>
      <c r="AD15" s="184">
        <f t="shared" si="10"/>
        <v>5085.51</v>
      </c>
      <c r="AE15" s="184">
        <f t="shared" si="11"/>
        <v>5085.51</v>
      </c>
      <c r="AF15" s="184">
        <f t="shared" si="12"/>
        <v>5085.51</v>
      </c>
      <c r="AG15" s="184">
        <f t="shared" si="13"/>
        <v>5085.51</v>
      </c>
    </row>
    <row r="16" spans="1:33" ht="60" x14ac:dyDescent="0.25">
      <c r="A16" s="177">
        <v>11</v>
      </c>
      <c r="B16" s="178" t="s">
        <v>534</v>
      </c>
      <c r="C16" s="178" t="s">
        <v>60</v>
      </c>
      <c r="D16" s="179">
        <v>33305.5</v>
      </c>
      <c r="E16" s="180" t="s">
        <v>61</v>
      </c>
      <c r="F16" s="181">
        <f t="shared" si="0"/>
        <v>5645</v>
      </c>
      <c r="G16" s="181">
        <v>5941</v>
      </c>
      <c r="H16" s="182">
        <v>7.5</v>
      </c>
      <c r="I16" s="182">
        <v>42337.5</v>
      </c>
      <c r="J16" s="182">
        <v>44557.5</v>
      </c>
      <c r="K16" s="182"/>
      <c r="L16" s="181">
        <v>3400</v>
      </c>
      <c r="M16" s="183">
        <f t="shared" si="1"/>
        <v>0.572294226561185</v>
      </c>
      <c r="N16" s="181">
        <v>5000</v>
      </c>
      <c r="O16" s="183">
        <f t="shared" si="1"/>
        <v>0.84160915670762493</v>
      </c>
      <c r="P16" s="181">
        <v>5645</v>
      </c>
      <c r="Q16" s="183">
        <f t="shared" si="2"/>
        <v>0.95017673792290858</v>
      </c>
      <c r="R16" s="181">
        <v>5678</v>
      </c>
      <c r="S16" s="183">
        <f t="shared" si="3"/>
        <v>0.95573135835717893</v>
      </c>
      <c r="T16" s="181">
        <v>5678</v>
      </c>
      <c r="U16" s="183">
        <f t="shared" si="4"/>
        <v>0.95573135835717893</v>
      </c>
      <c r="V16" s="181">
        <v>5941</v>
      </c>
      <c r="W16" s="183">
        <f t="shared" si="5"/>
        <v>1</v>
      </c>
      <c r="X16" s="181">
        <v>5941</v>
      </c>
      <c r="Y16" s="183">
        <f t="shared" si="6"/>
        <v>1</v>
      </c>
      <c r="Z16" s="180"/>
      <c r="AA16" s="184">
        <f t="shared" si="7"/>
        <v>25500</v>
      </c>
      <c r="AB16" s="184">
        <f t="shared" si="8"/>
        <v>37500</v>
      </c>
      <c r="AC16" s="184">
        <f t="shared" si="9"/>
        <v>42337.5</v>
      </c>
      <c r="AD16" s="184">
        <f t="shared" si="10"/>
        <v>42585</v>
      </c>
      <c r="AE16" s="184">
        <f t="shared" si="11"/>
        <v>42585</v>
      </c>
      <c r="AF16" s="184">
        <f t="shared" si="12"/>
        <v>44557.5</v>
      </c>
      <c r="AG16" s="184">
        <f t="shared" si="13"/>
        <v>44557.5</v>
      </c>
    </row>
    <row r="17" spans="1:33" x14ac:dyDescent="0.25">
      <c r="A17" s="177" t="s">
        <v>418</v>
      </c>
      <c r="B17" s="178" t="s">
        <v>526</v>
      </c>
      <c r="C17" s="178" t="s">
        <v>418</v>
      </c>
      <c r="D17" s="179">
        <v>0</v>
      </c>
      <c r="E17" s="180" t="s">
        <v>527</v>
      </c>
      <c r="F17" s="181" t="str">
        <f t="shared" si="0"/>
        <v xml:space="preserve"> </v>
      </c>
      <c r="G17" s="181" t="s">
        <v>418</v>
      </c>
      <c r="H17" s="182" t="s">
        <v>418</v>
      </c>
      <c r="I17" s="182" t="s">
        <v>418</v>
      </c>
      <c r="J17" s="182" t="s">
        <v>418</v>
      </c>
      <c r="K17" s="182"/>
      <c r="L17" s="181" t="s">
        <v>418</v>
      </c>
      <c r="M17" s="183" t="str">
        <f t="shared" si="1"/>
        <v xml:space="preserve"> </v>
      </c>
      <c r="N17" s="181" t="s">
        <v>418</v>
      </c>
      <c r="O17" s="183" t="str">
        <f t="shared" si="1"/>
        <v xml:space="preserve"> </v>
      </c>
      <c r="P17" s="181" t="s">
        <v>418</v>
      </c>
      <c r="Q17" s="183" t="str">
        <f t="shared" si="2"/>
        <v xml:space="preserve"> </v>
      </c>
      <c r="R17" s="181" t="s">
        <v>418</v>
      </c>
      <c r="S17" s="183" t="str">
        <f t="shared" si="3"/>
        <v xml:space="preserve"> </v>
      </c>
      <c r="T17" s="181" t="s">
        <v>418</v>
      </c>
      <c r="U17" s="183" t="str">
        <f t="shared" si="4"/>
        <v xml:space="preserve"> </v>
      </c>
      <c r="V17" s="181" t="s">
        <v>418</v>
      </c>
      <c r="W17" s="183" t="str">
        <f t="shared" si="5"/>
        <v xml:space="preserve"> </v>
      </c>
      <c r="X17" s="181" t="s">
        <v>418</v>
      </c>
      <c r="Y17" s="183" t="str">
        <f t="shared" si="6"/>
        <v xml:space="preserve"> </v>
      </c>
      <c r="Z17" s="180"/>
      <c r="AA17" s="184" t="str">
        <f t="shared" si="7"/>
        <v xml:space="preserve"> </v>
      </c>
      <c r="AB17" s="184" t="str">
        <f t="shared" si="8"/>
        <v xml:space="preserve"> </v>
      </c>
      <c r="AC17" s="184" t="str">
        <f t="shared" si="9"/>
        <v xml:space="preserve"> </v>
      </c>
      <c r="AD17" s="184" t="str">
        <f t="shared" si="10"/>
        <v xml:space="preserve"> </v>
      </c>
      <c r="AE17" s="184" t="str">
        <f t="shared" si="11"/>
        <v xml:space="preserve"> </v>
      </c>
      <c r="AF17" s="184" t="str">
        <f t="shared" si="12"/>
        <v xml:space="preserve"> </v>
      </c>
      <c r="AG17" s="184" t="str">
        <f t="shared" si="13"/>
        <v xml:space="preserve"> </v>
      </c>
    </row>
    <row r="18" spans="1:33" x14ac:dyDescent="0.25">
      <c r="A18" s="177">
        <v>12</v>
      </c>
      <c r="B18" s="178" t="s">
        <v>526</v>
      </c>
      <c r="C18" s="178" t="s">
        <v>64</v>
      </c>
      <c r="D18" s="179">
        <v>0</v>
      </c>
      <c r="E18" s="180" t="s">
        <v>527</v>
      </c>
      <c r="F18" s="181" t="str">
        <f t="shared" si="0"/>
        <v xml:space="preserve"> </v>
      </c>
      <c r="G18" s="181" t="s">
        <v>418</v>
      </c>
      <c r="H18" s="182" t="s">
        <v>418</v>
      </c>
      <c r="I18" s="182" t="s">
        <v>418</v>
      </c>
      <c r="J18" s="182" t="s">
        <v>418</v>
      </c>
      <c r="K18" s="182"/>
      <c r="L18" s="181" t="s">
        <v>418</v>
      </c>
      <c r="M18" s="183" t="str">
        <f t="shared" si="1"/>
        <v xml:space="preserve"> </v>
      </c>
      <c r="N18" s="181" t="s">
        <v>418</v>
      </c>
      <c r="O18" s="183" t="str">
        <f t="shared" si="1"/>
        <v xml:space="preserve"> </v>
      </c>
      <c r="P18" s="181" t="s">
        <v>418</v>
      </c>
      <c r="Q18" s="183" t="str">
        <f t="shared" si="2"/>
        <v xml:space="preserve"> </v>
      </c>
      <c r="R18" s="181" t="s">
        <v>418</v>
      </c>
      <c r="S18" s="183" t="str">
        <f t="shared" si="3"/>
        <v xml:space="preserve"> </v>
      </c>
      <c r="T18" s="181" t="s">
        <v>418</v>
      </c>
      <c r="U18" s="183" t="str">
        <f t="shared" si="4"/>
        <v xml:space="preserve"> </v>
      </c>
      <c r="V18" s="181" t="s">
        <v>418</v>
      </c>
      <c r="W18" s="183" t="str">
        <f t="shared" si="5"/>
        <v xml:space="preserve"> </v>
      </c>
      <c r="X18" s="181" t="s">
        <v>418</v>
      </c>
      <c r="Y18" s="183" t="str">
        <f t="shared" si="6"/>
        <v xml:space="preserve"> </v>
      </c>
      <c r="Z18" s="180"/>
      <c r="AA18" s="184" t="str">
        <f t="shared" si="7"/>
        <v xml:space="preserve"> </v>
      </c>
      <c r="AB18" s="184" t="str">
        <f t="shared" si="8"/>
        <v xml:space="preserve"> </v>
      </c>
      <c r="AC18" s="184" t="str">
        <f t="shared" si="9"/>
        <v xml:space="preserve"> </v>
      </c>
      <c r="AD18" s="184" t="str">
        <f t="shared" si="10"/>
        <v xml:space="preserve"> </v>
      </c>
      <c r="AE18" s="184" t="str">
        <f t="shared" si="11"/>
        <v xml:space="preserve"> </v>
      </c>
      <c r="AF18" s="184" t="str">
        <f t="shared" si="12"/>
        <v xml:space="preserve"> </v>
      </c>
      <c r="AG18" s="184" t="str">
        <f t="shared" si="13"/>
        <v xml:space="preserve"> </v>
      </c>
    </row>
    <row r="19" spans="1:33" x14ac:dyDescent="0.25">
      <c r="A19" s="177" t="s">
        <v>418</v>
      </c>
      <c r="B19" s="178" t="s">
        <v>526</v>
      </c>
      <c r="C19" s="178" t="s">
        <v>418</v>
      </c>
      <c r="D19" s="179">
        <v>0</v>
      </c>
      <c r="E19" s="180" t="s">
        <v>527</v>
      </c>
      <c r="F19" s="181" t="str">
        <f t="shared" si="0"/>
        <v xml:space="preserve"> </v>
      </c>
      <c r="G19" s="181" t="s">
        <v>418</v>
      </c>
      <c r="H19" s="182" t="s">
        <v>418</v>
      </c>
      <c r="I19" s="182" t="s">
        <v>418</v>
      </c>
      <c r="J19" s="182" t="s">
        <v>418</v>
      </c>
      <c r="K19" s="182"/>
      <c r="L19" s="181" t="s">
        <v>418</v>
      </c>
      <c r="M19" s="183" t="str">
        <f t="shared" si="1"/>
        <v xml:space="preserve"> </v>
      </c>
      <c r="N19" s="181" t="s">
        <v>418</v>
      </c>
      <c r="O19" s="183" t="str">
        <f t="shared" si="1"/>
        <v xml:space="preserve"> </v>
      </c>
      <c r="P19" s="181" t="s">
        <v>418</v>
      </c>
      <c r="Q19" s="183" t="str">
        <f t="shared" si="2"/>
        <v xml:space="preserve"> </v>
      </c>
      <c r="R19" s="181" t="s">
        <v>418</v>
      </c>
      <c r="S19" s="183" t="str">
        <f t="shared" si="3"/>
        <v xml:space="preserve"> </v>
      </c>
      <c r="T19" s="181" t="s">
        <v>418</v>
      </c>
      <c r="U19" s="183" t="str">
        <f t="shared" si="4"/>
        <v xml:space="preserve"> </v>
      </c>
      <c r="V19" s="181" t="s">
        <v>418</v>
      </c>
      <c r="W19" s="183" t="str">
        <f t="shared" si="5"/>
        <v xml:space="preserve"> </v>
      </c>
      <c r="X19" s="181" t="s">
        <v>418</v>
      </c>
      <c r="Y19" s="183" t="str">
        <f t="shared" si="6"/>
        <v xml:space="preserve"> </v>
      </c>
      <c r="Z19" s="180"/>
      <c r="AA19" s="184" t="str">
        <f t="shared" si="7"/>
        <v xml:space="preserve"> </v>
      </c>
      <c r="AB19" s="184" t="str">
        <f t="shared" si="8"/>
        <v xml:space="preserve"> </v>
      </c>
      <c r="AC19" s="184" t="str">
        <f t="shared" si="9"/>
        <v xml:space="preserve"> </v>
      </c>
      <c r="AD19" s="184" t="str">
        <f t="shared" si="10"/>
        <v xml:space="preserve"> </v>
      </c>
      <c r="AE19" s="184" t="str">
        <f t="shared" si="11"/>
        <v xml:space="preserve"> </v>
      </c>
      <c r="AF19" s="184" t="str">
        <f t="shared" si="12"/>
        <v xml:space="preserve"> </v>
      </c>
      <c r="AG19" s="184" t="str">
        <f t="shared" si="13"/>
        <v xml:space="preserve"> </v>
      </c>
    </row>
    <row r="20" spans="1:33" ht="60" x14ac:dyDescent="0.25">
      <c r="A20" s="177">
        <v>13</v>
      </c>
      <c r="B20" s="178" t="s">
        <v>535</v>
      </c>
      <c r="C20" s="178" t="s">
        <v>66</v>
      </c>
      <c r="D20" s="179">
        <v>8544.4444444444453</v>
      </c>
      <c r="E20" s="180" t="s">
        <v>67</v>
      </c>
      <c r="F20" s="181">
        <f t="shared" si="0"/>
        <v>769</v>
      </c>
      <c r="G20" s="181">
        <v>766.1</v>
      </c>
      <c r="H20" s="182">
        <v>14.24</v>
      </c>
      <c r="I20" s="182">
        <v>10950.56</v>
      </c>
      <c r="J20" s="182">
        <v>10909.263999999999</v>
      </c>
      <c r="K20" s="182"/>
      <c r="L20" s="181">
        <v>77.5</v>
      </c>
      <c r="M20" s="183">
        <f t="shared" si="1"/>
        <v>0.10116172823391202</v>
      </c>
      <c r="N20" s="181">
        <v>316.55</v>
      </c>
      <c r="O20" s="183">
        <f t="shared" si="1"/>
        <v>0.4131967106121916</v>
      </c>
      <c r="P20" s="181">
        <v>580.85</v>
      </c>
      <c r="Q20" s="183">
        <f t="shared" si="2"/>
        <v>0.758190836705391</v>
      </c>
      <c r="R20" s="181">
        <v>632.96</v>
      </c>
      <c r="S20" s="183">
        <f t="shared" si="3"/>
        <v>0.82621067745725107</v>
      </c>
      <c r="T20" s="181">
        <v>699.17</v>
      </c>
      <c r="U20" s="183">
        <f t="shared" si="4"/>
        <v>0.91263542618457116</v>
      </c>
      <c r="V20" s="181">
        <v>766.1</v>
      </c>
      <c r="W20" s="183">
        <f t="shared" si="5"/>
        <v>1</v>
      </c>
      <c r="X20" s="181">
        <v>766.1</v>
      </c>
      <c r="Y20" s="183">
        <f t="shared" si="6"/>
        <v>1</v>
      </c>
      <c r="Z20" s="180"/>
      <c r="AA20" s="184">
        <f t="shared" si="7"/>
        <v>1103.5999999999999</v>
      </c>
      <c r="AB20" s="184">
        <f t="shared" si="8"/>
        <v>4507.6720000000005</v>
      </c>
      <c r="AC20" s="184">
        <f t="shared" si="9"/>
        <v>8271.3040000000001</v>
      </c>
      <c r="AD20" s="184">
        <f t="shared" si="10"/>
        <v>9013.3504000000012</v>
      </c>
      <c r="AE20" s="184">
        <f t="shared" si="11"/>
        <v>9956.1808000000001</v>
      </c>
      <c r="AF20" s="184">
        <f t="shared" si="12"/>
        <v>10909.264000000001</v>
      </c>
      <c r="AG20" s="184">
        <f t="shared" si="13"/>
        <v>10909.264000000001</v>
      </c>
    </row>
    <row r="21" spans="1:33" ht="60" x14ac:dyDescent="0.25">
      <c r="A21" s="177">
        <v>14</v>
      </c>
      <c r="B21" s="178" t="s">
        <v>535</v>
      </c>
      <c r="C21" s="178" t="s">
        <v>71</v>
      </c>
      <c r="D21" s="179">
        <v>173481.04666666669</v>
      </c>
      <c r="E21" s="180" t="s">
        <v>67</v>
      </c>
      <c r="F21" s="181">
        <f t="shared" si="0"/>
        <v>9369</v>
      </c>
      <c r="G21" s="181">
        <v>8972.02</v>
      </c>
      <c r="H21" s="182">
        <v>23.52</v>
      </c>
      <c r="I21" s="182">
        <v>220358.88</v>
      </c>
      <c r="J21" s="182">
        <v>211021.91039999999</v>
      </c>
      <c r="K21" s="182"/>
      <c r="L21" s="181">
        <v>902.5</v>
      </c>
      <c r="M21" s="183">
        <f t="shared" si="1"/>
        <v>0.10059050247324459</v>
      </c>
      <c r="N21" s="181">
        <v>3713.86</v>
      </c>
      <c r="O21" s="183">
        <f t="shared" si="1"/>
        <v>0.41393799835488554</v>
      </c>
      <c r="P21" s="181">
        <v>7241.11</v>
      </c>
      <c r="Q21" s="183">
        <f t="shared" si="2"/>
        <v>0.80707689015405659</v>
      </c>
      <c r="R21" s="181">
        <v>7792.06</v>
      </c>
      <c r="S21" s="183">
        <f t="shared" si="3"/>
        <v>0.86848446615143526</v>
      </c>
      <c r="T21" s="181">
        <v>8619.68</v>
      </c>
      <c r="U21" s="183">
        <f t="shared" si="4"/>
        <v>0.96072902200396337</v>
      </c>
      <c r="V21" s="181">
        <v>8972.02</v>
      </c>
      <c r="W21" s="183">
        <f t="shared" si="5"/>
        <v>1</v>
      </c>
      <c r="X21" s="181">
        <v>8972.02</v>
      </c>
      <c r="Y21" s="183">
        <f t="shared" si="6"/>
        <v>1</v>
      </c>
      <c r="Z21" s="180"/>
      <c r="AA21" s="184">
        <f t="shared" si="7"/>
        <v>21226.799999999999</v>
      </c>
      <c r="AB21" s="184">
        <f t="shared" si="8"/>
        <v>87349.987200000003</v>
      </c>
      <c r="AC21" s="184">
        <f t="shared" si="9"/>
        <v>170310.90719999999</v>
      </c>
      <c r="AD21" s="184">
        <f t="shared" si="10"/>
        <v>183269.2512</v>
      </c>
      <c r="AE21" s="184">
        <f t="shared" si="11"/>
        <v>202734.87359999999</v>
      </c>
      <c r="AF21" s="184">
        <f t="shared" si="12"/>
        <v>211021.91039999999</v>
      </c>
      <c r="AG21" s="184">
        <f t="shared" si="13"/>
        <v>211021.91039999999</v>
      </c>
    </row>
    <row r="22" spans="1:33" ht="60" x14ac:dyDescent="0.25">
      <c r="A22" s="177">
        <v>28</v>
      </c>
      <c r="B22" s="178" t="s">
        <v>535</v>
      </c>
      <c r="C22" s="178" t="s">
        <v>77</v>
      </c>
      <c r="D22" s="179">
        <v>8016</v>
      </c>
      <c r="E22" s="180" t="s">
        <v>67</v>
      </c>
      <c r="F22" s="181">
        <f t="shared" si="0"/>
        <v>9</v>
      </c>
      <c r="G22" s="181">
        <v>0.75</v>
      </c>
      <c r="H22" s="182">
        <v>1132.3699999999999</v>
      </c>
      <c r="I22" s="182">
        <v>10191.33</v>
      </c>
      <c r="J22" s="182">
        <v>849.27750000000003</v>
      </c>
      <c r="K22" s="182"/>
      <c r="L22" s="181"/>
      <c r="M22" s="183">
        <f t="shared" si="1"/>
        <v>0</v>
      </c>
      <c r="N22" s="181"/>
      <c r="O22" s="183">
        <f t="shared" si="1"/>
        <v>0</v>
      </c>
      <c r="P22" s="181"/>
      <c r="Q22" s="183">
        <f t="shared" si="2"/>
        <v>0</v>
      </c>
      <c r="R22" s="181"/>
      <c r="S22" s="183">
        <f t="shared" si="3"/>
        <v>0</v>
      </c>
      <c r="T22" s="181"/>
      <c r="U22" s="183">
        <f t="shared" si="4"/>
        <v>0</v>
      </c>
      <c r="V22" s="181">
        <v>0.75</v>
      </c>
      <c r="W22" s="183">
        <f t="shared" si="5"/>
        <v>1</v>
      </c>
      <c r="X22" s="181">
        <v>0.75</v>
      </c>
      <c r="Y22" s="183">
        <f t="shared" si="6"/>
        <v>1</v>
      </c>
      <c r="Z22" s="180"/>
      <c r="AA22" s="184">
        <f t="shared" si="7"/>
        <v>0</v>
      </c>
      <c r="AB22" s="184">
        <f t="shared" si="8"/>
        <v>0</v>
      </c>
      <c r="AC22" s="184">
        <f t="shared" si="9"/>
        <v>0</v>
      </c>
      <c r="AD22" s="184">
        <f t="shared" si="10"/>
        <v>0</v>
      </c>
      <c r="AE22" s="184">
        <f t="shared" si="11"/>
        <v>0</v>
      </c>
      <c r="AF22" s="184">
        <f t="shared" si="12"/>
        <v>849.27749999999992</v>
      </c>
      <c r="AG22" s="184">
        <f t="shared" si="13"/>
        <v>849.27749999999992</v>
      </c>
    </row>
    <row r="23" spans="1:33" ht="60" x14ac:dyDescent="0.25">
      <c r="A23" s="177">
        <v>29</v>
      </c>
      <c r="B23" s="178" t="s">
        <v>535</v>
      </c>
      <c r="C23" s="178" t="s">
        <v>80</v>
      </c>
      <c r="D23" s="179">
        <v>14028</v>
      </c>
      <c r="E23" s="180" t="s">
        <v>67</v>
      </c>
      <c r="F23" s="181">
        <f t="shared" si="0"/>
        <v>14.999999999999998</v>
      </c>
      <c r="G23" s="181">
        <v>12.65</v>
      </c>
      <c r="H23" s="182">
        <v>1188.99</v>
      </c>
      <c r="I23" s="182">
        <v>17834.849999999999</v>
      </c>
      <c r="J23" s="182">
        <v>15040.7235</v>
      </c>
      <c r="K23" s="182"/>
      <c r="L23" s="181"/>
      <c r="M23" s="183">
        <f t="shared" si="1"/>
        <v>0</v>
      </c>
      <c r="N23" s="181"/>
      <c r="O23" s="183">
        <f t="shared" si="1"/>
        <v>0</v>
      </c>
      <c r="P23" s="181"/>
      <c r="Q23" s="183">
        <f t="shared" si="2"/>
        <v>0</v>
      </c>
      <c r="R23" s="181">
        <v>11.65</v>
      </c>
      <c r="S23" s="183">
        <f t="shared" si="3"/>
        <v>0.92094861660079053</v>
      </c>
      <c r="T23" s="181">
        <v>11.65</v>
      </c>
      <c r="U23" s="183">
        <f t="shared" si="4"/>
        <v>0.92094861660079053</v>
      </c>
      <c r="V23" s="181">
        <v>12.65</v>
      </c>
      <c r="W23" s="183">
        <f t="shared" si="5"/>
        <v>1</v>
      </c>
      <c r="X23" s="181">
        <v>12.65</v>
      </c>
      <c r="Y23" s="183">
        <f t="shared" si="6"/>
        <v>1</v>
      </c>
      <c r="Z23" s="180"/>
      <c r="AA23" s="184">
        <f t="shared" si="7"/>
        <v>0</v>
      </c>
      <c r="AB23" s="184">
        <f t="shared" si="8"/>
        <v>0</v>
      </c>
      <c r="AC23" s="184">
        <f t="shared" si="9"/>
        <v>0</v>
      </c>
      <c r="AD23" s="184">
        <f t="shared" si="10"/>
        <v>13851.7335</v>
      </c>
      <c r="AE23" s="184">
        <f t="shared" si="11"/>
        <v>13851.7335</v>
      </c>
      <c r="AF23" s="184">
        <f t="shared" si="12"/>
        <v>15040.7235</v>
      </c>
      <c r="AG23" s="184">
        <f t="shared" si="13"/>
        <v>15040.7235</v>
      </c>
    </row>
    <row r="24" spans="1:33" ht="60" x14ac:dyDescent="0.25">
      <c r="A24" s="177">
        <v>30</v>
      </c>
      <c r="B24" s="178" t="s">
        <v>535</v>
      </c>
      <c r="C24" s="178" t="s">
        <v>83</v>
      </c>
      <c r="D24" s="179">
        <v>8016</v>
      </c>
      <c r="E24" s="180" t="s">
        <v>67</v>
      </c>
      <c r="F24" s="181">
        <f t="shared" si="0"/>
        <v>18</v>
      </c>
      <c r="G24" s="181">
        <v>8.1</v>
      </c>
      <c r="H24" s="182">
        <v>566.19000000000005</v>
      </c>
      <c r="I24" s="182">
        <v>10191.42</v>
      </c>
      <c r="J24" s="182">
        <v>4586.1390000000001</v>
      </c>
      <c r="K24" s="182"/>
      <c r="L24" s="181"/>
      <c r="M24" s="183">
        <f t="shared" si="1"/>
        <v>0</v>
      </c>
      <c r="N24" s="181"/>
      <c r="O24" s="183">
        <f t="shared" si="1"/>
        <v>0</v>
      </c>
      <c r="P24" s="181"/>
      <c r="Q24" s="183">
        <f t="shared" si="2"/>
        <v>0</v>
      </c>
      <c r="R24" s="181">
        <v>8.1</v>
      </c>
      <c r="S24" s="183">
        <f t="shared" si="3"/>
        <v>1</v>
      </c>
      <c r="T24" s="181">
        <v>8.1</v>
      </c>
      <c r="U24" s="183">
        <f t="shared" si="4"/>
        <v>1</v>
      </c>
      <c r="V24" s="181">
        <v>8.1</v>
      </c>
      <c r="W24" s="183">
        <f t="shared" si="5"/>
        <v>1</v>
      </c>
      <c r="X24" s="181">
        <v>8.1</v>
      </c>
      <c r="Y24" s="183">
        <f t="shared" si="6"/>
        <v>1</v>
      </c>
      <c r="Z24" s="180"/>
      <c r="AA24" s="184">
        <f t="shared" si="7"/>
        <v>0</v>
      </c>
      <c r="AB24" s="184">
        <f t="shared" si="8"/>
        <v>0</v>
      </c>
      <c r="AC24" s="184">
        <f t="shared" si="9"/>
        <v>0</v>
      </c>
      <c r="AD24" s="184">
        <f t="shared" si="10"/>
        <v>4586.1390000000001</v>
      </c>
      <c r="AE24" s="184">
        <f t="shared" si="11"/>
        <v>4586.1390000000001</v>
      </c>
      <c r="AF24" s="184">
        <f t="shared" si="12"/>
        <v>4586.1390000000001</v>
      </c>
      <c r="AG24" s="184">
        <f t="shared" si="13"/>
        <v>4586.1390000000001</v>
      </c>
    </row>
    <row r="25" spans="1:33" ht="90" x14ac:dyDescent="0.25">
      <c r="A25" s="177">
        <v>31</v>
      </c>
      <c r="B25" s="178" t="s">
        <v>535</v>
      </c>
      <c r="C25" s="178" t="s">
        <v>86</v>
      </c>
      <c r="D25" s="179">
        <v>3106</v>
      </c>
      <c r="E25" s="180" t="s">
        <v>67</v>
      </c>
      <c r="F25" s="181">
        <f t="shared" si="0"/>
        <v>7</v>
      </c>
      <c r="G25" s="181">
        <v>3</v>
      </c>
      <c r="H25" s="182">
        <v>564.13</v>
      </c>
      <c r="I25" s="182">
        <v>3948.91</v>
      </c>
      <c r="J25" s="182">
        <v>1692.39</v>
      </c>
      <c r="K25" s="182"/>
      <c r="L25" s="181"/>
      <c r="M25" s="183">
        <f t="shared" si="1"/>
        <v>0</v>
      </c>
      <c r="N25" s="181"/>
      <c r="O25" s="183">
        <f t="shared" si="1"/>
        <v>0</v>
      </c>
      <c r="P25" s="181"/>
      <c r="Q25" s="183">
        <f t="shared" si="2"/>
        <v>0</v>
      </c>
      <c r="R25" s="181">
        <v>1</v>
      </c>
      <c r="S25" s="183">
        <f t="shared" si="3"/>
        <v>0.33333333333333331</v>
      </c>
      <c r="T25" s="181">
        <v>1</v>
      </c>
      <c r="U25" s="183">
        <f t="shared" si="4"/>
        <v>0.33333333333333331</v>
      </c>
      <c r="V25" s="181">
        <v>3</v>
      </c>
      <c r="W25" s="183">
        <f t="shared" si="5"/>
        <v>1</v>
      </c>
      <c r="X25" s="181">
        <v>3</v>
      </c>
      <c r="Y25" s="183">
        <f t="shared" si="6"/>
        <v>1</v>
      </c>
      <c r="Z25" s="180"/>
      <c r="AA25" s="184">
        <f t="shared" si="7"/>
        <v>0</v>
      </c>
      <c r="AB25" s="184">
        <f t="shared" si="8"/>
        <v>0</v>
      </c>
      <c r="AC25" s="184">
        <f t="shared" si="9"/>
        <v>0</v>
      </c>
      <c r="AD25" s="184">
        <f t="shared" si="10"/>
        <v>564.13</v>
      </c>
      <c r="AE25" s="184">
        <f t="shared" si="11"/>
        <v>564.13</v>
      </c>
      <c r="AF25" s="184">
        <f t="shared" si="12"/>
        <v>1692.3899999999999</v>
      </c>
      <c r="AG25" s="184">
        <f t="shared" si="13"/>
        <v>1692.3899999999999</v>
      </c>
    </row>
    <row r="26" spans="1:33" ht="75" x14ac:dyDescent="0.25">
      <c r="A26" s="177">
        <v>32</v>
      </c>
      <c r="B26" s="178" t="s">
        <v>535</v>
      </c>
      <c r="C26" s="178" t="s">
        <v>89</v>
      </c>
      <c r="D26" s="179">
        <v>10020</v>
      </c>
      <c r="E26" s="180" t="s">
        <v>67</v>
      </c>
      <c r="F26" s="181">
        <f t="shared" si="0"/>
        <v>101</v>
      </c>
      <c r="G26" s="181">
        <v>88.9</v>
      </c>
      <c r="H26" s="182">
        <v>126.13</v>
      </c>
      <c r="I26" s="182">
        <v>12739.13</v>
      </c>
      <c r="J26" s="182">
        <v>11212.957</v>
      </c>
      <c r="K26" s="182"/>
      <c r="L26" s="181"/>
      <c r="M26" s="183">
        <f t="shared" si="1"/>
        <v>0</v>
      </c>
      <c r="N26" s="181"/>
      <c r="O26" s="183">
        <f t="shared" si="1"/>
        <v>0</v>
      </c>
      <c r="P26" s="181"/>
      <c r="Q26" s="183">
        <f t="shared" si="2"/>
        <v>0</v>
      </c>
      <c r="R26" s="181">
        <v>50.5</v>
      </c>
      <c r="S26" s="183">
        <f t="shared" si="3"/>
        <v>0.5680539932508436</v>
      </c>
      <c r="T26" s="181">
        <v>50.5</v>
      </c>
      <c r="U26" s="183">
        <f t="shared" si="4"/>
        <v>0.5680539932508436</v>
      </c>
      <c r="V26" s="181">
        <v>88.9</v>
      </c>
      <c r="W26" s="183">
        <f t="shared" si="5"/>
        <v>1</v>
      </c>
      <c r="X26" s="181">
        <v>88.9</v>
      </c>
      <c r="Y26" s="183">
        <f t="shared" si="6"/>
        <v>1</v>
      </c>
      <c r="Z26" s="180"/>
      <c r="AA26" s="184">
        <f t="shared" si="7"/>
        <v>0</v>
      </c>
      <c r="AB26" s="184">
        <f t="shared" si="8"/>
        <v>0</v>
      </c>
      <c r="AC26" s="184">
        <f t="shared" si="9"/>
        <v>0</v>
      </c>
      <c r="AD26" s="184">
        <f t="shared" si="10"/>
        <v>6369.5649999999996</v>
      </c>
      <c r="AE26" s="184">
        <f t="shared" si="11"/>
        <v>6369.5649999999996</v>
      </c>
      <c r="AF26" s="184">
        <f t="shared" si="12"/>
        <v>11212.957</v>
      </c>
      <c r="AG26" s="184">
        <f t="shared" si="13"/>
        <v>11212.957</v>
      </c>
    </row>
    <row r="27" spans="1:33" ht="60" x14ac:dyDescent="0.25">
      <c r="A27" s="177">
        <v>33</v>
      </c>
      <c r="B27" s="178" t="s">
        <v>536</v>
      </c>
      <c r="C27" s="178" t="s">
        <v>92</v>
      </c>
      <c r="D27" s="179">
        <v>9124.4444444444434</v>
      </c>
      <c r="E27" s="180" t="s">
        <v>67</v>
      </c>
      <c r="F27" s="181">
        <f t="shared" si="0"/>
        <v>160</v>
      </c>
      <c r="G27" s="181">
        <v>117.72</v>
      </c>
      <c r="H27" s="182">
        <v>72.5</v>
      </c>
      <c r="I27" s="182">
        <v>11600</v>
      </c>
      <c r="J27" s="182">
        <v>8534.7000000000007</v>
      </c>
      <c r="K27" s="182"/>
      <c r="L27" s="181"/>
      <c r="M27" s="183">
        <f t="shared" si="1"/>
        <v>0</v>
      </c>
      <c r="N27" s="181">
        <v>3.72</v>
      </c>
      <c r="O27" s="183">
        <f t="shared" si="1"/>
        <v>3.1600407747196739E-2</v>
      </c>
      <c r="P27" s="181">
        <v>26.22</v>
      </c>
      <c r="Q27" s="183">
        <f t="shared" si="2"/>
        <v>0.22273190621814473</v>
      </c>
      <c r="R27" s="181">
        <v>26.22</v>
      </c>
      <c r="S27" s="183">
        <f t="shared" si="3"/>
        <v>0.22273190621814473</v>
      </c>
      <c r="T27" s="181">
        <v>26.22</v>
      </c>
      <c r="U27" s="183">
        <f t="shared" si="4"/>
        <v>0.22273190621814473</v>
      </c>
      <c r="V27" s="181">
        <v>117.72</v>
      </c>
      <c r="W27" s="183">
        <f t="shared" si="5"/>
        <v>1</v>
      </c>
      <c r="X27" s="181">
        <v>117.72</v>
      </c>
      <c r="Y27" s="183">
        <f t="shared" si="6"/>
        <v>1</v>
      </c>
      <c r="Z27" s="180"/>
      <c r="AA27" s="184">
        <f t="shared" si="7"/>
        <v>0</v>
      </c>
      <c r="AB27" s="184">
        <f t="shared" si="8"/>
        <v>269.7</v>
      </c>
      <c r="AC27" s="184">
        <f t="shared" si="9"/>
        <v>1900.9499999999998</v>
      </c>
      <c r="AD27" s="184">
        <f t="shared" si="10"/>
        <v>1900.9499999999998</v>
      </c>
      <c r="AE27" s="184">
        <f t="shared" si="11"/>
        <v>1900.9499999999998</v>
      </c>
      <c r="AF27" s="184">
        <f t="shared" si="12"/>
        <v>8534.7000000000007</v>
      </c>
      <c r="AG27" s="184">
        <f t="shared" si="13"/>
        <v>8534.7000000000007</v>
      </c>
    </row>
    <row r="28" spans="1:33" ht="60" x14ac:dyDescent="0.25">
      <c r="A28" s="177">
        <v>34</v>
      </c>
      <c r="B28" s="178" t="s">
        <v>537</v>
      </c>
      <c r="C28" s="178" t="s">
        <v>94</v>
      </c>
      <c r="D28" s="179">
        <v>94060.010845680445</v>
      </c>
      <c r="E28" s="180" t="s">
        <v>67</v>
      </c>
      <c r="F28" s="181">
        <f t="shared" si="0"/>
        <v>4259</v>
      </c>
      <c r="G28" s="181">
        <v>2378.86</v>
      </c>
      <c r="H28" s="182">
        <v>30.27</v>
      </c>
      <c r="I28" s="182">
        <v>128919.93</v>
      </c>
      <c r="J28" s="182">
        <v>72008.092199999999</v>
      </c>
      <c r="K28" s="182"/>
      <c r="L28" s="181"/>
      <c r="M28" s="183">
        <f t="shared" si="1"/>
        <v>0</v>
      </c>
      <c r="N28" s="181">
        <v>134.85</v>
      </c>
      <c r="O28" s="183">
        <f t="shared" si="1"/>
        <v>5.6686816374229669E-2</v>
      </c>
      <c r="P28" s="181">
        <v>1613.46</v>
      </c>
      <c r="Q28" s="183">
        <f t="shared" si="2"/>
        <v>0.67824924543688991</v>
      </c>
      <c r="R28" s="181">
        <v>2002.26</v>
      </c>
      <c r="S28" s="183">
        <f t="shared" si="3"/>
        <v>0.84168887618439081</v>
      </c>
      <c r="T28" s="181">
        <v>2378.86</v>
      </c>
      <c r="U28" s="183">
        <f t="shared" si="4"/>
        <v>1</v>
      </c>
      <c r="V28" s="181">
        <v>2378.86</v>
      </c>
      <c r="W28" s="183">
        <f t="shared" si="5"/>
        <v>1</v>
      </c>
      <c r="X28" s="181">
        <v>2378.86</v>
      </c>
      <c r="Y28" s="183">
        <f t="shared" si="6"/>
        <v>1</v>
      </c>
      <c r="Z28" s="180"/>
      <c r="AA28" s="184">
        <f t="shared" si="7"/>
        <v>0</v>
      </c>
      <c r="AB28" s="184">
        <f t="shared" si="8"/>
        <v>4081.9094999999998</v>
      </c>
      <c r="AC28" s="184">
        <f t="shared" si="9"/>
        <v>48839.434200000003</v>
      </c>
      <c r="AD28" s="184">
        <f t="shared" si="10"/>
        <v>60608.410199999998</v>
      </c>
      <c r="AE28" s="184">
        <f t="shared" si="11"/>
        <v>72008.092199999999</v>
      </c>
      <c r="AF28" s="184">
        <f t="shared" si="12"/>
        <v>72008.092199999999</v>
      </c>
      <c r="AG28" s="184">
        <f t="shared" si="13"/>
        <v>72008.092199999999</v>
      </c>
    </row>
    <row r="29" spans="1:33" ht="60" x14ac:dyDescent="0.25">
      <c r="A29" s="177">
        <v>48</v>
      </c>
      <c r="B29" s="178" t="s">
        <v>538</v>
      </c>
      <c r="C29" s="178" t="s">
        <v>96</v>
      </c>
      <c r="D29" s="179">
        <v>0</v>
      </c>
      <c r="E29" s="180" t="s">
        <v>527</v>
      </c>
      <c r="F29" s="181" t="str">
        <f t="shared" si="0"/>
        <v xml:space="preserve"> </v>
      </c>
      <c r="G29" s="181" t="s">
        <v>418</v>
      </c>
      <c r="H29" s="182" t="s">
        <v>418</v>
      </c>
      <c r="I29" s="182" t="s">
        <v>418</v>
      </c>
      <c r="J29" s="182" t="s">
        <v>418</v>
      </c>
      <c r="K29" s="182"/>
      <c r="L29" s="181" t="s">
        <v>418</v>
      </c>
      <c r="M29" s="183" t="str">
        <f t="shared" si="1"/>
        <v xml:space="preserve"> </v>
      </c>
      <c r="N29" s="181" t="s">
        <v>418</v>
      </c>
      <c r="O29" s="183" t="str">
        <f t="shared" si="1"/>
        <v xml:space="preserve"> </v>
      </c>
      <c r="P29" s="181" t="s">
        <v>418</v>
      </c>
      <c r="Q29" s="183" t="str">
        <f t="shared" si="2"/>
        <v xml:space="preserve"> </v>
      </c>
      <c r="R29" s="181" t="s">
        <v>418</v>
      </c>
      <c r="S29" s="183" t="str">
        <f t="shared" si="3"/>
        <v xml:space="preserve"> </v>
      </c>
      <c r="T29" s="181" t="s">
        <v>418</v>
      </c>
      <c r="U29" s="183" t="str">
        <f t="shared" si="4"/>
        <v xml:space="preserve"> </v>
      </c>
      <c r="V29" s="181" t="s">
        <v>418</v>
      </c>
      <c r="W29" s="183" t="str">
        <f t="shared" si="5"/>
        <v xml:space="preserve"> </v>
      </c>
      <c r="X29" s="181" t="s">
        <v>418</v>
      </c>
      <c r="Y29" s="183" t="str">
        <f t="shared" si="6"/>
        <v xml:space="preserve"> </v>
      </c>
      <c r="Z29" s="180"/>
      <c r="AA29" s="184" t="str">
        <f t="shared" si="7"/>
        <v xml:space="preserve"> </v>
      </c>
      <c r="AB29" s="184" t="str">
        <f t="shared" si="8"/>
        <v xml:space="preserve"> </v>
      </c>
      <c r="AC29" s="184" t="str">
        <f t="shared" si="9"/>
        <v xml:space="preserve"> </v>
      </c>
      <c r="AD29" s="184" t="str">
        <f t="shared" si="10"/>
        <v xml:space="preserve"> </v>
      </c>
      <c r="AE29" s="184" t="str">
        <f t="shared" si="11"/>
        <v xml:space="preserve"> </v>
      </c>
      <c r="AF29" s="184" t="str">
        <f t="shared" si="12"/>
        <v xml:space="preserve"> </v>
      </c>
      <c r="AG29" s="184" t="str">
        <f t="shared" si="13"/>
        <v xml:space="preserve"> </v>
      </c>
    </row>
    <row r="30" spans="1:33" ht="75" x14ac:dyDescent="0.25">
      <c r="A30" s="177">
        <v>49</v>
      </c>
      <c r="B30" s="178" t="s">
        <v>538</v>
      </c>
      <c r="C30" s="178" t="s">
        <v>98</v>
      </c>
      <c r="D30" s="179">
        <v>691.19999999999993</v>
      </c>
      <c r="E30" s="180" t="s">
        <v>67</v>
      </c>
      <c r="F30" s="181">
        <f t="shared" si="0"/>
        <v>160.00000000000003</v>
      </c>
      <c r="G30" s="181"/>
      <c r="H30" s="182">
        <v>13.18</v>
      </c>
      <c r="I30" s="182">
        <v>2108.8000000000002</v>
      </c>
      <c r="J30" s="182"/>
      <c r="K30" s="182"/>
      <c r="L30" s="181"/>
      <c r="M30" s="183" t="str">
        <f t="shared" si="1"/>
        <v xml:space="preserve"> </v>
      </c>
      <c r="N30" s="181"/>
      <c r="O30" s="183" t="str">
        <f t="shared" si="1"/>
        <v xml:space="preserve"> </v>
      </c>
      <c r="P30" s="181"/>
      <c r="Q30" s="183" t="str">
        <f t="shared" si="2"/>
        <v xml:space="preserve"> </v>
      </c>
      <c r="R30" s="181"/>
      <c r="S30" s="183" t="str">
        <f t="shared" si="3"/>
        <v xml:space="preserve"> </v>
      </c>
      <c r="T30" s="181"/>
      <c r="U30" s="183" t="str">
        <f t="shared" si="4"/>
        <v xml:space="preserve"> </v>
      </c>
      <c r="V30" s="181"/>
      <c r="W30" s="183" t="str">
        <f t="shared" si="5"/>
        <v xml:space="preserve"> </v>
      </c>
      <c r="X30" s="181"/>
      <c r="Y30" s="183" t="str">
        <f t="shared" si="6"/>
        <v xml:space="preserve"> </v>
      </c>
      <c r="Z30" s="180"/>
      <c r="AA30" s="184">
        <f t="shared" si="7"/>
        <v>0</v>
      </c>
      <c r="AB30" s="184">
        <f t="shared" si="8"/>
        <v>0</v>
      </c>
      <c r="AC30" s="184">
        <f t="shared" si="9"/>
        <v>0</v>
      </c>
      <c r="AD30" s="184">
        <f t="shared" si="10"/>
        <v>0</v>
      </c>
      <c r="AE30" s="184">
        <f t="shared" si="11"/>
        <v>0</v>
      </c>
      <c r="AF30" s="184">
        <f t="shared" si="12"/>
        <v>0</v>
      </c>
      <c r="AG30" s="184">
        <f t="shared" si="13"/>
        <v>0</v>
      </c>
    </row>
    <row r="31" spans="1:33" ht="60" x14ac:dyDescent="0.25">
      <c r="A31" s="177">
        <v>50</v>
      </c>
      <c r="B31" s="178" t="s">
        <v>538</v>
      </c>
      <c r="C31" s="178" t="s">
        <v>101</v>
      </c>
      <c r="D31" s="179">
        <v>10338.986666666666</v>
      </c>
      <c r="E31" s="180" t="s">
        <v>67</v>
      </c>
      <c r="F31" s="181">
        <f t="shared" si="0"/>
        <v>160</v>
      </c>
      <c r="G31" s="181"/>
      <c r="H31" s="182">
        <v>82.15</v>
      </c>
      <c r="I31" s="182">
        <v>13144</v>
      </c>
      <c r="J31" s="182"/>
      <c r="K31" s="182"/>
      <c r="L31" s="181"/>
      <c r="M31" s="183" t="str">
        <f t="shared" si="1"/>
        <v xml:space="preserve"> </v>
      </c>
      <c r="N31" s="181"/>
      <c r="O31" s="183" t="str">
        <f t="shared" si="1"/>
        <v xml:space="preserve"> </v>
      </c>
      <c r="P31" s="181"/>
      <c r="Q31" s="183" t="str">
        <f t="shared" si="2"/>
        <v xml:space="preserve"> </v>
      </c>
      <c r="R31" s="181"/>
      <c r="S31" s="183" t="str">
        <f t="shared" si="3"/>
        <v xml:space="preserve"> </v>
      </c>
      <c r="T31" s="181"/>
      <c r="U31" s="183" t="str">
        <f t="shared" si="4"/>
        <v xml:space="preserve"> </v>
      </c>
      <c r="V31" s="181"/>
      <c r="W31" s="183" t="str">
        <f t="shared" si="5"/>
        <v xml:space="preserve"> </v>
      </c>
      <c r="X31" s="181"/>
      <c r="Y31" s="183" t="str">
        <f t="shared" si="6"/>
        <v xml:space="preserve"> </v>
      </c>
      <c r="Z31" s="180"/>
      <c r="AA31" s="184">
        <f t="shared" si="7"/>
        <v>0</v>
      </c>
      <c r="AB31" s="184">
        <f t="shared" si="8"/>
        <v>0</v>
      </c>
      <c r="AC31" s="184">
        <f t="shared" si="9"/>
        <v>0</v>
      </c>
      <c r="AD31" s="184">
        <f t="shared" si="10"/>
        <v>0</v>
      </c>
      <c r="AE31" s="184">
        <f t="shared" si="11"/>
        <v>0</v>
      </c>
      <c r="AF31" s="184">
        <f t="shared" si="12"/>
        <v>0</v>
      </c>
      <c r="AG31" s="184">
        <f t="shared" si="13"/>
        <v>0</v>
      </c>
    </row>
    <row r="32" spans="1:33" ht="60" x14ac:dyDescent="0.25">
      <c r="A32" s="177">
        <v>51</v>
      </c>
      <c r="B32" s="178" t="s">
        <v>539</v>
      </c>
      <c r="C32" s="178" t="s">
        <v>104</v>
      </c>
      <c r="D32" s="179">
        <v>0</v>
      </c>
      <c r="E32" s="180" t="s">
        <v>527</v>
      </c>
      <c r="F32" s="181" t="str">
        <f t="shared" si="0"/>
        <v xml:space="preserve"> </v>
      </c>
      <c r="G32" s="181" t="s">
        <v>418</v>
      </c>
      <c r="H32" s="182" t="s">
        <v>418</v>
      </c>
      <c r="I32" s="182" t="s">
        <v>418</v>
      </c>
      <c r="J32" s="182" t="s">
        <v>418</v>
      </c>
      <c r="K32" s="182"/>
      <c r="L32" s="181" t="s">
        <v>418</v>
      </c>
      <c r="M32" s="183" t="str">
        <f t="shared" si="1"/>
        <v xml:space="preserve"> </v>
      </c>
      <c r="N32" s="181" t="s">
        <v>418</v>
      </c>
      <c r="O32" s="183" t="str">
        <f t="shared" si="1"/>
        <v xml:space="preserve"> </v>
      </c>
      <c r="P32" s="181" t="s">
        <v>418</v>
      </c>
      <c r="Q32" s="183" t="str">
        <f t="shared" si="2"/>
        <v xml:space="preserve"> </v>
      </c>
      <c r="R32" s="181" t="s">
        <v>418</v>
      </c>
      <c r="S32" s="183" t="str">
        <f t="shared" si="3"/>
        <v xml:space="preserve"> </v>
      </c>
      <c r="T32" s="181" t="s">
        <v>418</v>
      </c>
      <c r="U32" s="183" t="str">
        <f t="shared" si="4"/>
        <v xml:space="preserve"> </v>
      </c>
      <c r="V32" s="181" t="s">
        <v>418</v>
      </c>
      <c r="W32" s="183" t="str">
        <f t="shared" si="5"/>
        <v xml:space="preserve"> </v>
      </c>
      <c r="X32" s="181" t="s">
        <v>418</v>
      </c>
      <c r="Y32" s="183" t="str">
        <f t="shared" si="6"/>
        <v xml:space="preserve"> </v>
      </c>
      <c r="Z32" s="180"/>
      <c r="AA32" s="184" t="str">
        <f t="shared" si="7"/>
        <v xml:space="preserve"> </v>
      </c>
      <c r="AB32" s="184" t="str">
        <f t="shared" si="8"/>
        <v xml:space="preserve"> </v>
      </c>
      <c r="AC32" s="184" t="str">
        <f t="shared" si="9"/>
        <v xml:space="preserve"> </v>
      </c>
      <c r="AD32" s="184" t="str">
        <f t="shared" si="10"/>
        <v xml:space="preserve"> </v>
      </c>
      <c r="AE32" s="184" t="str">
        <f t="shared" si="11"/>
        <v xml:space="preserve"> </v>
      </c>
      <c r="AF32" s="184" t="str">
        <f t="shared" si="12"/>
        <v xml:space="preserve"> </v>
      </c>
      <c r="AG32" s="184" t="str">
        <f t="shared" si="13"/>
        <v xml:space="preserve"> </v>
      </c>
    </row>
    <row r="33" spans="1:33" ht="45" x14ac:dyDescent="0.25">
      <c r="A33" s="177">
        <v>52</v>
      </c>
      <c r="B33" s="178" t="s">
        <v>539</v>
      </c>
      <c r="C33" s="178" t="s">
        <v>106</v>
      </c>
      <c r="D33" s="179">
        <v>539.13599999999997</v>
      </c>
      <c r="E33" s="180" t="s">
        <v>67</v>
      </c>
      <c r="F33" s="181">
        <f t="shared" si="0"/>
        <v>52</v>
      </c>
      <c r="G33" s="181"/>
      <c r="H33" s="182">
        <v>13.18</v>
      </c>
      <c r="I33" s="182">
        <v>685.36</v>
      </c>
      <c r="J33" s="182"/>
      <c r="K33" s="182"/>
      <c r="L33" s="181"/>
      <c r="M33" s="183" t="str">
        <f t="shared" si="1"/>
        <v xml:space="preserve"> </v>
      </c>
      <c r="N33" s="181"/>
      <c r="O33" s="183" t="str">
        <f t="shared" si="1"/>
        <v xml:space="preserve"> </v>
      </c>
      <c r="P33" s="181"/>
      <c r="Q33" s="183" t="str">
        <f t="shared" si="2"/>
        <v xml:space="preserve"> </v>
      </c>
      <c r="R33" s="181"/>
      <c r="S33" s="183" t="str">
        <f t="shared" si="3"/>
        <v xml:space="preserve"> </v>
      </c>
      <c r="T33" s="181"/>
      <c r="U33" s="183" t="str">
        <f t="shared" si="4"/>
        <v xml:space="preserve"> </v>
      </c>
      <c r="V33" s="181"/>
      <c r="W33" s="183" t="str">
        <f t="shared" si="5"/>
        <v xml:space="preserve"> </v>
      </c>
      <c r="X33" s="181"/>
      <c r="Y33" s="183" t="str">
        <f t="shared" si="6"/>
        <v xml:space="preserve"> </v>
      </c>
      <c r="Z33" s="180"/>
      <c r="AA33" s="184">
        <f t="shared" si="7"/>
        <v>0</v>
      </c>
      <c r="AB33" s="184">
        <f t="shared" si="8"/>
        <v>0</v>
      </c>
      <c r="AC33" s="184">
        <f t="shared" si="9"/>
        <v>0</v>
      </c>
      <c r="AD33" s="184">
        <f t="shared" si="10"/>
        <v>0</v>
      </c>
      <c r="AE33" s="184">
        <f t="shared" si="11"/>
        <v>0</v>
      </c>
      <c r="AF33" s="184">
        <f t="shared" si="12"/>
        <v>0</v>
      </c>
      <c r="AG33" s="184">
        <f t="shared" si="13"/>
        <v>0</v>
      </c>
    </row>
    <row r="34" spans="1:33" ht="60" x14ac:dyDescent="0.25">
      <c r="A34" s="177">
        <v>53</v>
      </c>
      <c r="B34" s="178" t="s">
        <v>539</v>
      </c>
      <c r="C34" s="178" t="s">
        <v>108</v>
      </c>
      <c r="D34" s="179">
        <v>6680</v>
      </c>
      <c r="E34" s="180" t="s">
        <v>67</v>
      </c>
      <c r="F34" s="181">
        <f t="shared" si="0"/>
        <v>52</v>
      </c>
      <c r="G34" s="181"/>
      <c r="H34" s="182">
        <v>163.32</v>
      </c>
      <c r="I34" s="182">
        <v>8492.64</v>
      </c>
      <c r="J34" s="182"/>
      <c r="K34" s="182"/>
      <c r="L34" s="181"/>
      <c r="M34" s="183" t="str">
        <f t="shared" si="1"/>
        <v xml:space="preserve"> </v>
      </c>
      <c r="N34" s="181"/>
      <c r="O34" s="183" t="str">
        <f t="shared" si="1"/>
        <v xml:space="preserve"> </v>
      </c>
      <c r="P34" s="181"/>
      <c r="Q34" s="183" t="str">
        <f t="shared" si="2"/>
        <v xml:space="preserve"> </v>
      </c>
      <c r="R34" s="181"/>
      <c r="S34" s="183" t="str">
        <f t="shared" si="3"/>
        <v xml:space="preserve"> </v>
      </c>
      <c r="T34" s="181"/>
      <c r="U34" s="183" t="str">
        <f t="shared" si="4"/>
        <v xml:space="preserve"> </v>
      </c>
      <c r="V34" s="181"/>
      <c r="W34" s="183" t="str">
        <f t="shared" si="5"/>
        <v xml:space="preserve"> </v>
      </c>
      <c r="X34" s="181"/>
      <c r="Y34" s="183" t="str">
        <f t="shared" si="6"/>
        <v xml:space="preserve"> </v>
      </c>
      <c r="Z34" s="180"/>
      <c r="AA34" s="184">
        <f t="shared" si="7"/>
        <v>0</v>
      </c>
      <c r="AB34" s="184">
        <f t="shared" si="8"/>
        <v>0</v>
      </c>
      <c r="AC34" s="184">
        <f t="shared" si="9"/>
        <v>0</v>
      </c>
      <c r="AD34" s="184">
        <f t="shared" si="10"/>
        <v>0</v>
      </c>
      <c r="AE34" s="184">
        <f t="shared" si="11"/>
        <v>0</v>
      </c>
      <c r="AF34" s="184">
        <f t="shared" si="12"/>
        <v>0</v>
      </c>
      <c r="AG34" s="184">
        <f t="shared" si="13"/>
        <v>0</v>
      </c>
    </row>
    <row r="35" spans="1:33" ht="30" x14ac:dyDescent="0.25">
      <c r="A35" s="177">
        <v>54</v>
      </c>
      <c r="B35" s="178" t="s">
        <v>540</v>
      </c>
      <c r="C35" s="178" t="s">
        <v>111</v>
      </c>
      <c r="D35" s="179">
        <v>28719.407111111108</v>
      </c>
      <c r="E35" s="180" t="s">
        <v>112</v>
      </c>
      <c r="F35" s="181">
        <f t="shared" si="0"/>
        <v>15970.999999999998</v>
      </c>
      <c r="G35" s="181">
        <v>30494.55</v>
      </c>
      <c r="H35" s="182">
        <v>2.29</v>
      </c>
      <c r="I35" s="182">
        <v>36573.589999999997</v>
      </c>
      <c r="J35" s="182">
        <v>69832.519499999995</v>
      </c>
      <c r="K35" s="182"/>
      <c r="L35" s="181">
        <v>3100</v>
      </c>
      <c r="M35" s="183">
        <f t="shared" si="1"/>
        <v>0.1016575092926441</v>
      </c>
      <c r="N35" s="181">
        <v>12703.7</v>
      </c>
      <c r="O35" s="183">
        <f t="shared" si="1"/>
        <v>0.41658919380676224</v>
      </c>
      <c r="P35" s="181">
        <v>24953.7</v>
      </c>
      <c r="Q35" s="183">
        <f t="shared" si="2"/>
        <v>0.81830031923737201</v>
      </c>
      <c r="R35" s="181">
        <v>25990.95</v>
      </c>
      <c r="S35" s="183">
        <f t="shared" si="3"/>
        <v>0.85231459391924136</v>
      </c>
      <c r="T35" s="181">
        <v>27834.35</v>
      </c>
      <c r="U35" s="183">
        <f t="shared" si="4"/>
        <v>0.91276473992893814</v>
      </c>
      <c r="V35" s="181">
        <v>30494.55</v>
      </c>
      <c r="W35" s="183">
        <f t="shared" si="5"/>
        <v>1</v>
      </c>
      <c r="X35" s="181">
        <v>30494.55</v>
      </c>
      <c r="Y35" s="183">
        <f t="shared" si="6"/>
        <v>1</v>
      </c>
      <c r="Z35" s="180"/>
      <c r="AA35" s="184">
        <f t="shared" si="7"/>
        <v>7099</v>
      </c>
      <c r="AB35" s="184">
        <f t="shared" si="8"/>
        <v>29091.473000000002</v>
      </c>
      <c r="AC35" s="184">
        <f t="shared" si="9"/>
        <v>57143.973000000005</v>
      </c>
      <c r="AD35" s="184">
        <f t="shared" si="10"/>
        <v>59519.275500000003</v>
      </c>
      <c r="AE35" s="184">
        <f t="shared" si="11"/>
        <v>63740.661499999995</v>
      </c>
      <c r="AF35" s="184">
        <f t="shared" si="12"/>
        <v>69832.519499999995</v>
      </c>
      <c r="AG35" s="184">
        <f t="shared" si="13"/>
        <v>69832.519499999995</v>
      </c>
    </row>
    <row r="36" spans="1:33" ht="45" x14ac:dyDescent="0.25">
      <c r="A36" s="177">
        <v>55</v>
      </c>
      <c r="B36" s="178" t="s">
        <v>541</v>
      </c>
      <c r="C36" s="178" t="s">
        <v>114</v>
      </c>
      <c r="D36" s="179">
        <v>0</v>
      </c>
      <c r="E36" s="180" t="s">
        <v>527</v>
      </c>
      <c r="F36" s="181" t="str">
        <f t="shared" si="0"/>
        <v xml:space="preserve"> </v>
      </c>
      <c r="G36" s="181" t="s">
        <v>418</v>
      </c>
      <c r="H36" s="182" t="s">
        <v>418</v>
      </c>
      <c r="I36" s="182" t="s">
        <v>418</v>
      </c>
      <c r="J36" s="182" t="s">
        <v>418</v>
      </c>
      <c r="K36" s="182"/>
      <c r="L36" s="181" t="s">
        <v>418</v>
      </c>
      <c r="M36" s="183" t="str">
        <f t="shared" si="1"/>
        <v xml:space="preserve"> </v>
      </c>
      <c r="N36" s="181" t="s">
        <v>418</v>
      </c>
      <c r="O36" s="183" t="str">
        <f t="shared" si="1"/>
        <v xml:space="preserve"> </v>
      </c>
      <c r="P36" s="181" t="s">
        <v>418</v>
      </c>
      <c r="Q36" s="183" t="str">
        <f t="shared" si="2"/>
        <v xml:space="preserve"> </v>
      </c>
      <c r="R36" s="181" t="s">
        <v>418</v>
      </c>
      <c r="S36" s="183" t="str">
        <f t="shared" si="3"/>
        <v xml:space="preserve"> </v>
      </c>
      <c r="T36" s="181" t="s">
        <v>418</v>
      </c>
      <c r="U36" s="183" t="str">
        <f t="shared" si="4"/>
        <v xml:space="preserve"> </v>
      </c>
      <c r="V36" s="181" t="s">
        <v>418</v>
      </c>
      <c r="W36" s="183" t="str">
        <f t="shared" si="5"/>
        <v xml:space="preserve"> </v>
      </c>
      <c r="X36" s="181" t="s">
        <v>418</v>
      </c>
      <c r="Y36" s="183" t="str">
        <f t="shared" si="6"/>
        <v xml:space="preserve"> </v>
      </c>
      <c r="Z36" s="180"/>
      <c r="AA36" s="184" t="str">
        <f t="shared" si="7"/>
        <v xml:space="preserve"> </v>
      </c>
      <c r="AB36" s="184" t="str">
        <f t="shared" si="8"/>
        <v xml:space="preserve"> </v>
      </c>
      <c r="AC36" s="184" t="str">
        <f t="shared" si="9"/>
        <v xml:space="preserve"> </v>
      </c>
      <c r="AD36" s="184" t="str">
        <f t="shared" si="10"/>
        <v xml:space="preserve"> </v>
      </c>
      <c r="AE36" s="184" t="str">
        <f t="shared" si="11"/>
        <v xml:space="preserve"> </v>
      </c>
      <c r="AF36" s="184" t="str">
        <f t="shared" si="12"/>
        <v xml:space="preserve"> </v>
      </c>
      <c r="AG36" s="184" t="str">
        <f t="shared" si="13"/>
        <v xml:space="preserve"> </v>
      </c>
    </row>
    <row r="37" spans="1:33" ht="60" x14ac:dyDescent="0.25">
      <c r="A37" s="177">
        <v>56</v>
      </c>
      <c r="B37" s="178" t="s">
        <v>541</v>
      </c>
      <c r="C37" s="178" t="s">
        <v>116</v>
      </c>
      <c r="D37" s="179">
        <v>44157.312000000005</v>
      </c>
      <c r="E37" s="180" t="s">
        <v>67</v>
      </c>
      <c r="F37" s="181">
        <f t="shared" si="0"/>
        <v>4259</v>
      </c>
      <c r="G37" s="181">
        <v>1933.33</v>
      </c>
      <c r="H37" s="182">
        <v>13.18</v>
      </c>
      <c r="I37" s="182">
        <v>56133.62</v>
      </c>
      <c r="J37" s="182">
        <v>25481.289400000001</v>
      </c>
      <c r="K37" s="182"/>
      <c r="L37" s="181"/>
      <c r="M37" s="183">
        <f t="shared" si="1"/>
        <v>0</v>
      </c>
      <c r="N37" s="181">
        <v>106.62</v>
      </c>
      <c r="O37" s="183">
        <f t="shared" si="1"/>
        <v>5.5148370945467151E-2</v>
      </c>
      <c r="P37" s="181">
        <v>989.79</v>
      </c>
      <c r="Q37" s="183">
        <f t="shared" si="2"/>
        <v>0.5119612275193578</v>
      </c>
      <c r="R37" s="181">
        <v>1339.33</v>
      </c>
      <c r="S37" s="183">
        <f t="shared" si="3"/>
        <v>0.69275809096222574</v>
      </c>
      <c r="T37" s="181">
        <v>1664.13</v>
      </c>
      <c r="U37" s="183">
        <f t="shared" si="4"/>
        <v>0.86075838061789767</v>
      </c>
      <c r="V37" s="181">
        <v>1933.33</v>
      </c>
      <c r="W37" s="183">
        <f t="shared" si="5"/>
        <v>1</v>
      </c>
      <c r="X37" s="181">
        <v>1933.33</v>
      </c>
      <c r="Y37" s="183">
        <f t="shared" si="6"/>
        <v>1</v>
      </c>
      <c r="Z37" s="180"/>
      <c r="AA37" s="184">
        <f t="shared" si="7"/>
        <v>0</v>
      </c>
      <c r="AB37" s="184">
        <f t="shared" si="8"/>
        <v>1405.2516000000001</v>
      </c>
      <c r="AC37" s="184">
        <f t="shared" si="9"/>
        <v>13045.432199999999</v>
      </c>
      <c r="AD37" s="184">
        <f t="shared" si="10"/>
        <v>17652.3694</v>
      </c>
      <c r="AE37" s="184">
        <f t="shared" si="11"/>
        <v>21933.233400000001</v>
      </c>
      <c r="AF37" s="184">
        <f t="shared" si="12"/>
        <v>25481.289399999998</v>
      </c>
      <c r="AG37" s="184">
        <f t="shared" si="13"/>
        <v>25481.289399999998</v>
      </c>
    </row>
    <row r="38" spans="1:33" ht="60" x14ac:dyDescent="0.25">
      <c r="A38" s="177">
        <v>57</v>
      </c>
      <c r="B38" s="178" t="s">
        <v>541</v>
      </c>
      <c r="C38" s="178" t="s">
        <v>118</v>
      </c>
      <c r="D38" s="179">
        <v>103203.57198214009</v>
      </c>
      <c r="E38" s="180" t="s">
        <v>67</v>
      </c>
      <c r="F38" s="181">
        <f t="shared" si="0"/>
        <v>4259</v>
      </c>
      <c r="G38" s="181">
        <v>1681.88</v>
      </c>
      <c r="H38" s="182">
        <v>30.81</v>
      </c>
      <c r="I38" s="182">
        <v>131219.79</v>
      </c>
      <c r="J38" s="182">
        <v>51818.722800000003</v>
      </c>
      <c r="K38" s="182"/>
      <c r="L38" s="181"/>
      <c r="M38" s="183">
        <f t="shared" si="1"/>
        <v>0</v>
      </c>
      <c r="N38" s="181">
        <v>106.62</v>
      </c>
      <c r="O38" s="183">
        <f t="shared" si="1"/>
        <v>6.3393345541893589E-2</v>
      </c>
      <c r="P38" s="181">
        <v>989.79</v>
      </c>
      <c r="Q38" s="183">
        <f t="shared" si="2"/>
        <v>0.58850215235331882</v>
      </c>
      <c r="R38" s="181">
        <v>1339.33</v>
      </c>
      <c r="S38" s="183">
        <f t="shared" si="3"/>
        <v>0.79632910790306077</v>
      </c>
      <c r="T38" s="181">
        <v>1668.68</v>
      </c>
      <c r="U38" s="183">
        <f t="shared" si="4"/>
        <v>0.99215163983161703</v>
      </c>
      <c r="V38" s="181">
        <v>1681.88</v>
      </c>
      <c r="W38" s="183">
        <f t="shared" si="5"/>
        <v>1</v>
      </c>
      <c r="X38" s="181">
        <v>1681.88</v>
      </c>
      <c r="Y38" s="183">
        <f t="shared" si="6"/>
        <v>1</v>
      </c>
      <c r="Z38" s="180"/>
      <c r="AA38" s="184">
        <f t="shared" si="7"/>
        <v>0</v>
      </c>
      <c r="AB38" s="184">
        <f t="shared" si="8"/>
        <v>3284.9621999999999</v>
      </c>
      <c r="AC38" s="184">
        <f t="shared" si="9"/>
        <v>30495.429899999999</v>
      </c>
      <c r="AD38" s="184">
        <f t="shared" si="10"/>
        <v>41264.757299999997</v>
      </c>
      <c r="AE38" s="184">
        <f t="shared" si="11"/>
        <v>51412.0308</v>
      </c>
      <c r="AF38" s="184">
        <f t="shared" si="12"/>
        <v>51818.722800000003</v>
      </c>
      <c r="AG38" s="184">
        <f t="shared" si="13"/>
        <v>51818.722800000003</v>
      </c>
    </row>
    <row r="39" spans="1:33" ht="60" x14ac:dyDescent="0.25">
      <c r="A39" s="177">
        <v>58</v>
      </c>
      <c r="B39" s="178" t="s">
        <v>542</v>
      </c>
      <c r="C39" s="178" t="s">
        <v>120</v>
      </c>
      <c r="D39" s="179">
        <v>26353.800000000003</v>
      </c>
      <c r="E39" s="180" t="s">
        <v>112</v>
      </c>
      <c r="F39" s="181">
        <f t="shared" si="0"/>
        <v>10648</v>
      </c>
      <c r="G39" s="181">
        <v>14641.85</v>
      </c>
      <c r="H39" s="182">
        <v>3.15</v>
      </c>
      <c r="I39" s="182">
        <v>33541.199999999997</v>
      </c>
      <c r="J39" s="182">
        <v>46121.827499999999</v>
      </c>
      <c r="K39" s="182"/>
      <c r="L39" s="181"/>
      <c r="M39" s="183">
        <f t="shared" si="1"/>
        <v>0</v>
      </c>
      <c r="N39" s="181">
        <v>266.60000000000002</v>
      </c>
      <c r="O39" s="183">
        <f t="shared" si="1"/>
        <v>1.8208081629029121E-2</v>
      </c>
      <c r="P39" s="181">
        <v>9159.4500000000007</v>
      </c>
      <c r="Q39" s="183">
        <f t="shared" si="2"/>
        <v>0.62556644139914019</v>
      </c>
      <c r="R39" s="181">
        <v>10231.25</v>
      </c>
      <c r="S39" s="183">
        <f t="shared" si="3"/>
        <v>0.69876757376970799</v>
      </c>
      <c r="T39" s="181">
        <v>12241.85</v>
      </c>
      <c r="U39" s="183">
        <f t="shared" si="4"/>
        <v>0.8360862869104656</v>
      </c>
      <c r="V39" s="181">
        <v>14641.85</v>
      </c>
      <c r="W39" s="183">
        <f t="shared" si="5"/>
        <v>1</v>
      </c>
      <c r="X39" s="181">
        <v>14641.85</v>
      </c>
      <c r="Y39" s="183">
        <f t="shared" si="6"/>
        <v>1</v>
      </c>
      <c r="Z39" s="180"/>
      <c r="AA39" s="184">
        <f t="shared" si="7"/>
        <v>0</v>
      </c>
      <c r="AB39" s="184">
        <f t="shared" si="8"/>
        <v>839.79000000000008</v>
      </c>
      <c r="AC39" s="184">
        <f t="shared" si="9"/>
        <v>28852.267500000002</v>
      </c>
      <c r="AD39" s="184">
        <f t="shared" si="10"/>
        <v>32228.4375</v>
      </c>
      <c r="AE39" s="184">
        <f t="shared" si="11"/>
        <v>38561.827499999999</v>
      </c>
      <c r="AF39" s="184">
        <f t="shared" si="12"/>
        <v>46121.827499999999</v>
      </c>
      <c r="AG39" s="184">
        <f t="shared" si="13"/>
        <v>46121.827499999999</v>
      </c>
    </row>
    <row r="40" spans="1:33" ht="90" x14ac:dyDescent="0.25">
      <c r="A40" s="177">
        <v>59</v>
      </c>
      <c r="B40" s="178" t="s">
        <v>542</v>
      </c>
      <c r="C40" s="178" t="s">
        <v>124</v>
      </c>
      <c r="D40" s="179">
        <v>19.8</v>
      </c>
      <c r="E40" s="180" t="s">
        <v>112</v>
      </c>
      <c r="F40" s="181">
        <f t="shared" si="0"/>
        <v>8</v>
      </c>
      <c r="G40" s="181"/>
      <c r="H40" s="182">
        <v>3.15</v>
      </c>
      <c r="I40" s="182">
        <v>25.2</v>
      </c>
      <c r="J40" s="182"/>
      <c r="K40" s="182"/>
      <c r="L40" s="181"/>
      <c r="M40" s="183" t="str">
        <f t="shared" si="1"/>
        <v xml:space="preserve"> </v>
      </c>
      <c r="N40" s="181"/>
      <c r="O40" s="183" t="str">
        <f t="shared" si="1"/>
        <v xml:space="preserve"> </v>
      </c>
      <c r="P40" s="181"/>
      <c r="Q40" s="183" t="str">
        <f t="shared" si="2"/>
        <v xml:space="preserve"> </v>
      </c>
      <c r="R40" s="181"/>
      <c r="S40" s="183" t="str">
        <f t="shared" si="3"/>
        <v xml:space="preserve"> </v>
      </c>
      <c r="T40" s="181"/>
      <c r="U40" s="183" t="str">
        <f t="shared" si="4"/>
        <v xml:space="preserve"> </v>
      </c>
      <c r="V40" s="181"/>
      <c r="W40" s="183" t="str">
        <f t="shared" si="5"/>
        <v xml:space="preserve"> </v>
      </c>
      <c r="X40" s="181"/>
      <c r="Y40" s="183" t="str">
        <f t="shared" si="6"/>
        <v xml:space="preserve"> </v>
      </c>
      <c r="Z40" s="180"/>
      <c r="AA40" s="184">
        <f t="shared" si="7"/>
        <v>0</v>
      </c>
      <c r="AB40" s="184">
        <f t="shared" si="8"/>
        <v>0</v>
      </c>
      <c r="AC40" s="184">
        <f t="shared" si="9"/>
        <v>0</v>
      </c>
      <c r="AD40" s="184">
        <f t="shared" si="10"/>
        <v>0</v>
      </c>
      <c r="AE40" s="184">
        <f t="shared" si="11"/>
        <v>0</v>
      </c>
      <c r="AF40" s="184">
        <f t="shared" si="12"/>
        <v>0</v>
      </c>
      <c r="AG40" s="184">
        <f t="shared" si="13"/>
        <v>0</v>
      </c>
    </row>
    <row r="41" spans="1:33" ht="60" x14ac:dyDescent="0.25">
      <c r="A41" s="177">
        <v>60</v>
      </c>
      <c r="B41" s="178" t="s">
        <v>543</v>
      </c>
      <c r="C41" s="178" t="s">
        <v>126</v>
      </c>
      <c r="D41" s="179">
        <v>49469.184000000001</v>
      </c>
      <c r="E41" s="180" t="s">
        <v>127</v>
      </c>
      <c r="F41" s="181">
        <f t="shared" si="0"/>
        <v>71570.000000000015</v>
      </c>
      <c r="G41" s="181">
        <v>2361.0500000000002</v>
      </c>
      <c r="H41" s="182">
        <v>0.69</v>
      </c>
      <c r="I41" s="182">
        <v>49383.3</v>
      </c>
      <c r="J41" s="182">
        <v>1629.1244999999999</v>
      </c>
      <c r="K41" s="182"/>
      <c r="L41" s="181"/>
      <c r="M41" s="183">
        <f t="shared" si="1"/>
        <v>0</v>
      </c>
      <c r="N41" s="181"/>
      <c r="O41" s="183">
        <f t="shared" si="1"/>
        <v>0</v>
      </c>
      <c r="P41" s="181"/>
      <c r="Q41" s="183">
        <f t="shared" si="2"/>
        <v>0</v>
      </c>
      <c r="R41" s="181">
        <v>2030</v>
      </c>
      <c r="S41" s="183">
        <f t="shared" si="3"/>
        <v>0.85978695919188486</v>
      </c>
      <c r="T41" s="181">
        <v>2361.0500000000002</v>
      </c>
      <c r="U41" s="183">
        <f t="shared" si="4"/>
        <v>1</v>
      </c>
      <c r="V41" s="181">
        <v>2361.0500000000002</v>
      </c>
      <c r="W41" s="183">
        <f t="shared" si="5"/>
        <v>1</v>
      </c>
      <c r="X41" s="181">
        <v>2361.0500000000002</v>
      </c>
      <c r="Y41" s="183">
        <f t="shared" si="6"/>
        <v>1</v>
      </c>
      <c r="Z41" s="180"/>
      <c r="AA41" s="184">
        <f t="shared" si="7"/>
        <v>0</v>
      </c>
      <c r="AB41" s="184">
        <f t="shared" si="8"/>
        <v>0</v>
      </c>
      <c r="AC41" s="184">
        <f t="shared" si="9"/>
        <v>0</v>
      </c>
      <c r="AD41" s="184">
        <f t="shared" si="10"/>
        <v>1400.6999999999998</v>
      </c>
      <c r="AE41" s="184">
        <f t="shared" si="11"/>
        <v>1629.1244999999999</v>
      </c>
      <c r="AF41" s="184">
        <f t="shared" si="12"/>
        <v>1629.1244999999999</v>
      </c>
      <c r="AG41" s="184">
        <f t="shared" si="13"/>
        <v>1629.1244999999999</v>
      </c>
    </row>
    <row r="42" spans="1:33" ht="60" x14ac:dyDescent="0.25">
      <c r="A42" s="177">
        <v>61</v>
      </c>
      <c r="B42" s="178" t="s">
        <v>544</v>
      </c>
      <c r="C42" s="178" t="s">
        <v>130</v>
      </c>
      <c r="D42" s="179">
        <v>40927.3344</v>
      </c>
      <c r="E42" s="180" t="s">
        <v>127</v>
      </c>
      <c r="F42" s="181">
        <f t="shared" si="0"/>
        <v>59212</v>
      </c>
      <c r="G42" s="181"/>
      <c r="H42" s="182">
        <v>0.69</v>
      </c>
      <c r="I42" s="182">
        <v>40856.28</v>
      </c>
      <c r="J42" s="182"/>
      <c r="K42" s="182"/>
      <c r="L42" s="181"/>
      <c r="M42" s="183" t="str">
        <f t="shared" si="1"/>
        <v xml:space="preserve"> </v>
      </c>
      <c r="N42" s="181"/>
      <c r="O42" s="183" t="str">
        <f t="shared" si="1"/>
        <v xml:space="preserve"> </v>
      </c>
      <c r="P42" s="181"/>
      <c r="Q42" s="183" t="str">
        <f t="shared" si="2"/>
        <v xml:space="preserve"> </v>
      </c>
      <c r="R42" s="181"/>
      <c r="S42" s="183" t="str">
        <f t="shared" si="3"/>
        <v xml:space="preserve"> </v>
      </c>
      <c r="T42" s="181"/>
      <c r="U42" s="183" t="str">
        <f t="shared" si="4"/>
        <v xml:space="preserve"> </v>
      </c>
      <c r="V42" s="181"/>
      <c r="W42" s="183" t="str">
        <f t="shared" si="5"/>
        <v xml:space="preserve"> </v>
      </c>
      <c r="X42" s="181"/>
      <c r="Y42" s="183" t="str">
        <f t="shared" si="6"/>
        <v xml:space="preserve"> </v>
      </c>
      <c r="Z42" s="180"/>
      <c r="AA42" s="184">
        <f t="shared" si="7"/>
        <v>0</v>
      </c>
      <c r="AB42" s="184">
        <f t="shared" si="8"/>
        <v>0</v>
      </c>
      <c r="AC42" s="184">
        <f t="shared" si="9"/>
        <v>0</v>
      </c>
      <c r="AD42" s="184">
        <f t="shared" si="10"/>
        <v>0</v>
      </c>
      <c r="AE42" s="184">
        <f t="shared" si="11"/>
        <v>0</v>
      </c>
      <c r="AF42" s="184">
        <f t="shared" si="12"/>
        <v>0</v>
      </c>
      <c r="AG42" s="184">
        <f t="shared" si="13"/>
        <v>0</v>
      </c>
    </row>
    <row r="43" spans="1:33" x14ac:dyDescent="0.25">
      <c r="A43" s="177" t="s">
        <v>418</v>
      </c>
      <c r="B43" s="178" t="s">
        <v>526</v>
      </c>
      <c r="C43" s="178" t="s">
        <v>418</v>
      </c>
      <c r="D43" s="179">
        <v>0</v>
      </c>
      <c r="E43" s="180" t="s">
        <v>527</v>
      </c>
      <c r="F43" s="181" t="str">
        <f t="shared" si="0"/>
        <v xml:space="preserve"> </v>
      </c>
      <c r="G43" s="181" t="s">
        <v>418</v>
      </c>
      <c r="H43" s="182" t="s">
        <v>418</v>
      </c>
      <c r="I43" s="182" t="s">
        <v>418</v>
      </c>
      <c r="J43" s="182" t="s">
        <v>418</v>
      </c>
      <c r="K43" s="182"/>
      <c r="L43" s="181" t="s">
        <v>418</v>
      </c>
      <c r="M43" s="183" t="str">
        <f t="shared" si="1"/>
        <v xml:space="preserve"> </v>
      </c>
      <c r="N43" s="181" t="s">
        <v>418</v>
      </c>
      <c r="O43" s="183" t="str">
        <f t="shared" si="1"/>
        <v xml:space="preserve"> </v>
      </c>
      <c r="P43" s="181" t="s">
        <v>418</v>
      </c>
      <c r="Q43" s="183" t="str">
        <f t="shared" si="2"/>
        <v xml:space="preserve"> </v>
      </c>
      <c r="R43" s="181" t="s">
        <v>418</v>
      </c>
      <c r="S43" s="183" t="str">
        <f t="shared" si="3"/>
        <v xml:space="preserve"> </v>
      </c>
      <c r="T43" s="181" t="s">
        <v>418</v>
      </c>
      <c r="U43" s="183" t="str">
        <f t="shared" si="4"/>
        <v xml:space="preserve"> </v>
      </c>
      <c r="V43" s="181" t="s">
        <v>418</v>
      </c>
      <c r="W43" s="183" t="str">
        <f t="shared" si="5"/>
        <v xml:space="preserve"> </v>
      </c>
      <c r="X43" s="181" t="s">
        <v>418</v>
      </c>
      <c r="Y43" s="183" t="str">
        <f t="shared" si="6"/>
        <v xml:space="preserve"> </v>
      </c>
      <c r="Z43" s="180"/>
      <c r="AA43" s="184" t="str">
        <f t="shared" si="7"/>
        <v xml:space="preserve"> </v>
      </c>
      <c r="AB43" s="184" t="str">
        <f t="shared" si="8"/>
        <v xml:space="preserve"> </v>
      </c>
      <c r="AC43" s="184" t="str">
        <f t="shared" si="9"/>
        <v xml:space="preserve"> </v>
      </c>
      <c r="AD43" s="184" t="str">
        <f t="shared" si="10"/>
        <v xml:space="preserve"> </v>
      </c>
      <c r="AE43" s="184" t="str">
        <f t="shared" si="11"/>
        <v xml:space="preserve"> </v>
      </c>
      <c r="AF43" s="184" t="str">
        <f t="shared" si="12"/>
        <v xml:space="preserve"> </v>
      </c>
      <c r="AG43" s="184" t="str">
        <f t="shared" si="13"/>
        <v xml:space="preserve"> </v>
      </c>
    </row>
    <row r="44" spans="1:33" x14ac:dyDescent="0.25">
      <c r="A44" s="177">
        <v>62</v>
      </c>
      <c r="B44" s="178" t="s">
        <v>526</v>
      </c>
      <c r="C44" s="178" t="s">
        <v>132</v>
      </c>
      <c r="D44" s="179">
        <v>0</v>
      </c>
      <c r="E44" s="180" t="s">
        <v>527</v>
      </c>
      <c r="F44" s="181" t="str">
        <f t="shared" si="0"/>
        <v xml:space="preserve"> </v>
      </c>
      <c r="G44" s="181" t="s">
        <v>418</v>
      </c>
      <c r="H44" s="182" t="s">
        <v>418</v>
      </c>
      <c r="I44" s="182" t="s">
        <v>418</v>
      </c>
      <c r="J44" s="182" t="s">
        <v>418</v>
      </c>
      <c r="K44" s="182"/>
      <c r="L44" s="181" t="s">
        <v>418</v>
      </c>
      <c r="M44" s="183" t="str">
        <f t="shared" si="1"/>
        <v xml:space="preserve"> </v>
      </c>
      <c r="N44" s="181" t="s">
        <v>418</v>
      </c>
      <c r="O44" s="183" t="str">
        <f t="shared" si="1"/>
        <v xml:space="preserve"> </v>
      </c>
      <c r="P44" s="181" t="s">
        <v>418</v>
      </c>
      <c r="Q44" s="183" t="str">
        <f t="shared" si="2"/>
        <v xml:space="preserve"> </v>
      </c>
      <c r="R44" s="181" t="s">
        <v>418</v>
      </c>
      <c r="S44" s="183" t="str">
        <f t="shared" si="3"/>
        <v xml:space="preserve"> </v>
      </c>
      <c r="T44" s="181" t="s">
        <v>418</v>
      </c>
      <c r="U44" s="183" t="str">
        <f t="shared" si="4"/>
        <v xml:space="preserve"> </v>
      </c>
      <c r="V44" s="181" t="s">
        <v>418</v>
      </c>
      <c r="W44" s="183" t="str">
        <f t="shared" si="5"/>
        <v xml:space="preserve"> </v>
      </c>
      <c r="X44" s="181" t="s">
        <v>418</v>
      </c>
      <c r="Y44" s="183" t="str">
        <f t="shared" si="6"/>
        <v xml:space="preserve"> </v>
      </c>
      <c r="Z44" s="180"/>
      <c r="AA44" s="184" t="str">
        <f t="shared" si="7"/>
        <v xml:space="preserve"> </v>
      </c>
      <c r="AB44" s="184" t="str">
        <f t="shared" si="8"/>
        <v xml:space="preserve"> </v>
      </c>
      <c r="AC44" s="184" t="str">
        <f t="shared" si="9"/>
        <v xml:space="preserve"> </v>
      </c>
      <c r="AD44" s="184" t="str">
        <f t="shared" si="10"/>
        <v xml:space="preserve"> </v>
      </c>
      <c r="AE44" s="184" t="str">
        <f t="shared" si="11"/>
        <v xml:space="preserve"> </v>
      </c>
      <c r="AF44" s="184" t="str">
        <f t="shared" si="12"/>
        <v xml:space="preserve"> </v>
      </c>
      <c r="AG44" s="184" t="str">
        <f t="shared" si="13"/>
        <v xml:space="preserve"> </v>
      </c>
    </row>
    <row r="45" spans="1:33" x14ac:dyDescent="0.25">
      <c r="A45" s="177" t="s">
        <v>418</v>
      </c>
      <c r="B45" s="178" t="s">
        <v>526</v>
      </c>
      <c r="C45" s="178" t="s">
        <v>418</v>
      </c>
      <c r="D45" s="179">
        <v>0</v>
      </c>
      <c r="E45" s="180" t="s">
        <v>527</v>
      </c>
      <c r="F45" s="181" t="str">
        <f t="shared" si="0"/>
        <v xml:space="preserve"> </v>
      </c>
      <c r="G45" s="181" t="s">
        <v>418</v>
      </c>
      <c r="H45" s="182" t="s">
        <v>418</v>
      </c>
      <c r="I45" s="182" t="s">
        <v>418</v>
      </c>
      <c r="J45" s="182" t="s">
        <v>418</v>
      </c>
      <c r="K45" s="182"/>
      <c r="L45" s="181" t="s">
        <v>418</v>
      </c>
      <c r="M45" s="183" t="str">
        <f t="shared" si="1"/>
        <v xml:space="preserve"> </v>
      </c>
      <c r="N45" s="181" t="s">
        <v>418</v>
      </c>
      <c r="O45" s="183" t="str">
        <f t="shared" si="1"/>
        <v xml:space="preserve"> </v>
      </c>
      <c r="P45" s="181" t="s">
        <v>418</v>
      </c>
      <c r="Q45" s="183" t="str">
        <f t="shared" si="2"/>
        <v xml:space="preserve"> </v>
      </c>
      <c r="R45" s="181" t="s">
        <v>418</v>
      </c>
      <c r="S45" s="183" t="str">
        <f t="shared" si="3"/>
        <v xml:space="preserve"> </v>
      </c>
      <c r="T45" s="181" t="s">
        <v>418</v>
      </c>
      <c r="U45" s="183" t="str">
        <f t="shared" si="4"/>
        <v xml:space="preserve"> </v>
      </c>
      <c r="V45" s="181" t="s">
        <v>418</v>
      </c>
      <c r="W45" s="183" t="str">
        <f t="shared" si="5"/>
        <v xml:space="preserve"> </v>
      </c>
      <c r="X45" s="181" t="s">
        <v>418</v>
      </c>
      <c r="Y45" s="183" t="str">
        <f t="shared" si="6"/>
        <v xml:space="preserve"> </v>
      </c>
      <c r="Z45" s="180"/>
      <c r="AA45" s="184" t="str">
        <f t="shared" si="7"/>
        <v xml:space="preserve"> </v>
      </c>
      <c r="AB45" s="184" t="str">
        <f t="shared" si="8"/>
        <v xml:space="preserve"> </v>
      </c>
      <c r="AC45" s="184" t="str">
        <f t="shared" si="9"/>
        <v xml:space="preserve"> </v>
      </c>
      <c r="AD45" s="184" t="str">
        <f t="shared" si="10"/>
        <v xml:space="preserve"> </v>
      </c>
      <c r="AE45" s="184" t="str">
        <f t="shared" si="11"/>
        <v xml:space="preserve"> </v>
      </c>
      <c r="AF45" s="184" t="str">
        <f t="shared" si="12"/>
        <v xml:space="preserve"> </v>
      </c>
      <c r="AG45" s="184" t="str">
        <f t="shared" si="13"/>
        <v xml:space="preserve"> </v>
      </c>
    </row>
    <row r="46" spans="1:33" ht="60" x14ac:dyDescent="0.25">
      <c r="A46" s="177">
        <v>63</v>
      </c>
      <c r="B46" s="178" t="s">
        <v>545</v>
      </c>
      <c r="C46" s="178" t="s">
        <v>134</v>
      </c>
      <c r="D46" s="179">
        <v>2723.4553089382125</v>
      </c>
      <c r="E46" s="180" t="s">
        <v>23</v>
      </c>
      <c r="F46" s="181">
        <f t="shared" si="0"/>
        <v>10</v>
      </c>
      <c r="G46" s="181"/>
      <c r="H46" s="182">
        <v>346.32</v>
      </c>
      <c r="I46" s="182">
        <v>3463.2</v>
      </c>
      <c r="J46" s="182"/>
      <c r="K46" s="182"/>
      <c r="L46" s="181"/>
      <c r="M46" s="183" t="str">
        <f t="shared" si="1"/>
        <v xml:space="preserve"> </v>
      </c>
      <c r="N46" s="181"/>
      <c r="O46" s="183" t="str">
        <f t="shared" si="1"/>
        <v xml:space="preserve"> </v>
      </c>
      <c r="P46" s="181"/>
      <c r="Q46" s="183" t="str">
        <f t="shared" si="2"/>
        <v xml:space="preserve"> </v>
      </c>
      <c r="R46" s="181"/>
      <c r="S46" s="183" t="str">
        <f t="shared" si="3"/>
        <v xml:space="preserve"> </v>
      </c>
      <c r="T46" s="181"/>
      <c r="U46" s="183" t="str">
        <f t="shared" si="4"/>
        <v xml:space="preserve"> </v>
      </c>
      <c r="V46" s="181"/>
      <c r="W46" s="183" t="str">
        <f t="shared" si="5"/>
        <v xml:space="preserve"> </v>
      </c>
      <c r="X46" s="181"/>
      <c r="Y46" s="183" t="str">
        <f t="shared" si="6"/>
        <v xml:space="preserve"> </v>
      </c>
      <c r="Z46" s="180"/>
      <c r="AA46" s="184">
        <f t="shared" si="7"/>
        <v>0</v>
      </c>
      <c r="AB46" s="184">
        <f t="shared" si="8"/>
        <v>0</v>
      </c>
      <c r="AC46" s="184">
        <f t="shared" si="9"/>
        <v>0</v>
      </c>
      <c r="AD46" s="184">
        <f t="shared" si="10"/>
        <v>0</v>
      </c>
      <c r="AE46" s="184">
        <f t="shared" si="11"/>
        <v>0</v>
      </c>
      <c r="AF46" s="184">
        <f t="shared" si="12"/>
        <v>0</v>
      </c>
      <c r="AG46" s="184">
        <f t="shared" si="13"/>
        <v>0</v>
      </c>
    </row>
    <row r="47" spans="1:33" ht="45" x14ac:dyDescent="0.25">
      <c r="A47" s="177">
        <v>64</v>
      </c>
      <c r="B47" s="178" t="s">
        <v>545</v>
      </c>
      <c r="C47" s="178" t="s">
        <v>136</v>
      </c>
      <c r="D47" s="179">
        <v>4085.4893138357706</v>
      </c>
      <c r="E47" s="180" t="s">
        <v>23</v>
      </c>
      <c r="F47" s="181">
        <f t="shared" si="0"/>
        <v>24.000000000000004</v>
      </c>
      <c r="G47" s="181">
        <v>4.8</v>
      </c>
      <c r="H47" s="182">
        <v>216.45</v>
      </c>
      <c r="I47" s="182">
        <v>5194.8</v>
      </c>
      <c r="J47" s="182">
        <v>1038.96</v>
      </c>
      <c r="K47" s="182"/>
      <c r="L47" s="181"/>
      <c r="M47" s="183">
        <f t="shared" si="1"/>
        <v>0</v>
      </c>
      <c r="N47" s="181"/>
      <c r="O47" s="183">
        <f t="shared" si="1"/>
        <v>0</v>
      </c>
      <c r="P47" s="181"/>
      <c r="Q47" s="183">
        <f t="shared" si="2"/>
        <v>0</v>
      </c>
      <c r="R47" s="181">
        <v>4.8</v>
      </c>
      <c r="S47" s="183">
        <f t="shared" si="3"/>
        <v>1</v>
      </c>
      <c r="T47" s="181">
        <v>4.8</v>
      </c>
      <c r="U47" s="183">
        <f t="shared" si="4"/>
        <v>1</v>
      </c>
      <c r="V47" s="181">
        <v>4.8</v>
      </c>
      <c r="W47" s="183">
        <f t="shared" si="5"/>
        <v>1</v>
      </c>
      <c r="X47" s="181">
        <v>4.8</v>
      </c>
      <c r="Y47" s="183">
        <f t="shared" si="6"/>
        <v>1</v>
      </c>
      <c r="Z47" s="180"/>
      <c r="AA47" s="184">
        <f t="shared" si="7"/>
        <v>0</v>
      </c>
      <c r="AB47" s="184">
        <f t="shared" si="8"/>
        <v>0</v>
      </c>
      <c r="AC47" s="184">
        <f t="shared" si="9"/>
        <v>0</v>
      </c>
      <c r="AD47" s="184">
        <f t="shared" si="10"/>
        <v>1038.9599999999998</v>
      </c>
      <c r="AE47" s="184">
        <f t="shared" si="11"/>
        <v>1038.9599999999998</v>
      </c>
      <c r="AF47" s="184">
        <f t="shared" si="12"/>
        <v>1038.9599999999998</v>
      </c>
      <c r="AG47" s="184">
        <f t="shared" si="13"/>
        <v>1038.9599999999998</v>
      </c>
    </row>
    <row r="48" spans="1:33" ht="45" x14ac:dyDescent="0.25">
      <c r="A48" s="177">
        <v>65</v>
      </c>
      <c r="B48" s="178" t="s">
        <v>546</v>
      </c>
      <c r="C48" s="178" t="s">
        <v>138</v>
      </c>
      <c r="D48" s="179">
        <v>817.28172817281734</v>
      </c>
      <c r="E48" s="180" t="s">
        <v>67</v>
      </c>
      <c r="F48" s="181">
        <f t="shared" si="0"/>
        <v>2</v>
      </c>
      <c r="G48" s="181">
        <v>1.94</v>
      </c>
      <c r="H48" s="182">
        <v>577.21</v>
      </c>
      <c r="I48" s="182">
        <v>1154.42</v>
      </c>
      <c r="J48" s="182">
        <v>1119.7873999999999</v>
      </c>
      <c r="K48" s="182"/>
      <c r="L48" s="181"/>
      <c r="M48" s="183">
        <f t="shared" si="1"/>
        <v>0</v>
      </c>
      <c r="N48" s="181"/>
      <c r="O48" s="183">
        <f t="shared" si="1"/>
        <v>0</v>
      </c>
      <c r="P48" s="181"/>
      <c r="Q48" s="183">
        <f t="shared" si="2"/>
        <v>0</v>
      </c>
      <c r="R48" s="181"/>
      <c r="S48" s="183">
        <f t="shared" si="3"/>
        <v>0</v>
      </c>
      <c r="T48" s="181"/>
      <c r="U48" s="183">
        <f t="shared" si="4"/>
        <v>0</v>
      </c>
      <c r="V48" s="181">
        <v>1.94</v>
      </c>
      <c r="W48" s="183">
        <f t="shared" si="5"/>
        <v>1</v>
      </c>
      <c r="X48" s="181">
        <v>1.94</v>
      </c>
      <c r="Y48" s="183">
        <f t="shared" si="6"/>
        <v>1</v>
      </c>
      <c r="Z48" s="180"/>
      <c r="AA48" s="184">
        <f t="shared" si="7"/>
        <v>0</v>
      </c>
      <c r="AB48" s="184">
        <f t="shared" si="8"/>
        <v>0</v>
      </c>
      <c r="AC48" s="184">
        <f t="shared" si="9"/>
        <v>0</v>
      </c>
      <c r="AD48" s="184">
        <f t="shared" si="10"/>
        <v>0</v>
      </c>
      <c r="AE48" s="184">
        <f t="shared" si="11"/>
        <v>0</v>
      </c>
      <c r="AF48" s="184">
        <f t="shared" si="12"/>
        <v>1119.7873999999999</v>
      </c>
      <c r="AG48" s="184">
        <f t="shared" si="13"/>
        <v>1119.7873999999999</v>
      </c>
    </row>
    <row r="49" spans="1:33" ht="60" x14ac:dyDescent="0.25">
      <c r="A49" s="177">
        <v>65.5</v>
      </c>
      <c r="B49" s="178" t="s">
        <v>547</v>
      </c>
      <c r="C49" s="178" t="s">
        <v>140</v>
      </c>
      <c r="D49" s="179">
        <v>4086.4086408640865</v>
      </c>
      <c r="E49" s="180" t="s">
        <v>23</v>
      </c>
      <c r="F49" s="181">
        <f t="shared" si="0"/>
        <v>10</v>
      </c>
      <c r="G49" s="181"/>
      <c r="H49" s="182">
        <v>519.49</v>
      </c>
      <c r="I49" s="182">
        <v>5194.8999999999996</v>
      </c>
      <c r="J49" s="182"/>
      <c r="K49" s="182"/>
      <c r="L49" s="181"/>
      <c r="M49" s="183" t="str">
        <f t="shared" si="1"/>
        <v xml:space="preserve"> </v>
      </c>
      <c r="N49" s="181"/>
      <c r="O49" s="183" t="str">
        <f t="shared" si="1"/>
        <v xml:space="preserve"> </v>
      </c>
      <c r="P49" s="181"/>
      <c r="Q49" s="183" t="str">
        <f t="shared" si="2"/>
        <v xml:space="preserve"> </v>
      </c>
      <c r="R49" s="181"/>
      <c r="S49" s="183" t="str">
        <f t="shared" si="3"/>
        <v xml:space="preserve"> </v>
      </c>
      <c r="T49" s="181"/>
      <c r="U49" s="183" t="str">
        <f t="shared" si="4"/>
        <v xml:space="preserve"> </v>
      </c>
      <c r="V49" s="181"/>
      <c r="W49" s="183" t="str">
        <f t="shared" si="5"/>
        <v xml:space="preserve"> </v>
      </c>
      <c r="X49" s="181"/>
      <c r="Y49" s="183" t="str">
        <f t="shared" si="6"/>
        <v xml:space="preserve"> </v>
      </c>
      <c r="Z49" s="180"/>
      <c r="AA49" s="184">
        <f t="shared" si="7"/>
        <v>0</v>
      </c>
      <c r="AB49" s="184">
        <f t="shared" si="8"/>
        <v>0</v>
      </c>
      <c r="AC49" s="184">
        <f t="shared" si="9"/>
        <v>0</v>
      </c>
      <c r="AD49" s="184">
        <f t="shared" si="10"/>
        <v>0</v>
      </c>
      <c r="AE49" s="184">
        <f t="shared" si="11"/>
        <v>0</v>
      </c>
      <c r="AF49" s="184">
        <f t="shared" si="12"/>
        <v>0</v>
      </c>
      <c r="AG49" s="184">
        <f t="shared" si="13"/>
        <v>0</v>
      </c>
    </row>
    <row r="50" spans="1:33" ht="45" x14ac:dyDescent="0.25">
      <c r="A50" s="177">
        <v>66</v>
      </c>
      <c r="B50" s="178" t="s">
        <v>548</v>
      </c>
      <c r="C50" s="178" t="s">
        <v>142</v>
      </c>
      <c r="D50" s="179">
        <v>2859.0480000000002</v>
      </c>
      <c r="E50" s="180" t="s">
        <v>23</v>
      </c>
      <c r="F50" s="181">
        <f t="shared" si="0"/>
        <v>7.2</v>
      </c>
      <c r="G50" s="181">
        <v>4.8</v>
      </c>
      <c r="H50" s="182">
        <v>504.85</v>
      </c>
      <c r="I50" s="182">
        <v>3634.92</v>
      </c>
      <c r="J50" s="182">
        <v>2423.2800000000002</v>
      </c>
      <c r="K50" s="182"/>
      <c r="L50" s="181"/>
      <c r="M50" s="183">
        <f t="shared" si="1"/>
        <v>0</v>
      </c>
      <c r="N50" s="181"/>
      <c r="O50" s="183">
        <f t="shared" si="1"/>
        <v>0</v>
      </c>
      <c r="P50" s="181"/>
      <c r="Q50" s="183">
        <f t="shared" si="2"/>
        <v>0</v>
      </c>
      <c r="R50" s="181">
        <v>4.8</v>
      </c>
      <c r="S50" s="183">
        <f t="shared" si="3"/>
        <v>1</v>
      </c>
      <c r="T50" s="181">
        <v>4.8</v>
      </c>
      <c r="U50" s="183">
        <f t="shared" si="4"/>
        <v>1</v>
      </c>
      <c r="V50" s="181">
        <v>4.8</v>
      </c>
      <c r="W50" s="183">
        <f t="shared" si="5"/>
        <v>1</v>
      </c>
      <c r="X50" s="181">
        <v>4.8</v>
      </c>
      <c r="Y50" s="183">
        <f t="shared" si="6"/>
        <v>1</v>
      </c>
      <c r="Z50" s="180"/>
      <c r="AA50" s="184">
        <f t="shared" si="7"/>
        <v>0</v>
      </c>
      <c r="AB50" s="184">
        <f t="shared" si="8"/>
        <v>0</v>
      </c>
      <c r="AC50" s="184">
        <f t="shared" si="9"/>
        <v>0</v>
      </c>
      <c r="AD50" s="184">
        <f t="shared" si="10"/>
        <v>2423.2800000000002</v>
      </c>
      <c r="AE50" s="184">
        <f t="shared" si="11"/>
        <v>2423.2800000000002</v>
      </c>
      <c r="AF50" s="184">
        <f t="shared" si="12"/>
        <v>2423.2800000000002</v>
      </c>
      <c r="AG50" s="184">
        <f t="shared" si="13"/>
        <v>2423.2800000000002</v>
      </c>
    </row>
    <row r="51" spans="1:33" ht="45" x14ac:dyDescent="0.25">
      <c r="A51" s="177">
        <v>67</v>
      </c>
      <c r="B51" s="178" t="s">
        <v>548</v>
      </c>
      <c r="C51" s="178" t="s">
        <v>149</v>
      </c>
      <c r="D51" s="179">
        <v>2974.9385307346329</v>
      </c>
      <c r="E51" s="180" t="s">
        <v>23</v>
      </c>
      <c r="F51" s="181">
        <f t="shared" si="0"/>
        <v>6</v>
      </c>
      <c r="G51" s="181"/>
      <c r="H51" s="182">
        <v>630.58000000000004</v>
      </c>
      <c r="I51" s="182">
        <v>3783.48</v>
      </c>
      <c r="J51" s="182"/>
      <c r="K51" s="182"/>
      <c r="L51" s="181"/>
      <c r="M51" s="183" t="str">
        <f t="shared" si="1"/>
        <v xml:space="preserve"> </v>
      </c>
      <c r="N51" s="181"/>
      <c r="O51" s="183" t="str">
        <f t="shared" si="1"/>
        <v xml:space="preserve"> </v>
      </c>
      <c r="P51" s="181"/>
      <c r="Q51" s="183" t="str">
        <f t="shared" si="2"/>
        <v xml:space="preserve"> </v>
      </c>
      <c r="R51" s="181"/>
      <c r="S51" s="183" t="str">
        <f t="shared" si="3"/>
        <v xml:space="preserve"> </v>
      </c>
      <c r="T51" s="181"/>
      <c r="U51" s="183" t="str">
        <f t="shared" si="4"/>
        <v xml:space="preserve"> </v>
      </c>
      <c r="V51" s="181"/>
      <c r="W51" s="183" t="str">
        <f t="shared" si="5"/>
        <v xml:space="preserve"> </v>
      </c>
      <c r="X51" s="181"/>
      <c r="Y51" s="183" t="str">
        <f t="shared" si="6"/>
        <v xml:space="preserve"> </v>
      </c>
      <c r="Z51" s="180"/>
      <c r="AA51" s="184">
        <f t="shared" si="7"/>
        <v>0</v>
      </c>
      <c r="AB51" s="184">
        <f t="shared" si="8"/>
        <v>0</v>
      </c>
      <c r="AC51" s="184">
        <f t="shared" si="9"/>
        <v>0</v>
      </c>
      <c r="AD51" s="184">
        <f t="shared" si="10"/>
        <v>0</v>
      </c>
      <c r="AE51" s="184">
        <f t="shared" si="11"/>
        <v>0</v>
      </c>
      <c r="AF51" s="184">
        <f t="shared" si="12"/>
        <v>0</v>
      </c>
      <c r="AG51" s="184">
        <f t="shared" si="13"/>
        <v>0</v>
      </c>
    </row>
    <row r="52" spans="1:33" ht="45" x14ac:dyDescent="0.25">
      <c r="A52" s="177">
        <v>68</v>
      </c>
      <c r="B52" s="178" t="s">
        <v>548</v>
      </c>
      <c r="C52" s="178" t="s">
        <v>152</v>
      </c>
      <c r="D52" s="179">
        <v>3268.9385307346329</v>
      </c>
      <c r="E52" s="180" t="s">
        <v>23</v>
      </c>
      <c r="F52" s="181">
        <f t="shared" si="0"/>
        <v>6</v>
      </c>
      <c r="G52" s="181"/>
      <c r="H52" s="182">
        <v>692.88</v>
      </c>
      <c r="I52" s="182">
        <v>4157.28</v>
      </c>
      <c r="J52" s="182"/>
      <c r="K52" s="182"/>
      <c r="L52" s="181"/>
      <c r="M52" s="183" t="str">
        <f t="shared" si="1"/>
        <v xml:space="preserve"> </v>
      </c>
      <c r="N52" s="181"/>
      <c r="O52" s="183" t="str">
        <f t="shared" si="1"/>
        <v xml:space="preserve"> </v>
      </c>
      <c r="P52" s="181"/>
      <c r="Q52" s="183" t="str">
        <f t="shared" si="2"/>
        <v xml:space="preserve"> </v>
      </c>
      <c r="R52" s="181"/>
      <c r="S52" s="183" t="str">
        <f t="shared" si="3"/>
        <v xml:space="preserve"> </v>
      </c>
      <c r="T52" s="181"/>
      <c r="U52" s="183" t="str">
        <f t="shared" si="4"/>
        <v xml:space="preserve"> </v>
      </c>
      <c r="V52" s="181"/>
      <c r="W52" s="183" t="str">
        <f t="shared" si="5"/>
        <v xml:space="preserve"> </v>
      </c>
      <c r="X52" s="181"/>
      <c r="Y52" s="183" t="str">
        <f t="shared" si="6"/>
        <v xml:space="preserve"> </v>
      </c>
      <c r="Z52" s="180"/>
      <c r="AA52" s="184">
        <f t="shared" si="7"/>
        <v>0</v>
      </c>
      <c r="AB52" s="184">
        <f t="shared" si="8"/>
        <v>0</v>
      </c>
      <c r="AC52" s="184">
        <f t="shared" si="9"/>
        <v>0</v>
      </c>
      <c r="AD52" s="184">
        <f t="shared" si="10"/>
        <v>0</v>
      </c>
      <c r="AE52" s="184">
        <f t="shared" si="11"/>
        <v>0</v>
      </c>
      <c r="AF52" s="184">
        <f t="shared" si="12"/>
        <v>0</v>
      </c>
      <c r="AG52" s="184">
        <f t="shared" si="13"/>
        <v>0</v>
      </c>
    </row>
    <row r="53" spans="1:33" ht="45" x14ac:dyDescent="0.25">
      <c r="A53" s="177">
        <v>69</v>
      </c>
      <c r="B53" s="178" t="s">
        <v>548</v>
      </c>
      <c r="C53" s="178" t="s">
        <v>154</v>
      </c>
      <c r="D53" s="179">
        <v>3568.9385307346329</v>
      </c>
      <c r="E53" s="180" t="s">
        <v>23</v>
      </c>
      <c r="F53" s="181">
        <f t="shared" si="0"/>
        <v>5.9999999999999991</v>
      </c>
      <c r="G53" s="181"/>
      <c r="H53" s="182">
        <v>756.45</v>
      </c>
      <c r="I53" s="182">
        <v>4538.7</v>
      </c>
      <c r="J53" s="182"/>
      <c r="K53" s="182"/>
      <c r="L53" s="181"/>
      <c r="M53" s="183" t="str">
        <f t="shared" si="1"/>
        <v xml:space="preserve"> </v>
      </c>
      <c r="N53" s="181"/>
      <c r="O53" s="183" t="str">
        <f t="shared" si="1"/>
        <v xml:space="preserve"> </v>
      </c>
      <c r="P53" s="181"/>
      <c r="Q53" s="183" t="str">
        <f t="shared" si="2"/>
        <v xml:space="preserve"> </v>
      </c>
      <c r="R53" s="181"/>
      <c r="S53" s="183" t="str">
        <f t="shared" si="3"/>
        <v xml:space="preserve"> </v>
      </c>
      <c r="T53" s="181"/>
      <c r="U53" s="183" t="str">
        <f t="shared" si="4"/>
        <v xml:space="preserve"> </v>
      </c>
      <c r="V53" s="181"/>
      <c r="W53" s="183" t="str">
        <f t="shared" si="5"/>
        <v xml:space="preserve"> </v>
      </c>
      <c r="X53" s="181"/>
      <c r="Y53" s="183" t="str">
        <f t="shared" si="6"/>
        <v xml:space="preserve"> </v>
      </c>
      <c r="Z53" s="180"/>
      <c r="AA53" s="184">
        <f t="shared" si="7"/>
        <v>0</v>
      </c>
      <c r="AB53" s="184">
        <f t="shared" si="8"/>
        <v>0</v>
      </c>
      <c r="AC53" s="184">
        <f t="shared" si="9"/>
        <v>0</v>
      </c>
      <c r="AD53" s="184">
        <f t="shared" si="10"/>
        <v>0</v>
      </c>
      <c r="AE53" s="184">
        <f t="shared" si="11"/>
        <v>0</v>
      </c>
      <c r="AF53" s="184">
        <f t="shared" si="12"/>
        <v>0</v>
      </c>
      <c r="AG53" s="184">
        <f t="shared" si="13"/>
        <v>0</v>
      </c>
    </row>
    <row r="54" spans="1:33" ht="45" x14ac:dyDescent="0.25">
      <c r="A54" s="177">
        <v>70</v>
      </c>
      <c r="B54" s="178" t="s">
        <v>549</v>
      </c>
      <c r="C54" s="178" t="s">
        <v>156</v>
      </c>
      <c r="D54" s="179">
        <v>2200</v>
      </c>
      <c r="E54" s="180" t="s">
        <v>67</v>
      </c>
      <c r="F54" s="181">
        <f t="shared" si="0"/>
        <v>2</v>
      </c>
      <c r="G54" s="181">
        <v>2.14</v>
      </c>
      <c r="H54" s="182">
        <v>1398.51</v>
      </c>
      <c r="I54" s="182">
        <v>2797.02</v>
      </c>
      <c r="J54" s="182">
        <v>2992.8114</v>
      </c>
      <c r="K54" s="182"/>
      <c r="L54" s="181"/>
      <c r="M54" s="183">
        <f t="shared" si="1"/>
        <v>0</v>
      </c>
      <c r="N54" s="181"/>
      <c r="O54" s="183">
        <f t="shared" si="1"/>
        <v>0</v>
      </c>
      <c r="P54" s="181"/>
      <c r="Q54" s="183">
        <f t="shared" si="2"/>
        <v>0</v>
      </c>
      <c r="R54" s="181"/>
      <c r="S54" s="183">
        <f t="shared" si="3"/>
        <v>0</v>
      </c>
      <c r="T54" s="181"/>
      <c r="U54" s="183">
        <f t="shared" si="4"/>
        <v>0</v>
      </c>
      <c r="V54" s="181">
        <v>2.14</v>
      </c>
      <c r="W54" s="183">
        <f t="shared" si="5"/>
        <v>1</v>
      </c>
      <c r="X54" s="181">
        <v>2.14</v>
      </c>
      <c r="Y54" s="183">
        <f t="shared" si="6"/>
        <v>1</v>
      </c>
      <c r="Z54" s="180"/>
      <c r="AA54" s="184">
        <f t="shared" si="7"/>
        <v>0</v>
      </c>
      <c r="AB54" s="184">
        <f t="shared" si="8"/>
        <v>0</v>
      </c>
      <c r="AC54" s="184">
        <f t="shared" si="9"/>
        <v>0</v>
      </c>
      <c r="AD54" s="184">
        <f t="shared" si="10"/>
        <v>0</v>
      </c>
      <c r="AE54" s="184">
        <f t="shared" si="11"/>
        <v>0</v>
      </c>
      <c r="AF54" s="184">
        <f t="shared" si="12"/>
        <v>2992.8114</v>
      </c>
      <c r="AG54" s="184">
        <f t="shared" si="13"/>
        <v>2992.8114</v>
      </c>
    </row>
    <row r="55" spans="1:33" ht="45" x14ac:dyDescent="0.25">
      <c r="A55" s="177">
        <v>71</v>
      </c>
      <c r="B55" s="178" t="s">
        <v>550</v>
      </c>
      <c r="C55" s="178" t="s">
        <v>159</v>
      </c>
      <c r="D55" s="179">
        <v>0</v>
      </c>
      <c r="E55" s="180" t="s">
        <v>527</v>
      </c>
      <c r="F55" s="181" t="str">
        <f t="shared" si="0"/>
        <v xml:space="preserve"> </v>
      </c>
      <c r="G55" s="181" t="s">
        <v>418</v>
      </c>
      <c r="H55" s="182" t="s">
        <v>418</v>
      </c>
      <c r="I55" s="182" t="s">
        <v>418</v>
      </c>
      <c r="J55" s="182" t="s">
        <v>418</v>
      </c>
      <c r="K55" s="182"/>
      <c r="L55" s="181" t="s">
        <v>418</v>
      </c>
      <c r="M55" s="183" t="str">
        <f t="shared" si="1"/>
        <v xml:space="preserve"> </v>
      </c>
      <c r="N55" s="181" t="s">
        <v>418</v>
      </c>
      <c r="O55" s="183" t="str">
        <f t="shared" si="1"/>
        <v xml:space="preserve"> </v>
      </c>
      <c r="P55" s="181" t="s">
        <v>418</v>
      </c>
      <c r="Q55" s="183" t="str">
        <f t="shared" si="2"/>
        <v xml:space="preserve"> </v>
      </c>
      <c r="R55" s="181" t="s">
        <v>418</v>
      </c>
      <c r="S55" s="183" t="str">
        <f t="shared" si="3"/>
        <v xml:space="preserve"> </v>
      </c>
      <c r="T55" s="181" t="s">
        <v>418</v>
      </c>
      <c r="U55" s="183" t="str">
        <f t="shared" si="4"/>
        <v xml:space="preserve"> </v>
      </c>
      <c r="V55" s="181" t="s">
        <v>418</v>
      </c>
      <c r="W55" s="183" t="str">
        <f t="shared" si="5"/>
        <v xml:space="preserve"> </v>
      </c>
      <c r="X55" s="181" t="s">
        <v>418</v>
      </c>
      <c r="Y55" s="183" t="str">
        <f t="shared" si="6"/>
        <v xml:space="preserve"> </v>
      </c>
      <c r="Z55" s="180"/>
      <c r="AA55" s="184" t="str">
        <f t="shared" si="7"/>
        <v xml:space="preserve"> </v>
      </c>
      <c r="AB55" s="184" t="str">
        <f t="shared" si="8"/>
        <v xml:space="preserve"> </v>
      </c>
      <c r="AC55" s="184" t="str">
        <f t="shared" si="9"/>
        <v xml:space="preserve"> </v>
      </c>
      <c r="AD55" s="184" t="str">
        <f t="shared" si="10"/>
        <v xml:space="preserve"> </v>
      </c>
      <c r="AE55" s="184" t="str">
        <f t="shared" si="11"/>
        <v xml:space="preserve"> </v>
      </c>
      <c r="AF55" s="184" t="str">
        <f t="shared" si="12"/>
        <v xml:space="preserve"> </v>
      </c>
      <c r="AG55" s="184" t="str">
        <f t="shared" si="13"/>
        <v xml:space="preserve"> </v>
      </c>
    </row>
    <row r="56" spans="1:33" ht="45" x14ac:dyDescent="0.25">
      <c r="A56" s="177">
        <v>72</v>
      </c>
      <c r="B56" s="178" t="s">
        <v>550</v>
      </c>
      <c r="C56" s="178" t="s">
        <v>161</v>
      </c>
      <c r="D56" s="179">
        <v>62.207999999999991</v>
      </c>
      <c r="E56" s="180" t="s">
        <v>67</v>
      </c>
      <c r="F56" s="181">
        <f t="shared" si="0"/>
        <v>6</v>
      </c>
      <c r="G56" s="181">
        <v>206.65</v>
      </c>
      <c r="H56" s="182">
        <v>13.18</v>
      </c>
      <c r="I56" s="182">
        <v>79.08</v>
      </c>
      <c r="J56" s="182">
        <v>2723.6469999999999</v>
      </c>
      <c r="K56" s="182"/>
      <c r="L56" s="181"/>
      <c r="M56" s="183">
        <f t="shared" si="1"/>
        <v>0</v>
      </c>
      <c r="N56" s="181"/>
      <c r="O56" s="183">
        <f t="shared" si="1"/>
        <v>0</v>
      </c>
      <c r="P56" s="181"/>
      <c r="Q56" s="183">
        <f t="shared" si="2"/>
        <v>0</v>
      </c>
      <c r="R56" s="181"/>
      <c r="S56" s="183">
        <f t="shared" si="3"/>
        <v>0</v>
      </c>
      <c r="T56" s="181">
        <v>47.25</v>
      </c>
      <c r="U56" s="183">
        <f t="shared" si="4"/>
        <v>0.22864747157028792</v>
      </c>
      <c r="V56" s="181">
        <v>206.65</v>
      </c>
      <c r="W56" s="183">
        <f t="shared" si="5"/>
        <v>1</v>
      </c>
      <c r="X56" s="181">
        <v>206.65</v>
      </c>
      <c r="Y56" s="183">
        <f t="shared" si="6"/>
        <v>1</v>
      </c>
      <c r="Z56" s="180"/>
      <c r="AA56" s="184">
        <f t="shared" si="7"/>
        <v>0</v>
      </c>
      <c r="AB56" s="184">
        <f t="shared" si="8"/>
        <v>0</v>
      </c>
      <c r="AC56" s="184">
        <f t="shared" si="9"/>
        <v>0</v>
      </c>
      <c r="AD56" s="184">
        <f t="shared" si="10"/>
        <v>0</v>
      </c>
      <c r="AE56" s="184">
        <f t="shared" si="11"/>
        <v>622.755</v>
      </c>
      <c r="AF56" s="184">
        <f t="shared" si="12"/>
        <v>2723.6469999999999</v>
      </c>
      <c r="AG56" s="184">
        <f t="shared" si="13"/>
        <v>2723.6469999999999</v>
      </c>
    </row>
    <row r="57" spans="1:33" ht="45" x14ac:dyDescent="0.25">
      <c r="A57" s="177">
        <v>73</v>
      </c>
      <c r="B57" s="178" t="s">
        <v>550</v>
      </c>
      <c r="C57" s="178" t="s">
        <v>163</v>
      </c>
      <c r="D57" s="179">
        <v>1356</v>
      </c>
      <c r="E57" s="180" t="s">
        <v>67</v>
      </c>
      <c r="F57" s="181">
        <f t="shared" si="0"/>
        <v>6</v>
      </c>
      <c r="G57" s="181">
        <v>59.65</v>
      </c>
      <c r="H57" s="182">
        <v>287.33</v>
      </c>
      <c r="I57" s="182">
        <v>1723.98</v>
      </c>
      <c r="J57" s="182">
        <v>17139.234499999999</v>
      </c>
      <c r="K57" s="182"/>
      <c r="L57" s="181"/>
      <c r="M57" s="183">
        <f t="shared" si="1"/>
        <v>0</v>
      </c>
      <c r="N57" s="181"/>
      <c r="O57" s="183">
        <f t="shared" si="1"/>
        <v>0</v>
      </c>
      <c r="P57" s="181"/>
      <c r="Q57" s="183">
        <f t="shared" si="2"/>
        <v>0</v>
      </c>
      <c r="R57" s="181"/>
      <c r="S57" s="183">
        <f t="shared" si="3"/>
        <v>0</v>
      </c>
      <c r="T57" s="181">
        <v>47.25</v>
      </c>
      <c r="U57" s="183">
        <f t="shared" si="4"/>
        <v>0.79212070410729252</v>
      </c>
      <c r="V57" s="181">
        <v>59.65</v>
      </c>
      <c r="W57" s="183">
        <f t="shared" si="5"/>
        <v>1</v>
      </c>
      <c r="X57" s="181">
        <v>59.65</v>
      </c>
      <c r="Y57" s="183">
        <f t="shared" si="6"/>
        <v>1</v>
      </c>
      <c r="Z57" s="180"/>
      <c r="AA57" s="184">
        <f t="shared" si="7"/>
        <v>0</v>
      </c>
      <c r="AB57" s="184">
        <f t="shared" si="8"/>
        <v>0</v>
      </c>
      <c r="AC57" s="184">
        <f t="shared" si="9"/>
        <v>0</v>
      </c>
      <c r="AD57" s="184">
        <f t="shared" si="10"/>
        <v>0</v>
      </c>
      <c r="AE57" s="184">
        <f t="shared" si="11"/>
        <v>13576.342499999999</v>
      </c>
      <c r="AF57" s="184">
        <f t="shared" si="12"/>
        <v>17139.234499999999</v>
      </c>
      <c r="AG57" s="184">
        <f t="shared" si="13"/>
        <v>17139.234499999999</v>
      </c>
    </row>
    <row r="58" spans="1:33" x14ac:dyDescent="0.25">
      <c r="A58" s="177">
        <v>74</v>
      </c>
      <c r="B58" s="178" t="s">
        <v>526</v>
      </c>
      <c r="C58" s="178" t="s">
        <v>165</v>
      </c>
      <c r="D58" s="179">
        <v>0</v>
      </c>
      <c r="E58" s="180" t="s">
        <v>527</v>
      </c>
      <c r="F58" s="181" t="str">
        <f t="shared" si="0"/>
        <v xml:space="preserve"> </v>
      </c>
      <c r="G58" s="181" t="s">
        <v>418</v>
      </c>
      <c r="H58" s="182" t="s">
        <v>418</v>
      </c>
      <c r="I58" s="182" t="s">
        <v>418</v>
      </c>
      <c r="J58" s="182" t="s">
        <v>418</v>
      </c>
      <c r="K58" s="182"/>
      <c r="L58" s="181" t="s">
        <v>418</v>
      </c>
      <c r="M58" s="183" t="str">
        <f t="shared" si="1"/>
        <v xml:space="preserve"> </v>
      </c>
      <c r="N58" s="181" t="s">
        <v>418</v>
      </c>
      <c r="O58" s="183" t="str">
        <f t="shared" si="1"/>
        <v xml:space="preserve"> </v>
      </c>
      <c r="P58" s="181" t="s">
        <v>418</v>
      </c>
      <c r="Q58" s="183" t="str">
        <f t="shared" si="2"/>
        <v xml:space="preserve"> </v>
      </c>
      <c r="R58" s="181" t="s">
        <v>418</v>
      </c>
      <c r="S58" s="183" t="str">
        <f t="shared" si="3"/>
        <v xml:space="preserve"> </v>
      </c>
      <c r="T58" s="181" t="s">
        <v>418</v>
      </c>
      <c r="U58" s="183" t="str">
        <f t="shared" si="4"/>
        <v xml:space="preserve"> </v>
      </c>
      <c r="V58" s="181" t="s">
        <v>418</v>
      </c>
      <c r="W58" s="183" t="str">
        <f t="shared" si="5"/>
        <v xml:space="preserve"> </v>
      </c>
      <c r="X58" s="181" t="s">
        <v>418</v>
      </c>
      <c r="Y58" s="183" t="str">
        <f t="shared" si="6"/>
        <v xml:space="preserve"> </v>
      </c>
      <c r="Z58" s="180"/>
      <c r="AA58" s="184" t="str">
        <f t="shared" si="7"/>
        <v xml:space="preserve"> </v>
      </c>
      <c r="AB58" s="184" t="str">
        <f t="shared" si="8"/>
        <v xml:space="preserve"> </v>
      </c>
      <c r="AC58" s="184" t="str">
        <f t="shared" si="9"/>
        <v xml:space="preserve"> </v>
      </c>
      <c r="AD58" s="184" t="str">
        <f t="shared" si="10"/>
        <v xml:space="preserve"> </v>
      </c>
      <c r="AE58" s="184" t="str">
        <f t="shared" si="11"/>
        <v xml:space="preserve"> </v>
      </c>
      <c r="AF58" s="184" t="str">
        <f t="shared" si="12"/>
        <v xml:space="preserve"> </v>
      </c>
      <c r="AG58" s="184" t="str">
        <f t="shared" si="13"/>
        <v xml:space="preserve"> </v>
      </c>
    </row>
    <row r="59" spans="1:33" ht="45" x14ac:dyDescent="0.25">
      <c r="A59" s="177">
        <v>75</v>
      </c>
      <c r="B59" s="178" t="s">
        <v>551</v>
      </c>
      <c r="C59" s="178" t="s">
        <v>167</v>
      </c>
      <c r="D59" s="179">
        <v>8000</v>
      </c>
      <c r="E59" s="180" t="s">
        <v>26</v>
      </c>
      <c r="F59" s="181">
        <f t="shared" si="0"/>
        <v>20</v>
      </c>
      <c r="G59" s="181">
        <v>1.75</v>
      </c>
      <c r="H59" s="182">
        <v>400</v>
      </c>
      <c r="I59" s="182">
        <v>8000</v>
      </c>
      <c r="J59" s="182">
        <v>700</v>
      </c>
      <c r="K59" s="182"/>
      <c r="L59" s="181"/>
      <c r="M59" s="183">
        <f t="shared" si="1"/>
        <v>0</v>
      </c>
      <c r="N59" s="181"/>
      <c r="O59" s="183">
        <f t="shared" si="1"/>
        <v>0</v>
      </c>
      <c r="P59" s="181"/>
      <c r="Q59" s="183">
        <f t="shared" si="2"/>
        <v>0</v>
      </c>
      <c r="R59" s="181"/>
      <c r="S59" s="183">
        <f t="shared" si="3"/>
        <v>0</v>
      </c>
      <c r="T59" s="181"/>
      <c r="U59" s="183">
        <f t="shared" si="4"/>
        <v>0</v>
      </c>
      <c r="V59" s="181">
        <v>1.75</v>
      </c>
      <c r="W59" s="183">
        <f t="shared" si="5"/>
        <v>1</v>
      </c>
      <c r="X59" s="181">
        <v>1.75</v>
      </c>
      <c r="Y59" s="183">
        <f t="shared" si="6"/>
        <v>1</v>
      </c>
      <c r="Z59" s="180"/>
      <c r="AA59" s="184">
        <f t="shared" si="7"/>
        <v>0</v>
      </c>
      <c r="AB59" s="184">
        <f t="shared" si="8"/>
        <v>0</v>
      </c>
      <c r="AC59" s="184">
        <f t="shared" si="9"/>
        <v>0</v>
      </c>
      <c r="AD59" s="184">
        <f t="shared" si="10"/>
        <v>0</v>
      </c>
      <c r="AE59" s="184">
        <f t="shared" si="11"/>
        <v>0</v>
      </c>
      <c r="AF59" s="184">
        <f t="shared" si="12"/>
        <v>700</v>
      </c>
      <c r="AG59" s="184">
        <f t="shared" si="13"/>
        <v>700</v>
      </c>
    </row>
    <row r="60" spans="1:33" x14ac:dyDescent="0.25">
      <c r="A60" s="177" t="s">
        <v>418</v>
      </c>
      <c r="B60" s="178" t="s">
        <v>526</v>
      </c>
      <c r="C60" s="178" t="s">
        <v>418</v>
      </c>
      <c r="D60" s="179">
        <v>0</v>
      </c>
      <c r="E60" s="180" t="s">
        <v>527</v>
      </c>
      <c r="F60" s="181" t="str">
        <f t="shared" si="0"/>
        <v xml:space="preserve"> </v>
      </c>
      <c r="G60" s="181" t="s">
        <v>418</v>
      </c>
      <c r="H60" s="182" t="s">
        <v>418</v>
      </c>
      <c r="I60" s="182" t="s">
        <v>418</v>
      </c>
      <c r="J60" s="182" t="s">
        <v>418</v>
      </c>
      <c r="K60" s="182"/>
      <c r="L60" s="181" t="s">
        <v>418</v>
      </c>
      <c r="M60" s="183" t="str">
        <f t="shared" si="1"/>
        <v xml:space="preserve"> </v>
      </c>
      <c r="N60" s="181" t="s">
        <v>418</v>
      </c>
      <c r="O60" s="183" t="str">
        <f t="shared" si="1"/>
        <v xml:space="preserve"> </v>
      </c>
      <c r="P60" s="181" t="s">
        <v>418</v>
      </c>
      <c r="Q60" s="183" t="str">
        <f t="shared" si="2"/>
        <v xml:space="preserve"> </v>
      </c>
      <c r="R60" s="181" t="s">
        <v>418</v>
      </c>
      <c r="S60" s="183" t="str">
        <f t="shared" si="3"/>
        <v xml:space="preserve"> </v>
      </c>
      <c r="T60" s="181" t="s">
        <v>418</v>
      </c>
      <c r="U60" s="183" t="str">
        <f t="shared" si="4"/>
        <v xml:space="preserve"> </v>
      </c>
      <c r="V60" s="181" t="s">
        <v>418</v>
      </c>
      <c r="W60" s="183" t="str">
        <f t="shared" si="5"/>
        <v xml:space="preserve"> </v>
      </c>
      <c r="X60" s="181" t="s">
        <v>418</v>
      </c>
      <c r="Y60" s="183" t="str">
        <f t="shared" si="6"/>
        <v xml:space="preserve"> </v>
      </c>
      <c r="Z60" s="180"/>
      <c r="AA60" s="184" t="str">
        <f t="shared" si="7"/>
        <v xml:space="preserve"> </v>
      </c>
      <c r="AB60" s="184" t="str">
        <f t="shared" si="8"/>
        <v xml:space="preserve"> </v>
      </c>
      <c r="AC60" s="184" t="str">
        <f t="shared" si="9"/>
        <v xml:space="preserve"> </v>
      </c>
      <c r="AD60" s="184" t="str">
        <f t="shared" si="10"/>
        <v xml:space="preserve"> </v>
      </c>
      <c r="AE60" s="184" t="str">
        <f t="shared" si="11"/>
        <v xml:space="preserve"> </v>
      </c>
      <c r="AF60" s="184" t="str">
        <f t="shared" si="12"/>
        <v xml:space="preserve"> </v>
      </c>
      <c r="AG60" s="184" t="str">
        <f t="shared" si="13"/>
        <v xml:space="preserve"> </v>
      </c>
    </row>
    <row r="61" spans="1:33" x14ac:dyDescent="0.25">
      <c r="A61" s="177">
        <v>76</v>
      </c>
      <c r="B61" s="178" t="s">
        <v>526</v>
      </c>
      <c r="C61" s="178" t="s">
        <v>169</v>
      </c>
      <c r="D61" s="179">
        <v>0</v>
      </c>
      <c r="E61" s="180" t="s">
        <v>527</v>
      </c>
      <c r="F61" s="181" t="str">
        <f t="shared" si="0"/>
        <v xml:space="preserve"> </v>
      </c>
      <c r="G61" s="181" t="s">
        <v>418</v>
      </c>
      <c r="H61" s="182" t="s">
        <v>418</v>
      </c>
      <c r="I61" s="182" t="s">
        <v>418</v>
      </c>
      <c r="J61" s="182" t="s">
        <v>418</v>
      </c>
      <c r="K61" s="182"/>
      <c r="L61" s="181" t="s">
        <v>418</v>
      </c>
      <c r="M61" s="183" t="str">
        <f t="shared" si="1"/>
        <v xml:space="preserve"> </v>
      </c>
      <c r="N61" s="181" t="s">
        <v>418</v>
      </c>
      <c r="O61" s="183" t="str">
        <f t="shared" si="1"/>
        <v xml:space="preserve"> </v>
      </c>
      <c r="P61" s="181" t="s">
        <v>418</v>
      </c>
      <c r="Q61" s="183" t="str">
        <f t="shared" si="2"/>
        <v xml:space="preserve"> </v>
      </c>
      <c r="R61" s="181" t="s">
        <v>418</v>
      </c>
      <c r="S61" s="183" t="str">
        <f t="shared" si="3"/>
        <v xml:space="preserve"> </v>
      </c>
      <c r="T61" s="181" t="s">
        <v>418</v>
      </c>
      <c r="U61" s="183" t="str">
        <f t="shared" si="4"/>
        <v xml:space="preserve"> </v>
      </c>
      <c r="V61" s="181" t="s">
        <v>418</v>
      </c>
      <c r="W61" s="183" t="str">
        <f t="shared" si="5"/>
        <v xml:space="preserve"> </v>
      </c>
      <c r="X61" s="181" t="s">
        <v>418</v>
      </c>
      <c r="Y61" s="183" t="str">
        <f t="shared" si="6"/>
        <v xml:space="preserve"> </v>
      </c>
      <c r="Z61" s="180"/>
      <c r="AA61" s="184" t="str">
        <f t="shared" si="7"/>
        <v xml:space="preserve"> </v>
      </c>
      <c r="AB61" s="184" t="str">
        <f t="shared" si="8"/>
        <v xml:space="preserve"> </v>
      </c>
      <c r="AC61" s="184" t="str">
        <f t="shared" si="9"/>
        <v xml:space="preserve"> </v>
      </c>
      <c r="AD61" s="184" t="str">
        <f t="shared" si="10"/>
        <v xml:space="preserve"> </v>
      </c>
      <c r="AE61" s="184" t="str">
        <f t="shared" si="11"/>
        <v xml:space="preserve"> </v>
      </c>
      <c r="AF61" s="184" t="str">
        <f t="shared" si="12"/>
        <v xml:space="preserve"> </v>
      </c>
      <c r="AG61" s="184" t="str">
        <f t="shared" si="13"/>
        <v xml:space="preserve"> </v>
      </c>
    </row>
    <row r="62" spans="1:33" x14ac:dyDescent="0.25">
      <c r="A62" s="177" t="s">
        <v>418</v>
      </c>
      <c r="B62" s="178" t="s">
        <v>526</v>
      </c>
      <c r="C62" s="178" t="s">
        <v>418</v>
      </c>
      <c r="D62" s="179">
        <v>0</v>
      </c>
      <c r="E62" s="180" t="s">
        <v>527</v>
      </c>
      <c r="F62" s="181" t="str">
        <f t="shared" si="0"/>
        <v xml:space="preserve"> </v>
      </c>
      <c r="G62" s="181" t="s">
        <v>418</v>
      </c>
      <c r="H62" s="182" t="s">
        <v>418</v>
      </c>
      <c r="I62" s="182" t="s">
        <v>418</v>
      </c>
      <c r="J62" s="182" t="s">
        <v>418</v>
      </c>
      <c r="K62" s="182"/>
      <c r="L62" s="181" t="s">
        <v>418</v>
      </c>
      <c r="M62" s="183" t="str">
        <f t="shared" si="1"/>
        <v xml:space="preserve"> </v>
      </c>
      <c r="N62" s="181" t="s">
        <v>418</v>
      </c>
      <c r="O62" s="183" t="str">
        <f t="shared" si="1"/>
        <v xml:space="preserve"> </v>
      </c>
      <c r="P62" s="181" t="s">
        <v>418</v>
      </c>
      <c r="Q62" s="183" t="str">
        <f t="shared" si="2"/>
        <v xml:space="preserve"> </v>
      </c>
      <c r="R62" s="181" t="s">
        <v>418</v>
      </c>
      <c r="S62" s="183" t="str">
        <f t="shared" si="3"/>
        <v xml:space="preserve"> </v>
      </c>
      <c r="T62" s="181" t="s">
        <v>418</v>
      </c>
      <c r="U62" s="183" t="str">
        <f t="shared" si="4"/>
        <v xml:space="preserve"> </v>
      </c>
      <c r="V62" s="181" t="s">
        <v>418</v>
      </c>
      <c r="W62" s="183" t="str">
        <f t="shared" si="5"/>
        <v xml:space="preserve"> </v>
      </c>
      <c r="X62" s="181" t="s">
        <v>418</v>
      </c>
      <c r="Y62" s="183" t="str">
        <f t="shared" si="6"/>
        <v xml:space="preserve"> </v>
      </c>
      <c r="Z62" s="180"/>
      <c r="AA62" s="184" t="str">
        <f t="shared" si="7"/>
        <v xml:space="preserve"> </v>
      </c>
      <c r="AB62" s="184" t="str">
        <f t="shared" si="8"/>
        <v xml:space="preserve"> </v>
      </c>
      <c r="AC62" s="184" t="str">
        <f t="shared" si="9"/>
        <v xml:space="preserve"> </v>
      </c>
      <c r="AD62" s="184" t="str">
        <f t="shared" si="10"/>
        <v xml:space="preserve"> </v>
      </c>
      <c r="AE62" s="184" t="str">
        <f t="shared" si="11"/>
        <v xml:space="preserve"> </v>
      </c>
      <c r="AF62" s="184" t="str">
        <f t="shared" si="12"/>
        <v xml:space="preserve"> </v>
      </c>
      <c r="AG62" s="184" t="str">
        <f t="shared" si="13"/>
        <v xml:space="preserve"> </v>
      </c>
    </row>
    <row r="63" spans="1:33" ht="60" x14ac:dyDescent="0.25">
      <c r="A63" s="177">
        <v>77</v>
      </c>
      <c r="B63" s="178" t="s">
        <v>552</v>
      </c>
      <c r="C63" s="178" t="s">
        <v>171</v>
      </c>
      <c r="D63" s="179">
        <v>0</v>
      </c>
      <c r="E63" s="180" t="s">
        <v>527</v>
      </c>
      <c r="F63" s="181" t="str">
        <f t="shared" si="0"/>
        <v xml:space="preserve"> </v>
      </c>
      <c r="G63" s="181" t="s">
        <v>418</v>
      </c>
      <c r="H63" s="182" t="s">
        <v>418</v>
      </c>
      <c r="I63" s="182" t="s">
        <v>418</v>
      </c>
      <c r="J63" s="182" t="s">
        <v>418</v>
      </c>
      <c r="K63" s="182"/>
      <c r="L63" s="181" t="s">
        <v>418</v>
      </c>
      <c r="M63" s="183" t="str">
        <f t="shared" si="1"/>
        <v xml:space="preserve"> </v>
      </c>
      <c r="N63" s="181" t="s">
        <v>418</v>
      </c>
      <c r="O63" s="183" t="str">
        <f t="shared" si="1"/>
        <v xml:space="preserve"> </v>
      </c>
      <c r="P63" s="181" t="s">
        <v>418</v>
      </c>
      <c r="Q63" s="183" t="str">
        <f t="shared" si="2"/>
        <v xml:space="preserve"> </v>
      </c>
      <c r="R63" s="181" t="s">
        <v>418</v>
      </c>
      <c r="S63" s="183" t="str">
        <f t="shared" si="3"/>
        <v xml:space="preserve"> </v>
      </c>
      <c r="T63" s="181" t="s">
        <v>418</v>
      </c>
      <c r="U63" s="183" t="str">
        <f t="shared" si="4"/>
        <v xml:space="preserve"> </v>
      </c>
      <c r="V63" s="181" t="s">
        <v>418</v>
      </c>
      <c r="W63" s="183" t="str">
        <f t="shared" si="5"/>
        <v xml:space="preserve"> </v>
      </c>
      <c r="X63" s="181" t="s">
        <v>418</v>
      </c>
      <c r="Y63" s="183" t="str">
        <f t="shared" si="6"/>
        <v xml:space="preserve"> </v>
      </c>
      <c r="Z63" s="180"/>
      <c r="AA63" s="184" t="str">
        <f t="shared" si="7"/>
        <v xml:space="preserve"> </v>
      </c>
      <c r="AB63" s="184" t="str">
        <f t="shared" si="8"/>
        <v xml:space="preserve"> </v>
      </c>
      <c r="AC63" s="184" t="str">
        <f t="shared" si="9"/>
        <v xml:space="preserve"> </v>
      </c>
      <c r="AD63" s="184" t="str">
        <f t="shared" si="10"/>
        <v xml:space="preserve"> </v>
      </c>
      <c r="AE63" s="184" t="str">
        <f t="shared" si="11"/>
        <v xml:space="preserve"> </v>
      </c>
      <c r="AF63" s="184" t="str">
        <f t="shared" si="12"/>
        <v xml:space="preserve"> </v>
      </c>
      <c r="AG63" s="184" t="str">
        <f t="shared" si="13"/>
        <v xml:space="preserve"> </v>
      </c>
    </row>
    <row r="64" spans="1:33" ht="60" x14ac:dyDescent="0.25">
      <c r="A64" s="177">
        <v>78</v>
      </c>
      <c r="B64" s="178" t="s">
        <v>552</v>
      </c>
      <c r="C64" s="178" t="s">
        <v>173</v>
      </c>
      <c r="D64" s="179">
        <v>41399.423999999999</v>
      </c>
      <c r="E64" s="180" t="s">
        <v>67</v>
      </c>
      <c r="F64" s="181">
        <f t="shared" si="0"/>
        <v>3993</v>
      </c>
      <c r="G64" s="181">
        <v>3287.2</v>
      </c>
      <c r="H64" s="182">
        <v>13.18</v>
      </c>
      <c r="I64" s="182">
        <v>52627.74</v>
      </c>
      <c r="J64" s="182">
        <v>43325.296000000002</v>
      </c>
      <c r="K64" s="182"/>
      <c r="L64" s="181"/>
      <c r="M64" s="183">
        <f t="shared" si="1"/>
        <v>0</v>
      </c>
      <c r="N64" s="181">
        <v>1690.83</v>
      </c>
      <c r="O64" s="183">
        <f t="shared" si="1"/>
        <v>0.51436785105865179</v>
      </c>
      <c r="P64" s="181">
        <v>3256.83</v>
      </c>
      <c r="Q64" s="183">
        <f t="shared" si="2"/>
        <v>0.99076113409588706</v>
      </c>
      <c r="R64" s="181">
        <v>3287.2</v>
      </c>
      <c r="S64" s="183">
        <f t="shared" si="3"/>
        <v>1</v>
      </c>
      <c r="T64" s="181">
        <v>3287.2</v>
      </c>
      <c r="U64" s="183">
        <f t="shared" si="4"/>
        <v>1</v>
      </c>
      <c r="V64" s="181">
        <v>3287.2</v>
      </c>
      <c r="W64" s="183">
        <f t="shared" si="5"/>
        <v>1</v>
      </c>
      <c r="X64" s="181">
        <v>3287.2</v>
      </c>
      <c r="Y64" s="183">
        <f t="shared" si="6"/>
        <v>1</v>
      </c>
      <c r="Z64" s="180"/>
      <c r="AA64" s="184">
        <f t="shared" si="7"/>
        <v>0</v>
      </c>
      <c r="AB64" s="184">
        <f t="shared" si="8"/>
        <v>22285.1394</v>
      </c>
      <c r="AC64" s="184">
        <f t="shared" si="9"/>
        <v>42925.019399999997</v>
      </c>
      <c r="AD64" s="184">
        <f t="shared" si="10"/>
        <v>43325.295999999995</v>
      </c>
      <c r="AE64" s="184">
        <f t="shared" si="11"/>
        <v>43325.295999999995</v>
      </c>
      <c r="AF64" s="184">
        <f t="shared" si="12"/>
        <v>43325.295999999995</v>
      </c>
      <c r="AG64" s="184">
        <f t="shared" si="13"/>
        <v>43325.295999999995</v>
      </c>
    </row>
    <row r="65" spans="1:33" ht="45" x14ac:dyDescent="0.25">
      <c r="A65" s="177">
        <v>79</v>
      </c>
      <c r="B65" s="178" t="s">
        <v>552</v>
      </c>
      <c r="C65" s="178" t="s">
        <v>175</v>
      </c>
      <c r="D65" s="179">
        <v>84519.202172925856</v>
      </c>
      <c r="E65" s="180" t="s">
        <v>67</v>
      </c>
      <c r="F65" s="181">
        <f t="shared" si="0"/>
        <v>3992.9999999999995</v>
      </c>
      <c r="G65" s="181">
        <v>3300</v>
      </c>
      <c r="H65" s="182">
        <v>33.18</v>
      </c>
      <c r="I65" s="182">
        <v>132487.74</v>
      </c>
      <c r="J65" s="182">
        <v>109494</v>
      </c>
      <c r="K65" s="182"/>
      <c r="L65" s="181"/>
      <c r="M65" s="183">
        <f t="shared" si="1"/>
        <v>0</v>
      </c>
      <c r="N65" s="181">
        <v>1690.83</v>
      </c>
      <c r="O65" s="183">
        <f t="shared" si="1"/>
        <v>0.5123727272727272</v>
      </c>
      <c r="P65" s="181">
        <v>3256.83</v>
      </c>
      <c r="Q65" s="183">
        <f t="shared" si="2"/>
        <v>0.98691818181818181</v>
      </c>
      <c r="R65" s="181">
        <v>3287.2</v>
      </c>
      <c r="S65" s="183">
        <f t="shared" si="3"/>
        <v>0.99612121212121207</v>
      </c>
      <c r="T65" s="181">
        <v>3287.2</v>
      </c>
      <c r="U65" s="183">
        <f t="shared" si="4"/>
        <v>0.99612121212121207</v>
      </c>
      <c r="V65" s="181">
        <v>3300</v>
      </c>
      <c r="W65" s="183">
        <f t="shared" si="5"/>
        <v>1</v>
      </c>
      <c r="X65" s="181">
        <v>3300</v>
      </c>
      <c r="Y65" s="183">
        <f t="shared" si="6"/>
        <v>1</v>
      </c>
      <c r="Z65" s="180"/>
      <c r="AA65" s="184">
        <f t="shared" si="7"/>
        <v>0</v>
      </c>
      <c r="AB65" s="184">
        <f t="shared" si="8"/>
        <v>56101.739399999999</v>
      </c>
      <c r="AC65" s="184">
        <f t="shared" si="9"/>
        <v>108061.6194</v>
      </c>
      <c r="AD65" s="184">
        <f t="shared" si="10"/>
        <v>109069.29599999999</v>
      </c>
      <c r="AE65" s="184">
        <f t="shared" si="11"/>
        <v>109069.29599999999</v>
      </c>
      <c r="AF65" s="184">
        <f t="shared" si="12"/>
        <v>109494</v>
      </c>
      <c r="AG65" s="184">
        <f t="shared" si="13"/>
        <v>109494</v>
      </c>
    </row>
    <row r="66" spans="1:33" ht="60" x14ac:dyDescent="0.25">
      <c r="A66" s="177">
        <v>80</v>
      </c>
      <c r="B66" s="178" t="s">
        <v>553</v>
      </c>
      <c r="C66" s="178" t="s">
        <v>178</v>
      </c>
      <c r="D66" s="179">
        <v>0</v>
      </c>
      <c r="E66" s="180" t="s">
        <v>527</v>
      </c>
      <c r="F66" s="181" t="str">
        <f t="shared" si="0"/>
        <v xml:space="preserve"> </v>
      </c>
      <c r="G66" s="181" t="s">
        <v>418</v>
      </c>
      <c r="H66" s="182" t="s">
        <v>418</v>
      </c>
      <c r="I66" s="182" t="s">
        <v>418</v>
      </c>
      <c r="J66" s="182" t="s">
        <v>418</v>
      </c>
      <c r="K66" s="182"/>
      <c r="L66" s="181" t="s">
        <v>418</v>
      </c>
      <c r="M66" s="183" t="str">
        <f t="shared" si="1"/>
        <v xml:space="preserve"> </v>
      </c>
      <c r="N66" s="181" t="s">
        <v>418</v>
      </c>
      <c r="O66" s="183" t="str">
        <f t="shared" si="1"/>
        <v xml:space="preserve"> </v>
      </c>
      <c r="P66" s="181" t="s">
        <v>418</v>
      </c>
      <c r="Q66" s="183" t="str">
        <f t="shared" si="2"/>
        <v xml:space="preserve"> </v>
      </c>
      <c r="R66" s="181" t="s">
        <v>418</v>
      </c>
      <c r="S66" s="183" t="str">
        <f t="shared" si="3"/>
        <v xml:space="preserve"> </v>
      </c>
      <c r="T66" s="181" t="s">
        <v>418</v>
      </c>
      <c r="U66" s="183" t="str">
        <f t="shared" si="4"/>
        <v xml:space="preserve"> </v>
      </c>
      <c r="V66" s="181" t="s">
        <v>418</v>
      </c>
      <c r="W66" s="183" t="str">
        <f t="shared" si="5"/>
        <v xml:space="preserve"> </v>
      </c>
      <c r="X66" s="181" t="s">
        <v>418</v>
      </c>
      <c r="Y66" s="183" t="str">
        <f t="shared" si="6"/>
        <v xml:space="preserve"> </v>
      </c>
      <c r="Z66" s="180"/>
      <c r="AA66" s="184" t="str">
        <f t="shared" si="7"/>
        <v xml:space="preserve"> </v>
      </c>
      <c r="AB66" s="184" t="str">
        <f t="shared" si="8"/>
        <v xml:space="preserve"> </v>
      </c>
      <c r="AC66" s="184" t="str">
        <f t="shared" si="9"/>
        <v xml:space="preserve"> </v>
      </c>
      <c r="AD66" s="184" t="str">
        <f t="shared" si="10"/>
        <v xml:space="preserve"> </v>
      </c>
      <c r="AE66" s="184" t="str">
        <f t="shared" si="11"/>
        <v xml:space="preserve"> </v>
      </c>
      <c r="AF66" s="184" t="str">
        <f t="shared" si="12"/>
        <v xml:space="preserve"> </v>
      </c>
      <c r="AG66" s="184" t="str">
        <f t="shared" si="13"/>
        <v xml:space="preserve"> </v>
      </c>
    </row>
    <row r="67" spans="1:33" ht="60" x14ac:dyDescent="0.25">
      <c r="A67" s="177">
        <v>81</v>
      </c>
      <c r="B67" s="178" t="s">
        <v>553</v>
      </c>
      <c r="C67" s="178" t="s">
        <v>180</v>
      </c>
      <c r="D67" s="179">
        <v>41399.423999999999</v>
      </c>
      <c r="E67" s="180" t="s">
        <v>67</v>
      </c>
      <c r="F67" s="181">
        <f t="shared" si="0"/>
        <v>3993</v>
      </c>
      <c r="G67" s="181">
        <v>3403.46</v>
      </c>
      <c r="H67" s="182">
        <v>13.18</v>
      </c>
      <c r="I67" s="182">
        <v>52627.74</v>
      </c>
      <c r="J67" s="182">
        <v>44857.602800000001</v>
      </c>
      <c r="K67" s="182"/>
      <c r="L67" s="181">
        <v>465</v>
      </c>
      <c r="M67" s="183">
        <f t="shared" si="1"/>
        <v>0.13662566917196028</v>
      </c>
      <c r="N67" s="181">
        <v>1690.8</v>
      </c>
      <c r="O67" s="183">
        <f t="shared" si="1"/>
        <v>0.49678856222785045</v>
      </c>
      <c r="P67" s="181">
        <v>3281.81</v>
      </c>
      <c r="Q67" s="183">
        <f t="shared" si="2"/>
        <v>0.96425696203275491</v>
      </c>
      <c r="R67" s="181">
        <v>3328.7</v>
      </c>
      <c r="S67" s="183">
        <f t="shared" si="3"/>
        <v>0.97803411822086928</v>
      </c>
      <c r="T67" s="181">
        <v>3328.7</v>
      </c>
      <c r="U67" s="183">
        <f t="shared" si="4"/>
        <v>0.97803411822086928</v>
      </c>
      <c r="V67" s="181">
        <v>3403.46</v>
      </c>
      <c r="W67" s="183">
        <f t="shared" si="5"/>
        <v>1</v>
      </c>
      <c r="X67" s="181">
        <v>3403.46</v>
      </c>
      <c r="Y67" s="183">
        <f t="shared" si="6"/>
        <v>1</v>
      </c>
      <c r="Z67" s="180"/>
      <c r="AA67" s="184">
        <f t="shared" si="7"/>
        <v>6128.7</v>
      </c>
      <c r="AB67" s="184">
        <f t="shared" si="8"/>
        <v>22284.743999999999</v>
      </c>
      <c r="AC67" s="184">
        <f t="shared" si="9"/>
        <v>43254.255799999999</v>
      </c>
      <c r="AD67" s="184">
        <f t="shared" si="10"/>
        <v>43872.265999999996</v>
      </c>
      <c r="AE67" s="184">
        <f t="shared" si="11"/>
        <v>43872.265999999996</v>
      </c>
      <c r="AF67" s="184">
        <f t="shared" si="12"/>
        <v>44857.602800000001</v>
      </c>
      <c r="AG67" s="184">
        <f t="shared" si="13"/>
        <v>44857.602800000001</v>
      </c>
    </row>
    <row r="68" spans="1:33" ht="45" x14ac:dyDescent="0.25">
      <c r="A68" s="177">
        <v>82</v>
      </c>
      <c r="B68" s="178" t="s">
        <v>553</v>
      </c>
      <c r="C68" s="178" t="s">
        <v>182</v>
      </c>
      <c r="D68" s="179">
        <v>84519.202172925856</v>
      </c>
      <c r="E68" s="180" t="s">
        <v>67</v>
      </c>
      <c r="F68" s="181">
        <f t="shared" si="0"/>
        <v>3992.9999999999995</v>
      </c>
      <c r="G68" s="181">
        <v>3518.36</v>
      </c>
      <c r="H68" s="182">
        <v>33.18</v>
      </c>
      <c r="I68" s="182">
        <v>132487.74</v>
      </c>
      <c r="J68" s="182">
        <v>116739.1848</v>
      </c>
      <c r="K68" s="182"/>
      <c r="L68" s="181">
        <v>465</v>
      </c>
      <c r="M68" s="183">
        <f t="shared" si="1"/>
        <v>0.13216384906604212</v>
      </c>
      <c r="N68" s="181">
        <v>1722.4</v>
      </c>
      <c r="O68" s="183">
        <f t="shared" si="1"/>
        <v>0.48954626587387307</v>
      </c>
      <c r="P68" s="181">
        <v>3313.41</v>
      </c>
      <c r="Q68" s="183">
        <f t="shared" si="2"/>
        <v>0.94174842824497773</v>
      </c>
      <c r="R68" s="181">
        <v>3443.6</v>
      </c>
      <c r="S68" s="183">
        <f t="shared" si="3"/>
        <v>0.97875146375015631</v>
      </c>
      <c r="T68" s="181">
        <v>3443.6</v>
      </c>
      <c r="U68" s="183">
        <f t="shared" si="4"/>
        <v>0.97875146375015631</v>
      </c>
      <c r="V68" s="181">
        <v>3518.36</v>
      </c>
      <c r="W68" s="183">
        <f t="shared" si="5"/>
        <v>1</v>
      </c>
      <c r="X68" s="181">
        <v>3518.36</v>
      </c>
      <c r="Y68" s="183">
        <f t="shared" si="6"/>
        <v>1</v>
      </c>
      <c r="Z68" s="180"/>
      <c r="AA68" s="184">
        <f t="shared" si="7"/>
        <v>15428.7</v>
      </c>
      <c r="AB68" s="184">
        <f t="shared" si="8"/>
        <v>57149.232000000004</v>
      </c>
      <c r="AC68" s="184">
        <f t="shared" si="9"/>
        <v>109938.94379999999</v>
      </c>
      <c r="AD68" s="184">
        <f t="shared" si="10"/>
        <v>114258.648</v>
      </c>
      <c r="AE68" s="184">
        <f t="shared" si="11"/>
        <v>114258.648</v>
      </c>
      <c r="AF68" s="184">
        <f t="shared" si="12"/>
        <v>116739.1848</v>
      </c>
      <c r="AG68" s="184">
        <f t="shared" si="13"/>
        <v>116739.1848</v>
      </c>
    </row>
    <row r="69" spans="1:33" ht="60" x14ac:dyDescent="0.25">
      <c r="A69" s="177">
        <v>83</v>
      </c>
      <c r="B69" s="178" t="s">
        <v>554</v>
      </c>
      <c r="C69" s="178" t="s">
        <v>184</v>
      </c>
      <c r="D69" s="179">
        <v>0</v>
      </c>
      <c r="E69" s="180" t="s">
        <v>527</v>
      </c>
      <c r="F69" s="181" t="str">
        <f t="shared" si="0"/>
        <v xml:space="preserve"> </v>
      </c>
      <c r="G69" s="181" t="s">
        <v>418</v>
      </c>
      <c r="H69" s="182" t="s">
        <v>418</v>
      </c>
      <c r="I69" s="182" t="s">
        <v>418</v>
      </c>
      <c r="J69" s="182" t="s">
        <v>418</v>
      </c>
      <c r="K69" s="182"/>
      <c r="L69" s="181" t="s">
        <v>418</v>
      </c>
      <c r="M69" s="183" t="str">
        <f t="shared" si="1"/>
        <v xml:space="preserve"> </v>
      </c>
      <c r="N69" s="181" t="s">
        <v>418</v>
      </c>
      <c r="O69" s="183" t="str">
        <f t="shared" si="1"/>
        <v xml:space="preserve"> </v>
      </c>
      <c r="P69" s="181" t="s">
        <v>418</v>
      </c>
      <c r="Q69" s="183" t="str">
        <f t="shared" si="2"/>
        <v xml:space="preserve"> </v>
      </c>
      <c r="R69" s="181" t="s">
        <v>418</v>
      </c>
      <c r="S69" s="183" t="str">
        <f t="shared" si="3"/>
        <v xml:space="preserve"> </v>
      </c>
      <c r="T69" s="181" t="s">
        <v>418</v>
      </c>
      <c r="U69" s="183" t="str">
        <f t="shared" si="4"/>
        <v xml:space="preserve"> </v>
      </c>
      <c r="V69" s="181" t="s">
        <v>418</v>
      </c>
      <c r="W69" s="183" t="str">
        <f t="shared" si="5"/>
        <v xml:space="preserve"> </v>
      </c>
      <c r="X69" s="181" t="s">
        <v>418</v>
      </c>
      <c r="Y69" s="183" t="str">
        <f t="shared" si="6"/>
        <v xml:space="preserve"> </v>
      </c>
      <c r="Z69" s="180"/>
      <c r="AA69" s="184" t="str">
        <f t="shared" si="7"/>
        <v xml:space="preserve"> </v>
      </c>
      <c r="AB69" s="184" t="str">
        <f t="shared" si="8"/>
        <v xml:space="preserve"> </v>
      </c>
      <c r="AC69" s="184" t="str">
        <f t="shared" si="9"/>
        <v xml:space="preserve"> </v>
      </c>
      <c r="AD69" s="184" t="str">
        <f t="shared" si="10"/>
        <v xml:space="preserve"> </v>
      </c>
      <c r="AE69" s="184" t="str">
        <f t="shared" si="11"/>
        <v xml:space="preserve"> </v>
      </c>
      <c r="AF69" s="184" t="str">
        <f t="shared" si="12"/>
        <v xml:space="preserve"> </v>
      </c>
      <c r="AG69" s="184" t="str">
        <f t="shared" si="13"/>
        <v xml:space="preserve"> </v>
      </c>
    </row>
    <row r="70" spans="1:33" ht="60" x14ac:dyDescent="0.25">
      <c r="A70" s="177">
        <v>84</v>
      </c>
      <c r="B70" s="178" t="s">
        <v>555</v>
      </c>
      <c r="C70" s="178" t="s">
        <v>186</v>
      </c>
      <c r="D70" s="179">
        <v>22311.935999999998</v>
      </c>
      <c r="E70" s="180" t="s">
        <v>67</v>
      </c>
      <c r="F70" s="181">
        <f t="shared" si="0"/>
        <v>2152</v>
      </c>
      <c r="G70" s="181">
        <v>365.52</v>
      </c>
      <c r="H70" s="182">
        <v>13.18</v>
      </c>
      <c r="I70" s="182">
        <v>28363.360000000001</v>
      </c>
      <c r="J70" s="182">
        <v>4817.5536000000002</v>
      </c>
      <c r="K70" s="182"/>
      <c r="L70" s="181"/>
      <c r="M70" s="183">
        <f t="shared" ref="M70:O112" si="14">IFERROR(L70/$G70," ")</f>
        <v>0</v>
      </c>
      <c r="N70" s="181">
        <v>182.63</v>
      </c>
      <c r="O70" s="183">
        <f t="shared" si="14"/>
        <v>0.49964434230685051</v>
      </c>
      <c r="P70" s="181">
        <v>365.52</v>
      </c>
      <c r="Q70" s="183">
        <f t="shared" si="2"/>
        <v>1</v>
      </c>
      <c r="R70" s="181">
        <v>365.52</v>
      </c>
      <c r="S70" s="183">
        <f t="shared" si="3"/>
        <v>1</v>
      </c>
      <c r="T70" s="181">
        <v>365.52</v>
      </c>
      <c r="U70" s="183">
        <f t="shared" si="4"/>
        <v>1</v>
      </c>
      <c r="V70" s="181">
        <v>365.52</v>
      </c>
      <c r="W70" s="183">
        <f t="shared" si="5"/>
        <v>1</v>
      </c>
      <c r="X70" s="181">
        <v>365.52</v>
      </c>
      <c r="Y70" s="183">
        <f t="shared" si="6"/>
        <v>1</v>
      </c>
      <c r="Z70" s="180"/>
      <c r="AA70" s="184">
        <f t="shared" si="7"/>
        <v>0</v>
      </c>
      <c r="AB70" s="184">
        <f t="shared" si="8"/>
        <v>2407.0634</v>
      </c>
      <c r="AC70" s="184">
        <f t="shared" si="9"/>
        <v>4817.5535999999993</v>
      </c>
      <c r="AD70" s="184">
        <f t="shared" si="10"/>
        <v>4817.5535999999993</v>
      </c>
      <c r="AE70" s="184">
        <f t="shared" si="11"/>
        <v>4817.5535999999993</v>
      </c>
      <c r="AF70" s="184">
        <f t="shared" si="12"/>
        <v>4817.5535999999993</v>
      </c>
      <c r="AG70" s="184">
        <f t="shared" si="13"/>
        <v>4817.5535999999993</v>
      </c>
    </row>
    <row r="71" spans="1:33" ht="60" x14ac:dyDescent="0.25">
      <c r="A71" s="177">
        <v>85</v>
      </c>
      <c r="B71" s="178" t="s">
        <v>556</v>
      </c>
      <c r="C71" s="178" t="s">
        <v>188</v>
      </c>
      <c r="D71" s="179">
        <v>68243.403331046837</v>
      </c>
      <c r="E71" s="180" t="s">
        <v>67</v>
      </c>
      <c r="F71" s="181">
        <f t="shared" ref="F71:F112" si="15">IFERROR(I71/H71," ")</f>
        <v>2152.0000000000005</v>
      </c>
      <c r="G71" s="181">
        <v>365.52</v>
      </c>
      <c r="H71" s="182">
        <v>33.659999999999997</v>
      </c>
      <c r="I71" s="182">
        <v>72436.320000000007</v>
      </c>
      <c r="J71" s="182">
        <v>12303.403200000001</v>
      </c>
      <c r="K71" s="182"/>
      <c r="L71" s="181"/>
      <c r="M71" s="183">
        <f t="shared" si="14"/>
        <v>0</v>
      </c>
      <c r="N71" s="181">
        <v>182.63</v>
      </c>
      <c r="O71" s="183">
        <f t="shared" si="14"/>
        <v>0.49964434230685051</v>
      </c>
      <c r="P71" s="181">
        <v>365.52</v>
      </c>
      <c r="Q71" s="183">
        <f t="shared" ref="Q71:Q95" si="16">IFERROR(P71/$G71," ")</f>
        <v>1</v>
      </c>
      <c r="R71" s="181">
        <v>365.52</v>
      </c>
      <c r="S71" s="183">
        <f t="shared" ref="S71:S95" si="17">IFERROR(R71/$G71," ")</f>
        <v>1</v>
      </c>
      <c r="T71" s="181">
        <v>365.52</v>
      </c>
      <c r="U71" s="183">
        <f t="shared" ref="U71:U95" si="18">IFERROR(T71/$G71," ")</f>
        <v>1</v>
      </c>
      <c r="V71" s="181">
        <v>365.52</v>
      </c>
      <c r="W71" s="183">
        <f t="shared" ref="W71:W95" si="19">IFERROR(V71/$G71," ")</f>
        <v>1</v>
      </c>
      <c r="X71" s="181">
        <v>365.52</v>
      </c>
      <c r="Y71" s="183">
        <f t="shared" ref="Y71:Y95" si="20">IFERROR(X71/$G71," ")</f>
        <v>1</v>
      </c>
      <c r="Z71" s="180"/>
      <c r="AA71" s="184">
        <f t="shared" ref="AA71:AA112" si="21">IFERROR(L71*$H71," ")</f>
        <v>0</v>
      </c>
      <c r="AB71" s="184">
        <f t="shared" ref="AB71:AB112" si="22">IFERROR(N71*$H71," ")</f>
        <v>6147.3257999999996</v>
      </c>
      <c r="AC71" s="184">
        <f t="shared" ref="AC71:AC112" si="23">IFERROR(P71*$H71," ")</f>
        <v>12303.403199999999</v>
      </c>
      <c r="AD71" s="184">
        <f t="shared" ref="AD71:AD112" si="24">IFERROR(R71*$H71," ")</f>
        <v>12303.403199999999</v>
      </c>
      <c r="AE71" s="184">
        <f t="shared" ref="AE71:AE112" si="25">IFERROR(T71*$H71," ")</f>
        <v>12303.403199999999</v>
      </c>
      <c r="AF71" s="184">
        <f t="shared" ref="AF71:AF112" si="26">IFERROR(V71*$H71," ")</f>
        <v>12303.403199999999</v>
      </c>
      <c r="AG71" s="184">
        <f t="shared" ref="AG71:AG112" si="27">IFERROR(X71*$H71," ")</f>
        <v>12303.403199999999</v>
      </c>
    </row>
    <row r="72" spans="1:33" ht="60" x14ac:dyDescent="0.25">
      <c r="A72" s="177">
        <v>86</v>
      </c>
      <c r="B72" s="178" t="s">
        <v>557</v>
      </c>
      <c r="C72" s="178" t="s">
        <v>190</v>
      </c>
      <c r="D72" s="179">
        <v>89867.75039999999</v>
      </c>
      <c r="E72" s="180" t="s">
        <v>127</v>
      </c>
      <c r="F72" s="181">
        <f t="shared" si="15"/>
        <v>130017</v>
      </c>
      <c r="G72" s="181">
        <v>51245.68</v>
      </c>
      <c r="H72" s="182">
        <v>0.69</v>
      </c>
      <c r="I72" s="182">
        <v>89711.73</v>
      </c>
      <c r="J72" s="182">
        <v>35359.519200000002</v>
      </c>
      <c r="K72" s="182"/>
      <c r="L72" s="181"/>
      <c r="M72" s="183">
        <f t="shared" si="14"/>
        <v>0</v>
      </c>
      <c r="N72" s="181">
        <v>24517.040000000001</v>
      </c>
      <c r="O72" s="183">
        <f t="shared" si="14"/>
        <v>0.47842159573255738</v>
      </c>
      <c r="P72" s="181">
        <v>47224.04</v>
      </c>
      <c r="Q72" s="183">
        <f t="shared" si="16"/>
        <v>0.92152236051897451</v>
      </c>
      <c r="R72" s="181">
        <v>48310.879999999997</v>
      </c>
      <c r="S72" s="183">
        <f t="shared" si="17"/>
        <v>0.94273078238009522</v>
      </c>
      <c r="T72" s="181">
        <v>48310.879999999997</v>
      </c>
      <c r="U72" s="183">
        <f t="shared" si="18"/>
        <v>0.94273078238009522</v>
      </c>
      <c r="V72" s="181">
        <v>51245.68</v>
      </c>
      <c r="W72" s="183">
        <f t="shared" si="19"/>
        <v>1</v>
      </c>
      <c r="X72" s="181">
        <v>51245.68</v>
      </c>
      <c r="Y72" s="183">
        <f t="shared" si="20"/>
        <v>1</v>
      </c>
      <c r="Z72" s="180"/>
      <c r="AA72" s="184">
        <f t="shared" si="21"/>
        <v>0</v>
      </c>
      <c r="AB72" s="184">
        <f t="shared" si="22"/>
        <v>16916.757600000001</v>
      </c>
      <c r="AC72" s="184">
        <f t="shared" si="23"/>
        <v>32584.587599999999</v>
      </c>
      <c r="AD72" s="184">
        <f t="shared" si="24"/>
        <v>33334.507199999993</v>
      </c>
      <c r="AE72" s="184">
        <f t="shared" si="25"/>
        <v>33334.507199999993</v>
      </c>
      <c r="AF72" s="184">
        <f t="shared" si="26"/>
        <v>35359.519199999995</v>
      </c>
      <c r="AG72" s="184">
        <f t="shared" si="27"/>
        <v>35359.519199999995</v>
      </c>
    </row>
    <row r="73" spans="1:33" x14ac:dyDescent="0.25">
      <c r="A73" s="177" t="s">
        <v>418</v>
      </c>
      <c r="B73" s="178" t="s">
        <v>526</v>
      </c>
      <c r="C73" s="178" t="s">
        <v>418</v>
      </c>
      <c r="D73" s="179">
        <v>0</v>
      </c>
      <c r="E73" s="180" t="s">
        <v>527</v>
      </c>
      <c r="F73" s="181" t="str">
        <f t="shared" si="15"/>
        <v xml:space="preserve"> </v>
      </c>
      <c r="G73" s="181" t="s">
        <v>418</v>
      </c>
      <c r="H73" s="182" t="s">
        <v>418</v>
      </c>
      <c r="I73" s="182" t="s">
        <v>418</v>
      </c>
      <c r="J73" s="182" t="s">
        <v>418</v>
      </c>
      <c r="K73" s="182"/>
      <c r="L73" s="181" t="s">
        <v>418</v>
      </c>
      <c r="M73" s="183" t="str">
        <f t="shared" si="14"/>
        <v xml:space="preserve"> </v>
      </c>
      <c r="N73" s="181" t="s">
        <v>418</v>
      </c>
      <c r="O73" s="183" t="str">
        <f t="shared" si="14"/>
        <v xml:space="preserve"> </v>
      </c>
      <c r="P73" s="181" t="s">
        <v>418</v>
      </c>
      <c r="Q73" s="183" t="str">
        <f t="shared" si="16"/>
        <v xml:space="preserve"> </v>
      </c>
      <c r="R73" s="181" t="s">
        <v>418</v>
      </c>
      <c r="S73" s="183" t="str">
        <f t="shared" si="17"/>
        <v xml:space="preserve"> </v>
      </c>
      <c r="T73" s="181" t="s">
        <v>418</v>
      </c>
      <c r="U73" s="183" t="str">
        <f t="shared" si="18"/>
        <v xml:space="preserve"> </v>
      </c>
      <c r="V73" s="181" t="s">
        <v>418</v>
      </c>
      <c r="W73" s="183" t="str">
        <f t="shared" si="19"/>
        <v xml:space="preserve"> </v>
      </c>
      <c r="X73" s="181" t="s">
        <v>418</v>
      </c>
      <c r="Y73" s="183" t="str">
        <f t="shared" si="20"/>
        <v xml:space="preserve"> </v>
      </c>
      <c r="Z73" s="180"/>
      <c r="AA73" s="184" t="str">
        <f t="shared" si="21"/>
        <v xml:space="preserve"> </v>
      </c>
      <c r="AB73" s="184" t="str">
        <f t="shared" si="22"/>
        <v xml:space="preserve"> </v>
      </c>
      <c r="AC73" s="184" t="str">
        <f t="shared" si="23"/>
        <v xml:space="preserve"> </v>
      </c>
      <c r="AD73" s="184" t="str">
        <f t="shared" si="24"/>
        <v xml:space="preserve"> </v>
      </c>
      <c r="AE73" s="184" t="str">
        <f t="shared" si="25"/>
        <v xml:space="preserve"> </v>
      </c>
      <c r="AF73" s="184" t="str">
        <f t="shared" si="26"/>
        <v xml:space="preserve"> </v>
      </c>
      <c r="AG73" s="184" t="str">
        <f t="shared" si="27"/>
        <v xml:space="preserve"> </v>
      </c>
    </row>
    <row r="74" spans="1:33" x14ac:dyDescent="0.25">
      <c r="A74" s="177">
        <v>87</v>
      </c>
      <c r="B74" s="178" t="s">
        <v>526</v>
      </c>
      <c r="C74" s="178" t="s">
        <v>192</v>
      </c>
      <c r="D74" s="179">
        <v>0</v>
      </c>
      <c r="E74" s="180" t="s">
        <v>527</v>
      </c>
      <c r="F74" s="181" t="str">
        <f t="shared" si="15"/>
        <v xml:space="preserve"> </v>
      </c>
      <c r="G74" s="181" t="s">
        <v>418</v>
      </c>
      <c r="H74" s="182" t="s">
        <v>418</v>
      </c>
      <c r="I74" s="182" t="s">
        <v>418</v>
      </c>
      <c r="J74" s="182" t="s">
        <v>418</v>
      </c>
      <c r="K74" s="182"/>
      <c r="L74" s="181" t="s">
        <v>418</v>
      </c>
      <c r="M74" s="183" t="str">
        <f t="shared" si="14"/>
        <v xml:space="preserve"> </v>
      </c>
      <c r="N74" s="181" t="s">
        <v>418</v>
      </c>
      <c r="O74" s="183" t="str">
        <f t="shared" si="14"/>
        <v xml:space="preserve"> </v>
      </c>
      <c r="P74" s="181" t="s">
        <v>418</v>
      </c>
      <c r="Q74" s="183" t="str">
        <f t="shared" si="16"/>
        <v xml:space="preserve"> </v>
      </c>
      <c r="R74" s="181" t="s">
        <v>418</v>
      </c>
      <c r="S74" s="183" t="str">
        <f t="shared" si="17"/>
        <v xml:space="preserve"> </v>
      </c>
      <c r="T74" s="181" t="s">
        <v>418</v>
      </c>
      <c r="U74" s="183" t="str">
        <f t="shared" si="18"/>
        <v xml:space="preserve"> </v>
      </c>
      <c r="V74" s="181" t="s">
        <v>418</v>
      </c>
      <c r="W74" s="183" t="str">
        <f t="shared" si="19"/>
        <v xml:space="preserve"> </v>
      </c>
      <c r="X74" s="181" t="s">
        <v>418</v>
      </c>
      <c r="Y74" s="183" t="str">
        <f t="shared" si="20"/>
        <v xml:space="preserve"> </v>
      </c>
      <c r="Z74" s="180"/>
      <c r="AA74" s="184" t="str">
        <f t="shared" si="21"/>
        <v xml:space="preserve"> </v>
      </c>
      <c r="AB74" s="184" t="str">
        <f t="shared" si="22"/>
        <v xml:space="preserve"> </v>
      </c>
      <c r="AC74" s="184" t="str">
        <f t="shared" si="23"/>
        <v xml:space="preserve"> </v>
      </c>
      <c r="AD74" s="184" t="str">
        <f t="shared" si="24"/>
        <v xml:space="preserve"> </v>
      </c>
      <c r="AE74" s="184" t="str">
        <f t="shared" si="25"/>
        <v xml:space="preserve"> </v>
      </c>
      <c r="AF74" s="184" t="str">
        <f t="shared" si="26"/>
        <v xml:space="preserve"> </v>
      </c>
      <c r="AG74" s="184" t="str">
        <f t="shared" si="27"/>
        <v xml:space="preserve"> </v>
      </c>
    </row>
    <row r="75" spans="1:33" x14ac:dyDescent="0.25">
      <c r="A75" s="177" t="s">
        <v>418</v>
      </c>
      <c r="B75" s="178" t="s">
        <v>526</v>
      </c>
      <c r="C75" s="178" t="s">
        <v>418</v>
      </c>
      <c r="D75" s="179">
        <v>0</v>
      </c>
      <c r="E75" s="180" t="s">
        <v>527</v>
      </c>
      <c r="F75" s="181" t="str">
        <f t="shared" si="15"/>
        <v xml:space="preserve"> </v>
      </c>
      <c r="G75" s="181" t="s">
        <v>418</v>
      </c>
      <c r="H75" s="182" t="s">
        <v>418</v>
      </c>
      <c r="I75" s="182" t="s">
        <v>418</v>
      </c>
      <c r="J75" s="182" t="s">
        <v>418</v>
      </c>
      <c r="K75" s="182"/>
      <c r="L75" s="181" t="s">
        <v>418</v>
      </c>
      <c r="M75" s="183" t="str">
        <f t="shared" si="14"/>
        <v xml:space="preserve"> </v>
      </c>
      <c r="N75" s="181" t="s">
        <v>418</v>
      </c>
      <c r="O75" s="183" t="str">
        <f t="shared" si="14"/>
        <v xml:space="preserve"> </v>
      </c>
      <c r="P75" s="181" t="s">
        <v>418</v>
      </c>
      <c r="Q75" s="183" t="str">
        <f t="shared" si="16"/>
        <v xml:space="preserve"> </v>
      </c>
      <c r="R75" s="181" t="s">
        <v>418</v>
      </c>
      <c r="S75" s="183" t="str">
        <f t="shared" si="17"/>
        <v xml:space="preserve"> </v>
      </c>
      <c r="T75" s="181" t="s">
        <v>418</v>
      </c>
      <c r="U75" s="183" t="str">
        <f t="shared" si="18"/>
        <v xml:space="preserve"> </v>
      </c>
      <c r="V75" s="181" t="s">
        <v>418</v>
      </c>
      <c r="W75" s="183" t="str">
        <f t="shared" si="19"/>
        <v xml:space="preserve"> </v>
      </c>
      <c r="X75" s="181" t="s">
        <v>418</v>
      </c>
      <c r="Y75" s="183" t="str">
        <f t="shared" si="20"/>
        <v xml:space="preserve"> </v>
      </c>
      <c r="Z75" s="180"/>
      <c r="AA75" s="184" t="str">
        <f t="shared" si="21"/>
        <v xml:space="preserve"> </v>
      </c>
      <c r="AB75" s="184" t="str">
        <f t="shared" si="22"/>
        <v xml:space="preserve"> </v>
      </c>
      <c r="AC75" s="184" t="str">
        <f t="shared" si="23"/>
        <v xml:space="preserve"> </v>
      </c>
      <c r="AD75" s="184" t="str">
        <f t="shared" si="24"/>
        <v xml:space="preserve"> </v>
      </c>
      <c r="AE75" s="184" t="str">
        <f t="shared" si="25"/>
        <v xml:space="preserve"> </v>
      </c>
      <c r="AF75" s="184" t="str">
        <f t="shared" si="26"/>
        <v xml:space="preserve"> </v>
      </c>
      <c r="AG75" s="184" t="str">
        <f t="shared" si="27"/>
        <v xml:space="preserve"> </v>
      </c>
    </row>
    <row r="76" spans="1:33" ht="30" x14ac:dyDescent="0.25">
      <c r="A76" s="177">
        <v>88</v>
      </c>
      <c r="B76" s="178" t="s">
        <v>526</v>
      </c>
      <c r="C76" s="178" t="s">
        <v>194</v>
      </c>
      <c r="D76" s="179">
        <v>0</v>
      </c>
      <c r="E76" s="180" t="s">
        <v>527</v>
      </c>
      <c r="F76" s="181" t="str">
        <f t="shared" si="15"/>
        <v xml:space="preserve"> </v>
      </c>
      <c r="G76" s="181" t="s">
        <v>418</v>
      </c>
      <c r="H76" s="182" t="s">
        <v>418</v>
      </c>
      <c r="I76" s="182" t="s">
        <v>418</v>
      </c>
      <c r="J76" s="182" t="s">
        <v>418</v>
      </c>
      <c r="K76" s="182"/>
      <c r="L76" s="181" t="s">
        <v>418</v>
      </c>
      <c r="M76" s="183" t="str">
        <f t="shared" si="14"/>
        <v xml:space="preserve"> </v>
      </c>
      <c r="N76" s="181" t="s">
        <v>418</v>
      </c>
      <c r="O76" s="183" t="str">
        <f t="shared" si="14"/>
        <v xml:space="preserve"> </v>
      </c>
      <c r="P76" s="181" t="s">
        <v>418</v>
      </c>
      <c r="Q76" s="183" t="str">
        <f t="shared" si="16"/>
        <v xml:space="preserve"> </v>
      </c>
      <c r="R76" s="181" t="s">
        <v>418</v>
      </c>
      <c r="S76" s="183" t="str">
        <f t="shared" si="17"/>
        <v xml:space="preserve"> </v>
      </c>
      <c r="T76" s="181" t="s">
        <v>418</v>
      </c>
      <c r="U76" s="183" t="str">
        <f t="shared" si="18"/>
        <v xml:space="preserve"> </v>
      </c>
      <c r="V76" s="181" t="s">
        <v>418</v>
      </c>
      <c r="W76" s="183" t="str">
        <f t="shared" si="19"/>
        <v xml:space="preserve"> </v>
      </c>
      <c r="X76" s="181" t="s">
        <v>418</v>
      </c>
      <c r="Y76" s="183" t="str">
        <f t="shared" si="20"/>
        <v xml:space="preserve"> </v>
      </c>
      <c r="Z76" s="180"/>
      <c r="AA76" s="184" t="str">
        <f t="shared" si="21"/>
        <v xml:space="preserve"> </v>
      </c>
      <c r="AB76" s="184" t="str">
        <f t="shared" si="22"/>
        <v xml:space="preserve"> </v>
      </c>
      <c r="AC76" s="184" t="str">
        <f t="shared" si="23"/>
        <v xml:space="preserve"> </v>
      </c>
      <c r="AD76" s="184" t="str">
        <f t="shared" si="24"/>
        <v xml:space="preserve"> </v>
      </c>
      <c r="AE76" s="184" t="str">
        <f t="shared" si="25"/>
        <v xml:space="preserve"> </v>
      </c>
      <c r="AF76" s="184" t="str">
        <f t="shared" si="26"/>
        <v xml:space="preserve"> </v>
      </c>
      <c r="AG76" s="184" t="str">
        <f t="shared" si="27"/>
        <v xml:space="preserve"> </v>
      </c>
    </row>
    <row r="77" spans="1:33" ht="30" x14ac:dyDescent="0.25">
      <c r="A77" s="177">
        <v>89</v>
      </c>
      <c r="B77" s="178" t="s">
        <v>558</v>
      </c>
      <c r="C77" s="178" t="s">
        <v>196</v>
      </c>
      <c r="D77" s="179">
        <v>2565</v>
      </c>
      <c r="E77" s="180" t="s">
        <v>197</v>
      </c>
      <c r="F77" s="181">
        <f t="shared" si="15"/>
        <v>1500</v>
      </c>
      <c r="G77" s="181"/>
      <c r="H77" s="182">
        <v>1.75</v>
      </c>
      <c r="I77" s="182">
        <v>2625</v>
      </c>
      <c r="J77" s="182"/>
      <c r="K77" s="182"/>
      <c r="L77" s="181"/>
      <c r="M77" s="183" t="str">
        <f t="shared" si="14"/>
        <v xml:space="preserve"> </v>
      </c>
      <c r="N77" s="181"/>
      <c r="O77" s="183" t="str">
        <f t="shared" si="14"/>
        <v xml:space="preserve"> </v>
      </c>
      <c r="P77" s="181"/>
      <c r="Q77" s="183" t="str">
        <f t="shared" si="16"/>
        <v xml:space="preserve"> </v>
      </c>
      <c r="R77" s="181"/>
      <c r="S77" s="183" t="str">
        <f t="shared" si="17"/>
        <v xml:space="preserve"> </v>
      </c>
      <c r="T77" s="181"/>
      <c r="U77" s="183" t="str">
        <f t="shared" si="18"/>
        <v xml:space="preserve"> </v>
      </c>
      <c r="V77" s="181"/>
      <c r="W77" s="183" t="str">
        <f t="shared" si="19"/>
        <v xml:space="preserve"> </v>
      </c>
      <c r="X77" s="181"/>
      <c r="Y77" s="183" t="str">
        <f t="shared" si="20"/>
        <v xml:space="preserve"> </v>
      </c>
      <c r="Z77" s="180"/>
      <c r="AA77" s="184">
        <f t="shared" si="21"/>
        <v>0</v>
      </c>
      <c r="AB77" s="184">
        <f t="shared" si="22"/>
        <v>0</v>
      </c>
      <c r="AC77" s="184">
        <f t="shared" si="23"/>
        <v>0</v>
      </c>
      <c r="AD77" s="184">
        <f t="shared" si="24"/>
        <v>0</v>
      </c>
      <c r="AE77" s="184">
        <f t="shared" si="25"/>
        <v>0</v>
      </c>
      <c r="AF77" s="184">
        <f t="shared" si="26"/>
        <v>0</v>
      </c>
      <c r="AG77" s="184">
        <f t="shared" si="27"/>
        <v>0</v>
      </c>
    </row>
    <row r="78" spans="1:33" ht="45" x14ac:dyDescent="0.25">
      <c r="A78" s="177">
        <v>90</v>
      </c>
      <c r="B78" s="178" t="s">
        <v>559</v>
      </c>
      <c r="C78" s="178" t="s">
        <v>199</v>
      </c>
      <c r="D78" s="179">
        <v>11785.5</v>
      </c>
      <c r="E78" s="180" t="s">
        <v>197</v>
      </c>
      <c r="F78" s="181">
        <f t="shared" si="15"/>
        <v>1350</v>
      </c>
      <c r="G78" s="181"/>
      <c r="H78" s="182">
        <v>8.9499999999999993</v>
      </c>
      <c r="I78" s="182">
        <v>12082.5</v>
      </c>
      <c r="J78" s="182"/>
      <c r="K78" s="182"/>
      <c r="L78" s="181"/>
      <c r="M78" s="183" t="str">
        <f t="shared" si="14"/>
        <v xml:space="preserve"> </v>
      </c>
      <c r="N78" s="181"/>
      <c r="O78" s="183" t="str">
        <f t="shared" si="14"/>
        <v xml:space="preserve"> </v>
      </c>
      <c r="P78" s="181"/>
      <c r="Q78" s="183" t="str">
        <f t="shared" si="16"/>
        <v xml:space="preserve"> </v>
      </c>
      <c r="R78" s="181"/>
      <c r="S78" s="183" t="str">
        <f t="shared" si="17"/>
        <v xml:space="preserve"> </v>
      </c>
      <c r="T78" s="181"/>
      <c r="U78" s="183" t="str">
        <f t="shared" si="18"/>
        <v xml:space="preserve"> </v>
      </c>
      <c r="V78" s="181"/>
      <c r="W78" s="183" t="str">
        <f t="shared" si="19"/>
        <v xml:space="preserve"> </v>
      </c>
      <c r="X78" s="181"/>
      <c r="Y78" s="183" t="str">
        <f t="shared" si="20"/>
        <v xml:space="preserve"> </v>
      </c>
      <c r="Z78" s="180"/>
      <c r="AA78" s="184">
        <f t="shared" si="21"/>
        <v>0</v>
      </c>
      <c r="AB78" s="184">
        <f t="shared" si="22"/>
        <v>0</v>
      </c>
      <c r="AC78" s="184">
        <f t="shared" si="23"/>
        <v>0</v>
      </c>
      <c r="AD78" s="184">
        <f t="shared" si="24"/>
        <v>0</v>
      </c>
      <c r="AE78" s="184">
        <f t="shared" si="25"/>
        <v>0</v>
      </c>
      <c r="AF78" s="184">
        <f t="shared" si="26"/>
        <v>0</v>
      </c>
      <c r="AG78" s="184">
        <f t="shared" si="27"/>
        <v>0</v>
      </c>
    </row>
    <row r="79" spans="1:33" ht="30" x14ac:dyDescent="0.25">
      <c r="A79" s="177">
        <v>91</v>
      </c>
      <c r="B79" s="178" t="s">
        <v>560</v>
      </c>
      <c r="C79" s="178" t="s">
        <v>201</v>
      </c>
      <c r="D79" s="179">
        <v>1485.3200000000002</v>
      </c>
      <c r="E79" s="180" t="s">
        <v>23</v>
      </c>
      <c r="F79" s="181">
        <f t="shared" si="15"/>
        <v>142</v>
      </c>
      <c r="G79" s="181">
        <v>1700</v>
      </c>
      <c r="H79" s="182">
        <v>10.72</v>
      </c>
      <c r="I79" s="182">
        <v>1522.24</v>
      </c>
      <c r="J79" s="182">
        <v>18224</v>
      </c>
      <c r="K79" s="182"/>
      <c r="L79" s="181"/>
      <c r="M79" s="183">
        <f t="shared" si="14"/>
        <v>0</v>
      </c>
      <c r="N79" s="181"/>
      <c r="O79" s="183">
        <f t="shared" si="14"/>
        <v>0</v>
      </c>
      <c r="P79" s="181">
        <v>1700</v>
      </c>
      <c r="Q79" s="183">
        <f t="shared" si="16"/>
        <v>1</v>
      </c>
      <c r="R79" s="181">
        <v>1700</v>
      </c>
      <c r="S79" s="183">
        <f t="shared" si="17"/>
        <v>1</v>
      </c>
      <c r="T79" s="181">
        <v>1700</v>
      </c>
      <c r="U79" s="183">
        <f t="shared" si="18"/>
        <v>1</v>
      </c>
      <c r="V79" s="181">
        <v>1700</v>
      </c>
      <c r="W79" s="183">
        <f t="shared" si="19"/>
        <v>1</v>
      </c>
      <c r="X79" s="181">
        <v>1700</v>
      </c>
      <c r="Y79" s="183">
        <f t="shared" si="20"/>
        <v>1</v>
      </c>
      <c r="Z79" s="180"/>
      <c r="AA79" s="184">
        <f t="shared" si="21"/>
        <v>0</v>
      </c>
      <c r="AB79" s="184">
        <f t="shared" si="22"/>
        <v>0</v>
      </c>
      <c r="AC79" s="184">
        <f t="shared" si="23"/>
        <v>18224</v>
      </c>
      <c r="AD79" s="184">
        <f t="shared" si="24"/>
        <v>18224</v>
      </c>
      <c r="AE79" s="184">
        <f t="shared" si="25"/>
        <v>18224</v>
      </c>
      <c r="AF79" s="184">
        <f t="shared" si="26"/>
        <v>18224</v>
      </c>
      <c r="AG79" s="184">
        <f t="shared" si="27"/>
        <v>18224</v>
      </c>
    </row>
    <row r="80" spans="1:33" ht="30" x14ac:dyDescent="0.25">
      <c r="A80" s="177">
        <v>92</v>
      </c>
      <c r="B80" s="178" t="s">
        <v>561</v>
      </c>
      <c r="C80" s="178" t="s">
        <v>203</v>
      </c>
      <c r="D80" s="179">
        <v>64</v>
      </c>
      <c r="E80" s="180" t="s">
        <v>23</v>
      </c>
      <c r="F80" s="181">
        <f t="shared" si="15"/>
        <v>8</v>
      </c>
      <c r="G80" s="181"/>
      <c r="H80" s="182">
        <v>8.1999999999999993</v>
      </c>
      <c r="I80" s="182">
        <v>65.599999999999994</v>
      </c>
      <c r="J80" s="182"/>
      <c r="K80" s="182"/>
      <c r="L80" s="181"/>
      <c r="M80" s="183" t="str">
        <f t="shared" si="14"/>
        <v xml:space="preserve"> </v>
      </c>
      <c r="N80" s="181"/>
      <c r="O80" s="183" t="str">
        <f t="shared" si="14"/>
        <v xml:space="preserve"> </v>
      </c>
      <c r="P80" s="181"/>
      <c r="Q80" s="183" t="str">
        <f t="shared" si="16"/>
        <v xml:space="preserve"> </v>
      </c>
      <c r="R80" s="181"/>
      <c r="S80" s="183" t="str">
        <f t="shared" si="17"/>
        <v xml:space="preserve"> </v>
      </c>
      <c r="T80" s="181"/>
      <c r="U80" s="183" t="str">
        <f t="shared" si="18"/>
        <v xml:space="preserve"> </v>
      </c>
      <c r="V80" s="181"/>
      <c r="W80" s="183" t="str">
        <f t="shared" si="19"/>
        <v xml:space="preserve"> </v>
      </c>
      <c r="X80" s="181"/>
      <c r="Y80" s="183" t="str">
        <f t="shared" si="20"/>
        <v xml:space="preserve"> </v>
      </c>
      <c r="Z80" s="180"/>
      <c r="AA80" s="184">
        <f t="shared" si="21"/>
        <v>0</v>
      </c>
      <c r="AB80" s="184">
        <f t="shared" si="22"/>
        <v>0</v>
      </c>
      <c r="AC80" s="184">
        <f t="shared" si="23"/>
        <v>0</v>
      </c>
      <c r="AD80" s="184">
        <f t="shared" si="24"/>
        <v>0</v>
      </c>
      <c r="AE80" s="184">
        <f t="shared" si="25"/>
        <v>0</v>
      </c>
      <c r="AF80" s="184">
        <f t="shared" si="26"/>
        <v>0</v>
      </c>
      <c r="AG80" s="184">
        <f t="shared" si="27"/>
        <v>0</v>
      </c>
    </row>
    <row r="81" spans="1:33" ht="45" x14ac:dyDescent="0.25">
      <c r="A81" s="177">
        <v>93</v>
      </c>
      <c r="B81" s="178" t="s">
        <v>562</v>
      </c>
      <c r="C81" s="178" t="s">
        <v>206</v>
      </c>
      <c r="D81" s="179">
        <v>66772.5</v>
      </c>
      <c r="E81" s="180" t="s">
        <v>197</v>
      </c>
      <c r="F81" s="181">
        <f t="shared" si="15"/>
        <v>38375</v>
      </c>
      <c r="G81" s="181">
        <v>39715</v>
      </c>
      <c r="H81" s="182">
        <v>1.78</v>
      </c>
      <c r="I81" s="182">
        <v>68307.5</v>
      </c>
      <c r="J81" s="182">
        <v>70692.7</v>
      </c>
      <c r="K81" s="182"/>
      <c r="L81" s="181"/>
      <c r="M81" s="183">
        <f t="shared" si="14"/>
        <v>0</v>
      </c>
      <c r="N81" s="181"/>
      <c r="O81" s="183">
        <f t="shared" si="14"/>
        <v>0</v>
      </c>
      <c r="P81" s="181">
        <v>25516</v>
      </c>
      <c r="Q81" s="183">
        <f t="shared" si="16"/>
        <v>0.64247765327961726</v>
      </c>
      <c r="R81" s="181">
        <v>39715</v>
      </c>
      <c r="S81" s="183">
        <f t="shared" si="17"/>
        <v>1</v>
      </c>
      <c r="T81" s="181">
        <v>39715</v>
      </c>
      <c r="U81" s="183">
        <f t="shared" si="18"/>
        <v>1</v>
      </c>
      <c r="V81" s="181">
        <v>39715</v>
      </c>
      <c r="W81" s="183">
        <f t="shared" si="19"/>
        <v>1</v>
      </c>
      <c r="X81" s="181">
        <v>39715</v>
      </c>
      <c r="Y81" s="183">
        <f t="shared" si="20"/>
        <v>1</v>
      </c>
      <c r="Z81" s="180"/>
      <c r="AA81" s="184">
        <f t="shared" si="21"/>
        <v>0</v>
      </c>
      <c r="AB81" s="184">
        <f t="shared" si="22"/>
        <v>0</v>
      </c>
      <c r="AC81" s="184">
        <f t="shared" si="23"/>
        <v>45418.48</v>
      </c>
      <c r="AD81" s="184">
        <f t="shared" si="24"/>
        <v>70692.7</v>
      </c>
      <c r="AE81" s="184">
        <f t="shared" si="25"/>
        <v>70692.7</v>
      </c>
      <c r="AF81" s="184">
        <f t="shared" si="26"/>
        <v>70692.7</v>
      </c>
      <c r="AG81" s="184">
        <f t="shared" si="27"/>
        <v>70692.7</v>
      </c>
    </row>
    <row r="82" spans="1:33" x14ac:dyDescent="0.25">
      <c r="A82" s="177" t="s">
        <v>418</v>
      </c>
      <c r="B82" s="178"/>
      <c r="C82" s="178"/>
      <c r="D82" s="179">
        <v>0</v>
      </c>
      <c r="E82" s="180"/>
      <c r="F82" s="181" t="str">
        <f t="shared" si="15"/>
        <v xml:space="preserve"> </v>
      </c>
      <c r="G82" s="181"/>
      <c r="H82" s="182"/>
      <c r="I82" s="182"/>
      <c r="J82" s="182"/>
      <c r="K82" s="182"/>
      <c r="L82" s="181"/>
      <c r="M82" s="183" t="str">
        <f t="shared" si="14"/>
        <v xml:space="preserve"> </v>
      </c>
      <c r="N82" s="181"/>
      <c r="O82" s="183" t="str">
        <f t="shared" si="14"/>
        <v xml:space="preserve"> </v>
      </c>
      <c r="P82" s="181"/>
      <c r="Q82" s="183" t="str">
        <f t="shared" si="16"/>
        <v xml:space="preserve"> </v>
      </c>
      <c r="R82" s="181"/>
      <c r="S82" s="183" t="str">
        <f t="shared" si="17"/>
        <v xml:space="preserve"> </v>
      </c>
      <c r="T82" s="181"/>
      <c r="U82" s="183" t="str">
        <f t="shared" si="18"/>
        <v xml:space="preserve"> </v>
      </c>
      <c r="V82" s="181"/>
      <c r="W82" s="183" t="str">
        <f t="shared" si="19"/>
        <v xml:space="preserve"> </v>
      </c>
      <c r="X82" s="181"/>
      <c r="Y82" s="183" t="str">
        <f t="shared" si="20"/>
        <v xml:space="preserve"> </v>
      </c>
      <c r="Z82" s="180"/>
      <c r="AA82" s="184">
        <f t="shared" si="21"/>
        <v>0</v>
      </c>
      <c r="AB82" s="184">
        <f t="shared" si="22"/>
        <v>0</v>
      </c>
      <c r="AC82" s="184">
        <f t="shared" si="23"/>
        <v>0</v>
      </c>
      <c r="AD82" s="184">
        <f t="shared" si="24"/>
        <v>0</v>
      </c>
      <c r="AE82" s="184">
        <f t="shared" si="25"/>
        <v>0</v>
      </c>
      <c r="AF82" s="184">
        <f t="shared" si="26"/>
        <v>0</v>
      </c>
      <c r="AG82" s="184">
        <f t="shared" si="27"/>
        <v>0</v>
      </c>
    </row>
    <row r="83" spans="1:33" ht="45" x14ac:dyDescent="0.25">
      <c r="A83" s="177">
        <v>94</v>
      </c>
      <c r="B83" s="178" t="s">
        <v>563</v>
      </c>
      <c r="C83" s="178" t="s">
        <v>209</v>
      </c>
      <c r="D83" s="179">
        <v>61400</v>
      </c>
      <c r="E83" s="180" t="s">
        <v>197</v>
      </c>
      <c r="F83" s="181">
        <f t="shared" si="15"/>
        <v>38375</v>
      </c>
      <c r="G83" s="181">
        <v>48813</v>
      </c>
      <c r="H83" s="182">
        <v>1.64</v>
      </c>
      <c r="I83" s="182">
        <v>62935</v>
      </c>
      <c r="J83" s="182">
        <v>80053.320000000007</v>
      </c>
      <c r="K83" s="182"/>
      <c r="L83" s="181"/>
      <c r="M83" s="183">
        <f t="shared" si="14"/>
        <v>0</v>
      </c>
      <c r="N83" s="181"/>
      <c r="O83" s="183">
        <f t="shared" si="14"/>
        <v>0</v>
      </c>
      <c r="P83" s="181">
        <v>14851</v>
      </c>
      <c r="Q83" s="183">
        <f t="shared" si="16"/>
        <v>0.30424272222563659</v>
      </c>
      <c r="R83" s="181">
        <v>32316</v>
      </c>
      <c r="S83" s="183">
        <f t="shared" si="17"/>
        <v>0.66203675250445582</v>
      </c>
      <c r="T83" s="181">
        <v>32316</v>
      </c>
      <c r="U83" s="183">
        <f t="shared" si="18"/>
        <v>0.66203675250445582</v>
      </c>
      <c r="V83" s="181">
        <v>48813</v>
      </c>
      <c r="W83" s="183">
        <f t="shared" si="19"/>
        <v>1</v>
      </c>
      <c r="X83" s="181">
        <v>48813</v>
      </c>
      <c r="Y83" s="183">
        <f t="shared" si="20"/>
        <v>1</v>
      </c>
      <c r="Z83" s="180"/>
      <c r="AA83" s="184">
        <f t="shared" si="21"/>
        <v>0</v>
      </c>
      <c r="AB83" s="184">
        <f t="shared" si="22"/>
        <v>0</v>
      </c>
      <c r="AC83" s="184">
        <f t="shared" si="23"/>
        <v>24355.64</v>
      </c>
      <c r="AD83" s="184">
        <f t="shared" si="24"/>
        <v>52998.239999999998</v>
      </c>
      <c r="AE83" s="184">
        <f t="shared" si="25"/>
        <v>52998.239999999998</v>
      </c>
      <c r="AF83" s="184">
        <f t="shared" si="26"/>
        <v>80053.319999999992</v>
      </c>
      <c r="AG83" s="184">
        <f t="shared" si="27"/>
        <v>80053.319999999992</v>
      </c>
    </row>
    <row r="84" spans="1:33" ht="45" x14ac:dyDescent="0.25">
      <c r="A84" s="177">
        <v>95</v>
      </c>
      <c r="B84" s="178" t="s">
        <v>564</v>
      </c>
      <c r="C84" s="178" t="s">
        <v>212</v>
      </c>
      <c r="D84" s="179">
        <v>126838.21</v>
      </c>
      <c r="E84" s="180" t="s">
        <v>67</v>
      </c>
      <c r="F84" s="181">
        <f t="shared" si="15"/>
        <v>233</v>
      </c>
      <c r="G84" s="181">
        <v>300.8</v>
      </c>
      <c r="H84" s="182">
        <v>557.98</v>
      </c>
      <c r="I84" s="182">
        <v>130009.34</v>
      </c>
      <c r="J84" s="182">
        <v>167840.38399999999</v>
      </c>
      <c r="K84" s="182"/>
      <c r="L84" s="181"/>
      <c r="M84" s="183">
        <f t="shared" si="14"/>
        <v>0</v>
      </c>
      <c r="N84" s="181"/>
      <c r="O84" s="183">
        <f t="shared" si="14"/>
        <v>0</v>
      </c>
      <c r="P84" s="181">
        <v>158</v>
      </c>
      <c r="Q84" s="183">
        <f t="shared" si="16"/>
        <v>0.52526595744680848</v>
      </c>
      <c r="R84" s="181">
        <v>249.2</v>
      </c>
      <c r="S84" s="183">
        <f t="shared" si="17"/>
        <v>0.82845744680851052</v>
      </c>
      <c r="T84" s="181">
        <v>249.2</v>
      </c>
      <c r="U84" s="183">
        <f t="shared" si="18"/>
        <v>0.82845744680851052</v>
      </c>
      <c r="V84" s="181">
        <v>300.8</v>
      </c>
      <c r="W84" s="183">
        <f t="shared" si="19"/>
        <v>1</v>
      </c>
      <c r="X84" s="181">
        <v>300.8</v>
      </c>
      <c r="Y84" s="183">
        <f t="shared" si="20"/>
        <v>1</v>
      </c>
      <c r="Z84" s="180"/>
      <c r="AA84" s="184">
        <f t="shared" si="21"/>
        <v>0</v>
      </c>
      <c r="AB84" s="184">
        <f t="shared" si="22"/>
        <v>0</v>
      </c>
      <c r="AC84" s="184">
        <f t="shared" si="23"/>
        <v>88160.84</v>
      </c>
      <c r="AD84" s="184">
        <f t="shared" si="24"/>
        <v>139048.61600000001</v>
      </c>
      <c r="AE84" s="184">
        <f t="shared" si="25"/>
        <v>139048.61600000001</v>
      </c>
      <c r="AF84" s="184">
        <f t="shared" si="26"/>
        <v>167840.38400000002</v>
      </c>
      <c r="AG84" s="184">
        <f t="shared" si="27"/>
        <v>167840.38400000002</v>
      </c>
    </row>
    <row r="85" spans="1:33" ht="45" x14ac:dyDescent="0.25">
      <c r="A85" s="177">
        <v>96</v>
      </c>
      <c r="B85" s="178" t="s">
        <v>564</v>
      </c>
      <c r="C85" s="178" t="s">
        <v>216</v>
      </c>
      <c r="D85" s="179">
        <v>94171.909999999989</v>
      </c>
      <c r="E85" s="180" t="s">
        <v>67</v>
      </c>
      <c r="F85" s="181">
        <f t="shared" si="15"/>
        <v>197</v>
      </c>
      <c r="G85" s="181">
        <v>206.1</v>
      </c>
      <c r="H85" s="182">
        <v>489.98</v>
      </c>
      <c r="I85" s="182">
        <v>96526.06</v>
      </c>
      <c r="J85" s="182">
        <v>100984.878</v>
      </c>
      <c r="K85" s="182"/>
      <c r="L85" s="181"/>
      <c r="M85" s="183">
        <f t="shared" si="14"/>
        <v>0</v>
      </c>
      <c r="N85" s="181"/>
      <c r="O85" s="183">
        <f t="shared" si="14"/>
        <v>0</v>
      </c>
      <c r="P85" s="181">
        <v>68</v>
      </c>
      <c r="Q85" s="183">
        <f t="shared" si="16"/>
        <v>0.32993692382338674</v>
      </c>
      <c r="R85" s="181">
        <v>147</v>
      </c>
      <c r="S85" s="183">
        <f t="shared" si="17"/>
        <v>0.71324599708879188</v>
      </c>
      <c r="T85" s="181">
        <v>147</v>
      </c>
      <c r="U85" s="183">
        <f t="shared" si="18"/>
        <v>0.71324599708879188</v>
      </c>
      <c r="V85" s="181">
        <v>206.1</v>
      </c>
      <c r="W85" s="183">
        <f t="shared" si="19"/>
        <v>1</v>
      </c>
      <c r="X85" s="181">
        <v>206.1</v>
      </c>
      <c r="Y85" s="183">
        <f t="shared" si="20"/>
        <v>1</v>
      </c>
      <c r="Z85" s="180"/>
      <c r="AA85" s="184">
        <f t="shared" si="21"/>
        <v>0</v>
      </c>
      <c r="AB85" s="184">
        <f t="shared" si="22"/>
        <v>0</v>
      </c>
      <c r="AC85" s="184">
        <f t="shared" si="23"/>
        <v>33318.639999999999</v>
      </c>
      <c r="AD85" s="184">
        <f t="shared" si="24"/>
        <v>72027.06</v>
      </c>
      <c r="AE85" s="184">
        <f t="shared" si="25"/>
        <v>72027.06</v>
      </c>
      <c r="AF85" s="184">
        <f t="shared" si="26"/>
        <v>100984.878</v>
      </c>
      <c r="AG85" s="184">
        <f t="shared" si="27"/>
        <v>100984.878</v>
      </c>
    </row>
    <row r="86" spans="1:33" ht="60" x14ac:dyDescent="0.25">
      <c r="A86" s="177">
        <v>97</v>
      </c>
      <c r="B86" s="178" t="s">
        <v>565</v>
      </c>
      <c r="C86" s="178" t="s">
        <v>219</v>
      </c>
      <c r="D86" s="179">
        <v>27955.34</v>
      </c>
      <c r="E86" s="180" t="s">
        <v>67</v>
      </c>
      <c r="F86" s="181">
        <f t="shared" si="15"/>
        <v>233</v>
      </c>
      <c r="G86" s="181">
        <v>300.8</v>
      </c>
      <c r="H86" s="182">
        <v>122.98</v>
      </c>
      <c r="I86" s="182">
        <v>28654.34</v>
      </c>
      <c r="J86" s="182">
        <v>36992.383999999998</v>
      </c>
      <c r="K86" s="182"/>
      <c r="L86" s="181"/>
      <c r="M86" s="183">
        <f t="shared" si="14"/>
        <v>0</v>
      </c>
      <c r="N86" s="181"/>
      <c r="O86" s="183">
        <f t="shared" si="14"/>
        <v>0</v>
      </c>
      <c r="P86" s="181">
        <v>243</v>
      </c>
      <c r="Q86" s="183">
        <f t="shared" si="16"/>
        <v>0.80784574468085102</v>
      </c>
      <c r="R86" s="181">
        <v>283.2</v>
      </c>
      <c r="S86" s="183">
        <f t="shared" si="17"/>
        <v>0.9414893617021276</v>
      </c>
      <c r="T86" s="181">
        <v>283.2</v>
      </c>
      <c r="U86" s="183">
        <f t="shared" si="18"/>
        <v>0.9414893617021276</v>
      </c>
      <c r="V86" s="181">
        <v>300.8</v>
      </c>
      <c r="W86" s="183">
        <f t="shared" si="19"/>
        <v>1</v>
      </c>
      <c r="X86" s="181">
        <v>300.8</v>
      </c>
      <c r="Y86" s="183">
        <f t="shared" si="20"/>
        <v>1</v>
      </c>
      <c r="Z86" s="180"/>
      <c r="AA86" s="184">
        <f t="shared" si="21"/>
        <v>0</v>
      </c>
      <c r="AB86" s="184">
        <f t="shared" si="22"/>
        <v>0</v>
      </c>
      <c r="AC86" s="184">
        <f t="shared" si="23"/>
        <v>29884.14</v>
      </c>
      <c r="AD86" s="184">
        <f t="shared" si="24"/>
        <v>34827.936000000002</v>
      </c>
      <c r="AE86" s="184">
        <f t="shared" si="25"/>
        <v>34827.936000000002</v>
      </c>
      <c r="AF86" s="184">
        <f t="shared" si="26"/>
        <v>36992.384000000005</v>
      </c>
      <c r="AG86" s="184">
        <f t="shared" si="27"/>
        <v>36992.384000000005</v>
      </c>
    </row>
    <row r="87" spans="1:33" ht="45" x14ac:dyDescent="0.25">
      <c r="A87" s="177">
        <v>98</v>
      </c>
      <c r="B87" s="178" t="s">
        <v>565</v>
      </c>
      <c r="C87" s="178" t="s">
        <v>221</v>
      </c>
      <c r="D87" s="179">
        <v>22422.539999999997</v>
      </c>
      <c r="E87" s="180" t="s">
        <v>67</v>
      </c>
      <c r="F87" s="181">
        <f t="shared" si="15"/>
        <v>197</v>
      </c>
      <c r="G87" s="181">
        <v>206.1</v>
      </c>
      <c r="H87" s="182">
        <v>116.67</v>
      </c>
      <c r="I87" s="182">
        <v>22983.99</v>
      </c>
      <c r="J87" s="182">
        <v>24045.687000000002</v>
      </c>
      <c r="K87" s="182"/>
      <c r="L87" s="181"/>
      <c r="M87" s="183">
        <f t="shared" si="14"/>
        <v>0</v>
      </c>
      <c r="N87" s="181"/>
      <c r="O87" s="183">
        <f t="shared" si="14"/>
        <v>0</v>
      </c>
      <c r="P87" s="181">
        <v>160.13999999999999</v>
      </c>
      <c r="Q87" s="183">
        <f t="shared" si="16"/>
        <v>0.77700145560407563</v>
      </c>
      <c r="R87" s="181">
        <v>183.14</v>
      </c>
      <c r="S87" s="183">
        <f t="shared" si="17"/>
        <v>0.88859776807375057</v>
      </c>
      <c r="T87" s="181">
        <v>183.14</v>
      </c>
      <c r="U87" s="183">
        <f t="shared" si="18"/>
        <v>0.88859776807375057</v>
      </c>
      <c r="V87" s="181">
        <v>206.1</v>
      </c>
      <c r="W87" s="183">
        <f t="shared" si="19"/>
        <v>1</v>
      </c>
      <c r="X87" s="181">
        <v>206.1</v>
      </c>
      <c r="Y87" s="183">
        <f t="shared" si="20"/>
        <v>1</v>
      </c>
      <c r="Z87" s="180"/>
      <c r="AA87" s="184">
        <f t="shared" si="21"/>
        <v>0</v>
      </c>
      <c r="AB87" s="184">
        <f t="shared" si="22"/>
        <v>0</v>
      </c>
      <c r="AC87" s="184">
        <f t="shared" si="23"/>
        <v>18683.533799999997</v>
      </c>
      <c r="AD87" s="184">
        <f t="shared" si="24"/>
        <v>21366.943799999997</v>
      </c>
      <c r="AE87" s="184">
        <f t="shared" si="25"/>
        <v>21366.943799999997</v>
      </c>
      <c r="AF87" s="184">
        <f t="shared" si="26"/>
        <v>24045.686999999998</v>
      </c>
      <c r="AG87" s="184">
        <f t="shared" si="27"/>
        <v>24045.686999999998</v>
      </c>
    </row>
    <row r="88" spans="1:33" x14ac:dyDescent="0.25">
      <c r="A88" s="177" t="s">
        <v>418</v>
      </c>
      <c r="B88" s="178" t="s">
        <v>526</v>
      </c>
      <c r="C88" s="178" t="s">
        <v>418</v>
      </c>
      <c r="D88" s="179">
        <v>0</v>
      </c>
      <c r="E88" s="180" t="s">
        <v>527</v>
      </c>
      <c r="F88" s="181" t="str">
        <f t="shared" si="15"/>
        <v xml:space="preserve"> </v>
      </c>
      <c r="G88" s="181" t="s">
        <v>418</v>
      </c>
      <c r="H88" s="182" t="s">
        <v>418</v>
      </c>
      <c r="I88" s="182" t="s">
        <v>418</v>
      </c>
      <c r="J88" s="182" t="s">
        <v>418</v>
      </c>
      <c r="K88" s="182"/>
      <c r="L88" s="181" t="s">
        <v>418</v>
      </c>
      <c r="M88" s="183" t="str">
        <f t="shared" si="14"/>
        <v xml:space="preserve"> </v>
      </c>
      <c r="N88" s="181" t="s">
        <v>418</v>
      </c>
      <c r="O88" s="183" t="str">
        <f t="shared" si="14"/>
        <v xml:space="preserve"> </v>
      </c>
      <c r="P88" s="181" t="s">
        <v>418</v>
      </c>
      <c r="Q88" s="183" t="str">
        <f t="shared" si="16"/>
        <v xml:space="preserve"> </v>
      </c>
      <c r="R88" s="181" t="s">
        <v>418</v>
      </c>
      <c r="S88" s="183" t="str">
        <f t="shared" si="17"/>
        <v xml:space="preserve"> </v>
      </c>
      <c r="T88" s="181" t="s">
        <v>418</v>
      </c>
      <c r="U88" s="183" t="str">
        <f t="shared" si="18"/>
        <v xml:space="preserve"> </v>
      </c>
      <c r="V88" s="181" t="s">
        <v>418</v>
      </c>
      <c r="W88" s="183" t="str">
        <f t="shared" si="19"/>
        <v xml:space="preserve"> </v>
      </c>
      <c r="X88" s="181" t="s">
        <v>418</v>
      </c>
      <c r="Y88" s="183" t="str">
        <f t="shared" si="20"/>
        <v xml:space="preserve"> </v>
      </c>
      <c r="Z88" s="180"/>
      <c r="AA88" s="184" t="str">
        <f t="shared" si="21"/>
        <v xml:space="preserve"> </v>
      </c>
      <c r="AB88" s="184" t="str">
        <f t="shared" si="22"/>
        <v xml:space="preserve"> </v>
      </c>
      <c r="AC88" s="184" t="str">
        <f t="shared" si="23"/>
        <v xml:space="preserve"> </v>
      </c>
      <c r="AD88" s="184" t="str">
        <f t="shared" si="24"/>
        <v xml:space="preserve"> </v>
      </c>
      <c r="AE88" s="184" t="str">
        <f t="shared" si="25"/>
        <v xml:space="preserve"> </v>
      </c>
      <c r="AF88" s="184" t="str">
        <f t="shared" si="26"/>
        <v xml:space="preserve"> </v>
      </c>
      <c r="AG88" s="184" t="str">
        <f t="shared" si="27"/>
        <v xml:space="preserve"> </v>
      </c>
    </row>
    <row r="89" spans="1:33" ht="30" x14ac:dyDescent="0.25">
      <c r="A89" s="177">
        <v>99</v>
      </c>
      <c r="B89" s="178" t="s">
        <v>526</v>
      </c>
      <c r="C89" s="178" t="s">
        <v>223</v>
      </c>
      <c r="D89" s="179">
        <v>0</v>
      </c>
      <c r="E89" s="180" t="s">
        <v>527</v>
      </c>
      <c r="F89" s="181" t="str">
        <f t="shared" si="15"/>
        <v xml:space="preserve"> </v>
      </c>
      <c r="G89" s="181" t="s">
        <v>418</v>
      </c>
      <c r="H89" s="182" t="s">
        <v>418</v>
      </c>
      <c r="I89" s="182" t="s">
        <v>418</v>
      </c>
      <c r="J89" s="182" t="s">
        <v>418</v>
      </c>
      <c r="K89" s="182"/>
      <c r="L89" s="181" t="s">
        <v>418</v>
      </c>
      <c r="M89" s="183" t="str">
        <f t="shared" si="14"/>
        <v xml:space="preserve"> </v>
      </c>
      <c r="N89" s="181" t="s">
        <v>418</v>
      </c>
      <c r="O89" s="183" t="str">
        <f t="shared" si="14"/>
        <v xml:space="preserve"> </v>
      </c>
      <c r="P89" s="181" t="s">
        <v>418</v>
      </c>
      <c r="Q89" s="183" t="str">
        <f t="shared" si="16"/>
        <v xml:space="preserve"> </v>
      </c>
      <c r="R89" s="181" t="s">
        <v>418</v>
      </c>
      <c r="S89" s="183" t="str">
        <f t="shared" si="17"/>
        <v xml:space="preserve"> </v>
      </c>
      <c r="T89" s="181" t="s">
        <v>418</v>
      </c>
      <c r="U89" s="183" t="str">
        <f t="shared" si="18"/>
        <v xml:space="preserve"> </v>
      </c>
      <c r="V89" s="181" t="s">
        <v>418</v>
      </c>
      <c r="W89" s="183" t="str">
        <f t="shared" si="19"/>
        <v xml:space="preserve"> </v>
      </c>
      <c r="X89" s="181" t="s">
        <v>418</v>
      </c>
      <c r="Y89" s="183" t="str">
        <f t="shared" si="20"/>
        <v xml:space="preserve"> </v>
      </c>
      <c r="Z89" s="180"/>
      <c r="AA89" s="184" t="str">
        <f t="shared" si="21"/>
        <v xml:space="preserve"> </v>
      </c>
      <c r="AB89" s="184" t="str">
        <f t="shared" si="22"/>
        <v xml:space="preserve"> </v>
      </c>
      <c r="AC89" s="184" t="str">
        <f t="shared" si="23"/>
        <v xml:space="preserve"> </v>
      </c>
      <c r="AD89" s="184" t="str">
        <f t="shared" si="24"/>
        <v xml:space="preserve"> </v>
      </c>
      <c r="AE89" s="184" t="str">
        <f t="shared" si="25"/>
        <v xml:space="preserve"> </v>
      </c>
      <c r="AF89" s="184" t="str">
        <f t="shared" si="26"/>
        <v xml:space="preserve"> </v>
      </c>
      <c r="AG89" s="184" t="str">
        <f t="shared" si="27"/>
        <v xml:space="preserve"> </v>
      </c>
    </row>
    <row r="90" spans="1:33" x14ac:dyDescent="0.25">
      <c r="A90" s="177" t="s">
        <v>418</v>
      </c>
      <c r="B90" s="178" t="s">
        <v>526</v>
      </c>
      <c r="C90" s="178" t="s">
        <v>418</v>
      </c>
      <c r="D90" s="179">
        <v>0</v>
      </c>
      <c r="E90" s="180" t="s">
        <v>527</v>
      </c>
      <c r="F90" s="181" t="str">
        <f t="shared" si="15"/>
        <v xml:space="preserve"> </v>
      </c>
      <c r="G90" s="181" t="s">
        <v>418</v>
      </c>
      <c r="H90" s="182" t="s">
        <v>418</v>
      </c>
      <c r="I90" s="182" t="s">
        <v>418</v>
      </c>
      <c r="J90" s="182" t="s">
        <v>418</v>
      </c>
      <c r="K90" s="182"/>
      <c r="L90" s="181" t="s">
        <v>418</v>
      </c>
      <c r="M90" s="183" t="str">
        <f t="shared" si="14"/>
        <v xml:space="preserve"> </v>
      </c>
      <c r="N90" s="181" t="s">
        <v>418</v>
      </c>
      <c r="O90" s="183" t="str">
        <f t="shared" si="14"/>
        <v xml:space="preserve"> </v>
      </c>
      <c r="P90" s="181" t="s">
        <v>418</v>
      </c>
      <c r="Q90" s="183" t="str">
        <f t="shared" si="16"/>
        <v xml:space="preserve"> </v>
      </c>
      <c r="R90" s="181" t="s">
        <v>418</v>
      </c>
      <c r="S90" s="183" t="str">
        <f t="shared" si="17"/>
        <v xml:space="preserve"> </v>
      </c>
      <c r="T90" s="181" t="s">
        <v>418</v>
      </c>
      <c r="U90" s="183" t="str">
        <f t="shared" si="18"/>
        <v xml:space="preserve"> </v>
      </c>
      <c r="V90" s="181" t="s">
        <v>418</v>
      </c>
      <c r="W90" s="183" t="str">
        <f t="shared" si="19"/>
        <v xml:space="preserve"> </v>
      </c>
      <c r="X90" s="181" t="s">
        <v>418</v>
      </c>
      <c r="Y90" s="183" t="str">
        <f t="shared" si="20"/>
        <v xml:space="preserve"> </v>
      </c>
      <c r="Z90" s="180"/>
      <c r="AA90" s="184" t="str">
        <f t="shared" si="21"/>
        <v xml:space="preserve"> </v>
      </c>
      <c r="AB90" s="184" t="str">
        <f t="shared" si="22"/>
        <v xml:space="preserve"> </v>
      </c>
      <c r="AC90" s="184" t="str">
        <f t="shared" si="23"/>
        <v xml:space="preserve"> </v>
      </c>
      <c r="AD90" s="184" t="str">
        <f t="shared" si="24"/>
        <v xml:space="preserve"> </v>
      </c>
      <c r="AE90" s="184" t="str">
        <f t="shared" si="25"/>
        <v xml:space="preserve"> </v>
      </c>
      <c r="AF90" s="184" t="str">
        <f t="shared" si="26"/>
        <v xml:space="preserve"> </v>
      </c>
      <c r="AG90" s="184" t="str">
        <f t="shared" si="27"/>
        <v xml:space="preserve"> </v>
      </c>
    </row>
    <row r="91" spans="1:33" ht="30" x14ac:dyDescent="0.25">
      <c r="A91" s="177">
        <v>100</v>
      </c>
      <c r="B91" s="178" t="s">
        <v>566</v>
      </c>
      <c r="C91" s="178" t="s">
        <v>225</v>
      </c>
      <c r="D91" s="179">
        <v>195</v>
      </c>
      <c r="E91" s="180" t="s">
        <v>38</v>
      </c>
      <c r="F91" s="181">
        <f t="shared" si="15"/>
        <v>3</v>
      </c>
      <c r="G91" s="181">
        <v>32</v>
      </c>
      <c r="H91" s="182">
        <v>82.64</v>
      </c>
      <c r="I91" s="182">
        <v>247.92</v>
      </c>
      <c r="J91" s="182">
        <v>2644.48</v>
      </c>
      <c r="K91" s="182"/>
      <c r="L91" s="181"/>
      <c r="M91" s="183">
        <f t="shared" si="14"/>
        <v>0</v>
      </c>
      <c r="N91" s="181"/>
      <c r="O91" s="183">
        <f t="shared" si="14"/>
        <v>0</v>
      </c>
      <c r="P91" s="181"/>
      <c r="Q91" s="183">
        <f t="shared" si="16"/>
        <v>0</v>
      </c>
      <c r="R91" s="181">
        <v>28</v>
      </c>
      <c r="S91" s="183">
        <f t="shared" si="17"/>
        <v>0.875</v>
      </c>
      <c r="T91" s="181">
        <v>28</v>
      </c>
      <c r="U91" s="183">
        <f t="shared" si="18"/>
        <v>0.875</v>
      </c>
      <c r="V91" s="181">
        <v>32</v>
      </c>
      <c r="W91" s="183">
        <f t="shared" si="19"/>
        <v>1</v>
      </c>
      <c r="X91" s="181">
        <v>32</v>
      </c>
      <c r="Y91" s="183">
        <f t="shared" si="20"/>
        <v>1</v>
      </c>
      <c r="Z91" s="180"/>
      <c r="AA91" s="184">
        <f t="shared" si="21"/>
        <v>0</v>
      </c>
      <c r="AB91" s="184">
        <f t="shared" si="22"/>
        <v>0</v>
      </c>
      <c r="AC91" s="184">
        <f t="shared" si="23"/>
        <v>0</v>
      </c>
      <c r="AD91" s="184">
        <f t="shared" si="24"/>
        <v>2313.92</v>
      </c>
      <c r="AE91" s="184">
        <f t="shared" si="25"/>
        <v>2313.92</v>
      </c>
      <c r="AF91" s="184">
        <f t="shared" si="26"/>
        <v>2644.48</v>
      </c>
      <c r="AG91" s="184">
        <f t="shared" si="27"/>
        <v>2644.48</v>
      </c>
    </row>
    <row r="92" spans="1:33" ht="30" x14ac:dyDescent="0.25">
      <c r="A92" s="177">
        <v>101</v>
      </c>
      <c r="B92" s="178" t="s">
        <v>567</v>
      </c>
      <c r="C92" s="178" t="s">
        <v>228</v>
      </c>
      <c r="D92" s="179">
        <v>3470</v>
      </c>
      <c r="E92" s="180" t="s">
        <v>23</v>
      </c>
      <c r="F92" s="181">
        <f t="shared" si="15"/>
        <v>3469.9999999999995</v>
      </c>
      <c r="G92" s="181">
        <v>4353</v>
      </c>
      <c r="H92" s="182">
        <v>1.27</v>
      </c>
      <c r="I92" s="182">
        <v>4406.8999999999996</v>
      </c>
      <c r="J92" s="182">
        <v>5528.31</v>
      </c>
      <c r="K92" s="182"/>
      <c r="L92" s="181"/>
      <c r="M92" s="183">
        <f t="shared" si="14"/>
        <v>0</v>
      </c>
      <c r="N92" s="181"/>
      <c r="O92" s="183">
        <f t="shared" si="14"/>
        <v>0</v>
      </c>
      <c r="P92" s="181"/>
      <c r="Q92" s="183">
        <f t="shared" si="16"/>
        <v>0</v>
      </c>
      <c r="R92" s="181">
        <v>3630</v>
      </c>
      <c r="S92" s="183">
        <f t="shared" si="17"/>
        <v>0.83390764989662303</v>
      </c>
      <c r="T92" s="181">
        <v>3630</v>
      </c>
      <c r="U92" s="183">
        <f t="shared" si="18"/>
        <v>0.83390764989662303</v>
      </c>
      <c r="V92" s="181">
        <v>4353</v>
      </c>
      <c r="W92" s="183">
        <f t="shared" si="19"/>
        <v>1</v>
      </c>
      <c r="X92" s="181">
        <v>4353</v>
      </c>
      <c r="Y92" s="183">
        <f t="shared" si="20"/>
        <v>1</v>
      </c>
      <c r="Z92" s="180"/>
      <c r="AA92" s="184">
        <f t="shared" si="21"/>
        <v>0</v>
      </c>
      <c r="AB92" s="184">
        <f t="shared" si="22"/>
        <v>0</v>
      </c>
      <c r="AC92" s="184">
        <f t="shared" si="23"/>
        <v>0</v>
      </c>
      <c r="AD92" s="184">
        <f t="shared" si="24"/>
        <v>4610.1000000000004</v>
      </c>
      <c r="AE92" s="184">
        <f t="shared" si="25"/>
        <v>4610.1000000000004</v>
      </c>
      <c r="AF92" s="184">
        <f t="shared" si="26"/>
        <v>5528.31</v>
      </c>
      <c r="AG92" s="184">
        <f t="shared" si="27"/>
        <v>5528.31</v>
      </c>
    </row>
    <row r="93" spans="1:33" ht="30" x14ac:dyDescent="0.25">
      <c r="A93" s="177">
        <v>102</v>
      </c>
      <c r="B93" s="178" t="s">
        <v>568</v>
      </c>
      <c r="C93" s="178" t="s">
        <v>231</v>
      </c>
      <c r="D93" s="179">
        <v>2429</v>
      </c>
      <c r="E93" s="180" t="s">
        <v>38</v>
      </c>
      <c r="F93" s="181">
        <f t="shared" si="15"/>
        <v>694</v>
      </c>
      <c r="G93" s="181">
        <v>206</v>
      </c>
      <c r="H93" s="182">
        <v>4.45</v>
      </c>
      <c r="I93" s="182">
        <v>3088.3</v>
      </c>
      <c r="J93" s="182">
        <v>916.7</v>
      </c>
      <c r="K93" s="182"/>
      <c r="L93" s="181"/>
      <c r="M93" s="183">
        <f t="shared" si="14"/>
        <v>0</v>
      </c>
      <c r="N93" s="181"/>
      <c r="O93" s="183">
        <f t="shared" si="14"/>
        <v>0</v>
      </c>
      <c r="P93" s="181"/>
      <c r="Q93" s="183">
        <f t="shared" si="16"/>
        <v>0</v>
      </c>
      <c r="R93" s="181"/>
      <c r="S93" s="183">
        <f t="shared" si="17"/>
        <v>0</v>
      </c>
      <c r="T93" s="181">
        <v>170</v>
      </c>
      <c r="U93" s="183">
        <f t="shared" si="18"/>
        <v>0.82524271844660191</v>
      </c>
      <c r="V93" s="181">
        <v>206</v>
      </c>
      <c r="W93" s="183">
        <f t="shared" si="19"/>
        <v>1</v>
      </c>
      <c r="X93" s="181">
        <v>206</v>
      </c>
      <c r="Y93" s="183">
        <f t="shared" si="20"/>
        <v>1</v>
      </c>
      <c r="Z93" s="180"/>
      <c r="AA93" s="184">
        <f t="shared" si="21"/>
        <v>0</v>
      </c>
      <c r="AB93" s="184">
        <f t="shared" si="22"/>
        <v>0</v>
      </c>
      <c r="AC93" s="184">
        <f t="shared" si="23"/>
        <v>0</v>
      </c>
      <c r="AD93" s="184">
        <f t="shared" si="24"/>
        <v>0</v>
      </c>
      <c r="AE93" s="184">
        <f t="shared" si="25"/>
        <v>756.5</v>
      </c>
      <c r="AF93" s="184">
        <f t="shared" si="26"/>
        <v>916.7</v>
      </c>
      <c r="AG93" s="184">
        <f t="shared" si="27"/>
        <v>916.7</v>
      </c>
    </row>
    <row r="94" spans="1:33" x14ac:dyDescent="0.25">
      <c r="A94" s="177"/>
      <c r="B94" s="178" t="s">
        <v>526</v>
      </c>
      <c r="C94" s="178" t="s">
        <v>418</v>
      </c>
      <c r="D94" s="179" t="s">
        <v>418</v>
      </c>
      <c r="E94" s="180" t="s">
        <v>527</v>
      </c>
      <c r="F94" s="181" t="str">
        <f t="shared" si="15"/>
        <v xml:space="preserve"> </v>
      </c>
      <c r="G94" s="181" t="s">
        <v>418</v>
      </c>
      <c r="H94" s="182" t="s">
        <v>418</v>
      </c>
      <c r="I94" s="182" t="s">
        <v>418</v>
      </c>
      <c r="J94" s="182" t="s">
        <v>418</v>
      </c>
      <c r="K94" s="182"/>
      <c r="L94" s="181" t="s">
        <v>418</v>
      </c>
      <c r="M94" s="183" t="str">
        <f t="shared" si="14"/>
        <v xml:space="preserve"> </v>
      </c>
      <c r="N94" s="181" t="s">
        <v>418</v>
      </c>
      <c r="O94" s="183" t="str">
        <f t="shared" si="14"/>
        <v xml:space="preserve"> </v>
      </c>
      <c r="P94" s="181" t="s">
        <v>418</v>
      </c>
      <c r="Q94" s="183" t="str">
        <f t="shared" si="16"/>
        <v xml:space="preserve"> </v>
      </c>
      <c r="R94" s="181" t="s">
        <v>418</v>
      </c>
      <c r="S94" s="183" t="str">
        <f t="shared" si="17"/>
        <v xml:space="preserve"> </v>
      </c>
      <c r="T94" s="181" t="s">
        <v>418</v>
      </c>
      <c r="U94" s="183" t="str">
        <f t="shared" si="18"/>
        <v xml:space="preserve"> </v>
      </c>
      <c r="V94" s="181" t="s">
        <v>418</v>
      </c>
      <c r="W94" s="183" t="str">
        <f t="shared" si="19"/>
        <v xml:space="preserve"> </v>
      </c>
      <c r="X94" s="181" t="s">
        <v>418</v>
      </c>
      <c r="Y94" s="183" t="str">
        <f t="shared" si="20"/>
        <v xml:space="preserve"> </v>
      </c>
      <c r="Z94" s="180"/>
      <c r="AA94" s="184" t="str">
        <f t="shared" si="21"/>
        <v xml:space="preserve"> </v>
      </c>
      <c r="AB94" s="184" t="str">
        <f t="shared" si="22"/>
        <v xml:space="preserve"> </v>
      </c>
      <c r="AC94" s="184" t="str">
        <f t="shared" si="23"/>
        <v xml:space="preserve"> </v>
      </c>
      <c r="AD94" s="184" t="str">
        <f t="shared" si="24"/>
        <v xml:space="preserve"> </v>
      </c>
      <c r="AE94" s="184" t="str">
        <f t="shared" si="25"/>
        <v xml:space="preserve"> </v>
      </c>
      <c r="AF94" s="184" t="str">
        <f t="shared" si="26"/>
        <v xml:space="preserve"> </v>
      </c>
      <c r="AG94" s="184" t="str">
        <f t="shared" si="27"/>
        <v xml:space="preserve"> </v>
      </c>
    </row>
    <row r="95" spans="1:33" x14ac:dyDescent="0.25">
      <c r="A95" s="177"/>
      <c r="B95" s="178" t="s">
        <v>418</v>
      </c>
      <c r="C95" s="178" t="s">
        <v>418</v>
      </c>
      <c r="D95" s="179" t="s">
        <v>418</v>
      </c>
      <c r="E95" s="180" t="s">
        <v>418</v>
      </c>
      <c r="F95" s="181" t="str">
        <f t="shared" si="15"/>
        <v xml:space="preserve"> </v>
      </c>
      <c r="G95" s="181" t="s">
        <v>418</v>
      </c>
      <c r="H95" s="182" t="s">
        <v>418</v>
      </c>
      <c r="I95" s="182" t="s">
        <v>418</v>
      </c>
      <c r="J95" s="182" t="s">
        <v>418</v>
      </c>
      <c r="K95" s="182"/>
      <c r="L95" s="181" t="s">
        <v>418</v>
      </c>
      <c r="M95" s="183" t="str">
        <f t="shared" si="14"/>
        <v xml:space="preserve"> </v>
      </c>
      <c r="N95" s="181" t="s">
        <v>418</v>
      </c>
      <c r="O95" s="183" t="str">
        <f t="shared" si="14"/>
        <v xml:space="preserve"> </v>
      </c>
      <c r="P95" s="181" t="s">
        <v>418</v>
      </c>
      <c r="Q95" s="183" t="str">
        <f t="shared" si="16"/>
        <v xml:space="preserve"> </v>
      </c>
      <c r="R95" s="181" t="s">
        <v>418</v>
      </c>
      <c r="S95" s="183" t="str">
        <f t="shared" si="17"/>
        <v xml:space="preserve"> </v>
      </c>
      <c r="T95" s="181" t="s">
        <v>418</v>
      </c>
      <c r="U95" s="183" t="str">
        <f t="shared" si="18"/>
        <v xml:space="preserve"> </v>
      </c>
      <c r="V95" s="181" t="s">
        <v>418</v>
      </c>
      <c r="W95" s="183" t="str">
        <f t="shared" si="19"/>
        <v xml:space="preserve"> </v>
      </c>
      <c r="X95" s="181" t="s">
        <v>418</v>
      </c>
      <c r="Y95" s="183" t="str">
        <f t="shared" si="20"/>
        <v xml:space="preserve"> </v>
      </c>
      <c r="Z95" s="180"/>
      <c r="AA95" s="184" t="str">
        <f t="shared" si="21"/>
        <v xml:space="preserve"> </v>
      </c>
      <c r="AB95" s="184" t="str">
        <f t="shared" si="22"/>
        <v xml:space="preserve"> </v>
      </c>
      <c r="AC95" s="184" t="str">
        <f t="shared" si="23"/>
        <v xml:space="preserve"> </v>
      </c>
      <c r="AD95" s="184" t="str">
        <f t="shared" si="24"/>
        <v xml:space="preserve"> </v>
      </c>
      <c r="AE95" s="184" t="str">
        <f t="shared" si="25"/>
        <v xml:space="preserve"> </v>
      </c>
      <c r="AF95" s="184" t="str">
        <f t="shared" si="26"/>
        <v xml:space="preserve"> </v>
      </c>
      <c r="AG95" s="184" t="str">
        <f t="shared" si="27"/>
        <v xml:space="preserve"> </v>
      </c>
    </row>
    <row r="96" spans="1:33" x14ac:dyDescent="0.25">
      <c r="A96" s="177"/>
      <c r="B96" s="193" t="s">
        <v>418</v>
      </c>
      <c r="C96" s="193" t="s">
        <v>569</v>
      </c>
      <c r="D96" s="193" t="s">
        <v>569</v>
      </c>
      <c r="E96" s="196" t="s">
        <v>418</v>
      </c>
      <c r="F96" s="196" t="s">
        <v>418</v>
      </c>
      <c r="G96" s="196" t="s">
        <v>418</v>
      </c>
      <c r="H96" s="197" t="s">
        <v>418</v>
      </c>
      <c r="I96" s="197" t="s">
        <v>418</v>
      </c>
      <c r="J96" s="197" t="s">
        <v>418</v>
      </c>
      <c r="K96" s="197"/>
      <c r="L96" s="196" t="s">
        <v>418</v>
      </c>
      <c r="M96" s="196" t="s">
        <v>418</v>
      </c>
      <c r="N96" s="196" t="s">
        <v>418</v>
      </c>
      <c r="O96" s="196" t="s">
        <v>418</v>
      </c>
      <c r="P96" s="196" t="s">
        <v>418</v>
      </c>
      <c r="Q96" s="196" t="s">
        <v>418</v>
      </c>
      <c r="R96" s="196" t="s">
        <v>418</v>
      </c>
      <c r="S96" s="196" t="s">
        <v>418</v>
      </c>
      <c r="T96" s="196" t="s">
        <v>418</v>
      </c>
      <c r="U96" s="196" t="s">
        <v>418</v>
      </c>
      <c r="V96" s="196" t="s">
        <v>418</v>
      </c>
      <c r="W96" s="196" t="s">
        <v>418</v>
      </c>
      <c r="X96" s="196" t="s">
        <v>418</v>
      </c>
      <c r="Y96" s="196" t="s">
        <v>418</v>
      </c>
      <c r="Z96" s="196" t="s">
        <v>418</v>
      </c>
      <c r="AA96" s="196" t="s">
        <v>418</v>
      </c>
      <c r="AB96" s="196" t="s">
        <v>418</v>
      </c>
      <c r="AC96" s="196" t="s">
        <v>418</v>
      </c>
      <c r="AD96" s="196" t="s">
        <v>418</v>
      </c>
      <c r="AE96" s="196" t="s">
        <v>418</v>
      </c>
      <c r="AF96" s="196" t="s">
        <v>418</v>
      </c>
      <c r="AG96" s="196" t="s">
        <v>418</v>
      </c>
    </row>
    <row r="97" spans="1:33" x14ac:dyDescent="0.25">
      <c r="A97" s="177"/>
      <c r="B97" s="178" t="s">
        <v>418</v>
      </c>
      <c r="C97" s="178" t="s">
        <v>418</v>
      </c>
      <c r="D97" s="179" t="s">
        <v>418</v>
      </c>
      <c r="E97" s="180" t="s">
        <v>418</v>
      </c>
      <c r="F97" s="181" t="str">
        <f t="shared" si="15"/>
        <v xml:space="preserve"> </v>
      </c>
      <c r="G97" s="181" t="s">
        <v>418</v>
      </c>
      <c r="H97" s="182" t="s">
        <v>418</v>
      </c>
      <c r="I97" s="182" t="s">
        <v>418</v>
      </c>
      <c r="J97" s="182" t="s">
        <v>418</v>
      </c>
      <c r="K97" s="182"/>
      <c r="L97" s="181" t="s">
        <v>418</v>
      </c>
      <c r="M97" s="183" t="str">
        <f t="shared" si="14"/>
        <v xml:space="preserve"> </v>
      </c>
      <c r="N97" s="181" t="s">
        <v>418</v>
      </c>
      <c r="O97" s="183" t="str">
        <f t="shared" si="14"/>
        <v xml:space="preserve"> </v>
      </c>
      <c r="P97" s="181" t="s">
        <v>418</v>
      </c>
      <c r="Q97" s="183" t="str">
        <f t="shared" ref="Q97:Q112" si="28">IFERROR(P97/$G97," ")</f>
        <v xml:space="preserve"> </v>
      </c>
      <c r="R97" s="181" t="s">
        <v>418</v>
      </c>
      <c r="S97" s="183" t="str">
        <f t="shared" ref="S97:S112" si="29">IFERROR(R97/$G97," ")</f>
        <v xml:space="preserve"> </v>
      </c>
      <c r="T97" s="181" t="s">
        <v>418</v>
      </c>
      <c r="U97" s="183" t="str">
        <f t="shared" ref="U97:U112" si="30">IFERROR(T97/$G97," ")</f>
        <v xml:space="preserve"> </v>
      </c>
      <c r="V97" s="181" t="s">
        <v>418</v>
      </c>
      <c r="W97" s="183" t="str">
        <f t="shared" ref="W97:W112" si="31">IFERROR(V97/$G97," ")</f>
        <v xml:space="preserve"> </v>
      </c>
      <c r="X97" s="181" t="s">
        <v>418</v>
      </c>
      <c r="Y97" s="183" t="str">
        <f t="shared" ref="Y97:Y112" si="32">IFERROR(X97/$G97," ")</f>
        <v xml:space="preserve"> </v>
      </c>
      <c r="Z97" s="180"/>
      <c r="AA97" s="184" t="str">
        <f t="shared" si="21"/>
        <v xml:space="preserve"> </v>
      </c>
      <c r="AB97" s="184" t="str">
        <f t="shared" si="22"/>
        <v xml:space="preserve"> </v>
      </c>
      <c r="AC97" s="184" t="str">
        <f t="shared" si="23"/>
        <v xml:space="preserve"> </v>
      </c>
      <c r="AD97" s="184" t="str">
        <f t="shared" si="24"/>
        <v xml:space="preserve"> </v>
      </c>
      <c r="AE97" s="184" t="str">
        <f t="shared" si="25"/>
        <v xml:space="preserve"> </v>
      </c>
      <c r="AF97" s="184" t="str">
        <f t="shared" si="26"/>
        <v xml:space="preserve"> </v>
      </c>
      <c r="AG97" s="184" t="str">
        <f t="shared" si="27"/>
        <v xml:space="preserve"> </v>
      </c>
    </row>
    <row r="98" spans="1:33" ht="180" x14ac:dyDescent="0.25">
      <c r="A98" s="177">
        <v>103</v>
      </c>
      <c r="B98" s="185" t="s">
        <v>419</v>
      </c>
      <c r="C98" s="178" t="s">
        <v>420</v>
      </c>
      <c r="D98" s="179">
        <v>26623.332625482617</v>
      </c>
      <c r="E98" s="180" t="s">
        <v>214</v>
      </c>
      <c r="F98" s="181">
        <f t="shared" si="15"/>
        <v>14396.999999999998</v>
      </c>
      <c r="G98" s="181">
        <v>14397</v>
      </c>
      <c r="H98" s="182">
        <v>3.1</v>
      </c>
      <c r="I98" s="182">
        <v>44630.7</v>
      </c>
      <c r="J98" s="182">
        <v>44630.7</v>
      </c>
      <c r="K98" s="182"/>
      <c r="L98" s="181">
        <v>465</v>
      </c>
      <c r="M98" s="183">
        <f t="shared" si="14"/>
        <v>3.2298395499062306E-2</v>
      </c>
      <c r="N98" s="181">
        <v>3503.78</v>
      </c>
      <c r="O98" s="183">
        <f t="shared" si="14"/>
        <v>0.24336875738000974</v>
      </c>
      <c r="P98" s="181">
        <v>8661.61</v>
      </c>
      <c r="Q98" s="183">
        <f t="shared" si="28"/>
        <v>0.60162603320136143</v>
      </c>
      <c r="R98" s="181">
        <v>9660.89</v>
      </c>
      <c r="S98" s="183">
        <f t="shared" si="29"/>
        <v>0.67103493783427104</v>
      </c>
      <c r="T98" s="181">
        <v>10792.39</v>
      </c>
      <c r="U98" s="183">
        <f t="shared" si="30"/>
        <v>0.74962770021532255</v>
      </c>
      <c r="V98" s="181">
        <v>11433.4</v>
      </c>
      <c r="W98" s="183">
        <f t="shared" si="31"/>
        <v>0.79415155935264292</v>
      </c>
      <c r="X98" s="181">
        <v>11433.4</v>
      </c>
      <c r="Y98" s="183">
        <f t="shared" si="32"/>
        <v>0.79415155935264292</v>
      </c>
      <c r="Z98" s="180"/>
      <c r="AA98" s="184">
        <f t="shared" si="21"/>
        <v>1441.5</v>
      </c>
      <c r="AB98" s="184">
        <f t="shared" si="22"/>
        <v>10861.718000000001</v>
      </c>
      <c r="AC98" s="184">
        <f t="shared" si="23"/>
        <v>26850.991000000002</v>
      </c>
      <c r="AD98" s="184">
        <f t="shared" si="24"/>
        <v>29948.758999999998</v>
      </c>
      <c r="AE98" s="184">
        <f t="shared" si="25"/>
        <v>33456.409</v>
      </c>
      <c r="AF98" s="184">
        <f t="shared" si="26"/>
        <v>35443.54</v>
      </c>
      <c r="AG98" s="184">
        <f t="shared" si="27"/>
        <v>35443.54</v>
      </c>
    </row>
    <row r="99" spans="1:33" ht="30" x14ac:dyDescent="0.25">
      <c r="A99" s="177">
        <v>104</v>
      </c>
      <c r="B99" s="185" t="s">
        <v>421</v>
      </c>
      <c r="C99" s="178" t="s">
        <v>422</v>
      </c>
      <c r="D99" s="179">
        <v>11597.892187499998</v>
      </c>
      <c r="E99" s="180" t="s">
        <v>122</v>
      </c>
      <c r="F99" s="181">
        <f t="shared" si="15"/>
        <v>10400</v>
      </c>
      <c r="G99" s="181">
        <v>10400</v>
      </c>
      <c r="H99" s="182">
        <v>4.0999999999999996</v>
      </c>
      <c r="I99" s="182">
        <v>42640</v>
      </c>
      <c r="J99" s="182">
        <v>42640</v>
      </c>
      <c r="K99" s="182"/>
      <c r="L99" s="181">
        <v>1008</v>
      </c>
      <c r="M99" s="183">
        <f t="shared" si="14"/>
        <v>9.6923076923076917E-2</v>
      </c>
      <c r="N99" s="181">
        <v>4408</v>
      </c>
      <c r="O99" s="183">
        <f t="shared" si="14"/>
        <v>0.42384615384615387</v>
      </c>
      <c r="P99" s="181">
        <v>7578</v>
      </c>
      <c r="Q99" s="183">
        <f t="shared" si="28"/>
        <v>0.72865384615384621</v>
      </c>
      <c r="R99" s="181">
        <v>7578</v>
      </c>
      <c r="S99" s="183">
        <f t="shared" si="29"/>
        <v>0.72865384615384621</v>
      </c>
      <c r="T99" s="181">
        <v>7578</v>
      </c>
      <c r="U99" s="183">
        <f t="shared" si="30"/>
        <v>0.72865384615384621</v>
      </c>
      <c r="V99" s="181">
        <v>7578</v>
      </c>
      <c r="W99" s="183">
        <f t="shared" si="31"/>
        <v>0.72865384615384621</v>
      </c>
      <c r="X99" s="181">
        <v>7578</v>
      </c>
      <c r="Y99" s="183">
        <f t="shared" si="32"/>
        <v>0.72865384615384621</v>
      </c>
      <c r="Z99" s="180"/>
      <c r="AA99" s="184">
        <f t="shared" si="21"/>
        <v>4132.7999999999993</v>
      </c>
      <c r="AB99" s="184">
        <f t="shared" si="22"/>
        <v>18072.8</v>
      </c>
      <c r="AC99" s="184">
        <f t="shared" si="23"/>
        <v>31069.799999999996</v>
      </c>
      <c r="AD99" s="184">
        <f t="shared" si="24"/>
        <v>31069.799999999996</v>
      </c>
      <c r="AE99" s="184">
        <f t="shared" si="25"/>
        <v>31069.799999999996</v>
      </c>
      <c r="AF99" s="184">
        <f t="shared" si="26"/>
        <v>31069.799999999996</v>
      </c>
      <c r="AG99" s="184">
        <f t="shared" si="27"/>
        <v>31069.799999999996</v>
      </c>
    </row>
    <row r="100" spans="1:33" ht="120" x14ac:dyDescent="0.25">
      <c r="A100" s="177">
        <v>105</v>
      </c>
      <c r="B100" s="185" t="s">
        <v>421</v>
      </c>
      <c r="C100" s="178" t="s">
        <v>570</v>
      </c>
      <c r="D100" s="179">
        <v>45057</v>
      </c>
      <c r="E100" s="180" t="s">
        <v>214</v>
      </c>
      <c r="F100" s="181">
        <f t="shared" si="15"/>
        <v>500</v>
      </c>
      <c r="G100" s="181">
        <v>690</v>
      </c>
      <c r="H100" s="182">
        <v>65</v>
      </c>
      <c r="I100" s="182">
        <v>32500</v>
      </c>
      <c r="J100" s="182">
        <v>44850</v>
      </c>
      <c r="K100" s="182"/>
      <c r="L100" s="181"/>
      <c r="M100" s="183">
        <f t="shared" si="14"/>
        <v>0</v>
      </c>
      <c r="N100" s="181"/>
      <c r="O100" s="183">
        <f t="shared" si="14"/>
        <v>0</v>
      </c>
      <c r="P100" s="181"/>
      <c r="Q100" s="183">
        <f t="shared" si="28"/>
        <v>0</v>
      </c>
      <c r="R100" s="181">
        <v>83.9</v>
      </c>
      <c r="S100" s="183">
        <f t="shared" si="29"/>
        <v>0.12159420289855073</v>
      </c>
      <c r="T100" s="181">
        <v>690</v>
      </c>
      <c r="U100" s="183">
        <f t="shared" si="30"/>
        <v>1</v>
      </c>
      <c r="V100" s="181">
        <v>690</v>
      </c>
      <c r="W100" s="183">
        <f t="shared" si="31"/>
        <v>1</v>
      </c>
      <c r="X100" s="181">
        <v>690</v>
      </c>
      <c r="Y100" s="183">
        <f t="shared" si="32"/>
        <v>1</v>
      </c>
      <c r="Z100" s="180"/>
      <c r="AA100" s="184">
        <f t="shared" si="21"/>
        <v>0</v>
      </c>
      <c r="AB100" s="184">
        <f t="shared" si="22"/>
        <v>0</v>
      </c>
      <c r="AC100" s="184">
        <f t="shared" si="23"/>
        <v>0</v>
      </c>
      <c r="AD100" s="184">
        <f t="shared" si="24"/>
        <v>5453.5</v>
      </c>
      <c r="AE100" s="184">
        <f t="shared" si="25"/>
        <v>44850</v>
      </c>
      <c r="AF100" s="184">
        <f t="shared" si="26"/>
        <v>44850</v>
      </c>
      <c r="AG100" s="184">
        <f t="shared" si="27"/>
        <v>44850</v>
      </c>
    </row>
    <row r="101" spans="1:33" ht="30" x14ac:dyDescent="0.25">
      <c r="A101" s="177">
        <v>106</v>
      </c>
      <c r="B101" s="185" t="s">
        <v>424</v>
      </c>
      <c r="C101" s="178" t="s">
        <v>425</v>
      </c>
      <c r="D101" s="179">
        <v>22368.93024330843</v>
      </c>
      <c r="E101" s="180" t="s">
        <v>26</v>
      </c>
      <c r="F101" s="181">
        <f t="shared" si="15"/>
        <v>10000</v>
      </c>
      <c r="G101" s="181">
        <v>9365.93</v>
      </c>
      <c r="H101" s="182">
        <v>3.93</v>
      </c>
      <c r="I101" s="182">
        <v>39300</v>
      </c>
      <c r="J101" s="182">
        <v>36808.104899999998</v>
      </c>
      <c r="K101" s="182"/>
      <c r="L101" s="181">
        <v>1384</v>
      </c>
      <c r="M101" s="183">
        <f t="shared" si="14"/>
        <v>0.14776962885693146</v>
      </c>
      <c r="N101" s="181">
        <v>5138.87</v>
      </c>
      <c r="O101" s="183">
        <f t="shared" si="14"/>
        <v>0.54867696000290411</v>
      </c>
      <c r="P101" s="181">
        <v>9365.93</v>
      </c>
      <c r="Q101" s="183">
        <f t="shared" si="28"/>
        <v>1</v>
      </c>
      <c r="R101" s="181">
        <v>9365.93</v>
      </c>
      <c r="S101" s="183">
        <f t="shared" si="29"/>
        <v>1</v>
      </c>
      <c r="T101" s="181">
        <v>9365.93</v>
      </c>
      <c r="U101" s="183">
        <f t="shared" si="30"/>
        <v>1</v>
      </c>
      <c r="V101" s="181">
        <v>9365.93</v>
      </c>
      <c r="W101" s="183">
        <f t="shared" si="31"/>
        <v>1</v>
      </c>
      <c r="X101" s="181">
        <v>9365.93</v>
      </c>
      <c r="Y101" s="183">
        <f t="shared" si="32"/>
        <v>1</v>
      </c>
      <c r="Z101" s="180"/>
      <c r="AA101" s="184">
        <f t="shared" si="21"/>
        <v>5439.12</v>
      </c>
      <c r="AB101" s="184">
        <f t="shared" si="22"/>
        <v>20195.759099999999</v>
      </c>
      <c r="AC101" s="184">
        <f t="shared" si="23"/>
        <v>36808.104900000006</v>
      </c>
      <c r="AD101" s="184">
        <f t="shared" si="24"/>
        <v>36808.104900000006</v>
      </c>
      <c r="AE101" s="184">
        <f t="shared" si="25"/>
        <v>36808.104900000006</v>
      </c>
      <c r="AF101" s="184">
        <f t="shared" si="26"/>
        <v>36808.104900000006</v>
      </c>
      <c r="AG101" s="184">
        <f t="shared" si="27"/>
        <v>36808.104900000006</v>
      </c>
    </row>
    <row r="102" spans="1:33" ht="30" x14ac:dyDescent="0.25">
      <c r="A102" s="177">
        <v>107</v>
      </c>
      <c r="B102" s="185" t="s">
        <v>426</v>
      </c>
      <c r="C102" s="178" t="s">
        <v>427</v>
      </c>
      <c r="D102" s="179">
        <v>67653.907200000001</v>
      </c>
      <c r="E102" s="180" t="s">
        <v>214</v>
      </c>
      <c r="F102" s="181">
        <f t="shared" si="15"/>
        <v>450</v>
      </c>
      <c r="G102" s="181">
        <v>2057.0100000000002</v>
      </c>
      <c r="H102" s="182">
        <v>35.67</v>
      </c>
      <c r="I102" s="182">
        <v>16051.5</v>
      </c>
      <c r="J102" s="182">
        <v>73373.546700000006</v>
      </c>
      <c r="K102" s="182"/>
      <c r="L102" s="181"/>
      <c r="M102" s="183">
        <f t="shared" si="14"/>
        <v>0</v>
      </c>
      <c r="N102" s="181">
        <v>15.5</v>
      </c>
      <c r="O102" s="183">
        <f t="shared" si="14"/>
        <v>7.5352088711284817E-3</v>
      </c>
      <c r="P102" s="181">
        <v>812.33</v>
      </c>
      <c r="Q102" s="183">
        <f t="shared" si="28"/>
        <v>0.39490814337314839</v>
      </c>
      <c r="R102" s="181">
        <v>1363.81</v>
      </c>
      <c r="S102" s="183">
        <f t="shared" si="29"/>
        <v>0.66300601358282152</v>
      </c>
      <c r="T102" s="181">
        <v>1931.71</v>
      </c>
      <c r="U102" s="183">
        <f t="shared" si="30"/>
        <v>0.9390863437708129</v>
      </c>
      <c r="V102" s="181">
        <v>2057.0100000000002</v>
      </c>
      <c r="W102" s="183">
        <f t="shared" si="31"/>
        <v>1</v>
      </c>
      <c r="X102" s="181">
        <v>2057.0100000000002</v>
      </c>
      <c r="Y102" s="183">
        <f t="shared" si="32"/>
        <v>1</v>
      </c>
      <c r="Z102" s="180"/>
      <c r="AA102" s="184">
        <f t="shared" si="21"/>
        <v>0</v>
      </c>
      <c r="AB102" s="184">
        <f t="shared" si="22"/>
        <v>552.88499999999999</v>
      </c>
      <c r="AC102" s="184">
        <f t="shared" si="23"/>
        <v>28975.811100000003</v>
      </c>
      <c r="AD102" s="184">
        <f t="shared" si="24"/>
        <v>48647.102700000003</v>
      </c>
      <c r="AE102" s="184">
        <f t="shared" si="25"/>
        <v>68904.095700000005</v>
      </c>
      <c r="AF102" s="184">
        <f t="shared" si="26"/>
        <v>73373.546700000006</v>
      </c>
      <c r="AG102" s="184">
        <f t="shared" si="27"/>
        <v>73373.546700000006</v>
      </c>
    </row>
    <row r="103" spans="1:33" ht="60" x14ac:dyDescent="0.25">
      <c r="A103" s="177">
        <v>108</v>
      </c>
      <c r="B103" s="185" t="s">
        <v>428</v>
      </c>
      <c r="C103" s="178" t="s">
        <v>571</v>
      </c>
      <c r="D103" s="179">
        <v>22799.999999999989</v>
      </c>
      <c r="E103" s="180" t="s">
        <v>430</v>
      </c>
      <c r="F103" s="181">
        <f t="shared" si="15"/>
        <v>520</v>
      </c>
      <c r="G103" s="181">
        <v>16893.59</v>
      </c>
      <c r="H103" s="182">
        <v>1.35</v>
      </c>
      <c r="I103" s="182">
        <v>702</v>
      </c>
      <c r="J103" s="182">
        <v>22806.3465</v>
      </c>
      <c r="K103" s="182"/>
      <c r="L103" s="181"/>
      <c r="M103" s="183">
        <f t="shared" si="14"/>
        <v>0</v>
      </c>
      <c r="N103" s="181">
        <v>224.75</v>
      </c>
      <c r="O103" s="183">
        <f t="shared" si="14"/>
        <v>1.3303862589301623E-2</v>
      </c>
      <c r="P103" s="181">
        <v>16431.11</v>
      </c>
      <c r="Q103" s="183">
        <f t="shared" si="28"/>
        <v>0.97262393606095565</v>
      </c>
      <c r="R103" s="181">
        <v>16431.11</v>
      </c>
      <c r="S103" s="183">
        <f t="shared" si="29"/>
        <v>0.97262393606095565</v>
      </c>
      <c r="T103" s="181">
        <v>16431.11</v>
      </c>
      <c r="U103" s="183">
        <f t="shared" si="30"/>
        <v>0.97262393606095565</v>
      </c>
      <c r="V103" s="181">
        <v>16893.59</v>
      </c>
      <c r="W103" s="183">
        <f t="shared" si="31"/>
        <v>1</v>
      </c>
      <c r="X103" s="181">
        <v>16893.59</v>
      </c>
      <c r="Y103" s="183">
        <f t="shared" si="32"/>
        <v>1</v>
      </c>
      <c r="Z103" s="180"/>
      <c r="AA103" s="184">
        <f t="shared" si="21"/>
        <v>0</v>
      </c>
      <c r="AB103" s="184">
        <f t="shared" si="22"/>
        <v>303.41250000000002</v>
      </c>
      <c r="AC103" s="184">
        <f t="shared" si="23"/>
        <v>22181.998500000002</v>
      </c>
      <c r="AD103" s="184">
        <f t="shared" si="24"/>
        <v>22181.998500000002</v>
      </c>
      <c r="AE103" s="184">
        <f t="shared" si="25"/>
        <v>22181.998500000002</v>
      </c>
      <c r="AF103" s="184">
        <f t="shared" si="26"/>
        <v>22806.346500000003</v>
      </c>
      <c r="AG103" s="184">
        <f t="shared" si="27"/>
        <v>22806.346500000003</v>
      </c>
    </row>
    <row r="104" spans="1:33" ht="30" x14ac:dyDescent="0.25">
      <c r="A104" s="177">
        <v>109</v>
      </c>
      <c r="B104" s="185" t="s">
        <v>431</v>
      </c>
      <c r="C104" s="178" t="s">
        <v>432</v>
      </c>
      <c r="D104" s="179">
        <v>69648.496296296289</v>
      </c>
      <c r="E104" s="180" t="s">
        <v>214</v>
      </c>
      <c r="F104" s="181">
        <f t="shared" si="15"/>
        <v>450</v>
      </c>
      <c r="G104" s="181">
        <v>2057.0100000000002</v>
      </c>
      <c r="H104" s="182">
        <v>57.25</v>
      </c>
      <c r="I104" s="182">
        <v>25762.5</v>
      </c>
      <c r="J104" s="182">
        <v>117763.82249999999</v>
      </c>
      <c r="K104" s="182"/>
      <c r="L104" s="181"/>
      <c r="M104" s="183">
        <f t="shared" si="14"/>
        <v>0</v>
      </c>
      <c r="N104" s="181">
        <v>15.5</v>
      </c>
      <c r="O104" s="183">
        <f t="shared" si="14"/>
        <v>7.5352088711284817E-3</v>
      </c>
      <c r="P104" s="181">
        <v>812.33</v>
      </c>
      <c r="Q104" s="183">
        <f t="shared" si="28"/>
        <v>0.39490814337314839</v>
      </c>
      <c r="R104" s="181">
        <v>1363.81</v>
      </c>
      <c r="S104" s="183">
        <f t="shared" si="29"/>
        <v>0.66300601358282152</v>
      </c>
      <c r="T104" s="181">
        <v>1931.71</v>
      </c>
      <c r="U104" s="183">
        <f t="shared" si="30"/>
        <v>0.9390863437708129</v>
      </c>
      <c r="V104" s="181">
        <v>2057.0100000000002</v>
      </c>
      <c r="W104" s="183">
        <f t="shared" si="31"/>
        <v>1</v>
      </c>
      <c r="X104" s="181">
        <v>2057.0100000000002</v>
      </c>
      <c r="Y104" s="183">
        <f t="shared" si="32"/>
        <v>1</v>
      </c>
      <c r="Z104" s="180"/>
      <c r="AA104" s="184">
        <f t="shared" si="21"/>
        <v>0</v>
      </c>
      <c r="AB104" s="184">
        <f t="shared" si="22"/>
        <v>887.375</v>
      </c>
      <c r="AC104" s="184">
        <f t="shared" si="23"/>
        <v>46505.892500000002</v>
      </c>
      <c r="AD104" s="184">
        <f t="shared" si="24"/>
        <v>78078.122499999998</v>
      </c>
      <c r="AE104" s="184">
        <f t="shared" si="25"/>
        <v>110590.39750000001</v>
      </c>
      <c r="AF104" s="184">
        <f t="shared" si="26"/>
        <v>117763.82250000001</v>
      </c>
      <c r="AG104" s="184">
        <f t="shared" si="27"/>
        <v>117763.82250000001</v>
      </c>
    </row>
    <row r="105" spans="1:33" ht="30" x14ac:dyDescent="0.25">
      <c r="A105" s="177">
        <v>110</v>
      </c>
      <c r="B105" s="185" t="s">
        <v>433</v>
      </c>
      <c r="C105" s="178" t="s">
        <v>434</v>
      </c>
      <c r="D105" s="179">
        <v>26369.236799999999</v>
      </c>
      <c r="E105" s="180" t="s">
        <v>214</v>
      </c>
      <c r="F105" s="181">
        <f t="shared" si="15"/>
        <v>321</v>
      </c>
      <c r="G105" s="181">
        <v>801.76</v>
      </c>
      <c r="H105" s="182">
        <v>35.67</v>
      </c>
      <c r="I105" s="182">
        <v>11450.07</v>
      </c>
      <c r="J105" s="182">
        <v>28598.779200000001</v>
      </c>
      <c r="K105" s="182"/>
      <c r="L105" s="181"/>
      <c r="M105" s="183">
        <f t="shared" si="14"/>
        <v>0</v>
      </c>
      <c r="N105" s="181"/>
      <c r="O105" s="183">
        <f t="shared" si="14"/>
        <v>0</v>
      </c>
      <c r="P105" s="181">
        <v>320.85000000000002</v>
      </c>
      <c r="Q105" s="183">
        <f t="shared" si="28"/>
        <v>0.40018209938136101</v>
      </c>
      <c r="R105" s="181">
        <v>341.85</v>
      </c>
      <c r="S105" s="183">
        <f t="shared" si="29"/>
        <v>0.4263744761524646</v>
      </c>
      <c r="T105" s="181">
        <v>533.4</v>
      </c>
      <c r="U105" s="183">
        <f t="shared" si="30"/>
        <v>0.66528636998603075</v>
      </c>
      <c r="V105" s="181">
        <v>801.75</v>
      </c>
      <c r="W105" s="183">
        <f t="shared" si="31"/>
        <v>0.99998752743963282</v>
      </c>
      <c r="X105" s="181">
        <v>801.75</v>
      </c>
      <c r="Y105" s="183">
        <f t="shared" si="32"/>
        <v>0.99998752743963282</v>
      </c>
      <c r="Z105" s="180"/>
      <c r="AA105" s="184">
        <f t="shared" si="21"/>
        <v>0</v>
      </c>
      <c r="AB105" s="184">
        <f t="shared" si="22"/>
        <v>0</v>
      </c>
      <c r="AC105" s="184">
        <f t="shared" si="23"/>
        <v>11444.719500000001</v>
      </c>
      <c r="AD105" s="184">
        <f t="shared" si="24"/>
        <v>12193.789500000001</v>
      </c>
      <c r="AE105" s="184">
        <f t="shared" si="25"/>
        <v>19026.378000000001</v>
      </c>
      <c r="AF105" s="184">
        <f t="shared" si="26"/>
        <v>28598.422500000001</v>
      </c>
      <c r="AG105" s="184">
        <f t="shared" si="27"/>
        <v>28598.422500000001</v>
      </c>
    </row>
    <row r="106" spans="1:33" ht="30" x14ac:dyDescent="0.25">
      <c r="A106" s="177">
        <v>111</v>
      </c>
      <c r="B106" s="185" t="s">
        <v>435</v>
      </c>
      <c r="C106" s="178" t="s">
        <v>436</v>
      </c>
      <c r="D106" s="179">
        <v>27146.661111111109</v>
      </c>
      <c r="E106" s="180" t="s">
        <v>214</v>
      </c>
      <c r="F106" s="181">
        <f t="shared" si="15"/>
        <v>321</v>
      </c>
      <c r="G106" s="181">
        <v>801.76</v>
      </c>
      <c r="H106" s="182">
        <v>57.25</v>
      </c>
      <c r="I106" s="182">
        <v>18377.25</v>
      </c>
      <c r="J106" s="182">
        <v>45900.76</v>
      </c>
      <c r="K106" s="182"/>
      <c r="L106" s="181"/>
      <c r="M106" s="183">
        <f t="shared" si="14"/>
        <v>0</v>
      </c>
      <c r="N106" s="181"/>
      <c r="O106" s="183">
        <f t="shared" si="14"/>
        <v>0</v>
      </c>
      <c r="P106" s="181">
        <v>320.85000000000002</v>
      </c>
      <c r="Q106" s="183">
        <f t="shared" si="28"/>
        <v>0.40018209938136101</v>
      </c>
      <c r="R106" s="181">
        <v>341.85</v>
      </c>
      <c r="S106" s="183">
        <f t="shared" si="29"/>
        <v>0.4263744761524646</v>
      </c>
      <c r="T106" s="181">
        <v>533.4</v>
      </c>
      <c r="U106" s="183">
        <f t="shared" si="30"/>
        <v>0.66528636998603075</v>
      </c>
      <c r="V106" s="181">
        <v>801.75</v>
      </c>
      <c r="W106" s="183">
        <f t="shared" si="31"/>
        <v>0.99998752743963282</v>
      </c>
      <c r="X106" s="181">
        <v>801.75</v>
      </c>
      <c r="Y106" s="183">
        <f t="shared" si="32"/>
        <v>0.99998752743963282</v>
      </c>
      <c r="Z106" s="180"/>
      <c r="AA106" s="184">
        <f t="shared" si="21"/>
        <v>0</v>
      </c>
      <c r="AB106" s="184">
        <f t="shared" si="22"/>
        <v>0</v>
      </c>
      <c r="AC106" s="184">
        <f t="shared" si="23"/>
        <v>18368.662500000002</v>
      </c>
      <c r="AD106" s="184">
        <f t="shared" si="24"/>
        <v>19570.912500000002</v>
      </c>
      <c r="AE106" s="184">
        <f t="shared" si="25"/>
        <v>30537.149999999998</v>
      </c>
      <c r="AF106" s="184">
        <f t="shared" si="26"/>
        <v>45900.1875</v>
      </c>
      <c r="AG106" s="184">
        <f t="shared" si="27"/>
        <v>45900.1875</v>
      </c>
    </row>
    <row r="107" spans="1:33" ht="45" x14ac:dyDescent="0.25">
      <c r="A107" s="177">
        <v>112</v>
      </c>
      <c r="B107" s="185" t="s">
        <v>437</v>
      </c>
      <c r="C107" s="178" t="s">
        <v>438</v>
      </c>
      <c r="D107" s="179">
        <v>5791.0041025641021</v>
      </c>
      <c r="E107" s="180" t="s">
        <v>21</v>
      </c>
      <c r="F107" s="181">
        <f t="shared" si="15"/>
        <v>1</v>
      </c>
      <c r="G107" s="181">
        <v>1</v>
      </c>
      <c r="H107" s="182">
        <v>7682.25</v>
      </c>
      <c r="I107" s="182">
        <v>7682.25</v>
      </c>
      <c r="J107" s="182">
        <v>7682.25</v>
      </c>
      <c r="K107" s="182"/>
      <c r="L107" s="181"/>
      <c r="M107" s="183">
        <f t="shared" si="14"/>
        <v>0</v>
      </c>
      <c r="N107" s="181"/>
      <c r="O107" s="183">
        <f t="shared" si="14"/>
        <v>0</v>
      </c>
      <c r="P107" s="181"/>
      <c r="Q107" s="183">
        <f t="shared" si="28"/>
        <v>0</v>
      </c>
      <c r="R107" s="181">
        <v>1</v>
      </c>
      <c r="S107" s="183">
        <f t="shared" si="29"/>
        <v>1</v>
      </c>
      <c r="T107" s="181">
        <v>1</v>
      </c>
      <c r="U107" s="183">
        <f t="shared" si="30"/>
        <v>1</v>
      </c>
      <c r="V107" s="181">
        <v>1</v>
      </c>
      <c r="W107" s="183">
        <f t="shared" si="31"/>
        <v>1</v>
      </c>
      <c r="X107" s="181">
        <v>1</v>
      </c>
      <c r="Y107" s="183">
        <f t="shared" si="32"/>
        <v>1</v>
      </c>
      <c r="Z107" s="180"/>
      <c r="AA107" s="184">
        <f t="shared" si="21"/>
        <v>0</v>
      </c>
      <c r="AB107" s="184">
        <f t="shared" si="22"/>
        <v>0</v>
      </c>
      <c r="AC107" s="184">
        <f t="shared" si="23"/>
        <v>0</v>
      </c>
      <c r="AD107" s="184">
        <f t="shared" si="24"/>
        <v>7682.25</v>
      </c>
      <c r="AE107" s="184">
        <f t="shared" si="25"/>
        <v>7682.25</v>
      </c>
      <c r="AF107" s="184">
        <f t="shared" si="26"/>
        <v>7682.25</v>
      </c>
      <c r="AG107" s="184">
        <f t="shared" si="27"/>
        <v>7682.25</v>
      </c>
    </row>
    <row r="108" spans="1:33" ht="30" x14ac:dyDescent="0.25">
      <c r="A108" s="177">
        <v>113</v>
      </c>
      <c r="B108" s="185" t="s">
        <v>439</v>
      </c>
      <c r="C108" s="178" t="s">
        <v>440</v>
      </c>
      <c r="D108" s="179">
        <v>918</v>
      </c>
      <c r="E108" s="180" t="s">
        <v>21</v>
      </c>
      <c r="F108" s="181">
        <f t="shared" si="15"/>
        <v>1</v>
      </c>
      <c r="G108" s="181">
        <v>1</v>
      </c>
      <c r="H108" s="182">
        <v>1068.75</v>
      </c>
      <c r="I108" s="182">
        <v>1068.75</v>
      </c>
      <c r="J108" s="182">
        <v>1068.75</v>
      </c>
      <c r="K108" s="182"/>
      <c r="L108" s="181"/>
      <c r="M108" s="183">
        <f t="shared" si="14"/>
        <v>0</v>
      </c>
      <c r="N108" s="181"/>
      <c r="O108" s="183">
        <f t="shared" si="14"/>
        <v>0</v>
      </c>
      <c r="P108" s="181"/>
      <c r="Q108" s="183">
        <f t="shared" si="28"/>
        <v>0</v>
      </c>
      <c r="R108" s="181">
        <v>1</v>
      </c>
      <c r="S108" s="183">
        <f t="shared" si="29"/>
        <v>1</v>
      </c>
      <c r="T108" s="181">
        <v>1</v>
      </c>
      <c r="U108" s="183">
        <f t="shared" si="30"/>
        <v>1</v>
      </c>
      <c r="V108" s="181">
        <v>1</v>
      </c>
      <c r="W108" s="183">
        <f t="shared" si="31"/>
        <v>1</v>
      </c>
      <c r="X108" s="181">
        <v>1</v>
      </c>
      <c r="Y108" s="183">
        <f t="shared" si="32"/>
        <v>1</v>
      </c>
      <c r="Z108" s="180"/>
      <c r="AA108" s="184">
        <f t="shared" si="21"/>
        <v>0</v>
      </c>
      <c r="AB108" s="184">
        <f t="shared" si="22"/>
        <v>0</v>
      </c>
      <c r="AC108" s="184">
        <f t="shared" si="23"/>
        <v>0</v>
      </c>
      <c r="AD108" s="184">
        <f t="shared" si="24"/>
        <v>1068.75</v>
      </c>
      <c r="AE108" s="184">
        <f t="shared" si="25"/>
        <v>1068.75</v>
      </c>
      <c r="AF108" s="184">
        <f t="shared" si="26"/>
        <v>1068.75</v>
      </c>
      <c r="AG108" s="184">
        <f t="shared" si="27"/>
        <v>1068.75</v>
      </c>
    </row>
    <row r="109" spans="1:33" x14ac:dyDescent="0.25">
      <c r="A109" s="177">
        <v>114</v>
      </c>
      <c r="B109" s="185" t="s">
        <v>441</v>
      </c>
      <c r="C109" s="178" t="s">
        <v>442</v>
      </c>
      <c r="D109" s="179">
        <v>8011.2914583333331</v>
      </c>
      <c r="E109" s="180" t="s">
        <v>122</v>
      </c>
      <c r="F109" s="181">
        <f t="shared" si="15"/>
        <v>2051</v>
      </c>
      <c r="G109" s="181">
        <v>2051</v>
      </c>
      <c r="H109" s="182">
        <v>4</v>
      </c>
      <c r="I109" s="182">
        <v>8204</v>
      </c>
      <c r="J109" s="182">
        <v>8204</v>
      </c>
      <c r="K109" s="182"/>
      <c r="L109" s="181"/>
      <c r="M109" s="183">
        <f t="shared" si="14"/>
        <v>0</v>
      </c>
      <c r="N109" s="181"/>
      <c r="O109" s="183">
        <f t="shared" si="14"/>
        <v>0</v>
      </c>
      <c r="P109" s="181"/>
      <c r="Q109" s="183">
        <f t="shared" si="28"/>
        <v>0</v>
      </c>
      <c r="R109" s="181"/>
      <c r="S109" s="183">
        <f t="shared" si="29"/>
        <v>0</v>
      </c>
      <c r="T109" s="181"/>
      <c r="U109" s="183">
        <f t="shared" si="30"/>
        <v>0</v>
      </c>
      <c r="V109" s="181">
        <v>2051</v>
      </c>
      <c r="W109" s="183">
        <f t="shared" si="31"/>
        <v>1</v>
      </c>
      <c r="X109" s="181">
        <v>2051</v>
      </c>
      <c r="Y109" s="183">
        <f t="shared" si="32"/>
        <v>1</v>
      </c>
      <c r="Z109" s="180"/>
      <c r="AA109" s="184">
        <f t="shared" si="21"/>
        <v>0</v>
      </c>
      <c r="AB109" s="184">
        <f t="shared" si="22"/>
        <v>0</v>
      </c>
      <c r="AC109" s="184">
        <f t="shared" si="23"/>
        <v>0</v>
      </c>
      <c r="AD109" s="184">
        <f t="shared" si="24"/>
        <v>0</v>
      </c>
      <c r="AE109" s="184">
        <f t="shared" si="25"/>
        <v>0</v>
      </c>
      <c r="AF109" s="184">
        <f t="shared" si="26"/>
        <v>8204</v>
      </c>
      <c r="AG109" s="184">
        <f t="shared" si="27"/>
        <v>8204</v>
      </c>
    </row>
    <row r="110" spans="1:33" ht="30" x14ac:dyDescent="0.25">
      <c r="A110" s="177"/>
      <c r="B110" s="185" t="s">
        <v>443</v>
      </c>
      <c r="C110" s="178" t="s">
        <v>444</v>
      </c>
      <c r="D110" s="179" t="s">
        <v>418</v>
      </c>
      <c r="E110" s="180" t="s">
        <v>38</v>
      </c>
      <c r="F110" s="181">
        <f t="shared" si="15"/>
        <v>1</v>
      </c>
      <c r="G110" s="181">
        <v>1</v>
      </c>
      <c r="H110" s="182">
        <v>5000</v>
      </c>
      <c r="I110" s="182">
        <v>5000</v>
      </c>
      <c r="J110" s="182">
        <v>5000</v>
      </c>
      <c r="K110" s="182"/>
      <c r="L110" s="181"/>
      <c r="M110" s="183">
        <f t="shared" si="14"/>
        <v>0</v>
      </c>
      <c r="N110" s="181"/>
      <c r="O110" s="183">
        <f t="shared" si="14"/>
        <v>0</v>
      </c>
      <c r="P110" s="181"/>
      <c r="Q110" s="183">
        <f t="shared" si="28"/>
        <v>0</v>
      </c>
      <c r="R110" s="181"/>
      <c r="S110" s="183">
        <f t="shared" si="29"/>
        <v>0</v>
      </c>
      <c r="T110" s="181"/>
      <c r="U110" s="183">
        <f t="shared" si="30"/>
        <v>0</v>
      </c>
      <c r="V110" s="181">
        <v>1</v>
      </c>
      <c r="W110" s="183">
        <f t="shared" si="31"/>
        <v>1</v>
      </c>
      <c r="X110" s="181">
        <v>1</v>
      </c>
      <c r="Y110" s="183">
        <f t="shared" si="32"/>
        <v>1</v>
      </c>
      <c r="Z110" s="180"/>
      <c r="AA110" s="184">
        <f t="shared" si="21"/>
        <v>0</v>
      </c>
      <c r="AB110" s="184">
        <f t="shared" si="22"/>
        <v>0</v>
      </c>
      <c r="AC110" s="184">
        <f t="shared" si="23"/>
        <v>0</v>
      </c>
      <c r="AD110" s="184">
        <f t="shared" si="24"/>
        <v>0</v>
      </c>
      <c r="AE110" s="184">
        <f t="shared" si="25"/>
        <v>0</v>
      </c>
      <c r="AF110" s="184">
        <f t="shared" si="26"/>
        <v>5000</v>
      </c>
      <c r="AG110" s="184">
        <f t="shared" si="27"/>
        <v>5000</v>
      </c>
    </row>
    <row r="111" spans="1:33" ht="45" x14ac:dyDescent="0.25">
      <c r="A111" s="177">
        <v>115</v>
      </c>
      <c r="B111" s="185" t="s">
        <v>445</v>
      </c>
      <c r="C111" s="178" t="s">
        <v>446</v>
      </c>
      <c r="D111" s="179">
        <v>12061.35</v>
      </c>
      <c r="E111" s="180" t="s">
        <v>214</v>
      </c>
      <c r="F111" s="181">
        <f t="shared" si="15"/>
        <v>147</v>
      </c>
      <c r="G111" s="181">
        <v>147</v>
      </c>
      <c r="H111" s="182">
        <v>111</v>
      </c>
      <c r="I111" s="182">
        <v>16317</v>
      </c>
      <c r="J111" s="182">
        <v>16317</v>
      </c>
      <c r="K111" s="182"/>
      <c r="L111" s="181"/>
      <c r="M111" s="183">
        <f t="shared" si="14"/>
        <v>0</v>
      </c>
      <c r="N111" s="181"/>
      <c r="O111" s="183">
        <f t="shared" si="14"/>
        <v>0</v>
      </c>
      <c r="P111" s="181"/>
      <c r="Q111" s="183">
        <f t="shared" si="28"/>
        <v>0</v>
      </c>
      <c r="R111" s="181"/>
      <c r="S111" s="183">
        <f t="shared" si="29"/>
        <v>0</v>
      </c>
      <c r="T111" s="181"/>
      <c r="U111" s="183">
        <f t="shared" si="30"/>
        <v>0</v>
      </c>
      <c r="V111" s="181">
        <v>147</v>
      </c>
      <c r="W111" s="183">
        <f t="shared" si="31"/>
        <v>1</v>
      </c>
      <c r="X111" s="181">
        <v>147</v>
      </c>
      <c r="Y111" s="183">
        <f t="shared" si="32"/>
        <v>1</v>
      </c>
      <c r="Z111" s="180"/>
      <c r="AA111" s="184">
        <f t="shared" si="21"/>
        <v>0</v>
      </c>
      <c r="AB111" s="184">
        <f t="shared" si="22"/>
        <v>0</v>
      </c>
      <c r="AC111" s="184">
        <f t="shared" si="23"/>
        <v>0</v>
      </c>
      <c r="AD111" s="184">
        <f t="shared" si="24"/>
        <v>0</v>
      </c>
      <c r="AE111" s="184">
        <f t="shared" si="25"/>
        <v>0</v>
      </c>
      <c r="AF111" s="184">
        <f t="shared" si="26"/>
        <v>16317</v>
      </c>
      <c r="AG111" s="184">
        <f t="shared" si="27"/>
        <v>16317</v>
      </c>
    </row>
    <row r="112" spans="1:33" ht="60" x14ac:dyDescent="0.25">
      <c r="A112" s="177">
        <v>116</v>
      </c>
      <c r="B112" s="185" t="s">
        <v>447</v>
      </c>
      <c r="C112" s="178" t="s">
        <v>572</v>
      </c>
      <c r="D112" s="179">
        <v>19604.577083333334</v>
      </c>
      <c r="E112" s="180" t="s">
        <v>21</v>
      </c>
      <c r="F112" s="181">
        <f t="shared" si="15"/>
        <v>1</v>
      </c>
      <c r="G112" s="181">
        <v>1</v>
      </c>
      <c r="H112" s="182">
        <v>26045.84</v>
      </c>
      <c r="I112" s="182">
        <v>26045.84</v>
      </c>
      <c r="J112" s="182">
        <v>26045.84</v>
      </c>
      <c r="K112" s="182"/>
      <c r="L112" s="181"/>
      <c r="M112" s="183">
        <f t="shared" si="14"/>
        <v>0</v>
      </c>
      <c r="N112" s="181"/>
      <c r="O112" s="183">
        <f t="shared" si="14"/>
        <v>0</v>
      </c>
      <c r="P112" s="181"/>
      <c r="Q112" s="183">
        <f t="shared" si="28"/>
        <v>0</v>
      </c>
      <c r="R112" s="181"/>
      <c r="S112" s="183">
        <f t="shared" si="29"/>
        <v>0</v>
      </c>
      <c r="T112" s="181"/>
      <c r="U112" s="183">
        <f t="shared" si="30"/>
        <v>0</v>
      </c>
      <c r="V112" s="181"/>
      <c r="W112" s="183">
        <f t="shared" si="31"/>
        <v>0</v>
      </c>
      <c r="X112" s="181">
        <v>1</v>
      </c>
      <c r="Y112" s="183">
        <f t="shared" si="32"/>
        <v>1</v>
      </c>
      <c r="Z112" s="180"/>
      <c r="AA112" s="184">
        <f t="shared" si="21"/>
        <v>0</v>
      </c>
      <c r="AB112" s="184">
        <f t="shared" si="22"/>
        <v>0</v>
      </c>
      <c r="AC112" s="184">
        <f t="shared" si="23"/>
        <v>0</v>
      </c>
      <c r="AD112" s="184">
        <f t="shared" si="24"/>
        <v>0</v>
      </c>
      <c r="AE112" s="184">
        <f t="shared" si="25"/>
        <v>0</v>
      </c>
      <c r="AF112" s="184">
        <f t="shared" si="26"/>
        <v>0</v>
      </c>
      <c r="AG112" s="184">
        <f t="shared" si="27"/>
        <v>26045.84</v>
      </c>
    </row>
    <row r="113" spans="1:33" x14ac:dyDescent="0.25">
      <c r="A113" s="177"/>
      <c r="B113" s="185" t="s">
        <v>418</v>
      </c>
      <c r="C113" s="178" t="s">
        <v>418</v>
      </c>
      <c r="D113" s="179"/>
      <c r="E113" s="180" t="s">
        <v>418</v>
      </c>
      <c r="F113" s="181" t="s">
        <v>418</v>
      </c>
      <c r="G113" s="181" t="s">
        <v>418</v>
      </c>
      <c r="H113" s="182" t="s">
        <v>418</v>
      </c>
      <c r="I113" s="182" t="s">
        <v>418</v>
      </c>
      <c r="J113" s="182" t="s">
        <v>418</v>
      </c>
      <c r="K113" s="182"/>
      <c r="L113" s="181" t="s">
        <v>418</v>
      </c>
      <c r="M113" s="181"/>
      <c r="N113" s="181" t="s">
        <v>418</v>
      </c>
      <c r="O113" s="181"/>
      <c r="P113" s="181" t="s">
        <v>418</v>
      </c>
      <c r="Q113" s="181"/>
      <c r="R113" s="181" t="s">
        <v>418</v>
      </c>
      <c r="S113" s="181"/>
      <c r="T113" s="181" t="s">
        <v>418</v>
      </c>
      <c r="U113" s="181"/>
      <c r="V113" s="181" t="s">
        <v>418</v>
      </c>
      <c r="W113" s="181"/>
      <c r="X113" s="181" t="s">
        <v>418</v>
      </c>
      <c r="Y113" s="181"/>
      <c r="Z113" s="180"/>
      <c r="AA113" s="184"/>
      <c r="AB113" s="184"/>
      <c r="AC113" s="184"/>
      <c r="AD113" s="184"/>
      <c r="AE113" s="184"/>
      <c r="AF113" s="184"/>
      <c r="AG113" s="184"/>
    </row>
    <row r="114" spans="1:33" x14ac:dyDescent="0.25">
      <c r="A114" s="177"/>
      <c r="B114" s="178" t="s">
        <v>418</v>
      </c>
      <c r="C114" s="178" t="s">
        <v>573</v>
      </c>
      <c r="D114" s="179">
        <v>2129969.4933317248</v>
      </c>
      <c r="E114" s="181" t="s">
        <v>418</v>
      </c>
      <c r="F114" s="181" t="s">
        <v>418</v>
      </c>
      <c r="G114" s="181" t="s">
        <v>418</v>
      </c>
      <c r="H114" s="182" t="s">
        <v>418</v>
      </c>
      <c r="I114" s="182">
        <v>2431322.48</v>
      </c>
      <c r="J114" s="182">
        <f>SUM(J8:J112)</f>
        <v>2283797.9935999997</v>
      </c>
      <c r="K114" s="182"/>
      <c r="L114" s="181" t="s">
        <v>418</v>
      </c>
      <c r="M114" s="182"/>
      <c r="N114" s="181" t="s">
        <v>418</v>
      </c>
      <c r="O114" s="182"/>
      <c r="P114" s="181" t="s">
        <v>418</v>
      </c>
      <c r="Q114" s="182"/>
      <c r="R114" s="181" t="s">
        <v>418</v>
      </c>
      <c r="S114" s="182"/>
      <c r="T114" s="181" t="s">
        <v>418</v>
      </c>
      <c r="U114" s="182"/>
      <c r="V114" s="181" t="s">
        <v>418</v>
      </c>
      <c r="W114" s="182"/>
      <c r="X114" s="181" t="s">
        <v>418</v>
      </c>
      <c r="Y114" s="182"/>
      <c r="Z114" s="180"/>
      <c r="AA114" s="184"/>
      <c r="AB114" s="184"/>
      <c r="AC114" s="184"/>
      <c r="AD114" s="184"/>
      <c r="AE114" s="184"/>
      <c r="AF114" s="184"/>
      <c r="AG114" s="184">
        <f>SUM(AG8:AG112)</f>
        <v>2263039.7043999997</v>
      </c>
    </row>
    <row r="115" spans="1:33" x14ac:dyDescent="0.25">
      <c r="B115" s="186" t="s">
        <v>418</v>
      </c>
      <c r="C115" s="186" t="s">
        <v>418</v>
      </c>
      <c r="E115" s="19" t="s">
        <v>418</v>
      </c>
      <c r="F115" s="188" t="s">
        <v>418</v>
      </c>
      <c r="G115" s="188" t="s">
        <v>418</v>
      </c>
      <c r="H115" s="189" t="s">
        <v>418</v>
      </c>
      <c r="I115" s="189" t="s">
        <v>418</v>
      </c>
      <c r="J115" s="189" t="s">
        <v>418</v>
      </c>
      <c r="K115" s="189"/>
      <c r="L115" s="188" t="s">
        <v>418</v>
      </c>
      <c r="M115" s="188"/>
      <c r="N115" s="188" t="s">
        <v>418</v>
      </c>
      <c r="O115" s="188"/>
      <c r="P115" s="188" t="s">
        <v>418</v>
      </c>
      <c r="Q115" s="188"/>
      <c r="R115" s="188" t="s">
        <v>418</v>
      </c>
      <c r="S115" s="188"/>
      <c r="T115" s="188" t="s">
        <v>418</v>
      </c>
      <c r="U115" s="188"/>
      <c r="V115" s="188" t="s">
        <v>418</v>
      </c>
      <c r="W115" s="188"/>
      <c r="X115" s="188" t="s">
        <v>418</v>
      </c>
      <c r="Y115" s="188"/>
    </row>
    <row r="116" spans="1:33" x14ac:dyDescent="0.25">
      <c r="B116" s="186" t="s">
        <v>418</v>
      </c>
      <c r="C116" s="186" t="s">
        <v>418</v>
      </c>
      <c r="E116" s="19" t="s">
        <v>418</v>
      </c>
      <c r="F116" s="188" t="s">
        <v>418</v>
      </c>
      <c r="G116" s="188" t="s">
        <v>418</v>
      </c>
      <c r="H116" s="189" t="s">
        <v>418</v>
      </c>
      <c r="I116" s="189" t="s">
        <v>418</v>
      </c>
      <c r="J116" s="189" t="s">
        <v>418</v>
      </c>
      <c r="K116" s="189"/>
      <c r="L116" s="188" t="s">
        <v>418</v>
      </c>
      <c r="M116" s="188"/>
      <c r="N116" s="188" t="s">
        <v>418</v>
      </c>
      <c r="O116" s="188"/>
      <c r="P116" s="188" t="s">
        <v>418</v>
      </c>
      <c r="Q116" s="188"/>
      <c r="R116" s="188" t="s">
        <v>418</v>
      </c>
      <c r="S116" s="188"/>
      <c r="T116" s="188" t="s">
        <v>418</v>
      </c>
      <c r="U116" s="188"/>
      <c r="V116" s="188" t="s">
        <v>418</v>
      </c>
      <c r="W116" s="188"/>
      <c r="X116" s="188" t="s">
        <v>418</v>
      </c>
      <c r="Y116" s="188"/>
    </row>
    <row r="117" spans="1:33" x14ac:dyDescent="0.25">
      <c r="B117" s="186" t="s">
        <v>418</v>
      </c>
      <c r="E117" s="19" t="s">
        <v>418</v>
      </c>
      <c r="F117" s="188" t="s">
        <v>418</v>
      </c>
      <c r="G117" s="188" t="s">
        <v>418</v>
      </c>
      <c r="H117" s="189" t="s">
        <v>418</v>
      </c>
      <c r="I117" s="189" t="s">
        <v>418</v>
      </c>
      <c r="J117" s="189" t="s">
        <v>418</v>
      </c>
      <c r="K117" s="189"/>
      <c r="L117" s="188" t="s">
        <v>418</v>
      </c>
      <c r="M117" s="188"/>
      <c r="N117" s="188" t="s">
        <v>418</v>
      </c>
      <c r="O117" s="188"/>
      <c r="P117" s="188" t="s">
        <v>418</v>
      </c>
      <c r="Q117" s="188"/>
      <c r="R117" s="188" t="s">
        <v>418</v>
      </c>
      <c r="S117" s="188"/>
      <c r="T117" s="188" t="s">
        <v>418</v>
      </c>
      <c r="U117" s="188"/>
      <c r="V117" s="188" t="s">
        <v>418</v>
      </c>
      <c r="W117" s="188"/>
      <c r="X117" s="188" t="s">
        <v>418</v>
      </c>
      <c r="Y117" s="18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6FE7F-F392-4BA0-AE95-E5CA4221B47A}">
  <dimension ref="A1:AT34"/>
  <sheetViews>
    <sheetView workbookViewId="0">
      <pane xSplit="9" ySplit="2" topLeftCell="J3" activePane="bottomRight" state="frozen"/>
      <selection pane="topRight" activeCell="J1" sqref="J1"/>
      <selection pane="bottomLeft" activeCell="A3" sqref="A3"/>
      <selection pane="bottomRight" activeCell="B2" sqref="B2"/>
    </sheetView>
  </sheetViews>
  <sheetFormatPr defaultRowHeight="15" x14ac:dyDescent="0.25"/>
  <cols>
    <col min="1" max="1" width="13.5703125" bestFit="1" customWidth="1"/>
    <col min="2" max="2" width="30" style="160" bestFit="1" customWidth="1"/>
    <col min="3" max="3" width="9.140625" style="230" bestFit="1" customWidth="1"/>
    <col min="4" max="4" width="7" bestFit="1" customWidth="1"/>
    <col min="5" max="5" width="7.5703125" bestFit="1" customWidth="1"/>
    <col min="6" max="6" width="9.5703125" bestFit="1" customWidth="1"/>
    <col min="7" max="7" width="13.5703125" bestFit="1" customWidth="1"/>
    <col min="8" max="8" width="14" bestFit="1" customWidth="1"/>
    <col min="9" max="9" width="9.7109375" style="201" bestFit="1" customWidth="1"/>
    <col min="10" max="10" width="9.5703125" bestFit="1" customWidth="1"/>
    <col min="11" max="11" width="10.5703125" bestFit="1" customWidth="1"/>
    <col min="12" max="12" width="9.5703125" bestFit="1" customWidth="1"/>
    <col min="13" max="15" width="10.5703125" bestFit="1" customWidth="1"/>
    <col min="16" max="16" width="11.5703125" bestFit="1" customWidth="1"/>
    <col min="17" max="17" width="10.5703125" bestFit="1" customWidth="1"/>
    <col min="18" max="18" width="11.5703125" bestFit="1" customWidth="1"/>
    <col min="19" max="20" width="10.5703125" bestFit="1" customWidth="1"/>
    <col min="21" max="21" width="11.5703125" bestFit="1" customWidth="1"/>
    <col min="22" max="22" width="10.5703125" bestFit="1" customWidth="1"/>
    <col min="23" max="24" width="11.5703125" bestFit="1" customWidth="1"/>
    <col min="25" max="25" width="10.5703125" bestFit="1" customWidth="1"/>
    <col min="26" max="26" width="11.5703125" bestFit="1" customWidth="1"/>
    <col min="27" max="27" width="10.5703125" bestFit="1" customWidth="1"/>
    <col min="28" max="29" width="11.5703125" bestFit="1" customWidth="1"/>
    <col min="30" max="30" width="10.5703125" bestFit="1" customWidth="1"/>
    <col min="31" max="31" width="11.5703125" bestFit="1" customWidth="1"/>
    <col min="32" max="32" width="10.5703125" bestFit="1" customWidth="1"/>
    <col min="33" max="34" width="11.5703125" bestFit="1" customWidth="1"/>
    <col min="35" max="35" width="10.5703125" bestFit="1" customWidth="1"/>
    <col min="36" max="36" width="11.5703125" bestFit="1" customWidth="1"/>
    <col min="37" max="37" width="10.5703125" bestFit="1" customWidth="1"/>
    <col min="38" max="39" width="11.5703125" bestFit="1" customWidth="1"/>
    <col min="40" max="40" width="10.5703125" bestFit="1" customWidth="1"/>
    <col min="41" max="41" width="11.5703125" bestFit="1" customWidth="1"/>
    <col min="42" max="42" width="10.5703125" bestFit="1" customWidth="1"/>
    <col min="43" max="44" width="11.5703125" bestFit="1" customWidth="1"/>
    <col min="45" max="45" width="12.85546875" bestFit="1" customWidth="1"/>
  </cols>
  <sheetData>
    <row r="1" spans="1:46" ht="15.75" thickTop="1" x14ac:dyDescent="0.25">
      <c r="A1" s="238" t="s">
        <v>453</v>
      </c>
      <c r="B1" s="239" t="s">
        <v>259</v>
      </c>
      <c r="C1" s="240" t="s">
        <v>5</v>
      </c>
      <c r="D1" s="238" t="s">
        <v>512</v>
      </c>
      <c r="E1" s="238" t="s">
        <v>1175</v>
      </c>
      <c r="F1" s="240" t="s">
        <v>1176</v>
      </c>
      <c r="G1" s="240" t="s">
        <v>1270</v>
      </c>
      <c r="H1" s="241" t="s">
        <v>1271</v>
      </c>
      <c r="I1" s="242" t="s">
        <v>1177</v>
      </c>
      <c r="J1" s="221" t="s">
        <v>1180</v>
      </c>
      <c r="K1" s="221" t="s">
        <v>1181</v>
      </c>
      <c r="L1" s="221" t="s">
        <v>1178</v>
      </c>
      <c r="M1" s="222" t="s">
        <v>1179</v>
      </c>
      <c r="N1" s="222" t="s">
        <v>1182</v>
      </c>
      <c r="O1" s="223" t="s">
        <v>1180</v>
      </c>
      <c r="P1" s="221" t="s">
        <v>1181</v>
      </c>
      <c r="Q1" s="222" t="s">
        <v>1178</v>
      </c>
      <c r="R1" s="222" t="s">
        <v>1179</v>
      </c>
      <c r="S1" s="222" t="s">
        <v>1182</v>
      </c>
      <c r="T1" s="223" t="s">
        <v>1180</v>
      </c>
      <c r="U1" s="221" t="s">
        <v>1181</v>
      </c>
      <c r="V1" s="222" t="s">
        <v>1178</v>
      </c>
      <c r="W1" s="222" t="s">
        <v>1179</v>
      </c>
      <c r="X1" s="222" t="s">
        <v>1182</v>
      </c>
      <c r="Y1" s="223" t="s">
        <v>1180</v>
      </c>
      <c r="Z1" s="221" t="s">
        <v>1181</v>
      </c>
      <c r="AA1" s="222" t="s">
        <v>1178</v>
      </c>
      <c r="AB1" s="222" t="s">
        <v>1179</v>
      </c>
      <c r="AC1" s="222" t="s">
        <v>1182</v>
      </c>
      <c r="AD1" s="223" t="s">
        <v>1180</v>
      </c>
      <c r="AE1" s="221" t="s">
        <v>1181</v>
      </c>
      <c r="AF1" s="222" t="s">
        <v>1178</v>
      </c>
      <c r="AG1" s="222" t="s">
        <v>1179</v>
      </c>
      <c r="AH1" s="222" t="s">
        <v>1182</v>
      </c>
      <c r="AI1" s="223" t="s">
        <v>1180</v>
      </c>
      <c r="AJ1" s="221" t="s">
        <v>1181</v>
      </c>
      <c r="AK1" s="222" t="s">
        <v>1178</v>
      </c>
      <c r="AL1" s="222" t="s">
        <v>1179</v>
      </c>
      <c r="AM1" s="222" t="s">
        <v>1182</v>
      </c>
      <c r="AN1" s="223" t="s">
        <v>1180</v>
      </c>
      <c r="AO1" s="221" t="s">
        <v>1181</v>
      </c>
      <c r="AP1" s="222" t="s">
        <v>1178</v>
      </c>
      <c r="AQ1" s="222" t="s">
        <v>1179</v>
      </c>
      <c r="AR1" s="224" t="s">
        <v>1182</v>
      </c>
    </row>
    <row r="2" spans="1:46" x14ac:dyDescent="0.25">
      <c r="A2" s="230">
        <v>11</v>
      </c>
      <c r="B2" s="160" t="s">
        <v>1183</v>
      </c>
      <c r="C2" s="200">
        <v>180</v>
      </c>
      <c r="D2" s="67" t="s">
        <v>27</v>
      </c>
      <c r="E2" s="225">
        <v>33305.5</v>
      </c>
      <c r="F2" s="226">
        <v>185.03055555555557</v>
      </c>
      <c r="G2" s="220">
        <v>198</v>
      </c>
      <c r="H2" s="227">
        <v>36667.299999999996</v>
      </c>
      <c r="I2" s="232">
        <v>185.18838383838383</v>
      </c>
      <c r="J2" s="219">
        <v>0</v>
      </c>
      <c r="K2" s="219">
        <v>0</v>
      </c>
      <c r="L2" s="219">
        <v>0</v>
      </c>
      <c r="M2" s="219">
        <v>0</v>
      </c>
      <c r="N2" s="233">
        <v>0</v>
      </c>
      <c r="O2" s="219">
        <v>100</v>
      </c>
      <c r="P2" s="219">
        <v>18503.055555555555</v>
      </c>
      <c r="Q2" s="219">
        <v>108</v>
      </c>
      <c r="R2" s="219">
        <v>20034.599999999999</v>
      </c>
      <c r="S2" s="233">
        <v>18166.636363636364</v>
      </c>
      <c r="T2" s="219">
        <v>100</v>
      </c>
      <c r="U2" s="219">
        <v>18503.055555555555</v>
      </c>
      <c r="V2" s="219">
        <v>108</v>
      </c>
      <c r="W2" s="219">
        <v>20034.599999999999</v>
      </c>
      <c r="X2" s="233">
        <v>18166.636363636364</v>
      </c>
      <c r="Y2" s="219">
        <v>100</v>
      </c>
      <c r="Z2" s="219">
        <v>18503.055555555555</v>
      </c>
      <c r="AA2" s="219">
        <v>108</v>
      </c>
      <c r="AB2" s="219">
        <v>20034.599999999999</v>
      </c>
      <c r="AC2" s="233">
        <v>18166.636363636364</v>
      </c>
      <c r="AD2" s="219">
        <v>150</v>
      </c>
      <c r="AE2" s="219">
        <v>27754.583333333336</v>
      </c>
      <c r="AF2" s="219">
        <v>164</v>
      </c>
      <c r="AG2" s="219">
        <v>30386.6</v>
      </c>
      <c r="AH2" s="233">
        <v>27586.373737373739</v>
      </c>
      <c r="AI2" s="219">
        <v>165</v>
      </c>
      <c r="AJ2" s="219">
        <v>30530.041666666668</v>
      </c>
      <c r="AK2" s="219">
        <v>182</v>
      </c>
      <c r="AL2" s="219">
        <v>33608.299999999996</v>
      </c>
      <c r="AM2" s="233">
        <v>30614.14646464647</v>
      </c>
      <c r="AN2" s="219">
        <v>180</v>
      </c>
      <c r="AO2" s="219">
        <v>33305.5</v>
      </c>
      <c r="AP2" s="219">
        <v>198</v>
      </c>
      <c r="AQ2" s="219">
        <v>36667.299999999996</v>
      </c>
      <c r="AR2" s="233">
        <v>33305.5</v>
      </c>
      <c r="AS2" s="228"/>
      <c r="AT2" s="228"/>
    </row>
    <row r="3" spans="1:46" x14ac:dyDescent="0.25">
      <c r="A3" s="230">
        <v>13</v>
      </c>
      <c r="B3" s="160" t="s">
        <v>1184</v>
      </c>
      <c r="C3" s="200">
        <v>0</v>
      </c>
      <c r="D3" s="67" t="s">
        <v>49</v>
      </c>
      <c r="E3" s="225">
        <v>0</v>
      </c>
      <c r="F3" s="226">
        <v>0</v>
      </c>
      <c r="G3" s="220">
        <v>1</v>
      </c>
      <c r="H3" s="227">
        <v>4536</v>
      </c>
      <c r="I3" s="232">
        <v>4536</v>
      </c>
      <c r="J3" s="219">
        <v>0</v>
      </c>
      <c r="K3" s="219">
        <v>0</v>
      </c>
      <c r="L3" s="219">
        <v>0</v>
      </c>
      <c r="M3" s="219">
        <v>0</v>
      </c>
      <c r="N3" s="234">
        <v>0</v>
      </c>
      <c r="O3" s="219">
        <v>0</v>
      </c>
      <c r="P3" s="219">
        <v>0</v>
      </c>
      <c r="Q3" s="219">
        <v>0.5</v>
      </c>
      <c r="R3" s="219">
        <v>2430</v>
      </c>
      <c r="S3" s="234">
        <v>0</v>
      </c>
      <c r="T3" s="219">
        <v>0</v>
      </c>
      <c r="U3" s="219">
        <v>0</v>
      </c>
      <c r="V3" s="219">
        <v>0.9</v>
      </c>
      <c r="W3" s="219">
        <v>4239</v>
      </c>
      <c r="X3" s="234">
        <v>0</v>
      </c>
      <c r="Y3" s="219">
        <v>0</v>
      </c>
      <c r="Z3" s="219">
        <v>0</v>
      </c>
      <c r="AA3" s="219">
        <v>1</v>
      </c>
      <c r="AB3" s="219">
        <v>4536</v>
      </c>
      <c r="AC3" s="234">
        <v>0</v>
      </c>
      <c r="AD3" s="219">
        <v>0</v>
      </c>
      <c r="AE3" s="219">
        <v>0</v>
      </c>
      <c r="AF3" s="219">
        <v>1</v>
      </c>
      <c r="AG3" s="219">
        <v>4536</v>
      </c>
      <c r="AH3" s="234">
        <v>0</v>
      </c>
      <c r="AI3" s="219">
        <v>0</v>
      </c>
      <c r="AJ3" s="219">
        <v>0</v>
      </c>
      <c r="AK3" s="219">
        <v>1</v>
      </c>
      <c r="AL3" s="219">
        <v>4536</v>
      </c>
      <c r="AM3" s="234">
        <v>0</v>
      </c>
      <c r="AN3" s="219">
        <v>0</v>
      </c>
      <c r="AO3" s="219">
        <v>0</v>
      </c>
      <c r="AP3" s="219">
        <v>1</v>
      </c>
      <c r="AQ3" s="219">
        <v>4536</v>
      </c>
      <c r="AR3" s="234">
        <v>0</v>
      </c>
      <c r="AS3" s="228"/>
      <c r="AT3" s="228"/>
    </row>
    <row r="4" spans="1:46" x14ac:dyDescent="0.25">
      <c r="A4" s="230">
        <v>16</v>
      </c>
      <c r="B4" s="160" t="s">
        <v>279</v>
      </c>
      <c r="C4" s="200">
        <v>8</v>
      </c>
      <c r="D4" s="67" t="s">
        <v>1185</v>
      </c>
      <c r="E4" s="225">
        <v>8000</v>
      </c>
      <c r="F4" s="226">
        <v>1000</v>
      </c>
      <c r="G4" s="220">
        <v>14.4</v>
      </c>
      <c r="H4" s="227">
        <v>12966</v>
      </c>
      <c r="I4" s="232">
        <v>900.41666666666663</v>
      </c>
      <c r="J4" s="219">
        <v>0</v>
      </c>
      <c r="K4" s="219">
        <v>0</v>
      </c>
      <c r="L4" s="219">
        <v>0</v>
      </c>
      <c r="M4" s="219">
        <v>0</v>
      </c>
      <c r="N4" s="234">
        <v>0</v>
      </c>
      <c r="O4" s="219">
        <v>1</v>
      </c>
      <c r="P4" s="219">
        <v>1000</v>
      </c>
      <c r="Q4" s="219">
        <v>1</v>
      </c>
      <c r="R4" s="219">
        <v>900</v>
      </c>
      <c r="S4" s="234">
        <v>555.55555555555554</v>
      </c>
      <c r="T4" s="219">
        <v>5</v>
      </c>
      <c r="U4" s="219">
        <v>5000</v>
      </c>
      <c r="V4" s="219">
        <v>5</v>
      </c>
      <c r="W4" s="219">
        <v>4488</v>
      </c>
      <c r="X4" s="234">
        <v>2777.7777777777778</v>
      </c>
      <c r="Y4" s="219">
        <v>8</v>
      </c>
      <c r="Z4" s="219">
        <v>8000</v>
      </c>
      <c r="AA4" s="219">
        <v>8</v>
      </c>
      <c r="AB4" s="219">
        <v>7314</v>
      </c>
      <c r="AC4" s="234">
        <v>4444.4444444444443</v>
      </c>
      <c r="AD4" s="219">
        <v>8</v>
      </c>
      <c r="AE4" s="219">
        <v>8000</v>
      </c>
      <c r="AF4" s="219">
        <v>11.3</v>
      </c>
      <c r="AG4" s="219">
        <v>10140</v>
      </c>
      <c r="AH4" s="234">
        <v>6277.7777777777774</v>
      </c>
      <c r="AI4" s="219">
        <v>8</v>
      </c>
      <c r="AJ4" s="219">
        <v>8000</v>
      </c>
      <c r="AK4" s="219">
        <v>13.6</v>
      </c>
      <c r="AL4" s="219">
        <v>12259.5</v>
      </c>
      <c r="AM4" s="234">
        <v>7555.5555555555557</v>
      </c>
      <c r="AN4" s="219">
        <v>8</v>
      </c>
      <c r="AO4" s="219">
        <v>8000</v>
      </c>
      <c r="AP4" s="219">
        <v>14.4</v>
      </c>
      <c r="AQ4" s="219">
        <v>12966</v>
      </c>
      <c r="AR4" s="234">
        <v>8000</v>
      </c>
      <c r="AS4" s="228"/>
      <c r="AT4" s="228"/>
    </row>
    <row r="5" spans="1:46" x14ac:dyDescent="0.25">
      <c r="A5" s="230">
        <v>41</v>
      </c>
      <c r="B5" s="160" t="s">
        <v>1263</v>
      </c>
      <c r="C5" s="200">
        <v>1</v>
      </c>
      <c r="D5" s="67" t="s">
        <v>49</v>
      </c>
      <c r="E5" s="225">
        <v>7626.2263509467994</v>
      </c>
      <c r="F5" s="226">
        <v>7626.2263509467994</v>
      </c>
      <c r="G5" s="220">
        <v>0</v>
      </c>
      <c r="H5" s="227">
        <v>0</v>
      </c>
      <c r="I5" s="232">
        <v>0</v>
      </c>
      <c r="J5" s="219">
        <v>1</v>
      </c>
      <c r="K5" s="219">
        <v>7626.2263509467994</v>
      </c>
      <c r="L5" s="219">
        <v>0</v>
      </c>
      <c r="M5" s="219">
        <v>0</v>
      </c>
      <c r="N5" s="234">
        <v>0</v>
      </c>
      <c r="O5" s="219">
        <v>1</v>
      </c>
      <c r="P5" s="219">
        <v>7626.2263509467994</v>
      </c>
      <c r="Q5" s="219">
        <v>0</v>
      </c>
      <c r="R5" s="219">
        <v>0</v>
      </c>
      <c r="S5" s="234">
        <v>0</v>
      </c>
      <c r="T5" s="219">
        <v>1</v>
      </c>
      <c r="U5" s="219">
        <v>7626.2263509467994</v>
      </c>
      <c r="V5" s="219">
        <v>0</v>
      </c>
      <c r="W5" s="219">
        <v>0</v>
      </c>
      <c r="X5" s="234">
        <v>0</v>
      </c>
      <c r="Y5" s="219">
        <v>1</v>
      </c>
      <c r="Z5" s="219">
        <v>7626.2263509467994</v>
      </c>
      <c r="AA5" s="219">
        <v>0</v>
      </c>
      <c r="AB5" s="219">
        <v>0</v>
      </c>
      <c r="AC5" s="234">
        <v>0</v>
      </c>
      <c r="AD5" s="219">
        <v>1</v>
      </c>
      <c r="AE5" s="219">
        <v>7626.2263509467994</v>
      </c>
      <c r="AF5" s="219">
        <v>0</v>
      </c>
      <c r="AG5" s="219">
        <v>0</v>
      </c>
      <c r="AH5" s="234">
        <v>0</v>
      </c>
      <c r="AI5" s="219">
        <v>1</v>
      </c>
      <c r="AJ5" s="219">
        <v>7626.2263509467994</v>
      </c>
      <c r="AK5" s="219">
        <v>0</v>
      </c>
      <c r="AL5" s="219">
        <v>0</v>
      </c>
      <c r="AM5" s="234">
        <v>0</v>
      </c>
      <c r="AN5" s="219">
        <v>1</v>
      </c>
      <c r="AO5" s="219">
        <v>7626.2263509467994</v>
      </c>
      <c r="AP5" s="219">
        <v>0</v>
      </c>
      <c r="AQ5" s="219">
        <v>0</v>
      </c>
      <c r="AR5" s="234">
        <v>7626.2263509467994</v>
      </c>
      <c r="AS5" s="228"/>
      <c r="AT5" s="228"/>
    </row>
    <row r="6" spans="1:46" x14ac:dyDescent="0.25">
      <c r="A6" s="230">
        <v>53</v>
      </c>
      <c r="B6" s="160" t="s">
        <v>1186</v>
      </c>
      <c r="C6" s="200">
        <v>12149</v>
      </c>
      <c r="D6" s="67" t="s">
        <v>1187</v>
      </c>
      <c r="E6" s="225">
        <v>236016.49111111113</v>
      </c>
      <c r="F6" s="226">
        <v>19.426824521451241</v>
      </c>
      <c r="G6" s="220">
        <v>12149</v>
      </c>
      <c r="H6" s="227">
        <v>359268.44000000035</v>
      </c>
      <c r="I6" s="232">
        <v>29.571852827393229</v>
      </c>
      <c r="J6" s="219">
        <v>1000</v>
      </c>
      <c r="K6" s="219">
        <v>19426.824521451243</v>
      </c>
      <c r="L6" s="219">
        <v>903</v>
      </c>
      <c r="M6" s="219">
        <v>27908.579999999998</v>
      </c>
      <c r="N6" s="234">
        <v>17542.42254287047</v>
      </c>
      <c r="O6" s="219">
        <v>4034</v>
      </c>
      <c r="P6" s="219">
        <v>78367.810119534304</v>
      </c>
      <c r="Q6" s="219">
        <v>3747</v>
      </c>
      <c r="R6" s="219">
        <v>124092.31999999992</v>
      </c>
      <c r="S6" s="234">
        <v>72792.311481877798</v>
      </c>
      <c r="T6" s="219">
        <v>9615</v>
      </c>
      <c r="U6" s="219">
        <v>186788.9177737537</v>
      </c>
      <c r="V6" s="219">
        <v>8854</v>
      </c>
      <c r="W6" s="219">
        <v>215681.595</v>
      </c>
      <c r="X6" s="234">
        <v>172005.1043129293</v>
      </c>
      <c r="Y6" s="219">
        <v>10000</v>
      </c>
      <c r="Z6" s="219">
        <v>194268.24521451243</v>
      </c>
      <c r="AA6" s="219">
        <v>9946</v>
      </c>
      <c r="AB6" s="219">
        <v>252038.68000000011</v>
      </c>
      <c r="AC6" s="234">
        <v>193219.19669035403</v>
      </c>
      <c r="AD6" s="219">
        <v>11878</v>
      </c>
      <c r="AE6" s="219">
        <v>230751.82166579785</v>
      </c>
      <c r="AF6" s="219">
        <v>11000</v>
      </c>
      <c r="AG6" s="219">
        <v>319105.30000000028</v>
      </c>
      <c r="AH6" s="234">
        <v>213695.06973596365</v>
      </c>
      <c r="AI6" s="219">
        <v>12149</v>
      </c>
      <c r="AJ6" s="219">
        <v>236016.49111111113</v>
      </c>
      <c r="AK6" s="219">
        <v>12149</v>
      </c>
      <c r="AL6" s="219">
        <v>359268.44000000035</v>
      </c>
      <c r="AM6" s="234">
        <v>236016.49111111113</v>
      </c>
      <c r="AN6" s="219">
        <v>12149</v>
      </c>
      <c r="AO6" s="219">
        <v>236016.49111111113</v>
      </c>
      <c r="AP6" s="219">
        <v>12149</v>
      </c>
      <c r="AQ6" s="219">
        <v>359268.44000000035</v>
      </c>
      <c r="AR6" s="234">
        <v>236016.49111111113</v>
      </c>
      <c r="AS6" s="228"/>
      <c r="AT6" s="228"/>
    </row>
    <row r="7" spans="1:46" x14ac:dyDescent="0.25">
      <c r="A7" s="230">
        <v>57</v>
      </c>
      <c r="B7" s="160" t="s">
        <v>1188</v>
      </c>
      <c r="C7" s="200">
        <v>2378</v>
      </c>
      <c r="D7" s="67" t="s">
        <v>1187</v>
      </c>
      <c r="E7" s="225">
        <v>162992.62595679157</v>
      </c>
      <c r="F7" s="226">
        <v>68.541894851468285</v>
      </c>
      <c r="G7" s="220">
        <v>2378</v>
      </c>
      <c r="H7" s="227">
        <v>36487.555</v>
      </c>
      <c r="I7" s="232">
        <v>15.343799411269975</v>
      </c>
      <c r="J7" s="219">
        <v>0</v>
      </c>
      <c r="K7" s="219">
        <v>0</v>
      </c>
      <c r="L7" s="219">
        <v>0</v>
      </c>
      <c r="M7" s="219">
        <v>0</v>
      </c>
      <c r="N7" s="234">
        <v>0</v>
      </c>
      <c r="O7" s="219">
        <v>34</v>
      </c>
      <c r="P7" s="219">
        <v>2330.4244249499216</v>
      </c>
      <c r="Q7" s="219">
        <v>34</v>
      </c>
      <c r="R7" s="219">
        <v>521.85</v>
      </c>
      <c r="S7" s="234">
        <v>2330.4244249499216</v>
      </c>
      <c r="T7" s="219">
        <v>1615</v>
      </c>
      <c r="U7" s="219">
        <v>110695.16018512128</v>
      </c>
      <c r="V7" s="219">
        <v>1613</v>
      </c>
      <c r="W7" s="219">
        <v>23166.375000000007</v>
      </c>
      <c r="X7" s="234">
        <v>110558.07639541835</v>
      </c>
      <c r="Y7" s="219">
        <v>2000</v>
      </c>
      <c r="Z7" s="219">
        <v>137083.78970293657</v>
      </c>
      <c r="AA7" s="219">
        <v>2002</v>
      </c>
      <c r="AB7" s="219">
        <v>27665.145000000004</v>
      </c>
      <c r="AC7" s="234">
        <v>137220.87349263951</v>
      </c>
      <c r="AD7" s="219">
        <v>2378</v>
      </c>
      <c r="AE7" s="219">
        <v>162992.62595679157</v>
      </c>
      <c r="AF7" s="219">
        <v>2100</v>
      </c>
      <c r="AG7" s="219">
        <v>28898.625000000004</v>
      </c>
      <c r="AH7" s="234">
        <v>143937.97918808341</v>
      </c>
      <c r="AI7" s="219">
        <v>2378</v>
      </c>
      <c r="AJ7" s="219">
        <v>162992.62595679157</v>
      </c>
      <c r="AK7" s="219">
        <v>2378</v>
      </c>
      <c r="AL7" s="219">
        <v>36487.555</v>
      </c>
      <c r="AM7" s="234">
        <v>162992.62595679157</v>
      </c>
      <c r="AN7" s="219">
        <v>2378</v>
      </c>
      <c r="AO7" s="219">
        <v>162992.62595679157</v>
      </c>
      <c r="AP7" s="219">
        <v>2378</v>
      </c>
      <c r="AQ7" s="219">
        <v>36487.555</v>
      </c>
      <c r="AR7" s="234">
        <v>162992.62595679157</v>
      </c>
      <c r="AS7" s="228"/>
      <c r="AT7" s="228"/>
    </row>
    <row r="8" spans="1:46" x14ac:dyDescent="0.25">
      <c r="A8" s="230">
        <v>61</v>
      </c>
      <c r="B8" s="160" t="s">
        <v>1189</v>
      </c>
      <c r="C8" s="200">
        <v>25482</v>
      </c>
      <c r="D8" s="67" t="s">
        <v>112</v>
      </c>
      <c r="E8" s="225">
        <v>131922.97909325117</v>
      </c>
      <c r="F8" s="226">
        <v>5.1771045872871504</v>
      </c>
      <c r="G8" s="220">
        <v>25482</v>
      </c>
      <c r="H8" s="227">
        <v>3483.915</v>
      </c>
      <c r="I8" s="232">
        <v>0.13672062632446433</v>
      </c>
      <c r="J8" s="219">
        <v>0</v>
      </c>
      <c r="K8" s="219">
        <v>0</v>
      </c>
      <c r="L8" s="219">
        <v>0</v>
      </c>
      <c r="M8" s="219">
        <v>0</v>
      </c>
      <c r="N8" s="234">
        <v>0</v>
      </c>
      <c r="O8" s="219">
        <v>15000</v>
      </c>
      <c r="P8" s="219">
        <v>77656.568809307253</v>
      </c>
      <c r="Q8" s="219">
        <v>17000</v>
      </c>
      <c r="R8" s="219">
        <v>2508.2999999999997</v>
      </c>
      <c r="S8" s="234">
        <v>88010.777983881562</v>
      </c>
      <c r="T8" s="219">
        <v>25482</v>
      </c>
      <c r="U8" s="219">
        <v>131922.97909325117</v>
      </c>
      <c r="V8" s="219">
        <v>23500</v>
      </c>
      <c r="W8" s="219">
        <v>3236.39</v>
      </c>
      <c r="X8" s="234">
        <v>121661.95780124803</v>
      </c>
      <c r="Y8" s="219">
        <v>25482</v>
      </c>
      <c r="Z8" s="219">
        <v>131922.97909325117</v>
      </c>
      <c r="AA8" s="219">
        <v>23500</v>
      </c>
      <c r="AB8" s="219">
        <v>3236.39</v>
      </c>
      <c r="AC8" s="234">
        <v>121661.95780124803</v>
      </c>
      <c r="AD8" s="219">
        <v>25482</v>
      </c>
      <c r="AE8" s="219">
        <v>131922.97909325117</v>
      </c>
      <c r="AF8" s="219">
        <v>25482</v>
      </c>
      <c r="AG8" s="219">
        <v>3483.915</v>
      </c>
      <c r="AH8" s="234">
        <v>131922.97909325117</v>
      </c>
      <c r="AI8" s="219">
        <v>25482</v>
      </c>
      <c r="AJ8" s="219">
        <v>131922.97909325117</v>
      </c>
      <c r="AK8" s="219">
        <v>25482</v>
      </c>
      <c r="AL8" s="219">
        <v>3483.915</v>
      </c>
      <c r="AM8" s="234">
        <v>131922.97909325117</v>
      </c>
      <c r="AN8" s="219">
        <v>25482</v>
      </c>
      <c r="AO8" s="219">
        <v>131922.97909325117</v>
      </c>
      <c r="AP8" s="219">
        <v>25482</v>
      </c>
      <c r="AQ8" s="219">
        <v>3483.915</v>
      </c>
      <c r="AR8" s="234">
        <v>131922.97909325117</v>
      </c>
      <c r="AS8" s="228"/>
      <c r="AT8" s="228"/>
    </row>
    <row r="9" spans="1:46" x14ac:dyDescent="0.25">
      <c r="A9" s="230">
        <v>62</v>
      </c>
      <c r="B9" s="160" t="s">
        <v>1190</v>
      </c>
      <c r="C9" s="200">
        <v>24591</v>
      </c>
      <c r="D9" s="67" t="s">
        <v>1191</v>
      </c>
      <c r="E9" s="225">
        <v>408944.87001544505</v>
      </c>
      <c r="F9" s="226">
        <v>16.629859298745274</v>
      </c>
      <c r="G9" s="220">
        <v>9844</v>
      </c>
      <c r="H9" s="227">
        <v>112261.32000000008</v>
      </c>
      <c r="I9" s="232">
        <v>11.404034945144259</v>
      </c>
      <c r="J9" s="219">
        <v>1100</v>
      </c>
      <c r="K9" s="219">
        <v>18292.845228619801</v>
      </c>
      <c r="L9" s="219">
        <v>0</v>
      </c>
      <c r="M9" s="219">
        <v>0</v>
      </c>
      <c r="N9" s="234">
        <v>0</v>
      </c>
      <c r="O9" s="219">
        <v>6750</v>
      </c>
      <c r="P9" s="219">
        <v>112251.5502665306</v>
      </c>
      <c r="Q9" s="219">
        <v>1250</v>
      </c>
      <c r="R9" s="219">
        <v>16948.919999999998</v>
      </c>
      <c r="S9" s="234">
        <v>51928.188492412257</v>
      </c>
      <c r="T9" s="219">
        <v>15000</v>
      </c>
      <c r="U9" s="219">
        <v>249447.8894811791</v>
      </c>
      <c r="V9" s="219">
        <v>4500</v>
      </c>
      <c r="W9" s="219">
        <v>57164.454999999987</v>
      </c>
      <c r="X9" s="234">
        <v>186941.47857268414</v>
      </c>
      <c r="Y9" s="219">
        <v>19401</v>
      </c>
      <c r="Z9" s="219">
        <v>322635.90025495703</v>
      </c>
      <c r="AA9" s="219">
        <v>6000</v>
      </c>
      <c r="AB9" s="219">
        <v>72503.555000000008</v>
      </c>
      <c r="AC9" s="234">
        <v>249255.30476357884</v>
      </c>
      <c r="AD9" s="219">
        <v>20401</v>
      </c>
      <c r="AE9" s="219">
        <v>339265.75955370232</v>
      </c>
      <c r="AF9" s="219">
        <v>7500</v>
      </c>
      <c r="AG9" s="219">
        <v>78440.565000000031</v>
      </c>
      <c r="AH9" s="234">
        <v>311569.13095447351</v>
      </c>
      <c r="AI9" s="219">
        <v>24591</v>
      </c>
      <c r="AJ9" s="219">
        <v>408944.87001544505</v>
      </c>
      <c r="AK9" s="219">
        <v>9844</v>
      </c>
      <c r="AL9" s="219">
        <v>107704.35000000006</v>
      </c>
      <c r="AM9" s="234">
        <v>408944.87001544505</v>
      </c>
      <c r="AN9" s="219">
        <v>24591</v>
      </c>
      <c r="AO9" s="219">
        <v>408944.87001544505</v>
      </c>
      <c r="AP9" s="219">
        <v>9844</v>
      </c>
      <c r="AQ9" s="219">
        <v>112261.32000000008</v>
      </c>
      <c r="AR9" s="234">
        <v>408944.87001544505</v>
      </c>
      <c r="AS9" s="228"/>
      <c r="AT9" s="228"/>
    </row>
    <row r="10" spans="1:46" x14ac:dyDescent="0.25">
      <c r="A10" s="230">
        <v>63</v>
      </c>
      <c r="B10" s="160" t="s">
        <v>1192</v>
      </c>
      <c r="C10" s="200">
        <v>29554</v>
      </c>
      <c r="D10" s="67" t="s">
        <v>112</v>
      </c>
      <c r="E10" s="225">
        <v>64324.169312169317</v>
      </c>
      <c r="F10" s="226">
        <v>2.1764962208895349</v>
      </c>
      <c r="G10" s="220">
        <v>29554</v>
      </c>
      <c r="H10" s="227">
        <v>31078.215000000011</v>
      </c>
      <c r="I10" s="232">
        <v>1.051573898626244</v>
      </c>
      <c r="J10" s="219">
        <v>0</v>
      </c>
      <c r="K10" s="219">
        <v>0</v>
      </c>
      <c r="L10" s="219">
        <v>0</v>
      </c>
      <c r="M10" s="219">
        <v>0</v>
      </c>
      <c r="N10" s="234">
        <v>0</v>
      </c>
      <c r="O10" s="219">
        <v>0</v>
      </c>
      <c r="P10" s="219">
        <v>0</v>
      </c>
      <c r="Q10" s="219">
        <v>0</v>
      </c>
      <c r="R10" s="219">
        <v>0</v>
      </c>
      <c r="S10" s="234">
        <v>0</v>
      </c>
      <c r="T10" s="219">
        <v>15000</v>
      </c>
      <c r="U10" s="219">
        <v>32647.443313343025</v>
      </c>
      <c r="V10" s="219">
        <v>15000</v>
      </c>
      <c r="W10" s="219">
        <v>3857.2</v>
      </c>
      <c r="X10" s="234">
        <v>32647.443313343028</v>
      </c>
      <c r="Y10" s="219">
        <v>23650</v>
      </c>
      <c r="Z10" s="219">
        <v>51474.135624037503</v>
      </c>
      <c r="AA10" s="219">
        <v>20850</v>
      </c>
      <c r="AB10" s="219">
        <v>25586.235000000008</v>
      </c>
      <c r="AC10" s="234">
        <v>45379.946205546803</v>
      </c>
      <c r="AD10" s="219">
        <v>23650</v>
      </c>
      <c r="AE10" s="219">
        <v>51474.135624037503</v>
      </c>
      <c r="AF10" s="219">
        <v>20850</v>
      </c>
      <c r="AG10" s="219">
        <v>25856.235000000008</v>
      </c>
      <c r="AH10" s="234">
        <v>45379.946205546803</v>
      </c>
      <c r="AI10" s="219">
        <v>29554</v>
      </c>
      <c r="AJ10" s="219">
        <v>64324.169312169317</v>
      </c>
      <c r="AK10" s="219">
        <v>29554</v>
      </c>
      <c r="AL10" s="219">
        <v>31078.215000000011</v>
      </c>
      <c r="AM10" s="234">
        <v>64324.169312169317</v>
      </c>
      <c r="AN10" s="219">
        <v>29554</v>
      </c>
      <c r="AO10" s="219">
        <v>64324.169312169317</v>
      </c>
      <c r="AP10" s="219">
        <v>29554</v>
      </c>
      <c r="AQ10" s="219">
        <v>31078.215000000011</v>
      </c>
      <c r="AR10" s="234">
        <v>64324.169312169317</v>
      </c>
      <c r="AS10" s="228"/>
      <c r="AT10" s="228"/>
    </row>
    <row r="11" spans="1:46" ht="30" x14ac:dyDescent="0.25">
      <c r="A11" s="230">
        <v>64</v>
      </c>
      <c r="B11" s="160" t="s">
        <v>1193</v>
      </c>
      <c r="C11" s="200">
        <v>59019</v>
      </c>
      <c r="D11" s="67" t="s">
        <v>112</v>
      </c>
      <c r="E11" s="225">
        <v>430929.69264423073</v>
      </c>
      <c r="F11" s="226">
        <v>7.3015417517109871</v>
      </c>
      <c r="G11" s="220">
        <v>59019</v>
      </c>
      <c r="H11" s="227">
        <v>358171.69800000003</v>
      </c>
      <c r="I11" s="232">
        <v>6.0687524017689221</v>
      </c>
      <c r="J11" s="219">
        <v>0</v>
      </c>
      <c r="K11" s="219">
        <v>0</v>
      </c>
      <c r="L11" s="219">
        <v>0</v>
      </c>
      <c r="M11" s="219">
        <v>0</v>
      </c>
      <c r="N11" s="234">
        <v>0</v>
      </c>
      <c r="O11" s="219">
        <v>0</v>
      </c>
      <c r="P11" s="219">
        <v>0</v>
      </c>
      <c r="Q11" s="219">
        <v>0</v>
      </c>
      <c r="R11" s="219">
        <v>0</v>
      </c>
      <c r="S11" s="234">
        <v>0</v>
      </c>
      <c r="T11" s="219">
        <v>27000</v>
      </c>
      <c r="U11" s="219">
        <v>197141.62729619665</v>
      </c>
      <c r="V11" s="219">
        <v>26911</v>
      </c>
      <c r="W11" s="219">
        <v>144776.32000000001</v>
      </c>
      <c r="X11" s="234">
        <v>196491.79008029436</v>
      </c>
      <c r="Y11" s="219">
        <v>43000</v>
      </c>
      <c r="Z11" s="219">
        <v>313966.29532357247</v>
      </c>
      <c r="AA11" s="219">
        <v>43316</v>
      </c>
      <c r="AB11" s="219">
        <v>238241.24199999994</v>
      </c>
      <c r="AC11" s="234">
        <v>316273.58251711313</v>
      </c>
      <c r="AD11" s="219">
        <v>48000</v>
      </c>
      <c r="AE11" s="219">
        <v>350474.00408212736</v>
      </c>
      <c r="AF11" s="219">
        <v>47300</v>
      </c>
      <c r="AG11" s="219">
        <v>260384.72699999993</v>
      </c>
      <c r="AH11" s="234">
        <v>345362.92485592968</v>
      </c>
      <c r="AI11" s="219">
        <v>59019</v>
      </c>
      <c r="AJ11" s="219">
        <v>430929.69264423073</v>
      </c>
      <c r="AK11" s="219">
        <v>53800</v>
      </c>
      <c r="AL11" s="219">
        <v>309481.99399999983</v>
      </c>
      <c r="AM11" s="234">
        <v>392822.94624205108</v>
      </c>
      <c r="AN11" s="219">
        <v>59019</v>
      </c>
      <c r="AO11" s="219">
        <v>430929.69264423073</v>
      </c>
      <c r="AP11" s="219">
        <v>59019</v>
      </c>
      <c r="AQ11" s="219">
        <v>358171.69800000003</v>
      </c>
      <c r="AR11" s="234">
        <v>430929.69264423073</v>
      </c>
      <c r="AS11" s="228"/>
      <c r="AT11" s="228"/>
    </row>
    <row r="12" spans="1:46" x14ac:dyDescent="0.25">
      <c r="A12" s="230">
        <v>65</v>
      </c>
      <c r="B12" s="160" t="s">
        <v>1194</v>
      </c>
      <c r="C12" s="200">
        <v>20</v>
      </c>
      <c r="D12" s="67" t="s">
        <v>1191</v>
      </c>
      <c r="E12" s="225">
        <v>25937.5</v>
      </c>
      <c r="F12" s="226">
        <v>1296.875</v>
      </c>
      <c r="G12" s="220">
        <v>2</v>
      </c>
      <c r="H12" s="227">
        <v>500.6</v>
      </c>
      <c r="I12" s="232">
        <v>250.3</v>
      </c>
      <c r="J12" s="219">
        <v>0</v>
      </c>
      <c r="K12" s="219">
        <v>0</v>
      </c>
      <c r="L12" s="219">
        <v>0</v>
      </c>
      <c r="M12" s="219">
        <v>0</v>
      </c>
      <c r="N12" s="234">
        <v>0</v>
      </c>
      <c r="O12" s="219">
        <v>0</v>
      </c>
      <c r="P12" s="219">
        <v>0</v>
      </c>
      <c r="Q12" s="219">
        <v>0</v>
      </c>
      <c r="R12" s="219">
        <v>0</v>
      </c>
      <c r="S12" s="234">
        <v>0</v>
      </c>
      <c r="T12" s="219">
        <v>0</v>
      </c>
      <c r="U12" s="219">
        <v>0</v>
      </c>
      <c r="V12" s="219">
        <v>0</v>
      </c>
      <c r="W12" s="219">
        <v>0</v>
      </c>
      <c r="X12" s="234">
        <v>0</v>
      </c>
      <c r="Y12" s="219">
        <v>0</v>
      </c>
      <c r="Z12" s="219">
        <v>0</v>
      </c>
      <c r="AA12" s="219">
        <v>0</v>
      </c>
      <c r="AB12" s="219">
        <v>0</v>
      </c>
      <c r="AC12" s="234">
        <v>0</v>
      </c>
      <c r="AD12" s="219">
        <v>0</v>
      </c>
      <c r="AE12" s="219">
        <v>0</v>
      </c>
      <c r="AF12" s="219">
        <v>0</v>
      </c>
      <c r="AG12" s="219">
        <v>0</v>
      </c>
      <c r="AH12" s="234">
        <v>0</v>
      </c>
      <c r="AI12" s="219">
        <v>20</v>
      </c>
      <c r="AJ12" s="219">
        <v>25937.5</v>
      </c>
      <c r="AK12" s="219">
        <v>2</v>
      </c>
      <c r="AL12" s="219">
        <v>500.6</v>
      </c>
      <c r="AM12" s="234">
        <v>25937.5</v>
      </c>
      <c r="AN12" s="219">
        <v>20</v>
      </c>
      <c r="AO12" s="219">
        <v>25937.5</v>
      </c>
      <c r="AP12" s="219">
        <v>2</v>
      </c>
      <c r="AQ12" s="219">
        <v>500.6</v>
      </c>
      <c r="AR12" s="234">
        <v>25937.5</v>
      </c>
      <c r="AS12" s="228"/>
      <c r="AT12" s="228"/>
    </row>
    <row r="13" spans="1:46" x14ac:dyDescent="0.25">
      <c r="A13" s="230">
        <v>67</v>
      </c>
      <c r="B13" s="160" t="s">
        <v>1195</v>
      </c>
      <c r="C13" s="200">
        <v>1</v>
      </c>
      <c r="D13" s="67" t="s">
        <v>49</v>
      </c>
      <c r="E13" s="225">
        <v>6094</v>
      </c>
      <c r="F13" s="226">
        <v>6094</v>
      </c>
      <c r="G13" s="220">
        <v>1</v>
      </c>
      <c r="H13" s="227">
        <v>3719.88</v>
      </c>
      <c r="I13" s="232">
        <v>3719.88</v>
      </c>
      <c r="J13" s="219">
        <v>0</v>
      </c>
      <c r="K13" s="219">
        <v>0</v>
      </c>
      <c r="L13" s="219">
        <v>0</v>
      </c>
      <c r="M13" s="219">
        <v>0</v>
      </c>
      <c r="N13" s="234">
        <v>0</v>
      </c>
      <c r="O13" s="219">
        <v>0.1</v>
      </c>
      <c r="P13" s="219">
        <v>609.4</v>
      </c>
      <c r="Q13" s="219">
        <v>0.1</v>
      </c>
      <c r="R13" s="219">
        <v>448.42</v>
      </c>
      <c r="S13" s="234">
        <v>609.4</v>
      </c>
      <c r="T13" s="219">
        <v>0.2</v>
      </c>
      <c r="U13" s="219">
        <v>1218.8</v>
      </c>
      <c r="V13" s="219">
        <v>0.2</v>
      </c>
      <c r="W13" s="219">
        <v>681.96</v>
      </c>
      <c r="X13" s="234">
        <v>1218.8</v>
      </c>
      <c r="Y13" s="219">
        <v>0.7</v>
      </c>
      <c r="Z13" s="219">
        <v>4265.8</v>
      </c>
      <c r="AA13" s="219">
        <v>0.7</v>
      </c>
      <c r="AB13" s="219">
        <v>2668.4399999999996</v>
      </c>
      <c r="AC13" s="234">
        <v>4265.8</v>
      </c>
      <c r="AD13" s="219"/>
      <c r="AE13" s="219">
        <v>0</v>
      </c>
      <c r="AF13" s="219">
        <v>0.7</v>
      </c>
      <c r="AG13" s="219">
        <v>2724.49</v>
      </c>
      <c r="AH13" s="234">
        <v>4265.8</v>
      </c>
      <c r="AI13" s="219">
        <v>1</v>
      </c>
      <c r="AJ13" s="219">
        <v>6094</v>
      </c>
      <c r="AK13" s="219">
        <v>1</v>
      </c>
      <c r="AL13" s="219">
        <v>3719.88</v>
      </c>
      <c r="AM13" s="234">
        <v>6094</v>
      </c>
      <c r="AN13" s="219">
        <v>1</v>
      </c>
      <c r="AO13" s="219">
        <v>6094</v>
      </c>
      <c r="AP13" s="219">
        <v>1</v>
      </c>
      <c r="AQ13" s="219">
        <v>3719.88</v>
      </c>
      <c r="AR13" s="234">
        <v>6094</v>
      </c>
      <c r="AS13" s="228"/>
      <c r="AT13" s="228"/>
    </row>
    <row r="14" spans="1:46" x14ac:dyDescent="0.25">
      <c r="A14" s="230">
        <v>72</v>
      </c>
      <c r="B14" s="160" t="s">
        <v>1196</v>
      </c>
      <c r="C14" s="200">
        <v>31.2</v>
      </c>
      <c r="D14" s="67" t="s">
        <v>1197</v>
      </c>
      <c r="E14" s="225">
        <v>2200</v>
      </c>
      <c r="F14" s="226">
        <v>70.512820512820511</v>
      </c>
      <c r="G14" s="220">
        <v>31.2</v>
      </c>
      <c r="H14" s="227">
        <v>12781.13</v>
      </c>
      <c r="I14" s="232">
        <v>409.65160256410257</v>
      </c>
      <c r="J14" s="219">
        <v>0</v>
      </c>
      <c r="K14" s="219">
        <v>0</v>
      </c>
      <c r="L14" s="219">
        <v>0</v>
      </c>
      <c r="M14" s="219">
        <v>0</v>
      </c>
      <c r="N14" s="234">
        <v>0</v>
      </c>
      <c r="O14" s="219">
        <v>0</v>
      </c>
      <c r="P14" s="219">
        <v>0</v>
      </c>
      <c r="Q14" s="219">
        <v>0</v>
      </c>
      <c r="R14" s="219">
        <v>0</v>
      </c>
      <c r="S14" s="234">
        <v>0</v>
      </c>
      <c r="T14" s="219">
        <v>0</v>
      </c>
      <c r="U14" s="219">
        <v>0</v>
      </c>
      <c r="V14" s="219">
        <v>0</v>
      </c>
      <c r="W14" s="219">
        <v>0</v>
      </c>
      <c r="X14" s="234">
        <v>0</v>
      </c>
      <c r="Y14" s="219">
        <v>0</v>
      </c>
      <c r="Z14" s="219">
        <v>0</v>
      </c>
      <c r="AA14" s="219">
        <v>0</v>
      </c>
      <c r="AB14" s="219">
        <v>0</v>
      </c>
      <c r="AC14" s="234">
        <v>0</v>
      </c>
      <c r="AD14" s="219">
        <v>0</v>
      </c>
      <c r="AE14" s="219">
        <v>0</v>
      </c>
      <c r="AF14" s="219">
        <v>0</v>
      </c>
      <c r="AG14" s="219">
        <v>0</v>
      </c>
      <c r="AH14" s="234">
        <v>0</v>
      </c>
      <c r="AI14" s="219">
        <v>31.2</v>
      </c>
      <c r="AJ14" s="219">
        <v>2200</v>
      </c>
      <c r="AK14" s="219">
        <v>31.2</v>
      </c>
      <c r="AL14" s="219">
        <v>12781.13</v>
      </c>
      <c r="AM14" s="234">
        <v>2200</v>
      </c>
      <c r="AN14" s="219">
        <v>31.2</v>
      </c>
      <c r="AO14" s="219">
        <v>2200</v>
      </c>
      <c r="AP14" s="219">
        <v>31.2</v>
      </c>
      <c r="AQ14" s="219">
        <v>12781.13</v>
      </c>
      <c r="AR14" s="234">
        <v>2200</v>
      </c>
      <c r="AS14" s="228"/>
      <c r="AT14" s="228"/>
    </row>
    <row r="15" spans="1:46" x14ac:dyDescent="0.25">
      <c r="A15" s="230">
        <v>81</v>
      </c>
      <c r="B15" s="160" t="s">
        <v>1264</v>
      </c>
      <c r="C15" s="200">
        <v>1</v>
      </c>
      <c r="D15" s="67" t="s">
        <v>49</v>
      </c>
      <c r="E15" s="225">
        <v>4246.9385307346329</v>
      </c>
      <c r="F15" s="226">
        <v>4246.9385307346329</v>
      </c>
      <c r="G15" s="220">
        <v>0</v>
      </c>
      <c r="H15" s="227">
        <v>0</v>
      </c>
      <c r="I15" s="232">
        <v>0</v>
      </c>
      <c r="J15" s="219">
        <v>0</v>
      </c>
      <c r="K15" s="219">
        <v>0</v>
      </c>
      <c r="L15" s="219">
        <v>0</v>
      </c>
      <c r="M15" s="219">
        <v>0</v>
      </c>
      <c r="N15" s="234">
        <v>0</v>
      </c>
      <c r="O15" s="219">
        <v>1</v>
      </c>
      <c r="P15" s="219">
        <v>4246.9385307346329</v>
      </c>
      <c r="Q15" s="219">
        <v>0</v>
      </c>
      <c r="R15" s="219">
        <v>0</v>
      </c>
      <c r="S15" s="234">
        <v>0</v>
      </c>
      <c r="T15" s="219">
        <v>1</v>
      </c>
      <c r="U15" s="219">
        <v>4246.9385307346329</v>
      </c>
      <c r="V15" s="219">
        <v>0</v>
      </c>
      <c r="W15" s="219">
        <v>0</v>
      </c>
      <c r="X15" s="234">
        <v>0</v>
      </c>
      <c r="Y15" s="219">
        <v>1</v>
      </c>
      <c r="Z15" s="219">
        <v>4246.9385307346329</v>
      </c>
      <c r="AA15" s="219">
        <v>0</v>
      </c>
      <c r="AB15" s="219">
        <v>0</v>
      </c>
      <c r="AC15" s="234">
        <v>0</v>
      </c>
      <c r="AD15" s="219">
        <v>1</v>
      </c>
      <c r="AE15" s="219">
        <v>4246.9385307346329</v>
      </c>
      <c r="AF15" s="219">
        <v>0</v>
      </c>
      <c r="AG15" s="219">
        <v>0</v>
      </c>
      <c r="AH15" s="234">
        <v>0</v>
      </c>
      <c r="AI15" s="219">
        <v>1</v>
      </c>
      <c r="AJ15" s="219">
        <v>4246.9385307346329</v>
      </c>
      <c r="AK15" s="219">
        <v>0</v>
      </c>
      <c r="AL15" s="219">
        <v>0</v>
      </c>
      <c r="AM15" s="234">
        <v>0</v>
      </c>
      <c r="AN15" s="219">
        <v>1</v>
      </c>
      <c r="AO15" s="219">
        <v>4246.9385307346329</v>
      </c>
      <c r="AP15" s="219">
        <v>0</v>
      </c>
      <c r="AQ15" s="219">
        <v>0</v>
      </c>
      <c r="AR15" s="234">
        <v>4246.9385307346329</v>
      </c>
      <c r="AS15" s="228"/>
      <c r="AT15" s="228"/>
    </row>
    <row r="16" spans="1:46" x14ac:dyDescent="0.25">
      <c r="A16" s="230">
        <v>82</v>
      </c>
      <c r="B16" s="160" t="s">
        <v>1265</v>
      </c>
      <c r="C16" s="200">
        <v>1</v>
      </c>
      <c r="D16" s="67" t="s">
        <v>49</v>
      </c>
      <c r="E16" s="225">
        <v>8332.2857023333509</v>
      </c>
      <c r="F16" s="226">
        <v>8332.2857023333509</v>
      </c>
      <c r="G16" s="220">
        <v>0</v>
      </c>
      <c r="H16" s="227">
        <v>0</v>
      </c>
      <c r="I16" s="232">
        <v>0</v>
      </c>
      <c r="J16" s="219">
        <v>0</v>
      </c>
      <c r="K16" s="219">
        <v>0</v>
      </c>
      <c r="L16" s="219">
        <v>0</v>
      </c>
      <c r="M16" s="219">
        <v>0</v>
      </c>
      <c r="N16" s="234">
        <v>0</v>
      </c>
      <c r="O16" s="219">
        <v>1</v>
      </c>
      <c r="P16" s="219">
        <v>8332.2857023333509</v>
      </c>
      <c r="Q16" s="219">
        <v>0</v>
      </c>
      <c r="R16" s="219">
        <v>0</v>
      </c>
      <c r="S16" s="234">
        <v>0</v>
      </c>
      <c r="T16" s="219">
        <v>1</v>
      </c>
      <c r="U16" s="219">
        <v>8332.2857023333509</v>
      </c>
      <c r="V16" s="219">
        <v>0</v>
      </c>
      <c r="W16" s="219">
        <v>0</v>
      </c>
      <c r="X16" s="234">
        <v>0</v>
      </c>
      <c r="Y16" s="219">
        <v>1</v>
      </c>
      <c r="Z16" s="219">
        <v>8332.2857023333509</v>
      </c>
      <c r="AA16" s="219">
        <v>0</v>
      </c>
      <c r="AB16" s="219">
        <v>0</v>
      </c>
      <c r="AC16" s="234">
        <v>0</v>
      </c>
      <c r="AD16" s="219">
        <v>1</v>
      </c>
      <c r="AE16" s="219">
        <v>8332.2857023333509</v>
      </c>
      <c r="AF16" s="219">
        <v>0</v>
      </c>
      <c r="AG16" s="219">
        <v>0</v>
      </c>
      <c r="AH16" s="234">
        <v>0</v>
      </c>
      <c r="AI16" s="219">
        <v>1</v>
      </c>
      <c r="AJ16" s="219">
        <v>8332.2857023333509</v>
      </c>
      <c r="AK16" s="219">
        <v>0</v>
      </c>
      <c r="AL16" s="219">
        <v>0</v>
      </c>
      <c r="AM16" s="234">
        <v>0</v>
      </c>
      <c r="AN16" s="219">
        <v>1</v>
      </c>
      <c r="AO16" s="219">
        <v>8332.2857023333509</v>
      </c>
      <c r="AP16" s="219">
        <v>0</v>
      </c>
      <c r="AQ16" s="219">
        <v>0</v>
      </c>
      <c r="AR16" s="234">
        <v>8332.2857023333509</v>
      </c>
      <c r="AS16" s="228"/>
      <c r="AT16" s="228"/>
    </row>
    <row r="17" spans="1:46" x14ac:dyDescent="0.25">
      <c r="A17" s="230">
        <v>88</v>
      </c>
      <c r="B17" s="160" t="s">
        <v>1198</v>
      </c>
      <c r="C17" s="200">
        <v>141</v>
      </c>
      <c r="D17" s="67" t="s">
        <v>1187</v>
      </c>
      <c r="E17" s="225">
        <v>53447.892187500001</v>
      </c>
      <c r="F17" s="226">
        <v>379.06306515957448</v>
      </c>
      <c r="G17" s="220">
        <v>141</v>
      </c>
      <c r="H17" s="227">
        <v>11515.392499999998</v>
      </c>
      <c r="I17" s="232">
        <v>81.669450354609921</v>
      </c>
      <c r="J17" s="219">
        <v>0</v>
      </c>
      <c r="K17" s="219">
        <v>0</v>
      </c>
      <c r="L17" s="219">
        <v>0</v>
      </c>
      <c r="M17" s="219">
        <v>0</v>
      </c>
      <c r="N17" s="234">
        <v>0</v>
      </c>
      <c r="O17" s="219">
        <v>0</v>
      </c>
      <c r="P17" s="219">
        <v>0</v>
      </c>
      <c r="Q17" s="219">
        <v>0</v>
      </c>
      <c r="R17" s="219">
        <v>0</v>
      </c>
      <c r="S17" s="234">
        <v>0</v>
      </c>
      <c r="T17" s="219">
        <v>65</v>
      </c>
      <c r="U17" s="219">
        <v>24639.099235372341</v>
      </c>
      <c r="V17" s="219">
        <v>40</v>
      </c>
      <c r="W17" s="219">
        <v>3205.11</v>
      </c>
      <c r="X17" s="234">
        <v>15162.52260638298</v>
      </c>
      <c r="Y17" s="219">
        <v>65</v>
      </c>
      <c r="Z17" s="219">
        <v>24639.099235372341</v>
      </c>
      <c r="AA17" s="219">
        <v>55</v>
      </c>
      <c r="AB17" s="219">
        <v>4552.2299999999996</v>
      </c>
      <c r="AC17" s="234">
        <v>20848.468583776597</v>
      </c>
      <c r="AD17" s="219">
        <v>65</v>
      </c>
      <c r="AE17" s="219">
        <v>24639.099235372341</v>
      </c>
      <c r="AF17" s="219">
        <v>65</v>
      </c>
      <c r="AG17" s="219">
        <v>5169.7199999999993</v>
      </c>
      <c r="AH17" s="234">
        <v>24639.099235372341</v>
      </c>
      <c r="AI17" s="219">
        <v>141</v>
      </c>
      <c r="AJ17" s="219">
        <v>53447.892187500001</v>
      </c>
      <c r="AK17" s="219">
        <v>141</v>
      </c>
      <c r="AL17" s="219">
        <v>11435.392499999998</v>
      </c>
      <c r="AM17" s="234">
        <v>53447.892187500001</v>
      </c>
      <c r="AN17" s="219">
        <v>141</v>
      </c>
      <c r="AO17" s="219">
        <v>53447.892187500001</v>
      </c>
      <c r="AP17" s="219">
        <v>141</v>
      </c>
      <c r="AQ17" s="219">
        <v>11515.392499999998</v>
      </c>
      <c r="AR17" s="234">
        <v>53447.892187500001</v>
      </c>
      <c r="AS17" s="228"/>
      <c r="AT17" s="228"/>
    </row>
    <row r="18" spans="1:46" x14ac:dyDescent="0.25">
      <c r="A18" s="230">
        <v>141</v>
      </c>
      <c r="B18" s="160" t="s">
        <v>1199</v>
      </c>
      <c r="C18" s="200">
        <v>2442</v>
      </c>
      <c r="D18" s="67" t="s">
        <v>27</v>
      </c>
      <c r="E18" s="225">
        <v>117220.26700172765</v>
      </c>
      <c r="F18" s="226">
        <v>48.001747338954814</v>
      </c>
      <c r="G18" s="220">
        <v>1473</v>
      </c>
      <c r="H18" s="227">
        <v>82094.659999999989</v>
      </c>
      <c r="I18" s="232">
        <v>55.732966734555319</v>
      </c>
      <c r="J18" s="219">
        <v>80</v>
      </c>
      <c r="K18" s="219">
        <v>3840.1397871163854</v>
      </c>
      <c r="L18" s="219">
        <v>50</v>
      </c>
      <c r="M18" s="219">
        <v>4305.04</v>
      </c>
      <c r="N18" s="234">
        <v>3978.9635777911626</v>
      </c>
      <c r="O18" s="219">
        <v>485</v>
      </c>
      <c r="P18" s="219">
        <v>23280.847459393084</v>
      </c>
      <c r="Q18" s="219">
        <v>290</v>
      </c>
      <c r="R18" s="219">
        <v>18893.749999999996</v>
      </c>
      <c r="S18" s="234">
        <v>23077.988751188746</v>
      </c>
      <c r="T18" s="219">
        <v>1225</v>
      </c>
      <c r="U18" s="219">
        <v>58802.140490219645</v>
      </c>
      <c r="V18" s="219">
        <v>736</v>
      </c>
      <c r="W18" s="219">
        <v>43252.38</v>
      </c>
      <c r="X18" s="234">
        <v>58570.34386508591</v>
      </c>
      <c r="Y18" s="219">
        <v>1475</v>
      </c>
      <c r="Z18" s="219">
        <v>70802.577324958358</v>
      </c>
      <c r="AA18" s="219">
        <v>884</v>
      </c>
      <c r="AB18" s="219">
        <v>51499.549999999996</v>
      </c>
      <c r="AC18" s="234">
        <v>70348.076055347759</v>
      </c>
      <c r="AD18" s="219">
        <v>1860</v>
      </c>
      <c r="AE18" s="219">
        <v>89283.250050455958</v>
      </c>
      <c r="AF18" s="219">
        <v>1114</v>
      </c>
      <c r="AG18" s="219">
        <v>63826.719999999994</v>
      </c>
      <c r="AH18" s="234">
        <v>88651.308513187105</v>
      </c>
      <c r="AI18" s="219">
        <v>2280</v>
      </c>
      <c r="AJ18" s="219">
        <v>109443.98393281698</v>
      </c>
      <c r="AK18" s="219">
        <v>1368</v>
      </c>
      <c r="AL18" s="219">
        <v>76966.209999999992</v>
      </c>
      <c r="AM18" s="234">
        <v>108864.4434883662</v>
      </c>
      <c r="AN18" s="219">
        <v>2442</v>
      </c>
      <c r="AO18" s="219">
        <v>117220.26700172765</v>
      </c>
      <c r="AP18" s="219">
        <v>1473</v>
      </c>
      <c r="AQ18" s="219">
        <v>82094.659999999989</v>
      </c>
      <c r="AR18" s="234">
        <v>117220.26700172765</v>
      </c>
      <c r="AS18" s="228"/>
      <c r="AT18" s="228"/>
    </row>
    <row r="19" spans="1:46" ht="30" x14ac:dyDescent="0.25">
      <c r="A19" s="230">
        <v>151</v>
      </c>
      <c r="B19" s="160" t="s">
        <v>1200</v>
      </c>
      <c r="C19" s="200">
        <v>1</v>
      </c>
      <c r="D19" s="67" t="s">
        <v>49</v>
      </c>
      <c r="E19" s="225">
        <v>14800</v>
      </c>
      <c r="F19" s="226">
        <v>14800</v>
      </c>
      <c r="G19" s="220">
        <v>1</v>
      </c>
      <c r="H19" s="227">
        <v>3294.9199999999996</v>
      </c>
      <c r="I19" s="232">
        <v>3294.9199999999996</v>
      </c>
      <c r="J19" s="219">
        <v>0.2</v>
      </c>
      <c r="K19" s="219">
        <v>2960</v>
      </c>
      <c r="L19" s="219">
        <v>0.2</v>
      </c>
      <c r="M19" s="219">
        <v>969.3599999999999</v>
      </c>
      <c r="N19" s="234">
        <v>2960</v>
      </c>
      <c r="O19" s="219">
        <v>0.5</v>
      </c>
      <c r="P19" s="219">
        <v>7400</v>
      </c>
      <c r="Q19" s="219">
        <v>0.45</v>
      </c>
      <c r="R19" s="219">
        <v>1407.9599999999998</v>
      </c>
      <c r="S19" s="234">
        <v>6660</v>
      </c>
      <c r="T19" s="219">
        <v>0.8</v>
      </c>
      <c r="U19" s="219">
        <v>11840</v>
      </c>
      <c r="V19" s="219">
        <v>0.65</v>
      </c>
      <c r="W19" s="219">
        <v>1407.9599999999998</v>
      </c>
      <c r="X19" s="234">
        <v>9620</v>
      </c>
      <c r="Y19" s="219">
        <v>0.8</v>
      </c>
      <c r="Z19" s="219">
        <v>11840</v>
      </c>
      <c r="AA19" s="219">
        <v>0.8</v>
      </c>
      <c r="AB19" s="219">
        <v>2544.9199999999996</v>
      </c>
      <c r="AC19" s="234">
        <v>11840</v>
      </c>
      <c r="AD19" s="219">
        <v>0.9</v>
      </c>
      <c r="AE19" s="219">
        <v>13320</v>
      </c>
      <c r="AF19" s="219">
        <v>0.9</v>
      </c>
      <c r="AG19" s="219">
        <v>3294.9199999999996</v>
      </c>
      <c r="AH19" s="234">
        <v>13320</v>
      </c>
      <c r="AI19" s="219">
        <v>1</v>
      </c>
      <c r="AJ19" s="219">
        <v>14800</v>
      </c>
      <c r="AK19" s="219">
        <v>1</v>
      </c>
      <c r="AL19" s="219">
        <v>3294.9199999999996</v>
      </c>
      <c r="AM19" s="234">
        <v>14800</v>
      </c>
      <c r="AN19" s="219">
        <v>1</v>
      </c>
      <c r="AO19" s="219">
        <v>14800</v>
      </c>
      <c r="AP19" s="219">
        <v>1</v>
      </c>
      <c r="AQ19" s="219">
        <v>3294.9199999999996</v>
      </c>
      <c r="AR19" s="234">
        <v>14800</v>
      </c>
      <c r="AS19" s="228"/>
      <c r="AT19" s="228"/>
    </row>
    <row r="20" spans="1:46" x14ac:dyDescent="0.25">
      <c r="A20" s="230">
        <v>221</v>
      </c>
      <c r="B20" s="160" t="s">
        <v>1266</v>
      </c>
      <c r="C20" s="200">
        <v>28.635398230088498</v>
      </c>
      <c r="D20" s="67" t="s">
        <v>1187</v>
      </c>
      <c r="E20" s="225">
        <v>6471.6</v>
      </c>
      <c r="F20" s="226">
        <v>226</v>
      </c>
      <c r="G20" s="220">
        <v>0</v>
      </c>
      <c r="H20" s="227">
        <v>0</v>
      </c>
      <c r="I20" s="232">
        <v>0</v>
      </c>
      <c r="J20" s="219">
        <v>0</v>
      </c>
      <c r="K20" s="219">
        <v>0</v>
      </c>
      <c r="L20" s="219">
        <v>0</v>
      </c>
      <c r="M20" s="219">
        <v>0</v>
      </c>
      <c r="N20" s="234">
        <v>0</v>
      </c>
      <c r="O20" s="219">
        <v>0</v>
      </c>
      <c r="P20" s="219">
        <v>0</v>
      </c>
      <c r="Q20" s="219">
        <v>0</v>
      </c>
      <c r="R20" s="219">
        <v>0</v>
      </c>
      <c r="S20" s="234">
        <v>0</v>
      </c>
      <c r="T20" s="219">
        <v>0</v>
      </c>
      <c r="U20" s="219">
        <v>0</v>
      </c>
      <c r="V20" s="219">
        <v>0</v>
      </c>
      <c r="W20" s="219">
        <v>0</v>
      </c>
      <c r="X20" s="234">
        <v>0</v>
      </c>
      <c r="Y20" s="219">
        <v>28.64</v>
      </c>
      <c r="Z20" s="219">
        <v>6472.64</v>
      </c>
      <c r="AA20" s="219">
        <v>0</v>
      </c>
      <c r="AB20" s="219">
        <v>0</v>
      </c>
      <c r="AC20" s="234">
        <v>0</v>
      </c>
      <c r="AD20" s="219">
        <v>28.64</v>
      </c>
      <c r="AE20" s="219">
        <v>6472.64</v>
      </c>
      <c r="AF20" s="219">
        <v>0</v>
      </c>
      <c r="AG20" s="219">
        <v>0</v>
      </c>
      <c r="AH20" s="234">
        <v>0</v>
      </c>
      <c r="AI20" s="219">
        <v>28.64</v>
      </c>
      <c r="AJ20" s="219">
        <v>6472.64</v>
      </c>
      <c r="AK20" s="219">
        <v>0</v>
      </c>
      <c r="AL20" s="219">
        <v>0</v>
      </c>
      <c r="AM20" s="234">
        <v>0</v>
      </c>
      <c r="AN20" s="219">
        <v>28.64</v>
      </c>
      <c r="AO20" s="219">
        <v>6472.64</v>
      </c>
      <c r="AP20" s="219">
        <v>0</v>
      </c>
      <c r="AQ20" s="219">
        <v>0</v>
      </c>
      <c r="AR20" s="234">
        <v>6471.6</v>
      </c>
      <c r="AS20" s="228"/>
      <c r="AT20" s="228"/>
    </row>
    <row r="21" spans="1:46" x14ac:dyDescent="0.25">
      <c r="A21" s="230">
        <v>222</v>
      </c>
      <c r="B21" s="160" t="s">
        <v>1201</v>
      </c>
      <c r="C21" s="200">
        <v>14642</v>
      </c>
      <c r="D21" s="67" t="s">
        <v>112</v>
      </c>
      <c r="E21" s="225">
        <v>26373.600000000002</v>
      </c>
      <c r="F21" s="226">
        <v>1.8012293402540638</v>
      </c>
      <c r="G21" s="220">
        <v>14642</v>
      </c>
      <c r="H21" s="227">
        <v>37594.322499999987</v>
      </c>
      <c r="I21" s="232">
        <v>2.5675674429722708</v>
      </c>
      <c r="J21" s="219">
        <v>0</v>
      </c>
      <c r="K21" s="219">
        <v>0</v>
      </c>
      <c r="L21" s="219">
        <v>0</v>
      </c>
      <c r="M21" s="219">
        <v>5312.5</v>
      </c>
      <c r="N21" s="234">
        <v>0</v>
      </c>
      <c r="O21" s="219">
        <v>0</v>
      </c>
      <c r="P21" s="219">
        <v>0</v>
      </c>
      <c r="Q21" s="219">
        <v>0</v>
      </c>
      <c r="R21" s="219">
        <v>5312.5</v>
      </c>
      <c r="S21" s="234">
        <v>0</v>
      </c>
      <c r="T21" s="219">
        <v>9250</v>
      </c>
      <c r="U21" s="219">
        <v>16661.371397350089</v>
      </c>
      <c r="V21" s="219">
        <v>9159</v>
      </c>
      <c r="W21" s="219">
        <v>22060.234999999997</v>
      </c>
      <c r="X21" s="234">
        <v>16497.459527386971</v>
      </c>
      <c r="Y21" s="219">
        <v>10500</v>
      </c>
      <c r="Z21" s="219">
        <v>18912.908072667669</v>
      </c>
      <c r="AA21" s="219">
        <v>10231</v>
      </c>
      <c r="AB21" s="219">
        <v>31275.654999999995</v>
      </c>
      <c r="AC21" s="234">
        <v>18428.377380139325</v>
      </c>
      <c r="AD21" s="219">
        <v>12500</v>
      </c>
      <c r="AE21" s="219">
        <v>22515.366753175796</v>
      </c>
      <c r="AF21" s="219">
        <v>12242</v>
      </c>
      <c r="AG21" s="219">
        <v>32198.664999999994</v>
      </c>
      <c r="AH21" s="234">
        <v>22050.649583390248</v>
      </c>
      <c r="AI21" s="219">
        <v>14641</v>
      </c>
      <c r="AJ21" s="219">
        <v>26371.798770659749</v>
      </c>
      <c r="AK21" s="219">
        <v>14641</v>
      </c>
      <c r="AL21" s="219">
        <v>37594.322499999987</v>
      </c>
      <c r="AM21" s="234">
        <v>26371.798770659749</v>
      </c>
      <c r="AN21" s="219">
        <v>14641</v>
      </c>
      <c r="AO21" s="219">
        <v>26371.798770659749</v>
      </c>
      <c r="AP21" s="219">
        <v>14641</v>
      </c>
      <c r="AQ21" s="219">
        <v>37594.322499999987</v>
      </c>
      <c r="AR21" s="234">
        <v>26373.600000000002</v>
      </c>
      <c r="AS21" s="228"/>
      <c r="AT21" s="228"/>
    </row>
    <row r="22" spans="1:46" x14ac:dyDescent="0.25">
      <c r="A22" s="230">
        <v>613</v>
      </c>
      <c r="B22" s="160" t="s">
        <v>1202</v>
      </c>
      <c r="C22" s="200">
        <v>24591</v>
      </c>
      <c r="D22" s="67" t="s">
        <v>26</v>
      </c>
      <c r="E22" s="225">
        <v>307979.05742548255</v>
      </c>
      <c r="F22" s="226">
        <v>12.524055850737366</v>
      </c>
      <c r="G22" s="220">
        <v>24591</v>
      </c>
      <c r="H22" s="227">
        <v>187160.79500000007</v>
      </c>
      <c r="I22" s="232">
        <v>7.6109468911390374</v>
      </c>
      <c r="J22" s="219">
        <v>1100</v>
      </c>
      <c r="K22" s="219">
        <v>13776.461435811103</v>
      </c>
      <c r="L22" s="219">
        <v>1067</v>
      </c>
      <c r="M22" s="219">
        <v>8111.045000000001</v>
      </c>
      <c r="N22" s="234">
        <v>13363.167592736769</v>
      </c>
      <c r="O22" s="219">
        <v>8000</v>
      </c>
      <c r="P22" s="219">
        <v>100192.44680589893</v>
      </c>
      <c r="Q22" s="219">
        <v>7837</v>
      </c>
      <c r="R22" s="219">
        <v>59559.590000000011</v>
      </c>
      <c r="S22" s="234">
        <v>98151.025702228741</v>
      </c>
      <c r="T22" s="219">
        <v>18500</v>
      </c>
      <c r="U22" s="219">
        <v>231695.03323864128</v>
      </c>
      <c r="V22" s="219">
        <v>18645</v>
      </c>
      <c r="W22" s="219">
        <v>141701.38000000003</v>
      </c>
      <c r="X22" s="234">
        <v>233511.02133699818</v>
      </c>
      <c r="Y22" s="219">
        <v>22500</v>
      </c>
      <c r="Z22" s="219">
        <v>281791.25664159073</v>
      </c>
      <c r="AA22" s="219">
        <v>20626</v>
      </c>
      <c r="AB22" s="219">
        <v>156761.35500000004</v>
      </c>
      <c r="AC22" s="234">
        <v>258321.17597730891</v>
      </c>
      <c r="AD22" s="219">
        <v>22804</v>
      </c>
      <c r="AE22" s="219">
        <v>285598.56962021487</v>
      </c>
      <c r="AF22" s="219">
        <v>22804</v>
      </c>
      <c r="AG22" s="219">
        <v>173309.79500000007</v>
      </c>
      <c r="AH22" s="234">
        <v>285598.56962021487</v>
      </c>
      <c r="AI22" s="219">
        <v>24591</v>
      </c>
      <c r="AJ22" s="219">
        <v>307979.05742548255</v>
      </c>
      <c r="AK22" s="219">
        <v>24591</v>
      </c>
      <c r="AL22" s="219">
        <v>187160.79500000007</v>
      </c>
      <c r="AM22" s="234">
        <v>307979.05742548255</v>
      </c>
      <c r="AN22" s="219">
        <v>24591</v>
      </c>
      <c r="AO22" s="219">
        <v>307979.05742548255</v>
      </c>
      <c r="AP22" s="219">
        <v>24591</v>
      </c>
      <c r="AQ22" s="219">
        <v>187160.79500000007</v>
      </c>
      <c r="AR22" s="234">
        <v>307979.05742548255</v>
      </c>
      <c r="AS22" s="228"/>
      <c r="AT22" s="228"/>
    </row>
    <row r="23" spans="1:46" x14ac:dyDescent="0.25">
      <c r="A23" s="230">
        <v>901</v>
      </c>
      <c r="B23" s="160" t="s">
        <v>461</v>
      </c>
      <c r="C23" s="200">
        <v>14</v>
      </c>
      <c r="D23" s="67" t="s">
        <v>1185</v>
      </c>
      <c r="E23" s="225">
        <v>48000</v>
      </c>
      <c r="F23" s="226">
        <v>3428.5714285714284</v>
      </c>
      <c r="G23" s="220">
        <v>32</v>
      </c>
      <c r="H23" s="227">
        <v>123128.13</v>
      </c>
      <c r="I23" s="232">
        <v>3847.7540625000001</v>
      </c>
      <c r="J23" s="219">
        <v>2</v>
      </c>
      <c r="K23" s="219">
        <v>6857.1428571428569</v>
      </c>
      <c r="L23" s="219">
        <v>6</v>
      </c>
      <c r="M23" s="219">
        <v>21821.88</v>
      </c>
      <c r="N23" s="234">
        <v>9000</v>
      </c>
      <c r="O23" s="219">
        <v>6</v>
      </c>
      <c r="P23" s="219">
        <v>20571.428571428572</v>
      </c>
      <c r="Q23" s="219">
        <v>10</v>
      </c>
      <c r="R23" s="219">
        <v>37971.880000000005</v>
      </c>
      <c r="S23" s="234">
        <v>15000</v>
      </c>
      <c r="T23" s="219">
        <v>8</v>
      </c>
      <c r="U23" s="219">
        <v>27428.571428571428</v>
      </c>
      <c r="V23" s="219">
        <v>16</v>
      </c>
      <c r="W23" s="219">
        <v>63096.880000000005</v>
      </c>
      <c r="X23" s="234">
        <v>24000</v>
      </c>
      <c r="Y23" s="219">
        <v>10</v>
      </c>
      <c r="Z23" s="219">
        <v>34285.714285714283</v>
      </c>
      <c r="AA23" s="219">
        <v>20</v>
      </c>
      <c r="AB23" s="219">
        <v>79246.880000000005</v>
      </c>
      <c r="AC23" s="234">
        <v>30000</v>
      </c>
      <c r="AD23" s="219">
        <v>12</v>
      </c>
      <c r="AE23" s="219">
        <v>41142.857142857145</v>
      </c>
      <c r="AF23" s="219">
        <v>24</v>
      </c>
      <c r="AG23" s="219">
        <v>91359.38</v>
      </c>
      <c r="AH23" s="234">
        <v>36000</v>
      </c>
      <c r="AI23" s="219">
        <v>14</v>
      </c>
      <c r="AJ23" s="219">
        <v>48000</v>
      </c>
      <c r="AK23" s="219">
        <v>28</v>
      </c>
      <c r="AL23" s="219">
        <v>107509.38</v>
      </c>
      <c r="AM23" s="234">
        <v>42000</v>
      </c>
      <c r="AN23" s="219">
        <v>14</v>
      </c>
      <c r="AO23" s="219">
        <v>48000</v>
      </c>
      <c r="AP23" s="219">
        <v>32</v>
      </c>
      <c r="AQ23" s="219">
        <v>123128.13</v>
      </c>
      <c r="AR23" s="234">
        <v>48000</v>
      </c>
      <c r="AS23" s="228"/>
      <c r="AT23" s="228"/>
    </row>
    <row r="24" spans="1:46" x14ac:dyDescent="0.25">
      <c r="A24" s="230">
        <v>902</v>
      </c>
      <c r="B24" s="160" t="s">
        <v>463</v>
      </c>
      <c r="C24" s="200">
        <v>22</v>
      </c>
      <c r="D24" s="67" t="s">
        <v>1185</v>
      </c>
      <c r="E24" s="225">
        <v>49740</v>
      </c>
      <c r="F24" s="226">
        <v>2260.909090909091</v>
      </c>
      <c r="G24" s="220">
        <v>28</v>
      </c>
      <c r="H24" s="227">
        <v>64840.5</v>
      </c>
      <c r="I24" s="232">
        <v>2315.7321428571427</v>
      </c>
      <c r="J24" s="219">
        <v>2</v>
      </c>
      <c r="K24" s="219">
        <v>4521.818181818182</v>
      </c>
      <c r="L24" s="219">
        <v>1.5</v>
      </c>
      <c r="M24" s="219">
        <v>3366</v>
      </c>
      <c r="N24" s="234">
        <v>2664.6428571428573</v>
      </c>
      <c r="O24" s="219">
        <v>6</v>
      </c>
      <c r="P24" s="219">
        <v>13565.454545454546</v>
      </c>
      <c r="Q24" s="219">
        <v>8</v>
      </c>
      <c r="R24" s="219">
        <v>18013.5</v>
      </c>
      <c r="S24" s="234">
        <v>14211.428571428572</v>
      </c>
      <c r="T24" s="219">
        <v>10</v>
      </c>
      <c r="U24" s="219">
        <v>22609.090909090912</v>
      </c>
      <c r="V24" s="219">
        <v>15</v>
      </c>
      <c r="W24" s="219">
        <v>34605</v>
      </c>
      <c r="X24" s="234">
        <v>26646.428571428569</v>
      </c>
      <c r="Y24" s="219">
        <v>13</v>
      </c>
      <c r="Z24" s="219">
        <v>29391.818181818184</v>
      </c>
      <c r="AA24" s="219">
        <v>18</v>
      </c>
      <c r="AB24" s="219">
        <v>40995</v>
      </c>
      <c r="AC24" s="234">
        <v>31975.71428571429</v>
      </c>
      <c r="AD24" s="219">
        <v>16</v>
      </c>
      <c r="AE24" s="219">
        <v>36174.545454545456</v>
      </c>
      <c r="AF24" s="219">
        <v>23</v>
      </c>
      <c r="AG24" s="219">
        <v>53320.5</v>
      </c>
      <c r="AH24" s="234">
        <v>40857.857142857138</v>
      </c>
      <c r="AI24" s="219">
        <v>20</v>
      </c>
      <c r="AJ24" s="219">
        <v>45218.181818181823</v>
      </c>
      <c r="AK24" s="219">
        <v>27</v>
      </c>
      <c r="AL24" s="219">
        <v>63130.5</v>
      </c>
      <c r="AM24" s="234">
        <v>47963.571428571435</v>
      </c>
      <c r="AN24" s="219">
        <v>22</v>
      </c>
      <c r="AO24" s="219">
        <v>49740</v>
      </c>
      <c r="AP24" s="219">
        <v>28</v>
      </c>
      <c r="AQ24" s="219">
        <v>64840.5</v>
      </c>
      <c r="AR24" s="234">
        <v>49740</v>
      </c>
      <c r="AS24" s="228"/>
      <c r="AT24" s="228"/>
    </row>
    <row r="25" spans="1:46" x14ac:dyDescent="0.25">
      <c r="A25" s="230">
        <v>903</v>
      </c>
      <c r="B25" s="160" t="s">
        <v>467</v>
      </c>
      <c r="C25" s="200">
        <v>20</v>
      </c>
      <c r="D25" s="67" t="s">
        <v>1185</v>
      </c>
      <c r="E25" s="225">
        <v>16345</v>
      </c>
      <c r="F25" s="226">
        <v>817.25</v>
      </c>
      <c r="G25" s="220">
        <v>24</v>
      </c>
      <c r="H25" s="227">
        <v>30417.646999999997</v>
      </c>
      <c r="I25" s="232">
        <v>1267.4019583333331</v>
      </c>
      <c r="J25" s="219">
        <v>0</v>
      </c>
      <c r="K25" s="219">
        <v>0</v>
      </c>
      <c r="L25" s="219">
        <v>1</v>
      </c>
      <c r="M25" s="219">
        <v>9804.2599999999984</v>
      </c>
      <c r="N25" s="234">
        <v>681.04166666666663</v>
      </c>
      <c r="O25" s="219">
        <v>4</v>
      </c>
      <c r="P25" s="219">
        <v>3269</v>
      </c>
      <c r="Q25" s="219">
        <v>5</v>
      </c>
      <c r="R25" s="219">
        <v>11488.219999999998</v>
      </c>
      <c r="S25" s="234">
        <v>3405.2083333333335</v>
      </c>
      <c r="T25" s="219">
        <v>8</v>
      </c>
      <c r="U25" s="219">
        <v>6538</v>
      </c>
      <c r="V25" s="219">
        <v>9</v>
      </c>
      <c r="W25" s="219">
        <v>13821.769999999997</v>
      </c>
      <c r="X25" s="234">
        <v>6129.375</v>
      </c>
      <c r="Y25" s="219">
        <v>11</v>
      </c>
      <c r="Z25" s="219">
        <v>8989.75</v>
      </c>
      <c r="AA25" s="219">
        <v>12</v>
      </c>
      <c r="AB25" s="219">
        <v>18600.359999999997</v>
      </c>
      <c r="AC25" s="234">
        <v>8172.5</v>
      </c>
      <c r="AD25" s="219">
        <v>14</v>
      </c>
      <c r="AE25" s="219">
        <v>11441.5</v>
      </c>
      <c r="AF25" s="219">
        <v>16</v>
      </c>
      <c r="AG25" s="219">
        <v>21448.226999999995</v>
      </c>
      <c r="AH25" s="234">
        <v>10896.666666666666</v>
      </c>
      <c r="AI25" s="219">
        <v>18</v>
      </c>
      <c r="AJ25" s="219">
        <v>14710.5</v>
      </c>
      <c r="AK25" s="219">
        <v>20</v>
      </c>
      <c r="AL25" s="219">
        <v>27285.856999999996</v>
      </c>
      <c r="AM25" s="234">
        <v>13620.833333333334</v>
      </c>
      <c r="AN25" s="219">
        <v>20</v>
      </c>
      <c r="AO25" s="219">
        <v>16345</v>
      </c>
      <c r="AP25" s="219">
        <v>24</v>
      </c>
      <c r="AQ25" s="219">
        <v>30417.646999999997</v>
      </c>
      <c r="AR25" s="234">
        <v>16345</v>
      </c>
      <c r="AS25" s="228"/>
      <c r="AT25" s="228"/>
    </row>
    <row r="26" spans="1:46" x14ac:dyDescent="0.25">
      <c r="A26" s="230">
        <v>904</v>
      </c>
      <c r="B26" s="160" t="s">
        <v>1203</v>
      </c>
      <c r="C26" s="200">
        <v>1</v>
      </c>
      <c r="D26" s="67" t="s">
        <v>49</v>
      </c>
      <c r="E26" s="225">
        <v>18750</v>
      </c>
      <c r="F26" s="226">
        <v>18750</v>
      </c>
      <c r="G26" s="220">
        <v>1</v>
      </c>
      <c r="H26" s="227">
        <v>12162.089999999998</v>
      </c>
      <c r="I26" s="232">
        <v>12162.089999999998</v>
      </c>
      <c r="J26" s="219">
        <v>0.5</v>
      </c>
      <c r="K26" s="219">
        <v>9375</v>
      </c>
      <c r="L26" s="219">
        <v>0.6</v>
      </c>
      <c r="M26" s="219">
        <v>7581.75</v>
      </c>
      <c r="N26" s="234">
        <v>11250</v>
      </c>
      <c r="O26" s="219">
        <v>0.5</v>
      </c>
      <c r="P26" s="219">
        <v>9375</v>
      </c>
      <c r="Q26" s="219">
        <v>0.75</v>
      </c>
      <c r="R26" s="219">
        <v>9309.02</v>
      </c>
      <c r="S26" s="234">
        <v>14062.5</v>
      </c>
      <c r="T26" s="219">
        <v>0.5</v>
      </c>
      <c r="U26" s="219">
        <v>9375</v>
      </c>
      <c r="V26" s="219">
        <v>0.9</v>
      </c>
      <c r="W26" s="219">
        <v>10840.220000000001</v>
      </c>
      <c r="X26" s="234">
        <v>16875</v>
      </c>
      <c r="Y26" s="219">
        <v>0.5</v>
      </c>
      <c r="Z26" s="219">
        <v>9375</v>
      </c>
      <c r="AA26" s="219">
        <v>0.9</v>
      </c>
      <c r="AB26" s="219">
        <v>11089.41</v>
      </c>
      <c r="AC26" s="234">
        <v>16875</v>
      </c>
      <c r="AD26" s="219">
        <v>0.5</v>
      </c>
      <c r="AE26" s="219">
        <v>9375</v>
      </c>
      <c r="AF26" s="219">
        <v>0.95</v>
      </c>
      <c r="AG26" s="219">
        <v>11707.289999999999</v>
      </c>
      <c r="AH26" s="234">
        <v>17812.5</v>
      </c>
      <c r="AI26" s="219">
        <v>1</v>
      </c>
      <c r="AJ26" s="219">
        <v>18750</v>
      </c>
      <c r="AK26" s="219">
        <v>1</v>
      </c>
      <c r="AL26" s="219">
        <v>12162.089999999998</v>
      </c>
      <c r="AM26" s="234">
        <v>18750</v>
      </c>
      <c r="AN26" s="219">
        <v>1</v>
      </c>
      <c r="AO26" s="219">
        <v>18750</v>
      </c>
      <c r="AP26" s="219">
        <v>1</v>
      </c>
      <c r="AQ26" s="219">
        <v>12162.089999999998</v>
      </c>
      <c r="AR26" s="234">
        <v>18750</v>
      </c>
      <c r="AS26" s="228"/>
      <c r="AT26" s="228"/>
    </row>
    <row r="27" spans="1:46" x14ac:dyDescent="0.25">
      <c r="A27" s="230">
        <v>905</v>
      </c>
      <c r="B27" s="160" t="s">
        <v>273</v>
      </c>
      <c r="C27" s="200">
        <v>1</v>
      </c>
      <c r="D27" s="67" t="s">
        <v>49</v>
      </c>
      <c r="E27" s="225">
        <v>5000</v>
      </c>
      <c r="F27" s="226">
        <v>5000</v>
      </c>
      <c r="G27" s="220">
        <v>1</v>
      </c>
      <c r="H27" s="227">
        <v>3413.099999999999</v>
      </c>
      <c r="I27" s="232">
        <v>3413.099999999999</v>
      </c>
      <c r="J27" s="219">
        <v>0.1</v>
      </c>
      <c r="K27" s="219">
        <v>500</v>
      </c>
      <c r="L27" s="219">
        <v>0.1</v>
      </c>
      <c r="M27" s="219">
        <v>881.26</v>
      </c>
      <c r="N27" s="234">
        <v>500</v>
      </c>
      <c r="O27" s="219">
        <v>0.3</v>
      </c>
      <c r="P27" s="219">
        <v>1500</v>
      </c>
      <c r="Q27" s="219">
        <v>0.3</v>
      </c>
      <c r="R27" s="219">
        <v>1574.1799999999998</v>
      </c>
      <c r="S27" s="234">
        <v>1500</v>
      </c>
      <c r="T27" s="219">
        <v>0.5</v>
      </c>
      <c r="U27" s="219">
        <v>2500</v>
      </c>
      <c r="V27" s="219">
        <v>0.5</v>
      </c>
      <c r="W27" s="219">
        <v>1739.62</v>
      </c>
      <c r="X27" s="234">
        <v>2500</v>
      </c>
      <c r="Y27" s="219">
        <v>0.6</v>
      </c>
      <c r="Z27" s="219">
        <v>3000</v>
      </c>
      <c r="AA27" s="219">
        <v>0.6</v>
      </c>
      <c r="AB27" s="219">
        <v>2403.9799999999996</v>
      </c>
      <c r="AC27" s="234">
        <v>3000</v>
      </c>
      <c r="AD27" s="219">
        <v>0.7</v>
      </c>
      <c r="AE27" s="219">
        <v>3500</v>
      </c>
      <c r="AF27" s="219">
        <v>0.7</v>
      </c>
      <c r="AG27" s="219">
        <v>2904.8899999999994</v>
      </c>
      <c r="AH27" s="234">
        <v>3500</v>
      </c>
      <c r="AI27" s="219">
        <v>0.9</v>
      </c>
      <c r="AJ27" s="219">
        <v>4500</v>
      </c>
      <c r="AK27" s="219">
        <v>0.9</v>
      </c>
      <c r="AL27" s="219">
        <v>3413.099999999999</v>
      </c>
      <c r="AM27" s="234">
        <v>4500</v>
      </c>
      <c r="AN27" s="219">
        <v>1</v>
      </c>
      <c r="AO27" s="219">
        <v>5000</v>
      </c>
      <c r="AP27" s="219">
        <v>1</v>
      </c>
      <c r="AQ27" s="219">
        <v>3413.099999999999</v>
      </c>
      <c r="AR27" s="234">
        <v>5000</v>
      </c>
      <c r="AS27" s="228"/>
      <c r="AT27" s="228"/>
    </row>
    <row r="28" spans="1:46" x14ac:dyDescent="0.25">
      <c r="A28" s="230">
        <v>907</v>
      </c>
      <c r="B28" s="160" t="s">
        <v>1204</v>
      </c>
      <c r="C28" s="200">
        <v>1</v>
      </c>
      <c r="D28" s="67" t="s">
        <v>49</v>
      </c>
      <c r="E28" s="225">
        <v>17154</v>
      </c>
      <c r="F28" s="226">
        <v>17154</v>
      </c>
      <c r="G28" s="220">
        <v>1</v>
      </c>
      <c r="H28" s="227">
        <v>43545.154199999997</v>
      </c>
      <c r="I28" s="232">
        <v>43545.154199999997</v>
      </c>
      <c r="J28" s="219">
        <v>0.5</v>
      </c>
      <c r="K28" s="219">
        <v>8577</v>
      </c>
      <c r="L28" s="219">
        <v>0.5</v>
      </c>
      <c r="M28" s="219">
        <v>28767.094999999994</v>
      </c>
      <c r="N28" s="234">
        <v>8577</v>
      </c>
      <c r="O28" s="219">
        <v>0.5</v>
      </c>
      <c r="P28" s="219">
        <v>8577</v>
      </c>
      <c r="Q28" s="219">
        <v>0.5</v>
      </c>
      <c r="R28" s="219">
        <v>29388.904999999995</v>
      </c>
      <c r="S28" s="234">
        <v>8577</v>
      </c>
      <c r="T28" s="219">
        <v>0.5</v>
      </c>
      <c r="U28" s="219">
        <v>8577</v>
      </c>
      <c r="V28" s="219">
        <v>0.6</v>
      </c>
      <c r="W28" s="219">
        <v>33807.424999999988</v>
      </c>
      <c r="X28" s="234">
        <v>10292.4</v>
      </c>
      <c r="Y28" s="219">
        <v>0.75</v>
      </c>
      <c r="Z28" s="219">
        <v>12865.5</v>
      </c>
      <c r="AA28" s="219">
        <v>0.75</v>
      </c>
      <c r="AB28" s="219">
        <v>38294.424999999988</v>
      </c>
      <c r="AC28" s="234">
        <v>12865.5</v>
      </c>
      <c r="AD28" s="219">
        <v>1</v>
      </c>
      <c r="AE28" s="219">
        <v>17154</v>
      </c>
      <c r="AF28" s="219">
        <v>0.9</v>
      </c>
      <c r="AG28" s="219">
        <v>39093.124199999991</v>
      </c>
      <c r="AH28" s="234">
        <v>15438.6</v>
      </c>
      <c r="AI28" s="219">
        <v>1</v>
      </c>
      <c r="AJ28" s="219">
        <v>17154</v>
      </c>
      <c r="AK28" s="219">
        <v>0.9</v>
      </c>
      <c r="AL28" s="219">
        <v>41265.154199999997</v>
      </c>
      <c r="AM28" s="234">
        <v>15438.6</v>
      </c>
      <c r="AN28" s="219">
        <v>1</v>
      </c>
      <c r="AO28" s="219">
        <v>17154</v>
      </c>
      <c r="AP28" s="219">
        <v>1</v>
      </c>
      <c r="AQ28" s="219">
        <v>43545.154199999997</v>
      </c>
      <c r="AR28" s="234">
        <v>17154</v>
      </c>
      <c r="AS28" s="228"/>
      <c r="AT28" s="228"/>
    </row>
    <row r="29" spans="1:46" x14ac:dyDescent="0.25">
      <c r="A29" s="230">
        <v>910</v>
      </c>
      <c r="B29" s="160" t="s">
        <v>1205</v>
      </c>
      <c r="C29" s="200">
        <v>1</v>
      </c>
      <c r="D29" s="67" t="s">
        <v>49</v>
      </c>
      <c r="E29" s="225">
        <v>18000</v>
      </c>
      <c r="F29" s="226">
        <v>18000</v>
      </c>
      <c r="G29" s="220">
        <v>1</v>
      </c>
      <c r="H29" s="227">
        <v>21497.045000000002</v>
      </c>
      <c r="I29" s="232">
        <v>21497.045000000002</v>
      </c>
      <c r="J29" s="219">
        <v>0</v>
      </c>
      <c r="K29" s="219">
        <v>0</v>
      </c>
      <c r="L29" s="219">
        <v>0</v>
      </c>
      <c r="M29" s="219">
        <v>0</v>
      </c>
      <c r="N29" s="234">
        <v>0</v>
      </c>
      <c r="O29" s="219">
        <v>0</v>
      </c>
      <c r="P29" s="219">
        <v>0</v>
      </c>
      <c r="Q29" s="219"/>
      <c r="R29" s="219">
        <v>0</v>
      </c>
      <c r="S29" s="234">
        <v>0</v>
      </c>
      <c r="T29" s="219">
        <v>0</v>
      </c>
      <c r="U29" s="219">
        <v>0</v>
      </c>
      <c r="V29" s="219">
        <v>0</v>
      </c>
      <c r="W29" s="219">
        <v>739.25</v>
      </c>
      <c r="X29" s="234">
        <v>0</v>
      </c>
      <c r="Y29" s="219">
        <v>0.25</v>
      </c>
      <c r="Z29" s="219">
        <v>4500</v>
      </c>
      <c r="AA29" s="219">
        <v>0.25</v>
      </c>
      <c r="AB29" s="219">
        <v>5441.92</v>
      </c>
      <c r="AC29" s="234">
        <v>4500</v>
      </c>
      <c r="AD29" s="219">
        <v>0.25</v>
      </c>
      <c r="AE29" s="219">
        <v>4500</v>
      </c>
      <c r="AF29" s="219">
        <v>0.25</v>
      </c>
      <c r="AG29" s="219">
        <v>5626.92</v>
      </c>
      <c r="AH29" s="234">
        <v>4500</v>
      </c>
      <c r="AI29" s="219">
        <v>0.5</v>
      </c>
      <c r="AJ29" s="219">
        <v>9000</v>
      </c>
      <c r="AK29" s="219">
        <v>0.5</v>
      </c>
      <c r="AL29" s="219">
        <v>10359.814999999999</v>
      </c>
      <c r="AM29" s="234">
        <v>9000</v>
      </c>
      <c r="AN29" s="219">
        <v>1</v>
      </c>
      <c r="AO29" s="219">
        <v>18000</v>
      </c>
      <c r="AP29" s="219">
        <v>1</v>
      </c>
      <c r="AQ29" s="219">
        <v>21497.045000000002</v>
      </c>
      <c r="AR29" s="234">
        <v>18000</v>
      </c>
      <c r="AS29" s="228"/>
      <c r="AT29" s="228"/>
    </row>
    <row r="30" spans="1:46" x14ac:dyDescent="0.25">
      <c r="A30" s="230">
        <v>911</v>
      </c>
      <c r="B30" s="160" t="s">
        <v>288</v>
      </c>
      <c r="C30" s="200">
        <v>360</v>
      </c>
      <c r="D30" s="67" t="s">
        <v>1206</v>
      </c>
      <c r="E30" s="225">
        <v>67260</v>
      </c>
      <c r="F30" s="226">
        <v>186.83333333333334</v>
      </c>
      <c r="G30" s="220">
        <v>240</v>
      </c>
      <c r="H30" s="227">
        <v>44449.299999999988</v>
      </c>
      <c r="I30" s="232">
        <v>185.20541666666662</v>
      </c>
      <c r="J30" s="219">
        <v>30</v>
      </c>
      <c r="K30" s="219">
        <v>5605</v>
      </c>
      <c r="L30" s="219">
        <v>66</v>
      </c>
      <c r="M30" s="219">
        <v>12235.969999999998</v>
      </c>
      <c r="N30" s="234">
        <v>18496.500000000004</v>
      </c>
      <c r="O30" s="219">
        <v>90</v>
      </c>
      <c r="P30" s="219">
        <v>16815</v>
      </c>
      <c r="Q30" s="219">
        <v>100</v>
      </c>
      <c r="R30" s="219">
        <v>18465.169999999998</v>
      </c>
      <c r="S30" s="234">
        <v>28025</v>
      </c>
      <c r="T30" s="219">
        <v>150</v>
      </c>
      <c r="U30" s="219">
        <v>28025</v>
      </c>
      <c r="V30" s="219">
        <v>182</v>
      </c>
      <c r="W30" s="219">
        <v>33585.039999999994</v>
      </c>
      <c r="X30" s="234">
        <v>51005.5</v>
      </c>
      <c r="Y30" s="219">
        <v>210</v>
      </c>
      <c r="Z30" s="219">
        <v>39235</v>
      </c>
      <c r="AA30" s="219">
        <v>221</v>
      </c>
      <c r="AB30" s="219">
        <v>40939.249999999993</v>
      </c>
      <c r="AC30" s="234">
        <v>61935.25</v>
      </c>
      <c r="AD30" s="219">
        <v>270</v>
      </c>
      <c r="AE30" s="219">
        <v>50445</v>
      </c>
      <c r="AF30" s="219">
        <v>237</v>
      </c>
      <c r="AG30" s="219">
        <v>43793.139999999992</v>
      </c>
      <c r="AH30" s="234">
        <v>66419.25</v>
      </c>
      <c r="AI30" s="219">
        <v>330</v>
      </c>
      <c r="AJ30" s="219">
        <v>61655</v>
      </c>
      <c r="AK30" s="219">
        <v>238</v>
      </c>
      <c r="AL30" s="219">
        <v>44122.029999999992</v>
      </c>
      <c r="AM30" s="234">
        <v>66699.5</v>
      </c>
      <c r="AN30" s="219">
        <v>360</v>
      </c>
      <c r="AO30" s="219">
        <v>67260</v>
      </c>
      <c r="AP30" s="219">
        <v>240</v>
      </c>
      <c r="AQ30" s="219">
        <v>44449.299999999988</v>
      </c>
      <c r="AR30" s="234">
        <v>67260</v>
      </c>
      <c r="AS30" s="228"/>
      <c r="AT30" s="228"/>
    </row>
    <row r="31" spans="1:46" x14ac:dyDescent="0.25">
      <c r="A31" s="230">
        <v>916</v>
      </c>
      <c r="B31" s="160" t="s">
        <v>1207</v>
      </c>
      <c r="C31" s="200">
        <v>700</v>
      </c>
      <c r="D31" s="67" t="s">
        <v>1208</v>
      </c>
      <c r="E31" s="225">
        <v>33600</v>
      </c>
      <c r="F31" s="226">
        <v>48</v>
      </c>
      <c r="G31" s="220">
        <v>1424</v>
      </c>
      <c r="H31" s="227">
        <v>68350.728999999948</v>
      </c>
      <c r="I31" s="232">
        <v>47.999107443820186</v>
      </c>
      <c r="J31" s="219">
        <v>60</v>
      </c>
      <c r="K31" s="219">
        <v>2880</v>
      </c>
      <c r="L31" s="219">
        <v>105</v>
      </c>
      <c r="M31" s="219">
        <v>5061.1250000000009</v>
      </c>
      <c r="N31" s="234">
        <v>2477.5280898876404</v>
      </c>
      <c r="O31" s="219">
        <v>180</v>
      </c>
      <c r="P31" s="219">
        <v>8640</v>
      </c>
      <c r="Q31" s="219">
        <v>441</v>
      </c>
      <c r="R31" s="219">
        <v>21148.613999999998</v>
      </c>
      <c r="S31" s="234">
        <v>10405.617977528091</v>
      </c>
      <c r="T31" s="219">
        <v>300</v>
      </c>
      <c r="U31" s="219">
        <v>14400</v>
      </c>
      <c r="V31" s="219">
        <v>818</v>
      </c>
      <c r="W31" s="219">
        <v>39284.408999999992</v>
      </c>
      <c r="X31" s="234">
        <v>19301.123595505618</v>
      </c>
      <c r="Y31" s="219">
        <v>420</v>
      </c>
      <c r="Z31" s="219">
        <v>20160</v>
      </c>
      <c r="AA31" s="219">
        <v>983</v>
      </c>
      <c r="AB31" s="219">
        <v>47196.963999999964</v>
      </c>
      <c r="AC31" s="234">
        <v>23194.382022471909</v>
      </c>
      <c r="AD31" s="219">
        <v>540</v>
      </c>
      <c r="AE31" s="219">
        <v>25920</v>
      </c>
      <c r="AF31" s="219">
        <v>1310</v>
      </c>
      <c r="AG31" s="219">
        <v>62881.143999999949</v>
      </c>
      <c r="AH31" s="234">
        <v>30910.112359550563</v>
      </c>
      <c r="AI31" s="219">
        <v>660</v>
      </c>
      <c r="AJ31" s="219">
        <v>31680</v>
      </c>
      <c r="AK31" s="219">
        <v>1420</v>
      </c>
      <c r="AL31" s="219">
        <v>68170.728999999948</v>
      </c>
      <c r="AM31" s="234">
        <v>33505.617977528091</v>
      </c>
      <c r="AN31" s="219">
        <v>700</v>
      </c>
      <c r="AO31" s="219">
        <v>33600</v>
      </c>
      <c r="AP31" s="219">
        <v>1424</v>
      </c>
      <c r="AQ31" s="219">
        <v>68350.728999999948</v>
      </c>
      <c r="AR31" s="234">
        <v>33600</v>
      </c>
      <c r="AS31" s="228"/>
      <c r="AT31" s="228"/>
    </row>
    <row r="32" spans="1:46" x14ac:dyDescent="0.25">
      <c r="A32" s="230" t="s">
        <v>458</v>
      </c>
      <c r="B32" s="160" t="s">
        <v>1267</v>
      </c>
      <c r="C32" s="200">
        <v>320</v>
      </c>
      <c r="D32" s="67" t="s">
        <v>1191</v>
      </c>
      <c r="E32" s="225">
        <v>9595.75</v>
      </c>
      <c r="F32" s="226">
        <v>29.986718750000001</v>
      </c>
      <c r="G32" s="220">
        <v>0</v>
      </c>
      <c r="H32" s="227">
        <v>0</v>
      </c>
      <c r="I32" s="232">
        <v>0</v>
      </c>
      <c r="J32" s="219">
        <v>100</v>
      </c>
      <c r="K32" s="219">
        <v>2998.671875</v>
      </c>
      <c r="L32" s="219">
        <v>0</v>
      </c>
      <c r="M32" s="219">
        <v>0</v>
      </c>
      <c r="N32" s="234">
        <v>0</v>
      </c>
      <c r="O32" s="219">
        <v>100</v>
      </c>
      <c r="P32" s="219">
        <v>2998.671875</v>
      </c>
      <c r="Q32" s="219">
        <v>0</v>
      </c>
      <c r="R32" s="219">
        <v>0</v>
      </c>
      <c r="S32" s="234">
        <v>0</v>
      </c>
      <c r="T32" s="219">
        <v>100</v>
      </c>
      <c r="U32" s="219">
        <v>2998.671875</v>
      </c>
      <c r="V32" s="219">
        <v>0</v>
      </c>
      <c r="W32" s="219">
        <v>0</v>
      </c>
      <c r="X32" s="234">
        <v>0</v>
      </c>
      <c r="Y32" s="219">
        <v>320</v>
      </c>
      <c r="Z32" s="219">
        <v>9595.75</v>
      </c>
      <c r="AA32" s="219">
        <v>0</v>
      </c>
      <c r="AB32" s="219">
        <v>0</v>
      </c>
      <c r="AC32" s="234">
        <v>0</v>
      </c>
      <c r="AD32" s="219">
        <v>320</v>
      </c>
      <c r="AE32" s="219">
        <v>9595.75</v>
      </c>
      <c r="AF32" s="219">
        <v>0</v>
      </c>
      <c r="AG32" s="219">
        <v>0</v>
      </c>
      <c r="AH32" s="234">
        <v>0</v>
      </c>
      <c r="AI32" s="219">
        <v>320</v>
      </c>
      <c r="AJ32" s="219">
        <v>9595.75</v>
      </c>
      <c r="AK32" s="219">
        <v>0</v>
      </c>
      <c r="AL32" s="219">
        <v>0</v>
      </c>
      <c r="AM32" s="234">
        <v>0</v>
      </c>
      <c r="AN32" s="219">
        <v>320</v>
      </c>
      <c r="AO32" s="219">
        <v>9595.75</v>
      </c>
      <c r="AP32" s="219">
        <v>0</v>
      </c>
      <c r="AQ32" s="219">
        <v>0</v>
      </c>
      <c r="AR32" s="234">
        <v>9595.75</v>
      </c>
      <c r="AS32" s="228"/>
      <c r="AT32" s="228"/>
    </row>
    <row r="33" spans="1:46" x14ac:dyDescent="0.25">
      <c r="A33" s="230" t="s">
        <v>476</v>
      </c>
      <c r="B33" s="160" t="s">
        <v>145</v>
      </c>
      <c r="C33" s="200">
        <v>6.3</v>
      </c>
      <c r="D33" s="67" t="s">
        <v>1191</v>
      </c>
      <c r="E33" s="225">
        <v>151.19999999999999</v>
      </c>
      <c r="F33" s="226">
        <v>24</v>
      </c>
      <c r="G33" s="220">
        <v>36</v>
      </c>
      <c r="H33" s="227">
        <v>862.1</v>
      </c>
      <c r="I33" s="232">
        <v>23.947222222222223</v>
      </c>
      <c r="J33" s="219">
        <v>0</v>
      </c>
      <c r="K33" s="219">
        <v>0</v>
      </c>
      <c r="L33" s="219">
        <v>0</v>
      </c>
      <c r="M33" s="219">
        <v>0</v>
      </c>
      <c r="N33" s="234">
        <v>0</v>
      </c>
      <c r="O33" s="219">
        <v>6.3</v>
      </c>
      <c r="P33" s="219">
        <v>151.19999999999999</v>
      </c>
      <c r="Q33" s="219">
        <v>0</v>
      </c>
      <c r="R33" s="219">
        <v>0</v>
      </c>
      <c r="S33" s="234">
        <v>0</v>
      </c>
      <c r="T33" s="219">
        <v>6.3</v>
      </c>
      <c r="U33" s="219">
        <v>151.19999999999999</v>
      </c>
      <c r="V33" s="219">
        <v>0</v>
      </c>
      <c r="W33" s="219">
        <v>0</v>
      </c>
      <c r="X33" s="234">
        <v>0</v>
      </c>
      <c r="Y33" s="219">
        <v>6.3</v>
      </c>
      <c r="Z33" s="219">
        <v>151.19999999999999</v>
      </c>
      <c r="AA33" s="219">
        <v>0</v>
      </c>
      <c r="AB33" s="219">
        <v>0</v>
      </c>
      <c r="AC33" s="234">
        <v>0</v>
      </c>
      <c r="AD33" s="219">
        <v>6.3</v>
      </c>
      <c r="AE33" s="219">
        <v>151.19999999999999</v>
      </c>
      <c r="AF33" s="219">
        <v>0</v>
      </c>
      <c r="AG33" s="219">
        <v>862.1</v>
      </c>
      <c r="AH33" s="234">
        <v>0</v>
      </c>
      <c r="AI33" s="219">
        <v>6.3</v>
      </c>
      <c r="AJ33" s="219">
        <v>151.19999999999999</v>
      </c>
      <c r="AK33" s="219">
        <v>36</v>
      </c>
      <c r="AL33" s="219">
        <v>862.1</v>
      </c>
      <c r="AM33" s="234">
        <v>151.19999999999999</v>
      </c>
      <c r="AN33" s="219">
        <v>6.3</v>
      </c>
      <c r="AO33" s="219">
        <v>151.19999999999999</v>
      </c>
      <c r="AP33" s="219">
        <v>36</v>
      </c>
      <c r="AQ33" s="219">
        <v>862.1</v>
      </c>
      <c r="AR33" s="234">
        <v>151.19999999999999</v>
      </c>
      <c r="AS33" s="228"/>
      <c r="AT33" s="228"/>
    </row>
    <row r="34" spans="1:46" x14ac:dyDescent="0.25">
      <c r="A34" s="230" t="s">
        <v>475</v>
      </c>
      <c r="B34" s="160" t="s">
        <v>1268</v>
      </c>
      <c r="C34" s="200">
        <v>25.2</v>
      </c>
      <c r="D34" s="67" t="s">
        <v>1197</v>
      </c>
      <c r="E34" s="225">
        <v>4027.848</v>
      </c>
      <c r="F34" s="226">
        <v>159.83523809523811</v>
      </c>
      <c r="G34" s="220">
        <v>0</v>
      </c>
      <c r="H34" s="227">
        <v>0</v>
      </c>
      <c r="I34" s="232">
        <v>0</v>
      </c>
      <c r="J34" s="219">
        <v>0</v>
      </c>
      <c r="K34" s="219">
        <v>0</v>
      </c>
      <c r="L34" s="219">
        <v>0</v>
      </c>
      <c r="M34" s="219">
        <v>0</v>
      </c>
      <c r="N34" s="235">
        <v>0</v>
      </c>
      <c r="O34" s="219">
        <v>25.2</v>
      </c>
      <c r="P34" s="219">
        <v>4027.8480000000004</v>
      </c>
      <c r="Q34" s="219">
        <v>0</v>
      </c>
      <c r="R34" s="219">
        <v>0</v>
      </c>
      <c r="S34" s="235">
        <v>0</v>
      </c>
      <c r="T34" s="219">
        <v>25.2</v>
      </c>
      <c r="U34" s="219">
        <v>4027.8480000000004</v>
      </c>
      <c r="V34" s="219">
        <v>0</v>
      </c>
      <c r="W34" s="219">
        <v>0</v>
      </c>
      <c r="X34" s="235">
        <v>0</v>
      </c>
      <c r="Y34" s="219">
        <v>25.2</v>
      </c>
      <c r="Z34" s="219">
        <v>4027.8480000000004</v>
      </c>
      <c r="AA34" s="219">
        <v>0</v>
      </c>
      <c r="AB34" s="219">
        <v>0</v>
      </c>
      <c r="AC34" s="235">
        <v>0</v>
      </c>
      <c r="AD34" s="219">
        <v>25.2</v>
      </c>
      <c r="AE34" s="219">
        <v>4027.8480000000004</v>
      </c>
      <c r="AF34" s="219">
        <v>0</v>
      </c>
      <c r="AG34" s="219">
        <v>0</v>
      </c>
      <c r="AH34" s="235">
        <v>0</v>
      </c>
      <c r="AI34" s="219">
        <v>25.2</v>
      </c>
      <c r="AJ34" s="219">
        <v>4027.8480000000004</v>
      </c>
      <c r="AK34" s="219">
        <v>0</v>
      </c>
      <c r="AL34" s="219">
        <v>0</v>
      </c>
      <c r="AM34" s="235">
        <v>0</v>
      </c>
      <c r="AN34" s="219">
        <v>25.2</v>
      </c>
      <c r="AO34" s="219">
        <v>4027.8480000000004</v>
      </c>
      <c r="AP34" s="219">
        <v>0</v>
      </c>
      <c r="AQ34" s="219">
        <v>0</v>
      </c>
      <c r="AR34" s="235">
        <v>4027.848</v>
      </c>
      <c r="AS34" s="228"/>
      <c r="AT34" s="228"/>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C3E-9ECB-46C1-89AD-67ACFC4ECAF7}">
  <dimension ref="A1:H3201"/>
  <sheetViews>
    <sheetView tabSelected="1" workbookViewId="0">
      <pane ySplit="1" topLeftCell="A2" activePane="bottomLeft" state="frozen"/>
      <selection pane="bottomLeft" activeCell="F3" sqref="F3"/>
    </sheetView>
  </sheetViews>
  <sheetFormatPr defaultRowHeight="15" x14ac:dyDescent="0.25"/>
  <cols>
    <col min="1" max="1" width="11.42578125" bestFit="1" customWidth="1"/>
    <col min="2" max="2" width="50.7109375" style="160" customWidth="1"/>
    <col min="3" max="3" width="24.85546875" bestFit="1" customWidth="1"/>
    <col min="4" max="4" width="5.5703125" bestFit="1" customWidth="1"/>
    <col min="5" max="6" width="10.140625" bestFit="1" customWidth="1"/>
    <col min="7" max="7" width="11.7109375" bestFit="1" customWidth="1"/>
    <col min="8" max="8" width="13.42578125" style="67" bestFit="1" customWidth="1"/>
  </cols>
  <sheetData>
    <row r="1" spans="1:8" x14ac:dyDescent="0.25">
      <c r="A1" s="35" t="s">
        <v>588</v>
      </c>
      <c r="B1" s="159" t="s">
        <v>259</v>
      </c>
      <c r="C1" s="35" t="s">
        <v>589</v>
      </c>
      <c r="D1" s="35" t="s">
        <v>2</v>
      </c>
      <c r="E1" s="35" t="s">
        <v>5</v>
      </c>
      <c r="F1" s="35" t="s">
        <v>6</v>
      </c>
      <c r="G1" s="35" t="s">
        <v>11</v>
      </c>
      <c r="H1" s="229" t="s">
        <v>453</v>
      </c>
    </row>
    <row r="2" spans="1:8" x14ac:dyDescent="0.25">
      <c r="A2" s="209" t="s">
        <v>418</v>
      </c>
      <c r="B2" s="159" t="s">
        <v>1235</v>
      </c>
      <c r="C2" s="35" t="s">
        <v>418</v>
      </c>
      <c r="D2" s="35" t="s">
        <v>418</v>
      </c>
      <c r="E2" s="210"/>
      <c r="F2" s="210"/>
      <c r="G2" s="211"/>
      <c r="H2" s="229" t="s">
        <v>418</v>
      </c>
    </row>
    <row r="3" spans="1:8" ht="30" x14ac:dyDescent="0.25">
      <c r="A3" s="212">
        <v>41916</v>
      </c>
      <c r="B3" s="160" t="s">
        <v>590</v>
      </c>
      <c r="C3" t="s">
        <v>591</v>
      </c>
      <c r="D3" t="s">
        <v>527</v>
      </c>
      <c r="E3" s="161">
        <v>1</v>
      </c>
      <c r="F3" s="161">
        <v>2508</v>
      </c>
      <c r="G3" s="162">
        <v>2508</v>
      </c>
      <c r="H3" s="67">
        <v>11</v>
      </c>
    </row>
    <row r="4" spans="1:8" ht="30" x14ac:dyDescent="0.25">
      <c r="A4" s="212">
        <v>41916</v>
      </c>
      <c r="B4" s="160" t="s">
        <v>593</v>
      </c>
      <c r="C4" t="s">
        <v>591</v>
      </c>
      <c r="D4" t="s">
        <v>527</v>
      </c>
      <c r="E4" s="161">
        <v>1</v>
      </c>
      <c r="F4" s="161">
        <v>7514</v>
      </c>
      <c r="G4" s="162">
        <v>7514</v>
      </c>
      <c r="H4" s="67">
        <v>11</v>
      </c>
    </row>
    <row r="5" spans="1:8" x14ac:dyDescent="0.25">
      <c r="A5" s="212">
        <v>41916</v>
      </c>
      <c r="B5" s="160" t="s">
        <v>592</v>
      </c>
      <c r="C5" t="s">
        <v>591</v>
      </c>
      <c r="D5" t="s">
        <v>527</v>
      </c>
      <c r="E5" s="161">
        <v>1</v>
      </c>
      <c r="F5" s="161">
        <v>10012.6</v>
      </c>
      <c r="G5" s="162">
        <v>10012.6</v>
      </c>
      <c r="H5" s="67">
        <v>11</v>
      </c>
    </row>
    <row r="6" spans="1:8" x14ac:dyDescent="0.25">
      <c r="A6" s="212">
        <v>42023</v>
      </c>
      <c r="B6" s="160" t="s">
        <v>595</v>
      </c>
      <c r="C6" t="s">
        <v>591</v>
      </c>
      <c r="D6" t="s">
        <v>527</v>
      </c>
      <c r="E6" s="161">
        <v>1</v>
      </c>
      <c r="F6" s="161">
        <v>4030</v>
      </c>
      <c r="G6" s="162">
        <v>4030</v>
      </c>
      <c r="H6" s="67">
        <v>11</v>
      </c>
    </row>
    <row r="7" spans="1:8" ht="30" x14ac:dyDescent="0.25">
      <c r="A7" s="212">
        <v>42023</v>
      </c>
      <c r="B7" s="160" t="s">
        <v>594</v>
      </c>
      <c r="C7" t="s">
        <v>591</v>
      </c>
      <c r="D7" t="s">
        <v>527</v>
      </c>
      <c r="E7" s="161">
        <v>1</v>
      </c>
      <c r="F7" s="161">
        <v>6322</v>
      </c>
      <c r="G7" s="162">
        <v>6322</v>
      </c>
      <c r="H7" s="67">
        <v>11</v>
      </c>
    </row>
    <row r="8" spans="1:8" x14ac:dyDescent="0.25">
      <c r="A8" s="212">
        <v>42045</v>
      </c>
      <c r="B8" s="160" t="s">
        <v>596</v>
      </c>
      <c r="C8" t="s">
        <v>591</v>
      </c>
      <c r="D8" t="s">
        <v>527</v>
      </c>
      <c r="E8" s="161">
        <v>1.5</v>
      </c>
      <c r="F8" s="161">
        <v>110</v>
      </c>
      <c r="G8" s="162">
        <v>165</v>
      </c>
      <c r="H8" s="67">
        <v>11</v>
      </c>
    </row>
    <row r="9" spans="1:8" x14ac:dyDescent="0.25">
      <c r="A9" s="212">
        <v>42045</v>
      </c>
      <c r="B9" s="160" t="s">
        <v>597</v>
      </c>
      <c r="C9" t="s">
        <v>591</v>
      </c>
      <c r="D9" t="s">
        <v>527</v>
      </c>
      <c r="E9" s="161">
        <v>1</v>
      </c>
      <c r="F9" s="161">
        <v>1505</v>
      </c>
      <c r="G9" s="162">
        <v>1505</v>
      </c>
      <c r="H9" s="67">
        <v>11</v>
      </c>
    </row>
    <row r="10" spans="1:8" x14ac:dyDescent="0.25">
      <c r="A10" s="212">
        <v>42045</v>
      </c>
      <c r="B10" s="160" t="s">
        <v>598</v>
      </c>
      <c r="C10" t="s">
        <v>591</v>
      </c>
      <c r="D10" t="s">
        <v>527</v>
      </c>
      <c r="E10" s="161">
        <v>1</v>
      </c>
      <c r="F10" s="161">
        <v>1551.7</v>
      </c>
      <c r="G10" s="162">
        <v>1551.7</v>
      </c>
      <c r="H10" s="67">
        <v>11</v>
      </c>
    </row>
    <row r="11" spans="1:8" x14ac:dyDescent="0.25">
      <c r="A11" s="212">
        <v>42079</v>
      </c>
      <c r="B11" s="160" t="s">
        <v>601</v>
      </c>
      <c r="C11" t="s">
        <v>591</v>
      </c>
      <c r="D11" t="s">
        <v>527</v>
      </c>
      <c r="E11" s="161">
        <v>1</v>
      </c>
      <c r="F11" s="161">
        <v>513</v>
      </c>
      <c r="G11" s="162">
        <v>513</v>
      </c>
      <c r="H11" s="67">
        <v>11</v>
      </c>
    </row>
    <row r="12" spans="1:8" x14ac:dyDescent="0.25">
      <c r="A12" s="212">
        <v>42079</v>
      </c>
      <c r="B12" s="160" t="s">
        <v>600</v>
      </c>
      <c r="C12" t="s">
        <v>591</v>
      </c>
      <c r="D12" t="s">
        <v>527</v>
      </c>
      <c r="E12" s="161">
        <v>1</v>
      </c>
      <c r="F12" s="161">
        <v>1368</v>
      </c>
      <c r="G12" s="162">
        <v>1368</v>
      </c>
      <c r="H12" s="67">
        <v>11</v>
      </c>
    </row>
    <row r="13" spans="1:8" x14ac:dyDescent="0.25">
      <c r="A13" s="212">
        <v>42079</v>
      </c>
      <c r="B13" s="160" t="s">
        <v>599</v>
      </c>
      <c r="C13" t="s">
        <v>591</v>
      </c>
      <c r="D13" t="s">
        <v>527</v>
      </c>
      <c r="E13" s="161">
        <v>1</v>
      </c>
      <c r="F13" s="161">
        <v>1178</v>
      </c>
      <c r="G13" s="162">
        <v>1178</v>
      </c>
      <c r="H13" s="67">
        <v>11</v>
      </c>
    </row>
    <row r="14" spans="1:8" x14ac:dyDescent="0.25">
      <c r="A14" s="213" t="s">
        <v>418</v>
      </c>
      <c r="B14" s="214" t="s">
        <v>602</v>
      </c>
      <c r="C14" s="215" t="s">
        <v>418</v>
      </c>
      <c r="D14" s="215" t="s">
        <v>418</v>
      </c>
      <c r="E14" s="216"/>
      <c r="F14" s="216"/>
      <c r="G14" s="217">
        <v>36667.299999999996</v>
      </c>
      <c r="H14" s="231" t="s">
        <v>418</v>
      </c>
    </row>
    <row r="15" spans="1:8" x14ac:dyDescent="0.25">
      <c r="A15" s="212" t="s">
        <v>418</v>
      </c>
      <c r="B15" s="160" t="s">
        <v>418</v>
      </c>
      <c r="C15" t="s">
        <v>418</v>
      </c>
      <c r="D15" t="s">
        <v>418</v>
      </c>
      <c r="E15" s="161"/>
      <c r="F15" s="161"/>
      <c r="G15" s="162"/>
      <c r="H15" s="67" t="s">
        <v>418</v>
      </c>
    </row>
    <row r="16" spans="1:8" x14ac:dyDescent="0.25">
      <c r="A16" s="209" t="s">
        <v>418</v>
      </c>
      <c r="B16" s="159" t="s">
        <v>1236</v>
      </c>
      <c r="C16" s="35" t="s">
        <v>418</v>
      </c>
      <c r="D16" s="35" t="s">
        <v>418</v>
      </c>
      <c r="E16" s="210"/>
      <c r="F16" s="210"/>
      <c r="G16" s="211"/>
      <c r="H16" s="229" t="s">
        <v>418</v>
      </c>
    </row>
    <row r="17" spans="1:8" x14ac:dyDescent="0.25">
      <c r="A17" s="212">
        <v>41941</v>
      </c>
      <c r="B17" s="160" t="s">
        <v>603</v>
      </c>
      <c r="C17" t="s">
        <v>604</v>
      </c>
      <c r="D17" t="s">
        <v>527</v>
      </c>
      <c r="E17" s="161">
        <v>1</v>
      </c>
      <c r="F17" s="161">
        <v>2430</v>
      </c>
      <c r="G17" s="162">
        <v>2430</v>
      </c>
      <c r="H17" s="67">
        <v>13</v>
      </c>
    </row>
    <row r="18" spans="1:8" x14ac:dyDescent="0.25">
      <c r="A18" s="212">
        <v>41967</v>
      </c>
      <c r="B18" s="160" t="s">
        <v>605</v>
      </c>
      <c r="C18" t="s">
        <v>604</v>
      </c>
      <c r="D18" t="s">
        <v>527</v>
      </c>
      <c r="E18" s="161">
        <v>1</v>
      </c>
      <c r="F18" s="161">
        <v>1809</v>
      </c>
      <c r="G18" s="162">
        <v>1809</v>
      </c>
      <c r="H18" s="67">
        <v>13</v>
      </c>
    </row>
    <row r="19" spans="1:8" x14ac:dyDescent="0.25">
      <c r="A19" s="212">
        <v>41995</v>
      </c>
      <c r="B19" s="160" t="s">
        <v>606</v>
      </c>
      <c r="C19" t="s">
        <v>604</v>
      </c>
      <c r="D19" t="s">
        <v>527</v>
      </c>
      <c r="E19" s="161">
        <v>1</v>
      </c>
      <c r="F19" s="161">
        <v>297</v>
      </c>
      <c r="G19" s="162">
        <v>297</v>
      </c>
      <c r="H19" s="67">
        <v>13</v>
      </c>
    </row>
    <row r="20" spans="1:8" x14ac:dyDescent="0.25">
      <c r="A20" s="213" t="s">
        <v>418</v>
      </c>
      <c r="B20" s="214" t="s">
        <v>607</v>
      </c>
      <c r="C20" s="215" t="s">
        <v>418</v>
      </c>
      <c r="D20" s="215" t="s">
        <v>418</v>
      </c>
      <c r="E20" s="216"/>
      <c r="F20" s="216"/>
      <c r="G20" s="217">
        <v>4536</v>
      </c>
      <c r="H20" s="231" t="s">
        <v>418</v>
      </c>
    </row>
    <row r="21" spans="1:8" x14ac:dyDescent="0.25">
      <c r="A21" s="212" t="s">
        <v>418</v>
      </c>
      <c r="B21" s="160" t="s">
        <v>418</v>
      </c>
      <c r="C21" t="s">
        <v>418</v>
      </c>
      <c r="D21" t="s">
        <v>418</v>
      </c>
      <c r="E21" s="161"/>
      <c r="F21" s="161"/>
      <c r="G21" s="162"/>
      <c r="H21" s="67" t="s">
        <v>418</v>
      </c>
    </row>
    <row r="22" spans="1:8" x14ac:dyDescent="0.25">
      <c r="A22" s="209" t="s">
        <v>418</v>
      </c>
      <c r="B22" s="159" t="s">
        <v>1237</v>
      </c>
      <c r="C22" s="35" t="s">
        <v>418</v>
      </c>
      <c r="D22" s="35" t="s">
        <v>418</v>
      </c>
      <c r="E22" s="210"/>
      <c r="F22" s="210"/>
      <c r="G22" s="211"/>
      <c r="H22" s="229" t="s">
        <v>418</v>
      </c>
    </row>
    <row r="23" spans="1:8" x14ac:dyDescent="0.25">
      <c r="A23" s="212">
        <v>41916</v>
      </c>
      <c r="B23" s="160" t="s">
        <v>608</v>
      </c>
      <c r="C23" t="s">
        <v>609</v>
      </c>
      <c r="D23" t="s">
        <v>527</v>
      </c>
      <c r="E23" s="161">
        <v>1</v>
      </c>
      <c r="F23" s="161">
        <v>900</v>
      </c>
      <c r="G23" s="162">
        <v>900</v>
      </c>
      <c r="H23" s="67">
        <v>16</v>
      </c>
    </row>
    <row r="24" spans="1:8" x14ac:dyDescent="0.25">
      <c r="A24" s="212">
        <v>41964</v>
      </c>
      <c r="B24" s="160" t="s">
        <v>610</v>
      </c>
      <c r="C24" t="s">
        <v>611</v>
      </c>
      <c r="D24" t="s">
        <v>527</v>
      </c>
      <c r="E24" s="161">
        <v>1</v>
      </c>
      <c r="F24" s="161">
        <v>375</v>
      </c>
      <c r="G24" s="162">
        <v>375</v>
      </c>
      <c r="H24" s="67">
        <v>16</v>
      </c>
    </row>
    <row r="25" spans="1:8" x14ac:dyDescent="0.25">
      <c r="A25" s="212">
        <v>41964</v>
      </c>
      <c r="B25" s="160" t="s">
        <v>612</v>
      </c>
      <c r="C25" t="s">
        <v>591</v>
      </c>
      <c r="D25" t="s">
        <v>527</v>
      </c>
      <c r="E25" s="161">
        <v>1</v>
      </c>
      <c r="F25" s="161">
        <v>1800</v>
      </c>
      <c r="G25" s="162">
        <v>1800</v>
      </c>
      <c r="H25" s="67">
        <v>16</v>
      </c>
    </row>
    <row r="26" spans="1:8" ht="30" x14ac:dyDescent="0.25">
      <c r="A26" s="212">
        <v>41970</v>
      </c>
      <c r="B26" s="160" t="s">
        <v>613</v>
      </c>
      <c r="C26" t="s">
        <v>614</v>
      </c>
      <c r="D26" t="s">
        <v>527</v>
      </c>
      <c r="E26" s="161">
        <v>1</v>
      </c>
      <c r="F26" s="161">
        <v>1413</v>
      </c>
      <c r="G26" s="162">
        <v>1413</v>
      </c>
      <c r="H26" s="67">
        <v>16</v>
      </c>
    </row>
    <row r="27" spans="1:8" ht="30" x14ac:dyDescent="0.25">
      <c r="A27" s="212">
        <v>41991</v>
      </c>
      <c r="B27" s="160" t="s">
        <v>613</v>
      </c>
      <c r="C27" t="s">
        <v>614</v>
      </c>
      <c r="D27" t="s">
        <v>527</v>
      </c>
      <c r="E27" s="161">
        <v>1</v>
      </c>
      <c r="F27" s="161">
        <v>2826</v>
      </c>
      <c r="G27" s="162">
        <v>2826</v>
      </c>
      <c r="H27" s="67">
        <v>16</v>
      </c>
    </row>
    <row r="28" spans="1:8" ht="30" x14ac:dyDescent="0.25">
      <c r="A28" s="212">
        <v>42034</v>
      </c>
      <c r="B28" s="160" t="s">
        <v>613</v>
      </c>
      <c r="C28" t="s">
        <v>614</v>
      </c>
      <c r="D28" t="s">
        <v>527</v>
      </c>
      <c r="E28" s="161">
        <v>1</v>
      </c>
      <c r="F28" s="161">
        <v>2826</v>
      </c>
      <c r="G28" s="162">
        <v>2826</v>
      </c>
      <c r="H28" s="67">
        <v>16</v>
      </c>
    </row>
    <row r="29" spans="1:8" ht="30" x14ac:dyDescent="0.25">
      <c r="A29" s="212">
        <v>42061</v>
      </c>
      <c r="B29" s="160" t="s">
        <v>613</v>
      </c>
      <c r="C29" t="s">
        <v>614</v>
      </c>
      <c r="D29" t="s">
        <v>527</v>
      </c>
      <c r="E29" s="161">
        <v>1</v>
      </c>
      <c r="F29" s="161">
        <v>2119.5</v>
      </c>
      <c r="G29" s="162">
        <v>2119.5</v>
      </c>
      <c r="H29" s="67">
        <v>16</v>
      </c>
    </row>
    <row r="30" spans="1:8" ht="30" x14ac:dyDescent="0.25">
      <c r="A30" s="212">
        <v>42069</v>
      </c>
      <c r="B30" s="160" t="s">
        <v>615</v>
      </c>
      <c r="C30" t="s">
        <v>614</v>
      </c>
      <c r="D30" t="s">
        <v>527</v>
      </c>
      <c r="E30" s="161">
        <v>1</v>
      </c>
      <c r="F30" s="161">
        <v>706.5</v>
      </c>
      <c r="G30" s="162">
        <v>706.5</v>
      </c>
      <c r="H30" s="67">
        <v>16</v>
      </c>
    </row>
    <row r="31" spans="1:8" x14ac:dyDescent="0.25">
      <c r="A31" s="213" t="s">
        <v>418</v>
      </c>
      <c r="B31" s="214" t="s">
        <v>616</v>
      </c>
      <c r="C31" s="215" t="s">
        <v>418</v>
      </c>
      <c r="D31" s="215" t="s">
        <v>418</v>
      </c>
      <c r="E31" s="216"/>
      <c r="F31" s="216"/>
      <c r="G31" s="217">
        <v>12966</v>
      </c>
      <c r="H31" s="231" t="s">
        <v>418</v>
      </c>
    </row>
    <row r="32" spans="1:8" x14ac:dyDescent="0.25">
      <c r="A32" s="212" t="s">
        <v>418</v>
      </c>
      <c r="B32" s="160" t="s">
        <v>418</v>
      </c>
      <c r="C32" t="s">
        <v>418</v>
      </c>
      <c r="D32" t="s">
        <v>418</v>
      </c>
      <c r="E32" s="161"/>
      <c r="F32" s="161"/>
      <c r="G32" s="162"/>
      <c r="H32" s="67" t="s">
        <v>418</v>
      </c>
    </row>
    <row r="33" spans="1:8" x14ac:dyDescent="0.25">
      <c r="A33" s="209" t="s">
        <v>418</v>
      </c>
      <c r="B33" s="159" t="s">
        <v>1238</v>
      </c>
      <c r="C33" s="35" t="s">
        <v>418</v>
      </c>
      <c r="D33" s="35" t="s">
        <v>418</v>
      </c>
      <c r="E33" s="210"/>
      <c r="F33" s="210"/>
      <c r="G33" s="211"/>
      <c r="H33" s="229" t="s">
        <v>418</v>
      </c>
    </row>
    <row r="34" spans="1:8" x14ac:dyDescent="0.25">
      <c r="A34" s="212">
        <v>41907</v>
      </c>
      <c r="B34" s="160" t="s">
        <v>1209</v>
      </c>
      <c r="C34" t="s">
        <v>1210</v>
      </c>
      <c r="D34" t="s">
        <v>27</v>
      </c>
      <c r="E34" s="161">
        <v>1.5</v>
      </c>
      <c r="F34" s="161">
        <v>42.79</v>
      </c>
      <c r="G34" s="162">
        <v>64.185000000000002</v>
      </c>
      <c r="H34" s="67">
        <v>53</v>
      </c>
    </row>
    <row r="35" spans="1:8" x14ac:dyDescent="0.25">
      <c r="A35" s="212">
        <v>41907</v>
      </c>
      <c r="B35" s="160" t="s">
        <v>1211</v>
      </c>
      <c r="C35" t="s">
        <v>1233</v>
      </c>
      <c r="D35" t="s">
        <v>27</v>
      </c>
      <c r="E35" s="161">
        <v>10</v>
      </c>
      <c r="F35" s="161">
        <v>54.58</v>
      </c>
      <c r="G35" s="162">
        <v>545.79999999999995</v>
      </c>
      <c r="H35" s="67">
        <v>53</v>
      </c>
    </row>
    <row r="36" spans="1:8" x14ac:dyDescent="0.25">
      <c r="A36" s="212">
        <v>41907</v>
      </c>
      <c r="B36" s="160" t="s">
        <v>1109</v>
      </c>
      <c r="C36" t="s">
        <v>7</v>
      </c>
      <c r="D36" t="s">
        <v>27</v>
      </c>
      <c r="E36" s="161">
        <v>11</v>
      </c>
      <c r="F36" s="161">
        <v>42.72</v>
      </c>
      <c r="G36" s="162">
        <v>469.92</v>
      </c>
      <c r="H36" s="67">
        <v>53</v>
      </c>
    </row>
    <row r="37" spans="1:8" x14ac:dyDescent="0.25">
      <c r="A37" s="212">
        <v>41907</v>
      </c>
      <c r="B37" s="160" t="s">
        <v>1209</v>
      </c>
      <c r="C37" t="s">
        <v>1210</v>
      </c>
      <c r="D37" t="s">
        <v>27</v>
      </c>
      <c r="E37" s="161">
        <v>8</v>
      </c>
      <c r="F37" s="161">
        <v>42.79</v>
      </c>
      <c r="G37" s="162">
        <v>342.32</v>
      </c>
      <c r="H37" s="67">
        <v>53</v>
      </c>
    </row>
    <row r="38" spans="1:8" x14ac:dyDescent="0.25">
      <c r="A38" s="212">
        <v>41907</v>
      </c>
      <c r="B38" s="160" t="s">
        <v>1212</v>
      </c>
      <c r="C38" t="s">
        <v>7</v>
      </c>
      <c r="D38" t="s">
        <v>27</v>
      </c>
      <c r="E38" s="161">
        <v>8</v>
      </c>
      <c r="F38" s="161">
        <v>42.72</v>
      </c>
      <c r="G38" s="162">
        <v>341.76</v>
      </c>
      <c r="H38" s="67">
        <v>53</v>
      </c>
    </row>
    <row r="39" spans="1:8" x14ac:dyDescent="0.25">
      <c r="A39" s="212">
        <v>41907</v>
      </c>
      <c r="B39" s="160" t="s">
        <v>1213</v>
      </c>
      <c r="C39" t="s">
        <v>1214</v>
      </c>
      <c r="D39" t="s">
        <v>27</v>
      </c>
      <c r="E39" s="161">
        <v>7</v>
      </c>
      <c r="F39" s="161">
        <v>42.79</v>
      </c>
      <c r="G39" s="162">
        <v>299.52999999999997</v>
      </c>
      <c r="H39" s="67">
        <v>53</v>
      </c>
    </row>
    <row r="40" spans="1:8" x14ac:dyDescent="0.25">
      <c r="A40" s="212">
        <v>41907</v>
      </c>
      <c r="B40" s="160" t="s">
        <v>617</v>
      </c>
      <c r="C40" t="s">
        <v>618</v>
      </c>
      <c r="D40" t="s">
        <v>27</v>
      </c>
      <c r="E40" s="161">
        <v>5</v>
      </c>
      <c r="F40" s="161">
        <v>130</v>
      </c>
      <c r="G40" s="162">
        <v>650</v>
      </c>
      <c r="H40" s="67">
        <v>53</v>
      </c>
    </row>
    <row r="41" spans="1:8" x14ac:dyDescent="0.25">
      <c r="A41" s="212">
        <v>41907</v>
      </c>
      <c r="B41" s="160" t="s">
        <v>619</v>
      </c>
      <c r="C41" t="s">
        <v>620</v>
      </c>
      <c r="D41" t="s">
        <v>27</v>
      </c>
      <c r="E41" s="161">
        <v>6</v>
      </c>
      <c r="F41" s="161">
        <v>80</v>
      </c>
      <c r="G41" s="162">
        <v>480</v>
      </c>
      <c r="H41" s="67">
        <v>53</v>
      </c>
    </row>
    <row r="42" spans="1:8" x14ac:dyDescent="0.25">
      <c r="A42" s="212">
        <v>41907</v>
      </c>
      <c r="B42" s="160" t="s">
        <v>285</v>
      </c>
      <c r="C42" t="s">
        <v>621</v>
      </c>
      <c r="D42" t="s">
        <v>27</v>
      </c>
      <c r="E42" s="161">
        <v>10</v>
      </c>
      <c r="F42" s="161">
        <v>90</v>
      </c>
      <c r="G42" s="162">
        <v>900</v>
      </c>
      <c r="H42" s="67">
        <v>53</v>
      </c>
    </row>
    <row r="43" spans="1:8" x14ac:dyDescent="0.25">
      <c r="A43" s="212">
        <v>41907</v>
      </c>
      <c r="B43" s="160" t="s">
        <v>7</v>
      </c>
      <c r="C43" t="s">
        <v>622</v>
      </c>
      <c r="D43" t="s">
        <v>27</v>
      </c>
      <c r="E43" s="161">
        <v>5</v>
      </c>
      <c r="F43" s="161">
        <v>45</v>
      </c>
      <c r="G43" s="162">
        <v>225</v>
      </c>
      <c r="H43" s="67">
        <v>53</v>
      </c>
    </row>
    <row r="44" spans="1:8" x14ac:dyDescent="0.25">
      <c r="A44" s="212">
        <v>41907</v>
      </c>
      <c r="B44" s="160" t="s">
        <v>623</v>
      </c>
      <c r="C44" t="s">
        <v>7</v>
      </c>
      <c r="D44" t="s">
        <v>27</v>
      </c>
      <c r="E44" s="161">
        <v>8</v>
      </c>
      <c r="F44" s="161">
        <v>46.85</v>
      </c>
      <c r="G44" s="162">
        <v>374.8</v>
      </c>
      <c r="H44" s="67">
        <v>53</v>
      </c>
    </row>
    <row r="45" spans="1:8" x14ac:dyDescent="0.25">
      <c r="A45" s="212">
        <v>41907</v>
      </c>
      <c r="B45" s="160" t="s">
        <v>623</v>
      </c>
      <c r="C45" t="s">
        <v>7</v>
      </c>
      <c r="D45" t="s">
        <v>27</v>
      </c>
      <c r="E45" s="161">
        <v>10</v>
      </c>
      <c r="F45" s="161">
        <v>42.6</v>
      </c>
      <c r="G45" s="162">
        <v>426</v>
      </c>
      <c r="H45" s="67">
        <v>53</v>
      </c>
    </row>
    <row r="46" spans="1:8" x14ac:dyDescent="0.25">
      <c r="A46" s="212">
        <v>41907</v>
      </c>
      <c r="B46" s="160" t="s">
        <v>624</v>
      </c>
      <c r="C46" t="s">
        <v>625</v>
      </c>
      <c r="D46" t="s">
        <v>54</v>
      </c>
      <c r="E46" s="161">
        <v>1</v>
      </c>
      <c r="F46" s="161">
        <v>1800</v>
      </c>
      <c r="G46" s="162">
        <v>1800</v>
      </c>
      <c r="H46" s="67">
        <v>53</v>
      </c>
    </row>
    <row r="47" spans="1:8" x14ac:dyDescent="0.25">
      <c r="A47" s="212">
        <v>41908</v>
      </c>
      <c r="B47" s="160" t="s">
        <v>623</v>
      </c>
      <c r="C47" t="s">
        <v>7</v>
      </c>
      <c r="D47" t="s">
        <v>27</v>
      </c>
      <c r="E47" s="161">
        <v>5</v>
      </c>
      <c r="F47" s="161">
        <v>46.85</v>
      </c>
      <c r="G47" s="162">
        <v>234.25</v>
      </c>
      <c r="H47" s="67">
        <v>53</v>
      </c>
    </row>
    <row r="48" spans="1:8" x14ac:dyDescent="0.25">
      <c r="A48" s="212">
        <v>41908</v>
      </c>
      <c r="B48" s="160" t="s">
        <v>623</v>
      </c>
      <c r="C48" t="s">
        <v>7</v>
      </c>
      <c r="D48" t="s">
        <v>27</v>
      </c>
      <c r="E48" s="161">
        <v>11</v>
      </c>
      <c r="F48" s="161">
        <v>42.6</v>
      </c>
      <c r="G48" s="162">
        <v>468.6</v>
      </c>
      <c r="H48" s="67">
        <v>53</v>
      </c>
    </row>
    <row r="49" spans="1:8" x14ac:dyDescent="0.25">
      <c r="A49" s="212">
        <v>41908</v>
      </c>
      <c r="B49" s="160" t="s">
        <v>624</v>
      </c>
      <c r="C49" t="s">
        <v>625</v>
      </c>
      <c r="D49" t="s">
        <v>54</v>
      </c>
      <c r="E49" s="161">
        <v>1</v>
      </c>
      <c r="F49" s="161">
        <v>1800</v>
      </c>
      <c r="G49" s="162">
        <v>1800</v>
      </c>
      <c r="H49" s="67">
        <v>53</v>
      </c>
    </row>
    <row r="50" spans="1:8" x14ac:dyDescent="0.25">
      <c r="A50" s="212">
        <v>41908</v>
      </c>
      <c r="B50" s="160" t="s">
        <v>285</v>
      </c>
      <c r="C50" t="s">
        <v>621</v>
      </c>
      <c r="D50" t="s">
        <v>27</v>
      </c>
      <c r="E50" s="161">
        <v>10</v>
      </c>
      <c r="F50" s="161">
        <v>90</v>
      </c>
      <c r="G50" s="162">
        <v>900</v>
      </c>
      <c r="H50" s="67">
        <v>53</v>
      </c>
    </row>
    <row r="51" spans="1:8" x14ac:dyDescent="0.25">
      <c r="A51" s="212">
        <v>41908</v>
      </c>
      <c r="B51" s="160" t="s">
        <v>626</v>
      </c>
      <c r="C51" t="s">
        <v>627</v>
      </c>
      <c r="D51" t="s">
        <v>27</v>
      </c>
      <c r="E51" s="161">
        <v>10</v>
      </c>
      <c r="F51" s="161">
        <v>80</v>
      </c>
      <c r="G51" s="162">
        <v>800</v>
      </c>
      <c r="H51" s="67">
        <v>53</v>
      </c>
    </row>
    <row r="52" spans="1:8" x14ac:dyDescent="0.25">
      <c r="A52" s="212">
        <v>41908</v>
      </c>
      <c r="B52" s="160" t="s">
        <v>626</v>
      </c>
      <c r="C52" t="s">
        <v>627</v>
      </c>
      <c r="D52" t="s">
        <v>27</v>
      </c>
      <c r="E52" s="161">
        <v>10</v>
      </c>
      <c r="F52" s="161">
        <v>80</v>
      </c>
      <c r="G52" s="162">
        <v>800</v>
      </c>
      <c r="H52" s="67">
        <v>53</v>
      </c>
    </row>
    <row r="53" spans="1:8" x14ac:dyDescent="0.25">
      <c r="A53" s="212">
        <v>41908</v>
      </c>
      <c r="B53" s="160" t="s">
        <v>617</v>
      </c>
      <c r="C53" t="s">
        <v>618</v>
      </c>
      <c r="D53" t="s">
        <v>27</v>
      </c>
      <c r="E53" s="161">
        <v>10</v>
      </c>
      <c r="F53" s="161">
        <v>130</v>
      </c>
      <c r="G53" s="162">
        <v>1300</v>
      </c>
      <c r="H53" s="67">
        <v>53</v>
      </c>
    </row>
    <row r="54" spans="1:8" x14ac:dyDescent="0.25">
      <c r="A54" s="212">
        <v>41908</v>
      </c>
      <c r="B54" s="160" t="s">
        <v>1212</v>
      </c>
      <c r="C54" t="s">
        <v>7</v>
      </c>
      <c r="D54" t="s">
        <v>27</v>
      </c>
      <c r="E54" s="161">
        <v>11</v>
      </c>
      <c r="F54" s="161">
        <v>42.72</v>
      </c>
      <c r="G54" s="162">
        <v>469.92</v>
      </c>
      <c r="H54" s="67">
        <v>53</v>
      </c>
    </row>
    <row r="55" spans="1:8" x14ac:dyDescent="0.25">
      <c r="A55" s="212">
        <v>41908</v>
      </c>
      <c r="B55" s="160" t="s">
        <v>1211</v>
      </c>
      <c r="C55" t="s">
        <v>1233</v>
      </c>
      <c r="D55" t="s">
        <v>27</v>
      </c>
      <c r="E55" s="161">
        <v>8</v>
      </c>
      <c r="F55" s="161">
        <v>54.58</v>
      </c>
      <c r="G55" s="162">
        <v>436.64</v>
      </c>
      <c r="H55" s="67">
        <v>53</v>
      </c>
    </row>
    <row r="56" spans="1:8" x14ac:dyDescent="0.25">
      <c r="A56" s="212">
        <v>41908</v>
      </c>
      <c r="B56" s="160" t="s">
        <v>1109</v>
      </c>
      <c r="C56" t="s">
        <v>7</v>
      </c>
      <c r="D56" t="s">
        <v>27</v>
      </c>
      <c r="E56" s="161">
        <v>12</v>
      </c>
      <c r="F56" s="161">
        <v>42.72</v>
      </c>
      <c r="G56" s="162">
        <v>512.64</v>
      </c>
      <c r="H56" s="67">
        <v>53</v>
      </c>
    </row>
    <row r="57" spans="1:8" x14ac:dyDescent="0.25">
      <c r="A57" s="212">
        <v>41908</v>
      </c>
      <c r="B57" s="160" t="s">
        <v>619</v>
      </c>
      <c r="C57" t="s">
        <v>620</v>
      </c>
      <c r="D57" t="s">
        <v>27</v>
      </c>
      <c r="E57" s="161">
        <v>3.5</v>
      </c>
      <c r="F57" s="161">
        <v>80</v>
      </c>
      <c r="G57" s="162">
        <v>280</v>
      </c>
      <c r="H57" s="67">
        <v>53</v>
      </c>
    </row>
    <row r="58" spans="1:8" x14ac:dyDescent="0.25">
      <c r="A58" s="212">
        <v>41908</v>
      </c>
      <c r="B58" s="160" t="s">
        <v>1209</v>
      </c>
      <c r="C58" t="s">
        <v>1210</v>
      </c>
      <c r="D58" t="s">
        <v>27</v>
      </c>
      <c r="E58" s="161">
        <v>7.5</v>
      </c>
      <c r="F58" s="161">
        <v>42.79</v>
      </c>
      <c r="G58" s="162">
        <v>320.92500000000001</v>
      </c>
      <c r="H58" s="67">
        <v>53</v>
      </c>
    </row>
    <row r="59" spans="1:8" x14ac:dyDescent="0.25">
      <c r="A59" s="212">
        <v>41909</v>
      </c>
      <c r="B59" s="160" t="s">
        <v>619</v>
      </c>
      <c r="C59" t="s">
        <v>620</v>
      </c>
      <c r="D59" t="s">
        <v>27</v>
      </c>
      <c r="E59" s="161">
        <v>1</v>
      </c>
      <c r="F59" s="161">
        <v>80</v>
      </c>
      <c r="G59" s="162">
        <v>80</v>
      </c>
      <c r="H59" s="67">
        <v>53</v>
      </c>
    </row>
    <row r="60" spans="1:8" x14ac:dyDescent="0.25">
      <c r="A60" s="212">
        <v>41909</v>
      </c>
      <c r="B60" s="160" t="s">
        <v>628</v>
      </c>
      <c r="C60" t="s">
        <v>618</v>
      </c>
      <c r="D60" t="s">
        <v>27</v>
      </c>
      <c r="E60" s="161">
        <v>6</v>
      </c>
      <c r="F60" s="161">
        <v>130</v>
      </c>
      <c r="G60" s="162">
        <v>780</v>
      </c>
      <c r="H60" s="67">
        <v>53</v>
      </c>
    </row>
    <row r="61" spans="1:8" x14ac:dyDescent="0.25">
      <c r="A61" s="212">
        <v>41909</v>
      </c>
      <c r="B61" s="160" t="s">
        <v>7</v>
      </c>
      <c r="C61" t="s">
        <v>622</v>
      </c>
      <c r="D61" t="s">
        <v>27</v>
      </c>
      <c r="E61" s="161">
        <v>1</v>
      </c>
      <c r="F61" s="161">
        <v>45</v>
      </c>
      <c r="G61" s="162">
        <v>45</v>
      </c>
      <c r="H61" s="67">
        <v>53</v>
      </c>
    </row>
    <row r="62" spans="1:8" x14ac:dyDescent="0.25">
      <c r="A62" s="212">
        <v>41909</v>
      </c>
      <c r="B62" s="160" t="s">
        <v>623</v>
      </c>
      <c r="C62" t="s">
        <v>7</v>
      </c>
      <c r="D62" t="s">
        <v>27</v>
      </c>
      <c r="E62" s="161">
        <v>5.5</v>
      </c>
      <c r="F62" s="161">
        <v>46.85</v>
      </c>
      <c r="G62" s="162">
        <v>257.67500000000001</v>
      </c>
      <c r="H62" s="67">
        <v>53</v>
      </c>
    </row>
    <row r="63" spans="1:8" x14ac:dyDescent="0.25">
      <c r="A63" s="212">
        <v>41909</v>
      </c>
      <c r="B63" s="160" t="s">
        <v>623</v>
      </c>
      <c r="C63" t="s">
        <v>7</v>
      </c>
      <c r="D63" t="s">
        <v>27</v>
      </c>
      <c r="E63" s="161">
        <v>7.5</v>
      </c>
      <c r="F63" s="161">
        <v>42.6</v>
      </c>
      <c r="G63" s="162">
        <v>319.5</v>
      </c>
      <c r="H63" s="67">
        <v>53</v>
      </c>
    </row>
    <row r="64" spans="1:8" ht="30" x14ac:dyDescent="0.25">
      <c r="A64" s="212">
        <v>41910</v>
      </c>
      <c r="B64" s="160" t="s">
        <v>629</v>
      </c>
      <c r="C64" t="s">
        <v>630</v>
      </c>
      <c r="D64" t="s">
        <v>27</v>
      </c>
      <c r="E64" s="161">
        <v>19</v>
      </c>
      <c r="F64" s="161">
        <v>20</v>
      </c>
      <c r="G64" s="162">
        <v>380</v>
      </c>
      <c r="H64" s="67">
        <v>53</v>
      </c>
    </row>
    <row r="65" spans="1:8" x14ac:dyDescent="0.25">
      <c r="A65" s="212">
        <v>41911</v>
      </c>
      <c r="B65" s="160" t="s">
        <v>1209</v>
      </c>
      <c r="C65" t="s">
        <v>1210</v>
      </c>
      <c r="D65" t="s">
        <v>27</v>
      </c>
      <c r="E65" s="161">
        <v>5</v>
      </c>
      <c r="F65" s="161">
        <v>42.79</v>
      </c>
      <c r="G65" s="162">
        <v>213.95</v>
      </c>
      <c r="H65" s="67">
        <v>53</v>
      </c>
    </row>
    <row r="66" spans="1:8" x14ac:dyDescent="0.25">
      <c r="A66" s="212">
        <v>41911</v>
      </c>
      <c r="B66" s="160" t="s">
        <v>628</v>
      </c>
      <c r="C66" t="s">
        <v>618</v>
      </c>
      <c r="D66" t="s">
        <v>27</v>
      </c>
      <c r="E66" s="161">
        <v>10</v>
      </c>
      <c r="F66" s="161">
        <v>130</v>
      </c>
      <c r="G66" s="162">
        <v>1300</v>
      </c>
      <c r="H66" s="67">
        <v>53</v>
      </c>
    </row>
    <row r="67" spans="1:8" x14ac:dyDescent="0.25">
      <c r="A67" s="212">
        <v>41911</v>
      </c>
      <c r="B67" s="160" t="s">
        <v>1212</v>
      </c>
      <c r="C67" t="s">
        <v>7</v>
      </c>
      <c r="D67" t="s">
        <v>27</v>
      </c>
      <c r="E67" s="161">
        <v>10</v>
      </c>
      <c r="F67" s="161">
        <v>42.72</v>
      </c>
      <c r="G67" s="162">
        <v>427.2</v>
      </c>
      <c r="H67" s="67">
        <v>53</v>
      </c>
    </row>
    <row r="68" spans="1:8" x14ac:dyDescent="0.25">
      <c r="A68" s="212">
        <v>41911</v>
      </c>
      <c r="B68" s="160" t="s">
        <v>1109</v>
      </c>
      <c r="C68" t="s">
        <v>7</v>
      </c>
      <c r="D68" t="s">
        <v>27</v>
      </c>
      <c r="E68" s="161">
        <v>11</v>
      </c>
      <c r="F68" s="161">
        <v>42.72</v>
      </c>
      <c r="G68" s="162">
        <v>469.92</v>
      </c>
      <c r="H68" s="67">
        <v>53</v>
      </c>
    </row>
    <row r="69" spans="1:8" x14ac:dyDescent="0.25">
      <c r="A69" s="212">
        <v>41911</v>
      </c>
      <c r="B69" s="160" t="s">
        <v>1211</v>
      </c>
      <c r="C69" t="s">
        <v>1233</v>
      </c>
      <c r="D69" t="s">
        <v>27</v>
      </c>
      <c r="E69" s="161">
        <v>10.5</v>
      </c>
      <c r="F69" s="161">
        <v>54.58</v>
      </c>
      <c r="G69" s="162">
        <v>573.09</v>
      </c>
      <c r="H69" s="67">
        <v>53</v>
      </c>
    </row>
    <row r="70" spans="1:8" x14ac:dyDescent="0.25">
      <c r="A70" s="212">
        <v>41911</v>
      </c>
      <c r="B70" s="160" t="s">
        <v>624</v>
      </c>
      <c r="C70" t="s">
        <v>625</v>
      </c>
      <c r="D70" t="s">
        <v>54</v>
      </c>
      <c r="E70" s="161">
        <v>1</v>
      </c>
      <c r="F70" s="161">
        <v>1800</v>
      </c>
      <c r="G70" s="162">
        <v>1800</v>
      </c>
      <c r="H70" s="67">
        <v>53</v>
      </c>
    </row>
    <row r="71" spans="1:8" x14ac:dyDescent="0.25">
      <c r="A71" s="212">
        <v>41911</v>
      </c>
      <c r="B71" s="160" t="s">
        <v>626</v>
      </c>
      <c r="C71" t="s">
        <v>627</v>
      </c>
      <c r="D71" t="s">
        <v>27</v>
      </c>
      <c r="E71" s="161">
        <v>6.5</v>
      </c>
      <c r="F71" s="161">
        <v>80</v>
      </c>
      <c r="G71" s="162">
        <v>520</v>
      </c>
      <c r="H71" s="67">
        <v>53</v>
      </c>
    </row>
    <row r="72" spans="1:8" x14ac:dyDescent="0.25">
      <c r="A72" s="212">
        <v>41911</v>
      </c>
      <c r="B72" s="160" t="s">
        <v>626</v>
      </c>
      <c r="C72" t="s">
        <v>627</v>
      </c>
      <c r="D72" t="s">
        <v>27</v>
      </c>
      <c r="E72" s="161">
        <v>8.5</v>
      </c>
      <c r="F72" s="161">
        <v>80</v>
      </c>
      <c r="G72" s="162">
        <v>680</v>
      </c>
      <c r="H72" s="67">
        <v>53</v>
      </c>
    </row>
    <row r="73" spans="1:8" x14ac:dyDescent="0.25">
      <c r="A73" s="212">
        <v>41911</v>
      </c>
      <c r="B73" s="160" t="s">
        <v>623</v>
      </c>
      <c r="C73" t="s">
        <v>7</v>
      </c>
      <c r="D73" t="s">
        <v>27</v>
      </c>
      <c r="E73" s="161">
        <v>10</v>
      </c>
      <c r="F73" s="161">
        <v>42.6</v>
      </c>
      <c r="G73" s="162">
        <v>426</v>
      </c>
      <c r="H73" s="67">
        <v>53</v>
      </c>
    </row>
    <row r="74" spans="1:8" x14ac:dyDescent="0.25">
      <c r="A74" s="212">
        <v>41911</v>
      </c>
      <c r="B74" s="160" t="s">
        <v>631</v>
      </c>
      <c r="C74" t="s">
        <v>632</v>
      </c>
      <c r="D74" t="s">
        <v>27</v>
      </c>
      <c r="E74" s="161">
        <v>8.5</v>
      </c>
      <c r="F74" s="161">
        <v>80</v>
      </c>
      <c r="G74" s="162">
        <v>680</v>
      </c>
      <c r="H74" s="67">
        <v>53</v>
      </c>
    </row>
    <row r="75" spans="1:8" x14ac:dyDescent="0.25">
      <c r="A75" s="212">
        <v>41912</v>
      </c>
      <c r="B75" s="160" t="s">
        <v>1212</v>
      </c>
      <c r="C75" t="s">
        <v>7</v>
      </c>
      <c r="D75" t="s">
        <v>27</v>
      </c>
      <c r="E75" s="161">
        <v>8.5</v>
      </c>
      <c r="F75" s="161">
        <v>42.72</v>
      </c>
      <c r="G75" s="162">
        <v>363.12</v>
      </c>
      <c r="H75" s="67">
        <v>53</v>
      </c>
    </row>
    <row r="76" spans="1:8" x14ac:dyDescent="0.25">
      <c r="A76" s="212">
        <v>41912</v>
      </c>
      <c r="B76" s="160" t="s">
        <v>1109</v>
      </c>
      <c r="C76" t="s">
        <v>7</v>
      </c>
      <c r="D76" t="s">
        <v>27</v>
      </c>
      <c r="E76" s="161">
        <v>5.5</v>
      </c>
      <c r="F76" s="161">
        <v>42.72</v>
      </c>
      <c r="G76" s="162">
        <v>234.96</v>
      </c>
      <c r="H76" s="67">
        <v>53</v>
      </c>
    </row>
    <row r="77" spans="1:8" x14ac:dyDescent="0.25">
      <c r="A77" s="212">
        <v>41912</v>
      </c>
      <c r="B77" s="160" t="s">
        <v>1211</v>
      </c>
      <c r="C77" t="s">
        <v>1233</v>
      </c>
      <c r="D77" t="s">
        <v>27</v>
      </c>
      <c r="E77" s="161">
        <v>4</v>
      </c>
      <c r="F77" s="161">
        <v>54.58</v>
      </c>
      <c r="G77" s="162">
        <v>218.32</v>
      </c>
      <c r="H77" s="67">
        <v>53</v>
      </c>
    </row>
    <row r="78" spans="1:8" x14ac:dyDescent="0.25">
      <c r="A78" s="212">
        <v>41912</v>
      </c>
      <c r="B78" s="160" t="s">
        <v>631</v>
      </c>
      <c r="C78" t="s">
        <v>632</v>
      </c>
      <c r="D78" t="s">
        <v>27</v>
      </c>
      <c r="E78" s="161">
        <v>5</v>
      </c>
      <c r="F78" s="161">
        <v>80</v>
      </c>
      <c r="G78" s="162">
        <v>400</v>
      </c>
      <c r="H78" s="67">
        <v>53</v>
      </c>
    </row>
    <row r="79" spans="1:8" x14ac:dyDescent="0.25">
      <c r="A79" s="212">
        <v>41912</v>
      </c>
      <c r="B79" s="160" t="s">
        <v>631</v>
      </c>
      <c r="C79" t="s">
        <v>632</v>
      </c>
      <c r="D79" t="s">
        <v>27</v>
      </c>
      <c r="E79" s="161">
        <v>5</v>
      </c>
      <c r="F79" s="161">
        <v>80</v>
      </c>
      <c r="G79" s="162">
        <v>400</v>
      </c>
      <c r="H79" s="67">
        <v>53</v>
      </c>
    </row>
    <row r="80" spans="1:8" x14ac:dyDescent="0.25">
      <c r="A80" s="212">
        <v>41912</v>
      </c>
      <c r="B80" s="160" t="s">
        <v>626</v>
      </c>
      <c r="C80" t="s">
        <v>627</v>
      </c>
      <c r="D80" t="s">
        <v>27</v>
      </c>
      <c r="E80" s="161">
        <v>10</v>
      </c>
      <c r="F80" s="161">
        <v>80</v>
      </c>
      <c r="G80" s="162">
        <v>800</v>
      </c>
      <c r="H80" s="67">
        <v>53</v>
      </c>
    </row>
    <row r="81" spans="1:8" x14ac:dyDescent="0.25">
      <c r="A81" s="212">
        <v>41912</v>
      </c>
      <c r="B81" s="160" t="s">
        <v>1209</v>
      </c>
      <c r="C81" t="s">
        <v>1210</v>
      </c>
      <c r="D81" t="s">
        <v>27</v>
      </c>
      <c r="E81" s="161">
        <v>4.5</v>
      </c>
      <c r="F81" s="161">
        <v>42.79</v>
      </c>
      <c r="G81" s="162">
        <v>192.55500000000001</v>
      </c>
      <c r="H81" s="67">
        <v>53</v>
      </c>
    </row>
    <row r="82" spans="1:8" x14ac:dyDescent="0.25">
      <c r="A82" s="212">
        <v>41912</v>
      </c>
      <c r="B82" s="160" t="s">
        <v>628</v>
      </c>
      <c r="C82" t="s">
        <v>618</v>
      </c>
      <c r="D82" t="s">
        <v>27</v>
      </c>
      <c r="E82" s="161">
        <v>8.5</v>
      </c>
      <c r="F82" s="161">
        <v>130</v>
      </c>
      <c r="G82" s="162">
        <v>1105</v>
      </c>
      <c r="H82" s="67">
        <v>53</v>
      </c>
    </row>
    <row r="83" spans="1:8" x14ac:dyDescent="0.25">
      <c r="A83" s="212">
        <v>41913</v>
      </c>
      <c r="B83" s="160" t="s">
        <v>1215</v>
      </c>
      <c r="C83" t="s">
        <v>1233</v>
      </c>
      <c r="D83" t="s">
        <v>27</v>
      </c>
      <c r="E83" s="161">
        <v>3.5</v>
      </c>
      <c r="F83" s="161">
        <v>54.58</v>
      </c>
      <c r="G83" s="162">
        <v>191.03</v>
      </c>
      <c r="H83" s="67">
        <v>53</v>
      </c>
    </row>
    <row r="84" spans="1:8" x14ac:dyDescent="0.25">
      <c r="A84" s="212">
        <v>41913</v>
      </c>
      <c r="B84" s="160" t="s">
        <v>1216</v>
      </c>
      <c r="C84" t="s">
        <v>7</v>
      </c>
      <c r="D84" t="s">
        <v>27</v>
      </c>
      <c r="E84" s="161">
        <v>3.5</v>
      </c>
      <c r="F84" s="161">
        <v>42.72</v>
      </c>
      <c r="G84" s="162">
        <v>149.52000000000001</v>
      </c>
      <c r="H84" s="67">
        <v>53</v>
      </c>
    </row>
    <row r="85" spans="1:8" x14ac:dyDescent="0.25">
      <c r="A85" s="212">
        <v>41914</v>
      </c>
      <c r="B85" s="160" t="s">
        <v>626</v>
      </c>
      <c r="C85" t="s">
        <v>627</v>
      </c>
      <c r="D85" t="s">
        <v>27</v>
      </c>
      <c r="E85" s="161">
        <v>7.5</v>
      </c>
      <c r="F85" s="161">
        <v>80</v>
      </c>
      <c r="G85" s="162">
        <v>600</v>
      </c>
      <c r="H85" s="67">
        <v>53</v>
      </c>
    </row>
    <row r="86" spans="1:8" x14ac:dyDescent="0.25">
      <c r="A86" s="212">
        <v>41914</v>
      </c>
      <c r="B86" s="160" t="s">
        <v>628</v>
      </c>
      <c r="C86" t="s">
        <v>618</v>
      </c>
      <c r="D86" t="s">
        <v>27</v>
      </c>
      <c r="E86" s="161">
        <v>6.5</v>
      </c>
      <c r="F86" s="161">
        <v>130</v>
      </c>
      <c r="G86" s="162">
        <v>845</v>
      </c>
      <c r="H86" s="67">
        <v>53</v>
      </c>
    </row>
    <row r="87" spans="1:8" x14ac:dyDescent="0.25">
      <c r="A87" s="212">
        <v>41914</v>
      </c>
      <c r="B87" s="160" t="s">
        <v>624</v>
      </c>
      <c r="C87" t="s">
        <v>625</v>
      </c>
      <c r="D87" t="s">
        <v>54</v>
      </c>
      <c r="E87" s="161">
        <v>1</v>
      </c>
      <c r="F87" s="161">
        <v>1800</v>
      </c>
      <c r="G87" s="162">
        <v>1800</v>
      </c>
      <c r="H87" s="67">
        <v>53</v>
      </c>
    </row>
    <row r="88" spans="1:8" x14ac:dyDescent="0.25">
      <c r="A88" s="212">
        <v>41914</v>
      </c>
      <c r="B88" s="160" t="s">
        <v>1109</v>
      </c>
      <c r="C88" t="s">
        <v>7</v>
      </c>
      <c r="D88" t="s">
        <v>27</v>
      </c>
      <c r="E88" s="161">
        <v>11</v>
      </c>
      <c r="F88" s="161">
        <v>42.72</v>
      </c>
      <c r="G88" s="162">
        <v>469.92</v>
      </c>
      <c r="H88" s="67">
        <v>53</v>
      </c>
    </row>
    <row r="89" spans="1:8" x14ac:dyDescent="0.25">
      <c r="A89" s="212">
        <v>41914</v>
      </c>
      <c r="B89" s="160" t="s">
        <v>1212</v>
      </c>
      <c r="C89" t="s">
        <v>7</v>
      </c>
      <c r="D89" t="s">
        <v>27</v>
      </c>
      <c r="E89" s="161">
        <v>10</v>
      </c>
      <c r="F89" s="161">
        <v>42.72</v>
      </c>
      <c r="G89" s="162">
        <v>427.2</v>
      </c>
      <c r="H89" s="67">
        <v>53</v>
      </c>
    </row>
    <row r="90" spans="1:8" x14ac:dyDescent="0.25">
      <c r="A90" s="212">
        <v>41914</v>
      </c>
      <c r="B90" s="160" t="s">
        <v>1217</v>
      </c>
      <c r="C90" t="s">
        <v>1210</v>
      </c>
      <c r="D90" t="s">
        <v>27</v>
      </c>
      <c r="E90" s="161">
        <v>7.5</v>
      </c>
      <c r="F90" s="161">
        <v>42.79</v>
      </c>
      <c r="G90" s="162">
        <v>320.92500000000001</v>
      </c>
      <c r="H90" s="67">
        <v>53</v>
      </c>
    </row>
    <row r="91" spans="1:8" x14ac:dyDescent="0.25">
      <c r="A91" s="212">
        <v>41914</v>
      </c>
      <c r="B91" s="160" t="s">
        <v>1211</v>
      </c>
      <c r="C91" t="s">
        <v>1233</v>
      </c>
      <c r="D91" t="s">
        <v>27</v>
      </c>
      <c r="E91" s="161">
        <v>10.5</v>
      </c>
      <c r="F91" s="161">
        <v>54.58</v>
      </c>
      <c r="G91" s="162">
        <v>573.09</v>
      </c>
      <c r="H91" s="67">
        <v>53</v>
      </c>
    </row>
    <row r="92" spans="1:8" x14ac:dyDescent="0.25">
      <c r="A92" s="212">
        <v>41914</v>
      </c>
      <c r="B92" s="160" t="s">
        <v>623</v>
      </c>
      <c r="C92" t="s">
        <v>7</v>
      </c>
      <c r="D92" t="s">
        <v>27</v>
      </c>
      <c r="E92" s="161">
        <v>0.5</v>
      </c>
      <c r="F92" s="161">
        <v>42.6</v>
      </c>
      <c r="G92" s="162">
        <v>21.3</v>
      </c>
      <c r="H92" s="67">
        <v>53</v>
      </c>
    </row>
    <row r="93" spans="1:8" x14ac:dyDescent="0.25">
      <c r="A93" s="212">
        <v>41914</v>
      </c>
      <c r="B93" s="160" t="s">
        <v>626</v>
      </c>
      <c r="C93" t="s">
        <v>627</v>
      </c>
      <c r="D93" t="s">
        <v>27</v>
      </c>
      <c r="E93" s="161">
        <v>6.5</v>
      </c>
      <c r="F93" s="161">
        <v>80</v>
      </c>
      <c r="G93" s="162">
        <v>520</v>
      </c>
      <c r="H93" s="67">
        <v>53</v>
      </c>
    </row>
    <row r="94" spans="1:8" x14ac:dyDescent="0.25">
      <c r="A94" s="212">
        <v>41915</v>
      </c>
      <c r="B94" s="160" t="s">
        <v>623</v>
      </c>
      <c r="C94" t="s">
        <v>7</v>
      </c>
      <c r="D94" t="s">
        <v>27</v>
      </c>
      <c r="E94" s="161">
        <v>4.5</v>
      </c>
      <c r="F94" s="161">
        <v>42.6</v>
      </c>
      <c r="G94" s="162">
        <v>191.7</v>
      </c>
      <c r="H94" s="67">
        <v>53</v>
      </c>
    </row>
    <row r="95" spans="1:8" x14ac:dyDescent="0.25">
      <c r="A95" s="212">
        <v>41915</v>
      </c>
      <c r="B95" s="160" t="s">
        <v>1212</v>
      </c>
      <c r="C95" t="s">
        <v>7</v>
      </c>
      <c r="D95" t="s">
        <v>27</v>
      </c>
      <c r="E95" s="161">
        <v>6</v>
      </c>
      <c r="F95" s="161">
        <v>42.72</v>
      </c>
      <c r="G95" s="162">
        <v>256.32</v>
      </c>
      <c r="H95" s="67">
        <v>53</v>
      </c>
    </row>
    <row r="96" spans="1:8" x14ac:dyDescent="0.25">
      <c r="A96" s="212">
        <v>41915</v>
      </c>
      <c r="B96" s="160" t="s">
        <v>626</v>
      </c>
      <c r="C96" t="s">
        <v>627</v>
      </c>
      <c r="D96" t="s">
        <v>27</v>
      </c>
      <c r="E96" s="161">
        <v>4</v>
      </c>
      <c r="F96" s="161">
        <v>80</v>
      </c>
      <c r="G96" s="162">
        <v>320</v>
      </c>
      <c r="H96" s="67">
        <v>53</v>
      </c>
    </row>
    <row r="97" spans="1:8" x14ac:dyDescent="0.25">
      <c r="A97" s="212">
        <v>41915</v>
      </c>
      <c r="B97" s="160" t="s">
        <v>1217</v>
      </c>
      <c r="C97" t="s">
        <v>1210</v>
      </c>
      <c r="D97" t="s">
        <v>27</v>
      </c>
      <c r="E97" s="161">
        <v>4</v>
      </c>
      <c r="F97" s="161">
        <v>42.79</v>
      </c>
      <c r="G97" s="162">
        <v>171.16</v>
      </c>
      <c r="H97" s="67">
        <v>53</v>
      </c>
    </row>
    <row r="98" spans="1:8" x14ac:dyDescent="0.25">
      <c r="A98" s="212">
        <v>41915</v>
      </c>
      <c r="B98" s="160" t="s">
        <v>1109</v>
      </c>
      <c r="C98" t="s">
        <v>7</v>
      </c>
      <c r="D98" t="s">
        <v>27</v>
      </c>
      <c r="E98" s="161">
        <v>5.5</v>
      </c>
      <c r="F98" s="161">
        <v>42.72</v>
      </c>
      <c r="G98" s="162">
        <v>234.96</v>
      </c>
      <c r="H98" s="67">
        <v>53</v>
      </c>
    </row>
    <row r="99" spans="1:8" x14ac:dyDescent="0.25">
      <c r="A99" s="212">
        <v>41915</v>
      </c>
      <c r="B99" s="160" t="s">
        <v>286</v>
      </c>
      <c r="C99" t="s">
        <v>633</v>
      </c>
      <c r="D99" t="s">
        <v>27</v>
      </c>
      <c r="E99" s="161">
        <v>5</v>
      </c>
      <c r="F99" s="161">
        <v>90</v>
      </c>
      <c r="G99" s="162">
        <v>450</v>
      </c>
      <c r="H99" s="67">
        <v>53</v>
      </c>
    </row>
    <row r="100" spans="1:8" x14ac:dyDescent="0.25">
      <c r="A100" s="212">
        <v>41915</v>
      </c>
      <c r="B100" s="160" t="s">
        <v>628</v>
      </c>
      <c r="C100" t="s">
        <v>618</v>
      </c>
      <c r="D100" t="s">
        <v>27</v>
      </c>
      <c r="E100" s="161">
        <v>4</v>
      </c>
      <c r="F100" s="161">
        <v>130</v>
      </c>
      <c r="G100" s="162">
        <v>520</v>
      </c>
      <c r="H100" s="67">
        <v>53</v>
      </c>
    </row>
    <row r="101" spans="1:8" x14ac:dyDescent="0.25">
      <c r="A101" s="212">
        <v>41915</v>
      </c>
      <c r="B101" s="160" t="s">
        <v>626</v>
      </c>
      <c r="C101" t="s">
        <v>627</v>
      </c>
      <c r="D101" t="s">
        <v>27</v>
      </c>
      <c r="E101" s="161">
        <v>4</v>
      </c>
      <c r="F101" s="161">
        <v>80</v>
      </c>
      <c r="G101" s="162">
        <v>320</v>
      </c>
      <c r="H101" s="67">
        <v>53</v>
      </c>
    </row>
    <row r="102" spans="1:8" x14ac:dyDescent="0.25">
      <c r="A102" s="212">
        <v>41915</v>
      </c>
      <c r="B102" s="160" t="s">
        <v>1211</v>
      </c>
      <c r="C102" t="s">
        <v>1233</v>
      </c>
      <c r="D102" t="s">
        <v>27</v>
      </c>
      <c r="E102" s="161">
        <v>6</v>
      </c>
      <c r="F102" s="161">
        <v>54.58</v>
      </c>
      <c r="G102" s="162">
        <v>327.48</v>
      </c>
      <c r="H102" s="67">
        <v>53</v>
      </c>
    </row>
    <row r="103" spans="1:8" x14ac:dyDescent="0.25">
      <c r="A103" s="212">
        <v>41920</v>
      </c>
      <c r="B103" s="160" t="s">
        <v>636</v>
      </c>
      <c r="C103" t="s">
        <v>637</v>
      </c>
      <c r="D103" t="s">
        <v>27</v>
      </c>
      <c r="E103" s="161">
        <v>9</v>
      </c>
      <c r="F103" s="161">
        <v>55</v>
      </c>
      <c r="G103" s="162">
        <v>495</v>
      </c>
      <c r="H103" s="67">
        <v>53</v>
      </c>
    </row>
    <row r="104" spans="1:8" x14ac:dyDescent="0.25">
      <c r="A104" s="212">
        <v>41920</v>
      </c>
      <c r="B104" s="160" t="s">
        <v>628</v>
      </c>
      <c r="C104" t="s">
        <v>618</v>
      </c>
      <c r="D104" t="s">
        <v>27</v>
      </c>
      <c r="E104" s="161">
        <v>9</v>
      </c>
      <c r="F104" s="161">
        <v>130</v>
      </c>
      <c r="G104" s="162">
        <v>1170</v>
      </c>
      <c r="H104" s="67">
        <v>53</v>
      </c>
    </row>
    <row r="105" spans="1:8" x14ac:dyDescent="0.25">
      <c r="A105" s="212">
        <v>41920</v>
      </c>
      <c r="B105" s="160" t="s">
        <v>631</v>
      </c>
      <c r="C105" t="s">
        <v>632</v>
      </c>
      <c r="D105" t="s">
        <v>27</v>
      </c>
      <c r="E105" s="161">
        <v>9</v>
      </c>
      <c r="F105" s="161">
        <v>80</v>
      </c>
      <c r="G105" s="162">
        <v>720</v>
      </c>
      <c r="H105" s="67">
        <v>53</v>
      </c>
    </row>
    <row r="106" spans="1:8" x14ac:dyDescent="0.25">
      <c r="A106" s="212">
        <v>41920</v>
      </c>
      <c r="B106" s="160" t="s">
        <v>634</v>
      </c>
      <c r="C106" t="s">
        <v>635</v>
      </c>
      <c r="D106" t="s">
        <v>27</v>
      </c>
      <c r="E106" s="161">
        <v>2</v>
      </c>
      <c r="F106" s="161">
        <v>92.5</v>
      </c>
      <c r="G106" s="162">
        <v>185</v>
      </c>
      <c r="H106" s="67">
        <v>53</v>
      </c>
    </row>
    <row r="107" spans="1:8" x14ac:dyDescent="0.25">
      <c r="A107" s="212">
        <v>41920</v>
      </c>
      <c r="B107" s="160" t="s">
        <v>624</v>
      </c>
      <c r="C107" t="s">
        <v>625</v>
      </c>
      <c r="D107" t="s">
        <v>54</v>
      </c>
      <c r="E107" s="161">
        <v>1</v>
      </c>
      <c r="F107" s="161">
        <v>1800</v>
      </c>
      <c r="G107" s="162">
        <v>1800</v>
      </c>
      <c r="H107" s="67">
        <v>53</v>
      </c>
    </row>
    <row r="108" spans="1:8" x14ac:dyDescent="0.25">
      <c r="A108" s="212">
        <v>41921</v>
      </c>
      <c r="B108" s="160" t="s">
        <v>624</v>
      </c>
      <c r="C108" t="s">
        <v>625</v>
      </c>
      <c r="D108" t="s">
        <v>54</v>
      </c>
      <c r="E108" s="161">
        <v>1</v>
      </c>
      <c r="F108" s="161">
        <v>1800</v>
      </c>
      <c r="G108" s="162">
        <v>1800</v>
      </c>
      <c r="H108" s="67">
        <v>53</v>
      </c>
    </row>
    <row r="109" spans="1:8" x14ac:dyDescent="0.25">
      <c r="A109" s="212">
        <v>41922</v>
      </c>
      <c r="B109" s="160" t="s">
        <v>1109</v>
      </c>
      <c r="C109" t="s">
        <v>7</v>
      </c>
      <c r="D109" t="s">
        <v>27</v>
      </c>
      <c r="E109" s="161">
        <v>11.5</v>
      </c>
      <c r="F109" s="161">
        <v>42.72</v>
      </c>
      <c r="G109" s="162">
        <v>491.28</v>
      </c>
      <c r="H109" s="67">
        <v>53</v>
      </c>
    </row>
    <row r="110" spans="1:8" x14ac:dyDescent="0.25">
      <c r="A110" s="212">
        <v>41922</v>
      </c>
      <c r="B110" s="160" t="s">
        <v>631</v>
      </c>
      <c r="C110" t="s">
        <v>632</v>
      </c>
      <c r="D110" t="s">
        <v>27</v>
      </c>
      <c r="E110" s="161">
        <v>10</v>
      </c>
      <c r="F110" s="161">
        <v>80</v>
      </c>
      <c r="G110" s="162">
        <v>800</v>
      </c>
      <c r="H110" s="67">
        <v>53</v>
      </c>
    </row>
    <row r="111" spans="1:8" x14ac:dyDescent="0.25">
      <c r="A111" s="212">
        <v>41922</v>
      </c>
      <c r="B111" s="160" t="s">
        <v>1217</v>
      </c>
      <c r="C111" t="s">
        <v>1210</v>
      </c>
      <c r="D111" t="s">
        <v>27</v>
      </c>
      <c r="E111" s="161">
        <v>9.5</v>
      </c>
      <c r="F111" s="161">
        <v>42.79</v>
      </c>
      <c r="G111" s="162">
        <v>406.505</v>
      </c>
      <c r="H111" s="67">
        <v>53</v>
      </c>
    </row>
    <row r="112" spans="1:8" x14ac:dyDescent="0.25">
      <c r="A112" s="212">
        <v>41922</v>
      </c>
      <c r="B112" s="160" t="s">
        <v>1211</v>
      </c>
      <c r="C112" t="s">
        <v>1233</v>
      </c>
      <c r="D112" t="s">
        <v>27</v>
      </c>
      <c r="E112" s="161">
        <v>10.5</v>
      </c>
      <c r="F112" s="161">
        <v>54.58</v>
      </c>
      <c r="G112" s="162">
        <v>573.09</v>
      </c>
      <c r="H112" s="67">
        <v>53</v>
      </c>
    </row>
    <row r="113" spans="1:8" x14ac:dyDescent="0.25">
      <c r="A113" s="212">
        <v>41922</v>
      </c>
      <c r="B113" s="160" t="s">
        <v>623</v>
      </c>
      <c r="C113" t="s">
        <v>7</v>
      </c>
      <c r="D113" t="s">
        <v>527</v>
      </c>
      <c r="E113" s="161">
        <v>10</v>
      </c>
      <c r="F113" s="161">
        <v>49.7</v>
      </c>
      <c r="G113" s="162">
        <v>497</v>
      </c>
      <c r="H113" s="67">
        <v>53</v>
      </c>
    </row>
    <row r="114" spans="1:8" x14ac:dyDescent="0.25">
      <c r="A114" s="212">
        <v>41922</v>
      </c>
      <c r="B114" s="160" t="s">
        <v>634</v>
      </c>
      <c r="C114" t="s">
        <v>635</v>
      </c>
      <c r="D114" t="s">
        <v>27</v>
      </c>
      <c r="E114" s="161">
        <v>1</v>
      </c>
      <c r="F114" s="161">
        <v>92.5</v>
      </c>
      <c r="G114" s="162">
        <v>92.5</v>
      </c>
      <c r="H114" s="67">
        <v>53</v>
      </c>
    </row>
    <row r="115" spans="1:8" x14ac:dyDescent="0.25">
      <c r="A115" s="212">
        <v>41922</v>
      </c>
      <c r="B115" s="160" t="s">
        <v>631</v>
      </c>
      <c r="C115" t="s">
        <v>632</v>
      </c>
      <c r="D115" t="s">
        <v>27</v>
      </c>
      <c r="E115" s="161">
        <v>10</v>
      </c>
      <c r="F115" s="161">
        <v>80</v>
      </c>
      <c r="G115" s="162">
        <v>800</v>
      </c>
      <c r="H115" s="67">
        <v>53</v>
      </c>
    </row>
    <row r="116" spans="1:8" x14ac:dyDescent="0.25">
      <c r="A116" s="212">
        <v>41922</v>
      </c>
      <c r="B116" s="160" t="s">
        <v>638</v>
      </c>
      <c r="C116" t="s">
        <v>637</v>
      </c>
      <c r="D116" t="s">
        <v>27</v>
      </c>
      <c r="E116" s="161">
        <v>10</v>
      </c>
      <c r="F116" s="161">
        <v>51</v>
      </c>
      <c r="G116" s="162">
        <v>510</v>
      </c>
      <c r="H116" s="67">
        <v>53</v>
      </c>
    </row>
    <row r="117" spans="1:8" x14ac:dyDescent="0.25">
      <c r="A117" s="212">
        <v>41922</v>
      </c>
      <c r="B117" s="160" t="s">
        <v>623</v>
      </c>
      <c r="C117" t="s">
        <v>7</v>
      </c>
      <c r="D117" t="s">
        <v>27</v>
      </c>
      <c r="E117" s="161">
        <v>2</v>
      </c>
      <c r="F117" s="161">
        <v>42.6</v>
      </c>
      <c r="G117" s="162">
        <v>85.2</v>
      </c>
      <c r="H117" s="67">
        <v>53</v>
      </c>
    </row>
    <row r="118" spans="1:8" x14ac:dyDescent="0.25">
      <c r="A118" s="212">
        <v>41922</v>
      </c>
      <c r="B118" s="160" t="s">
        <v>624</v>
      </c>
      <c r="C118" t="s">
        <v>625</v>
      </c>
      <c r="D118" t="s">
        <v>54</v>
      </c>
      <c r="E118" s="161">
        <v>1</v>
      </c>
      <c r="F118" s="161">
        <v>1800</v>
      </c>
      <c r="G118" s="162">
        <v>1800</v>
      </c>
      <c r="H118" s="67">
        <v>53</v>
      </c>
    </row>
    <row r="119" spans="1:8" x14ac:dyDescent="0.25">
      <c r="A119" s="212">
        <v>41923</v>
      </c>
      <c r="B119" s="160" t="s">
        <v>1211</v>
      </c>
      <c r="C119" t="s">
        <v>1233</v>
      </c>
      <c r="D119" t="s">
        <v>27</v>
      </c>
      <c r="E119" s="161">
        <v>3</v>
      </c>
      <c r="F119" s="161">
        <v>54.58</v>
      </c>
      <c r="G119" s="162">
        <v>163.74</v>
      </c>
      <c r="H119" s="67">
        <v>53</v>
      </c>
    </row>
    <row r="120" spans="1:8" x14ac:dyDescent="0.25">
      <c r="A120" s="212">
        <v>41923</v>
      </c>
      <c r="B120" s="160" t="s">
        <v>1212</v>
      </c>
      <c r="C120" t="s">
        <v>7</v>
      </c>
      <c r="D120" t="s">
        <v>27</v>
      </c>
      <c r="E120" s="161">
        <v>3</v>
      </c>
      <c r="F120" s="161">
        <v>42.72</v>
      </c>
      <c r="G120" s="162">
        <v>128.16</v>
      </c>
      <c r="H120" s="67">
        <v>53</v>
      </c>
    </row>
    <row r="121" spans="1:8" x14ac:dyDescent="0.25">
      <c r="A121" s="212">
        <v>41923</v>
      </c>
      <c r="B121" s="160" t="s">
        <v>1217</v>
      </c>
      <c r="C121" t="s">
        <v>1210</v>
      </c>
      <c r="D121" t="s">
        <v>27</v>
      </c>
      <c r="E121" s="161">
        <v>2.5</v>
      </c>
      <c r="F121" s="161">
        <v>42.79</v>
      </c>
      <c r="G121" s="162">
        <v>106.97499999999999</v>
      </c>
      <c r="H121" s="67">
        <v>53</v>
      </c>
    </row>
    <row r="122" spans="1:8" x14ac:dyDescent="0.25">
      <c r="A122" s="212">
        <v>41923</v>
      </c>
      <c r="B122" s="160" t="s">
        <v>623</v>
      </c>
      <c r="C122" t="s">
        <v>7</v>
      </c>
      <c r="D122" t="s">
        <v>527</v>
      </c>
      <c r="E122" s="161">
        <v>3.5</v>
      </c>
      <c r="F122" s="161">
        <v>49.7</v>
      </c>
      <c r="G122" s="162">
        <v>173.95</v>
      </c>
      <c r="H122" s="67">
        <v>53</v>
      </c>
    </row>
    <row r="123" spans="1:8" x14ac:dyDescent="0.25">
      <c r="A123" s="212">
        <v>41923</v>
      </c>
      <c r="B123" s="160" t="s">
        <v>631</v>
      </c>
      <c r="C123" t="s">
        <v>632</v>
      </c>
      <c r="D123" t="s">
        <v>27</v>
      </c>
      <c r="E123" s="161">
        <v>3</v>
      </c>
      <c r="F123" s="161">
        <v>80</v>
      </c>
      <c r="G123" s="162">
        <v>240</v>
      </c>
      <c r="H123" s="67">
        <v>53</v>
      </c>
    </row>
    <row r="124" spans="1:8" x14ac:dyDescent="0.25">
      <c r="A124" s="212">
        <v>41923</v>
      </c>
      <c r="B124" s="160" t="s">
        <v>631</v>
      </c>
      <c r="C124" t="s">
        <v>632</v>
      </c>
      <c r="D124" t="s">
        <v>27</v>
      </c>
      <c r="E124" s="161">
        <v>3</v>
      </c>
      <c r="F124" s="161">
        <v>80</v>
      </c>
      <c r="G124" s="162">
        <v>240</v>
      </c>
      <c r="H124" s="67">
        <v>53</v>
      </c>
    </row>
    <row r="125" spans="1:8" x14ac:dyDescent="0.25">
      <c r="A125" s="212">
        <v>41923</v>
      </c>
      <c r="B125" s="160" t="s">
        <v>638</v>
      </c>
      <c r="C125" t="s">
        <v>637</v>
      </c>
      <c r="D125" t="s">
        <v>27</v>
      </c>
      <c r="E125" s="161">
        <v>2.5</v>
      </c>
      <c r="F125" s="161">
        <v>51</v>
      </c>
      <c r="G125" s="162">
        <v>127.5</v>
      </c>
      <c r="H125" s="67">
        <v>53</v>
      </c>
    </row>
    <row r="126" spans="1:8" x14ac:dyDescent="0.25">
      <c r="A126" s="212">
        <v>41925</v>
      </c>
      <c r="B126" s="160" t="s">
        <v>1109</v>
      </c>
      <c r="C126" t="s">
        <v>7</v>
      </c>
      <c r="D126" t="s">
        <v>27</v>
      </c>
      <c r="E126" s="161">
        <v>4.5</v>
      </c>
      <c r="F126" s="161">
        <v>42.72</v>
      </c>
      <c r="G126" s="162">
        <v>192.24</v>
      </c>
      <c r="H126" s="67">
        <v>53</v>
      </c>
    </row>
    <row r="127" spans="1:8" x14ac:dyDescent="0.25">
      <c r="A127" s="212">
        <v>41925</v>
      </c>
      <c r="B127" s="160" t="s">
        <v>1212</v>
      </c>
      <c r="C127" t="s">
        <v>7</v>
      </c>
      <c r="D127" t="s">
        <v>27</v>
      </c>
      <c r="E127" s="161">
        <v>8</v>
      </c>
      <c r="F127" s="161">
        <v>42.72</v>
      </c>
      <c r="G127" s="162">
        <v>341.76</v>
      </c>
      <c r="H127" s="67">
        <v>53</v>
      </c>
    </row>
    <row r="128" spans="1:8" x14ac:dyDescent="0.25">
      <c r="A128" s="212">
        <v>41926</v>
      </c>
      <c r="B128" s="160" t="s">
        <v>631</v>
      </c>
      <c r="C128" t="s">
        <v>632</v>
      </c>
      <c r="D128" t="s">
        <v>27</v>
      </c>
      <c r="E128" s="161">
        <v>6</v>
      </c>
      <c r="F128" s="161">
        <v>80</v>
      </c>
      <c r="G128" s="162">
        <v>480</v>
      </c>
      <c r="H128" s="67">
        <v>53</v>
      </c>
    </row>
    <row r="129" spans="1:8" x14ac:dyDescent="0.25">
      <c r="A129" s="212">
        <v>41926</v>
      </c>
      <c r="B129" s="160" t="s">
        <v>631</v>
      </c>
      <c r="C129" t="s">
        <v>632</v>
      </c>
      <c r="D129" t="s">
        <v>27</v>
      </c>
      <c r="E129" s="161">
        <v>6</v>
      </c>
      <c r="F129" s="161">
        <v>80</v>
      </c>
      <c r="G129" s="162">
        <v>480</v>
      </c>
      <c r="H129" s="67">
        <v>53</v>
      </c>
    </row>
    <row r="130" spans="1:8" x14ac:dyDescent="0.25">
      <c r="A130" s="212">
        <v>41926</v>
      </c>
      <c r="B130" s="160" t="s">
        <v>286</v>
      </c>
      <c r="C130" t="s">
        <v>633</v>
      </c>
      <c r="D130" t="s">
        <v>27</v>
      </c>
      <c r="E130" s="161">
        <v>3</v>
      </c>
      <c r="F130" s="161">
        <v>90</v>
      </c>
      <c r="G130" s="162">
        <v>270</v>
      </c>
      <c r="H130" s="67">
        <v>53</v>
      </c>
    </row>
    <row r="131" spans="1:8" x14ac:dyDescent="0.25">
      <c r="A131" s="212">
        <v>41926</v>
      </c>
      <c r="B131" s="160" t="s">
        <v>638</v>
      </c>
      <c r="C131" t="s">
        <v>637</v>
      </c>
      <c r="D131" t="s">
        <v>27</v>
      </c>
      <c r="E131" s="161">
        <v>7.5</v>
      </c>
      <c r="F131" s="161">
        <v>51</v>
      </c>
      <c r="G131" s="162">
        <v>382.5</v>
      </c>
      <c r="H131" s="67">
        <v>53</v>
      </c>
    </row>
    <row r="132" spans="1:8" x14ac:dyDescent="0.25">
      <c r="A132" s="212">
        <v>41926</v>
      </c>
      <c r="B132" s="160" t="s">
        <v>631</v>
      </c>
      <c r="C132" t="s">
        <v>632</v>
      </c>
      <c r="D132" t="s">
        <v>27</v>
      </c>
      <c r="E132" s="161">
        <v>9</v>
      </c>
      <c r="F132" s="161">
        <v>80</v>
      </c>
      <c r="G132" s="162">
        <v>720</v>
      </c>
      <c r="H132" s="67">
        <v>53</v>
      </c>
    </row>
    <row r="133" spans="1:8" x14ac:dyDescent="0.25">
      <c r="A133" s="212">
        <v>41926</v>
      </c>
      <c r="B133" s="160" t="s">
        <v>624</v>
      </c>
      <c r="C133" t="s">
        <v>625</v>
      </c>
      <c r="D133" t="s">
        <v>54</v>
      </c>
      <c r="E133" s="161">
        <v>1</v>
      </c>
      <c r="F133" s="161">
        <v>1800</v>
      </c>
      <c r="G133" s="162">
        <v>1800</v>
      </c>
      <c r="H133" s="67">
        <v>53</v>
      </c>
    </row>
    <row r="134" spans="1:8" x14ac:dyDescent="0.25">
      <c r="A134" s="212">
        <v>41926</v>
      </c>
      <c r="B134" s="160" t="s">
        <v>1211</v>
      </c>
      <c r="C134" t="s">
        <v>1233</v>
      </c>
      <c r="D134" t="s">
        <v>27</v>
      </c>
      <c r="E134" s="161">
        <v>9.5</v>
      </c>
      <c r="F134" s="161">
        <v>54.58</v>
      </c>
      <c r="G134" s="162">
        <v>518.51</v>
      </c>
      <c r="H134" s="67">
        <v>53</v>
      </c>
    </row>
    <row r="135" spans="1:8" x14ac:dyDescent="0.25">
      <c r="A135" s="212">
        <v>41926</v>
      </c>
      <c r="B135" s="160" t="s">
        <v>1212</v>
      </c>
      <c r="C135" t="s">
        <v>7</v>
      </c>
      <c r="D135" t="s">
        <v>27</v>
      </c>
      <c r="E135" s="161">
        <v>10</v>
      </c>
      <c r="F135" s="161">
        <v>42.72</v>
      </c>
      <c r="G135" s="162">
        <v>427.2</v>
      </c>
      <c r="H135" s="67">
        <v>53</v>
      </c>
    </row>
    <row r="136" spans="1:8" x14ac:dyDescent="0.25">
      <c r="A136" s="212">
        <v>41926</v>
      </c>
      <c r="B136" s="160" t="s">
        <v>1217</v>
      </c>
      <c r="C136" t="s">
        <v>1210</v>
      </c>
      <c r="D136" t="s">
        <v>27</v>
      </c>
      <c r="E136" s="161">
        <v>9</v>
      </c>
      <c r="F136" s="161">
        <v>42.79</v>
      </c>
      <c r="G136" s="162">
        <v>385.11</v>
      </c>
      <c r="H136" s="67">
        <v>53</v>
      </c>
    </row>
    <row r="137" spans="1:8" x14ac:dyDescent="0.25">
      <c r="A137" s="212">
        <v>41926</v>
      </c>
      <c r="B137" s="160" t="s">
        <v>1109</v>
      </c>
      <c r="C137" t="s">
        <v>7</v>
      </c>
      <c r="D137" t="s">
        <v>27</v>
      </c>
      <c r="E137" s="161">
        <v>6</v>
      </c>
      <c r="F137" s="161">
        <v>42.72</v>
      </c>
      <c r="G137" s="162">
        <v>256.32</v>
      </c>
      <c r="H137" s="67">
        <v>53</v>
      </c>
    </row>
    <row r="138" spans="1:8" x14ac:dyDescent="0.25">
      <c r="A138" s="212">
        <v>41926</v>
      </c>
      <c r="B138" s="160" t="s">
        <v>626</v>
      </c>
      <c r="C138" t="s">
        <v>627</v>
      </c>
      <c r="D138" t="s">
        <v>27</v>
      </c>
      <c r="E138" s="161">
        <v>9</v>
      </c>
      <c r="F138" s="161">
        <v>80</v>
      </c>
      <c r="G138" s="162">
        <v>720</v>
      </c>
      <c r="H138" s="67">
        <v>53</v>
      </c>
    </row>
    <row r="139" spans="1:8" x14ac:dyDescent="0.25">
      <c r="A139" s="212">
        <v>41926</v>
      </c>
      <c r="B139" s="160" t="s">
        <v>623</v>
      </c>
      <c r="C139" t="s">
        <v>7</v>
      </c>
      <c r="D139" t="s">
        <v>527</v>
      </c>
      <c r="E139" s="161">
        <v>10</v>
      </c>
      <c r="F139" s="161">
        <v>49.7</v>
      </c>
      <c r="G139" s="162">
        <v>497</v>
      </c>
      <c r="H139" s="67">
        <v>53</v>
      </c>
    </row>
    <row r="140" spans="1:8" x14ac:dyDescent="0.25">
      <c r="A140" s="212">
        <v>41927</v>
      </c>
      <c r="B140" s="160" t="s">
        <v>624</v>
      </c>
      <c r="C140" t="s">
        <v>625</v>
      </c>
      <c r="D140" t="s">
        <v>54</v>
      </c>
      <c r="E140" s="161">
        <v>1</v>
      </c>
      <c r="F140" s="161">
        <v>1800</v>
      </c>
      <c r="G140" s="162">
        <v>1800</v>
      </c>
      <c r="H140" s="67">
        <v>53</v>
      </c>
    </row>
    <row r="141" spans="1:8" x14ac:dyDescent="0.25">
      <c r="A141" s="212">
        <v>41927</v>
      </c>
      <c r="B141" s="160" t="s">
        <v>1212</v>
      </c>
      <c r="C141" t="s">
        <v>7</v>
      </c>
      <c r="D141" t="s">
        <v>27</v>
      </c>
      <c r="E141" s="161">
        <v>10</v>
      </c>
      <c r="F141" s="161">
        <v>42.72</v>
      </c>
      <c r="G141" s="162">
        <v>427.2</v>
      </c>
      <c r="H141" s="67">
        <v>53</v>
      </c>
    </row>
    <row r="142" spans="1:8" x14ac:dyDescent="0.25">
      <c r="A142" s="212">
        <v>41927</v>
      </c>
      <c r="B142" s="160" t="s">
        <v>623</v>
      </c>
      <c r="C142" t="s">
        <v>7</v>
      </c>
      <c r="D142" t="s">
        <v>27</v>
      </c>
      <c r="E142" s="161">
        <v>8</v>
      </c>
      <c r="F142" s="161">
        <v>42.6</v>
      </c>
      <c r="G142" s="162">
        <v>340.8</v>
      </c>
      <c r="H142" s="67">
        <v>53</v>
      </c>
    </row>
    <row r="143" spans="1:8" x14ac:dyDescent="0.25">
      <c r="A143" s="212">
        <v>41927</v>
      </c>
      <c r="B143" s="160" t="s">
        <v>638</v>
      </c>
      <c r="C143" t="s">
        <v>637</v>
      </c>
      <c r="D143" t="s">
        <v>27</v>
      </c>
      <c r="E143" s="161">
        <v>7</v>
      </c>
      <c r="F143" s="161">
        <v>51</v>
      </c>
      <c r="G143" s="162">
        <v>357</v>
      </c>
      <c r="H143" s="67">
        <v>53</v>
      </c>
    </row>
    <row r="144" spans="1:8" x14ac:dyDescent="0.25">
      <c r="A144" s="212">
        <v>41927</v>
      </c>
      <c r="B144" s="160" t="s">
        <v>1211</v>
      </c>
      <c r="C144" t="s">
        <v>1233</v>
      </c>
      <c r="D144" t="s">
        <v>27</v>
      </c>
      <c r="E144" s="161">
        <v>9.5</v>
      </c>
      <c r="F144" s="161">
        <v>54.58</v>
      </c>
      <c r="G144" s="162">
        <v>518.51</v>
      </c>
      <c r="H144" s="67">
        <v>53</v>
      </c>
    </row>
    <row r="145" spans="1:8" x14ac:dyDescent="0.25">
      <c r="A145" s="212">
        <v>41927</v>
      </c>
      <c r="B145" s="160" t="s">
        <v>619</v>
      </c>
      <c r="C145" t="s">
        <v>620</v>
      </c>
      <c r="D145" t="s">
        <v>27</v>
      </c>
      <c r="E145" s="161">
        <v>3</v>
      </c>
      <c r="F145" s="161">
        <v>80</v>
      </c>
      <c r="G145" s="162">
        <v>240</v>
      </c>
      <c r="H145" s="67">
        <v>53</v>
      </c>
    </row>
    <row r="146" spans="1:8" x14ac:dyDescent="0.25">
      <c r="A146" s="212">
        <v>41927</v>
      </c>
      <c r="B146" s="160" t="s">
        <v>631</v>
      </c>
      <c r="C146" t="s">
        <v>632</v>
      </c>
      <c r="D146" t="s">
        <v>27</v>
      </c>
      <c r="E146" s="161">
        <v>8</v>
      </c>
      <c r="F146" s="161">
        <v>80</v>
      </c>
      <c r="G146" s="162">
        <v>640</v>
      </c>
      <c r="H146" s="67">
        <v>53</v>
      </c>
    </row>
    <row r="147" spans="1:8" x14ac:dyDescent="0.25">
      <c r="A147" s="212">
        <v>41927</v>
      </c>
      <c r="B147" s="160" t="s">
        <v>1109</v>
      </c>
      <c r="C147" t="s">
        <v>7</v>
      </c>
      <c r="D147" t="s">
        <v>27</v>
      </c>
      <c r="E147" s="161">
        <v>11</v>
      </c>
      <c r="F147" s="161">
        <v>42.72</v>
      </c>
      <c r="G147" s="162">
        <v>469.92</v>
      </c>
      <c r="H147" s="67">
        <v>53</v>
      </c>
    </row>
    <row r="148" spans="1:8" x14ac:dyDescent="0.25">
      <c r="A148" s="212">
        <v>41927</v>
      </c>
      <c r="B148" s="160" t="s">
        <v>1217</v>
      </c>
      <c r="C148" t="s">
        <v>1210</v>
      </c>
      <c r="D148" t="s">
        <v>27</v>
      </c>
      <c r="E148" s="161">
        <v>9</v>
      </c>
      <c r="F148" s="161">
        <v>42.79</v>
      </c>
      <c r="G148" s="162">
        <v>385.11</v>
      </c>
      <c r="H148" s="67">
        <v>53</v>
      </c>
    </row>
    <row r="149" spans="1:8" x14ac:dyDescent="0.25">
      <c r="A149" s="212">
        <v>41927</v>
      </c>
      <c r="B149" s="160" t="s">
        <v>631</v>
      </c>
      <c r="C149" t="s">
        <v>632</v>
      </c>
      <c r="D149" t="s">
        <v>27</v>
      </c>
      <c r="E149" s="161">
        <v>9</v>
      </c>
      <c r="F149" s="161">
        <v>80</v>
      </c>
      <c r="G149" s="162">
        <v>720</v>
      </c>
      <c r="H149" s="67">
        <v>53</v>
      </c>
    </row>
    <row r="150" spans="1:8" x14ac:dyDescent="0.25">
      <c r="A150" s="212">
        <v>41927</v>
      </c>
      <c r="B150" s="160" t="s">
        <v>623</v>
      </c>
      <c r="C150" t="s">
        <v>7</v>
      </c>
      <c r="D150" t="s">
        <v>527</v>
      </c>
      <c r="E150" s="161">
        <v>10</v>
      </c>
      <c r="F150" s="161">
        <v>49.7</v>
      </c>
      <c r="G150" s="162">
        <v>497</v>
      </c>
      <c r="H150" s="67">
        <v>53</v>
      </c>
    </row>
    <row r="151" spans="1:8" x14ac:dyDescent="0.25">
      <c r="A151" s="212">
        <v>41928</v>
      </c>
      <c r="B151" s="160" t="s">
        <v>1211</v>
      </c>
      <c r="C151" t="s">
        <v>1233</v>
      </c>
      <c r="D151" t="s">
        <v>27</v>
      </c>
      <c r="E151" s="161">
        <v>10.5</v>
      </c>
      <c r="F151" s="161">
        <v>54.58</v>
      </c>
      <c r="G151" s="162">
        <v>573.09</v>
      </c>
      <c r="H151" s="67">
        <v>53</v>
      </c>
    </row>
    <row r="152" spans="1:8" x14ac:dyDescent="0.25">
      <c r="A152" s="212">
        <v>41928</v>
      </c>
      <c r="B152" s="160" t="s">
        <v>1109</v>
      </c>
      <c r="C152" t="s">
        <v>7</v>
      </c>
      <c r="D152" t="s">
        <v>27</v>
      </c>
      <c r="E152" s="161">
        <v>11</v>
      </c>
      <c r="F152" s="161">
        <v>42.72</v>
      </c>
      <c r="G152" s="162">
        <v>469.92</v>
      </c>
      <c r="H152" s="67">
        <v>53</v>
      </c>
    </row>
    <row r="153" spans="1:8" x14ac:dyDescent="0.25">
      <c r="A153" s="212">
        <v>41928</v>
      </c>
      <c r="B153" s="160" t="s">
        <v>626</v>
      </c>
      <c r="C153" t="s">
        <v>627</v>
      </c>
      <c r="D153" t="s">
        <v>27</v>
      </c>
      <c r="E153" s="161">
        <v>7.5</v>
      </c>
      <c r="F153" s="161">
        <v>80</v>
      </c>
      <c r="G153" s="162">
        <v>600</v>
      </c>
      <c r="H153" s="67">
        <v>53</v>
      </c>
    </row>
    <row r="154" spans="1:8" x14ac:dyDescent="0.25">
      <c r="A154" s="212">
        <v>41928</v>
      </c>
      <c r="B154" s="160" t="s">
        <v>623</v>
      </c>
      <c r="C154" t="s">
        <v>7</v>
      </c>
      <c r="D154" t="s">
        <v>527</v>
      </c>
      <c r="E154" s="161">
        <v>10</v>
      </c>
      <c r="F154" s="161">
        <v>49.7</v>
      </c>
      <c r="G154" s="162">
        <v>497</v>
      </c>
      <c r="H154" s="67">
        <v>53</v>
      </c>
    </row>
    <row r="155" spans="1:8" x14ac:dyDescent="0.25">
      <c r="A155" s="212">
        <v>41928</v>
      </c>
      <c r="B155" s="160" t="s">
        <v>626</v>
      </c>
      <c r="C155" t="s">
        <v>627</v>
      </c>
      <c r="D155" t="s">
        <v>27</v>
      </c>
      <c r="E155" s="161">
        <v>9</v>
      </c>
      <c r="F155" s="161">
        <v>80</v>
      </c>
      <c r="G155" s="162">
        <v>720</v>
      </c>
      <c r="H155" s="67">
        <v>53</v>
      </c>
    </row>
    <row r="156" spans="1:8" x14ac:dyDescent="0.25">
      <c r="A156" s="212">
        <v>41928</v>
      </c>
      <c r="B156" s="160" t="s">
        <v>631</v>
      </c>
      <c r="C156" t="s">
        <v>632</v>
      </c>
      <c r="D156" t="s">
        <v>27</v>
      </c>
      <c r="E156" s="161">
        <v>9</v>
      </c>
      <c r="F156" s="161">
        <v>80</v>
      </c>
      <c r="G156" s="162">
        <v>720</v>
      </c>
      <c r="H156" s="67">
        <v>53</v>
      </c>
    </row>
    <row r="157" spans="1:8" x14ac:dyDescent="0.25">
      <c r="A157" s="212">
        <v>41928</v>
      </c>
      <c r="B157" s="160" t="s">
        <v>631</v>
      </c>
      <c r="C157" t="s">
        <v>632</v>
      </c>
      <c r="D157" t="s">
        <v>27</v>
      </c>
      <c r="E157" s="161">
        <v>9</v>
      </c>
      <c r="F157" s="161">
        <v>80</v>
      </c>
      <c r="G157" s="162">
        <v>720</v>
      </c>
      <c r="H157" s="67">
        <v>53</v>
      </c>
    </row>
    <row r="158" spans="1:8" x14ac:dyDescent="0.25">
      <c r="A158" s="212">
        <v>41928</v>
      </c>
      <c r="B158" s="160" t="s">
        <v>1212</v>
      </c>
      <c r="C158" t="s">
        <v>7</v>
      </c>
      <c r="D158" t="s">
        <v>27</v>
      </c>
      <c r="E158" s="161">
        <v>10</v>
      </c>
      <c r="F158" s="161">
        <v>42.72</v>
      </c>
      <c r="G158" s="162">
        <v>427.2</v>
      </c>
      <c r="H158" s="67">
        <v>53</v>
      </c>
    </row>
    <row r="159" spans="1:8" x14ac:dyDescent="0.25">
      <c r="A159" s="212">
        <v>41928</v>
      </c>
      <c r="B159" s="160" t="s">
        <v>1212</v>
      </c>
      <c r="C159" t="s">
        <v>7</v>
      </c>
      <c r="D159" t="s">
        <v>27</v>
      </c>
      <c r="E159" s="161">
        <v>9</v>
      </c>
      <c r="F159" s="161">
        <v>42.72</v>
      </c>
      <c r="G159" s="162">
        <v>384.48</v>
      </c>
      <c r="H159" s="67">
        <v>53</v>
      </c>
    </row>
    <row r="160" spans="1:8" x14ac:dyDescent="0.25">
      <c r="A160" s="212">
        <v>41928</v>
      </c>
      <c r="B160" s="160" t="s">
        <v>638</v>
      </c>
      <c r="C160" t="s">
        <v>637</v>
      </c>
      <c r="D160" t="s">
        <v>27</v>
      </c>
      <c r="E160" s="161">
        <v>10</v>
      </c>
      <c r="F160" s="161">
        <v>51</v>
      </c>
      <c r="G160" s="162">
        <v>510</v>
      </c>
      <c r="H160" s="67">
        <v>53</v>
      </c>
    </row>
    <row r="161" spans="1:8" x14ac:dyDescent="0.25">
      <c r="A161" s="212">
        <v>41928</v>
      </c>
      <c r="B161" s="160" t="s">
        <v>623</v>
      </c>
      <c r="C161" t="s">
        <v>7</v>
      </c>
      <c r="D161" t="s">
        <v>27</v>
      </c>
      <c r="E161" s="161">
        <v>8</v>
      </c>
      <c r="F161" s="161">
        <v>42.6</v>
      </c>
      <c r="G161" s="162">
        <v>340.8</v>
      </c>
      <c r="H161" s="67">
        <v>53</v>
      </c>
    </row>
    <row r="162" spans="1:8" x14ac:dyDescent="0.25">
      <c r="A162" s="212">
        <v>41928</v>
      </c>
      <c r="B162" s="160" t="s">
        <v>624</v>
      </c>
      <c r="C162" t="s">
        <v>625</v>
      </c>
      <c r="D162" t="s">
        <v>54</v>
      </c>
      <c r="E162" s="161">
        <v>1</v>
      </c>
      <c r="F162" s="161">
        <v>1800</v>
      </c>
      <c r="G162" s="162">
        <v>1800</v>
      </c>
      <c r="H162" s="67">
        <v>53</v>
      </c>
    </row>
    <row r="163" spans="1:8" x14ac:dyDescent="0.25">
      <c r="A163" s="212">
        <v>41928</v>
      </c>
      <c r="B163" s="160" t="s">
        <v>1217</v>
      </c>
      <c r="C163" t="s">
        <v>1210</v>
      </c>
      <c r="D163" t="s">
        <v>27</v>
      </c>
      <c r="E163" s="161">
        <v>9</v>
      </c>
      <c r="F163" s="161">
        <v>42.79</v>
      </c>
      <c r="G163" s="162">
        <v>385.11</v>
      </c>
      <c r="H163" s="67">
        <v>53</v>
      </c>
    </row>
    <row r="164" spans="1:8" x14ac:dyDescent="0.25">
      <c r="A164" s="212">
        <v>41929</v>
      </c>
      <c r="B164" s="160" t="s">
        <v>619</v>
      </c>
      <c r="C164" t="s">
        <v>620</v>
      </c>
      <c r="D164" t="s">
        <v>27</v>
      </c>
      <c r="E164" s="161">
        <v>3.5</v>
      </c>
      <c r="F164" s="161">
        <v>80</v>
      </c>
      <c r="G164" s="162">
        <v>280</v>
      </c>
      <c r="H164" s="67">
        <v>53</v>
      </c>
    </row>
    <row r="165" spans="1:8" x14ac:dyDescent="0.25">
      <c r="A165" s="212">
        <v>41929</v>
      </c>
      <c r="B165" s="160" t="s">
        <v>638</v>
      </c>
      <c r="C165" t="s">
        <v>637</v>
      </c>
      <c r="D165" t="s">
        <v>27</v>
      </c>
      <c r="E165" s="161">
        <v>7</v>
      </c>
      <c r="F165" s="161">
        <v>51</v>
      </c>
      <c r="G165" s="162">
        <v>357</v>
      </c>
      <c r="H165" s="67">
        <v>53</v>
      </c>
    </row>
    <row r="166" spans="1:8" x14ac:dyDescent="0.25">
      <c r="A166" s="212">
        <v>41929</v>
      </c>
      <c r="B166" s="160" t="s">
        <v>1109</v>
      </c>
      <c r="C166" t="s">
        <v>7</v>
      </c>
      <c r="D166" t="s">
        <v>27</v>
      </c>
      <c r="E166" s="161">
        <v>5</v>
      </c>
      <c r="F166" s="161">
        <v>42.72</v>
      </c>
      <c r="G166" s="162">
        <v>213.6</v>
      </c>
      <c r="H166" s="67">
        <v>53</v>
      </c>
    </row>
    <row r="167" spans="1:8" x14ac:dyDescent="0.25">
      <c r="A167" s="212">
        <v>41929</v>
      </c>
      <c r="B167" s="160" t="s">
        <v>631</v>
      </c>
      <c r="C167" t="s">
        <v>632</v>
      </c>
      <c r="D167" t="s">
        <v>27</v>
      </c>
      <c r="E167" s="161">
        <v>4</v>
      </c>
      <c r="F167" s="161">
        <v>80</v>
      </c>
      <c r="G167" s="162">
        <v>320</v>
      </c>
      <c r="H167" s="67">
        <v>53</v>
      </c>
    </row>
    <row r="168" spans="1:8" x14ac:dyDescent="0.25">
      <c r="A168" s="212">
        <v>41929</v>
      </c>
      <c r="B168" s="160" t="s">
        <v>631</v>
      </c>
      <c r="C168" t="s">
        <v>632</v>
      </c>
      <c r="D168" t="s">
        <v>27</v>
      </c>
      <c r="E168" s="161">
        <v>4</v>
      </c>
      <c r="F168" s="161">
        <v>80</v>
      </c>
      <c r="G168" s="162">
        <v>320</v>
      </c>
      <c r="H168" s="67">
        <v>53</v>
      </c>
    </row>
    <row r="169" spans="1:8" x14ac:dyDescent="0.25">
      <c r="A169" s="212">
        <v>41929</v>
      </c>
      <c r="B169" s="160" t="s">
        <v>631</v>
      </c>
      <c r="C169" t="s">
        <v>632</v>
      </c>
      <c r="D169" t="s">
        <v>27</v>
      </c>
      <c r="E169" s="161">
        <v>2</v>
      </c>
      <c r="F169" s="161">
        <v>80</v>
      </c>
      <c r="G169" s="162">
        <v>160</v>
      </c>
      <c r="H169" s="67">
        <v>53</v>
      </c>
    </row>
    <row r="170" spans="1:8" x14ac:dyDescent="0.25">
      <c r="A170" s="212">
        <v>41929</v>
      </c>
      <c r="B170" s="160" t="s">
        <v>1217</v>
      </c>
      <c r="C170" t="s">
        <v>1210</v>
      </c>
      <c r="D170" t="s">
        <v>27</v>
      </c>
      <c r="E170" s="161">
        <v>9</v>
      </c>
      <c r="F170" s="161">
        <v>42.79</v>
      </c>
      <c r="G170" s="162">
        <v>385.11</v>
      </c>
      <c r="H170" s="67">
        <v>53</v>
      </c>
    </row>
    <row r="171" spans="1:8" x14ac:dyDescent="0.25">
      <c r="A171" s="212">
        <v>41929</v>
      </c>
      <c r="B171" s="160" t="s">
        <v>631</v>
      </c>
      <c r="C171" t="s">
        <v>632</v>
      </c>
      <c r="D171" t="s">
        <v>27</v>
      </c>
      <c r="E171" s="161">
        <v>10</v>
      </c>
      <c r="F171" s="161">
        <v>80</v>
      </c>
      <c r="G171" s="162">
        <v>800</v>
      </c>
      <c r="H171" s="67">
        <v>53</v>
      </c>
    </row>
    <row r="172" spans="1:8" x14ac:dyDescent="0.25">
      <c r="A172" s="212">
        <v>41929</v>
      </c>
      <c r="B172" s="160" t="s">
        <v>1212</v>
      </c>
      <c r="C172" t="s">
        <v>7</v>
      </c>
      <c r="D172" t="s">
        <v>27</v>
      </c>
      <c r="E172" s="161">
        <v>10</v>
      </c>
      <c r="F172" s="161">
        <v>42.72</v>
      </c>
      <c r="G172" s="162">
        <v>427.2</v>
      </c>
      <c r="H172" s="67">
        <v>53</v>
      </c>
    </row>
    <row r="173" spans="1:8" x14ac:dyDescent="0.25">
      <c r="A173" s="212">
        <v>41929</v>
      </c>
      <c r="B173" s="160" t="s">
        <v>1211</v>
      </c>
      <c r="C173" t="s">
        <v>1233</v>
      </c>
      <c r="D173" t="s">
        <v>27</v>
      </c>
      <c r="E173" s="161">
        <v>10.5</v>
      </c>
      <c r="F173" s="161">
        <v>54.58</v>
      </c>
      <c r="G173" s="162">
        <v>573.09</v>
      </c>
      <c r="H173" s="67">
        <v>53</v>
      </c>
    </row>
    <row r="174" spans="1:8" x14ac:dyDescent="0.25">
      <c r="A174" s="212">
        <v>41929</v>
      </c>
      <c r="B174" s="160" t="s">
        <v>1212</v>
      </c>
      <c r="C174" t="s">
        <v>7</v>
      </c>
      <c r="D174" t="s">
        <v>27</v>
      </c>
      <c r="E174" s="161">
        <v>10.5</v>
      </c>
      <c r="F174" s="161">
        <v>42.72</v>
      </c>
      <c r="G174" s="162">
        <v>448.56</v>
      </c>
      <c r="H174" s="67">
        <v>53</v>
      </c>
    </row>
    <row r="175" spans="1:8" x14ac:dyDescent="0.25">
      <c r="A175" s="212">
        <v>41930</v>
      </c>
      <c r="B175" s="160" t="s">
        <v>1109</v>
      </c>
      <c r="C175" t="s">
        <v>7</v>
      </c>
      <c r="D175" t="s">
        <v>27</v>
      </c>
      <c r="E175" s="161">
        <v>7.5</v>
      </c>
      <c r="F175" s="161">
        <v>42.72</v>
      </c>
      <c r="G175" s="162">
        <v>320.39999999999998</v>
      </c>
      <c r="H175" s="67">
        <v>53</v>
      </c>
    </row>
    <row r="176" spans="1:8" x14ac:dyDescent="0.25">
      <c r="A176" s="212">
        <v>41931</v>
      </c>
      <c r="B176" s="160" t="s">
        <v>639</v>
      </c>
      <c r="C176" t="s">
        <v>630</v>
      </c>
      <c r="D176" t="s">
        <v>527</v>
      </c>
      <c r="E176" s="161">
        <v>6</v>
      </c>
      <c r="F176" s="161">
        <v>46</v>
      </c>
      <c r="G176" s="162">
        <v>276</v>
      </c>
      <c r="H176" s="67">
        <v>53</v>
      </c>
    </row>
    <row r="177" spans="1:8" x14ac:dyDescent="0.25">
      <c r="A177" s="212">
        <v>41932</v>
      </c>
      <c r="B177" s="160" t="s">
        <v>624</v>
      </c>
      <c r="C177" t="s">
        <v>625</v>
      </c>
      <c r="D177" t="s">
        <v>54</v>
      </c>
      <c r="E177" s="161">
        <v>1</v>
      </c>
      <c r="F177" s="161">
        <v>1800</v>
      </c>
      <c r="G177" s="162">
        <v>1800</v>
      </c>
      <c r="H177" s="67">
        <v>53</v>
      </c>
    </row>
    <row r="178" spans="1:8" x14ac:dyDescent="0.25">
      <c r="A178" s="212">
        <v>41932</v>
      </c>
      <c r="B178" s="160" t="s">
        <v>623</v>
      </c>
      <c r="C178" t="s">
        <v>7</v>
      </c>
      <c r="D178" t="s">
        <v>27</v>
      </c>
      <c r="E178" s="161">
        <v>10</v>
      </c>
      <c r="F178" s="161">
        <v>42.6</v>
      </c>
      <c r="G178" s="162">
        <v>426</v>
      </c>
      <c r="H178" s="67">
        <v>53</v>
      </c>
    </row>
    <row r="179" spans="1:8" x14ac:dyDescent="0.25">
      <c r="A179" s="212">
        <v>41932</v>
      </c>
      <c r="B179" s="160" t="s">
        <v>1217</v>
      </c>
      <c r="C179" t="s">
        <v>1210</v>
      </c>
      <c r="D179" t="s">
        <v>27</v>
      </c>
      <c r="E179" s="161">
        <v>8</v>
      </c>
      <c r="F179" s="161">
        <v>42.79</v>
      </c>
      <c r="G179" s="162">
        <v>342.32</v>
      </c>
      <c r="H179" s="67">
        <v>53</v>
      </c>
    </row>
    <row r="180" spans="1:8" x14ac:dyDescent="0.25">
      <c r="A180" s="212">
        <v>41932</v>
      </c>
      <c r="B180" s="160" t="s">
        <v>638</v>
      </c>
      <c r="C180" t="s">
        <v>637</v>
      </c>
      <c r="D180" t="s">
        <v>27</v>
      </c>
      <c r="E180" s="161">
        <v>7</v>
      </c>
      <c r="F180" s="161">
        <v>51</v>
      </c>
      <c r="G180" s="162">
        <v>357</v>
      </c>
      <c r="H180" s="67">
        <v>53</v>
      </c>
    </row>
    <row r="181" spans="1:8" x14ac:dyDescent="0.25">
      <c r="A181" s="212">
        <v>41932</v>
      </c>
      <c r="B181" s="160" t="s">
        <v>631</v>
      </c>
      <c r="C181" t="s">
        <v>632</v>
      </c>
      <c r="D181" t="s">
        <v>27</v>
      </c>
      <c r="E181" s="161">
        <v>7.25</v>
      </c>
      <c r="F181" s="161">
        <v>80</v>
      </c>
      <c r="G181" s="162">
        <v>580</v>
      </c>
      <c r="H181" s="67">
        <v>53</v>
      </c>
    </row>
    <row r="182" spans="1:8" x14ac:dyDescent="0.25">
      <c r="A182" s="212">
        <v>41932</v>
      </c>
      <c r="B182" s="160" t="s">
        <v>285</v>
      </c>
      <c r="C182" t="s">
        <v>621</v>
      </c>
      <c r="D182" t="s">
        <v>27</v>
      </c>
      <c r="E182" s="161">
        <v>7.5</v>
      </c>
      <c r="F182" s="161">
        <v>80</v>
      </c>
      <c r="G182" s="162">
        <v>600</v>
      </c>
      <c r="H182" s="67">
        <v>53</v>
      </c>
    </row>
    <row r="183" spans="1:8" x14ac:dyDescent="0.25">
      <c r="A183" s="212">
        <v>41932</v>
      </c>
      <c r="B183" s="160" t="s">
        <v>623</v>
      </c>
      <c r="C183" t="s">
        <v>7</v>
      </c>
      <c r="D183" t="s">
        <v>527</v>
      </c>
      <c r="E183" s="161">
        <v>10</v>
      </c>
      <c r="F183" s="161">
        <v>49.7</v>
      </c>
      <c r="G183" s="162">
        <v>497</v>
      </c>
      <c r="H183" s="67">
        <v>53</v>
      </c>
    </row>
    <row r="184" spans="1:8" x14ac:dyDescent="0.25">
      <c r="A184" s="212">
        <v>41932</v>
      </c>
      <c r="B184" s="160" t="s">
        <v>631</v>
      </c>
      <c r="C184" t="s">
        <v>632</v>
      </c>
      <c r="D184" t="s">
        <v>27</v>
      </c>
      <c r="E184" s="161">
        <v>7.5</v>
      </c>
      <c r="F184" s="161">
        <v>80</v>
      </c>
      <c r="G184" s="162">
        <v>600</v>
      </c>
      <c r="H184" s="67">
        <v>53</v>
      </c>
    </row>
    <row r="185" spans="1:8" x14ac:dyDescent="0.25">
      <c r="A185" s="212">
        <v>41932</v>
      </c>
      <c r="B185" s="160" t="s">
        <v>1212</v>
      </c>
      <c r="C185" t="s">
        <v>7</v>
      </c>
      <c r="D185" t="s">
        <v>27</v>
      </c>
      <c r="E185" s="161">
        <v>10</v>
      </c>
      <c r="F185" s="161">
        <v>42.72</v>
      </c>
      <c r="G185" s="162">
        <v>427.2</v>
      </c>
      <c r="H185" s="67">
        <v>53</v>
      </c>
    </row>
    <row r="186" spans="1:8" x14ac:dyDescent="0.25">
      <c r="A186" s="212">
        <v>41932</v>
      </c>
      <c r="B186" s="160" t="s">
        <v>1109</v>
      </c>
      <c r="C186" t="s">
        <v>7</v>
      </c>
      <c r="D186" t="s">
        <v>27</v>
      </c>
      <c r="E186" s="161">
        <v>11.5</v>
      </c>
      <c r="F186" s="161">
        <v>42.72</v>
      </c>
      <c r="G186" s="162">
        <v>491.28</v>
      </c>
      <c r="H186" s="67">
        <v>53</v>
      </c>
    </row>
    <row r="187" spans="1:8" x14ac:dyDescent="0.25">
      <c r="A187" s="212">
        <v>41932</v>
      </c>
      <c r="B187" s="160" t="s">
        <v>1211</v>
      </c>
      <c r="C187" t="s">
        <v>1233</v>
      </c>
      <c r="D187" t="s">
        <v>27</v>
      </c>
      <c r="E187" s="161">
        <v>10</v>
      </c>
      <c r="F187" s="161">
        <v>54.58</v>
      </c>
      <c r="G187" s="162">
        <v>545.79999999999995</v>
      </c>
      <c r="H187" s="67">
        <v>53</v>
      </c>
    </row>
    <row r="188" spans="1:8" x14ac:dyDescent="0.25">
      <c r="A188" s="212">
        <v>41932</v>
      </c>
      <c r="B188" s="160" t="s">
        <v>1212</v>
      </c>
      <c r="C188" t="s">
        <v>7</v>
      </c>
      <c r="D188" t="s">
        <v>27</v>
      </c>
      <c r="E188" s="161">
        <v>10</v>
      </c>
      <c r="F188" s="161">
        <v>42.72</v>
      </c>
      <c r="G188" s="162">
        <v>427.2</v>
      </c>
      <c r="H188" s="67">
        <v>53</v>
      </c>
    </row>
    <row r="189" spans="1:8" x14ac:dyDescent="0.25">
      <c r="A189" s="212">
        <v>41933</v>
      </c>
      <c r="B189" s="160" t="s">
        <v>634</v>
      </c>
      <c r="C189" t="s">
        <v>635</v>
      </c>
      <c r="D189" t="s">
        <v>27</v>
      </c>
      <c r="E189" s="161">
        <v>3</v>
      </c>
      <c r="F189" s="161">
        <v>92.5</v>
      </c>
      <c r="G189" s="162">
        <v>277.5</v>
      </c>
      <c r="H189" s="67">
        <v>53</v>
      </c>
    </row>
    <row r="190" spans="1:8" x14ac:dyDescent="0.25">
      <c r="A190" s="212">
        <v>41933</v>
      </c>
      <c r="B190" s="160" t="s">
        <v>619</v>
      </c>
      <c r="C190" t="s">
        <v>620</v>
      </c>
      <c r="D190" t="s">
        <v>27</v>
      </c>
      <c r="E190" s="161">
        <v>3</v>
      </c>
      <c r="F190" s="161">
        <v>80</v>
      </c>
      <c r="G190" s="162">
        <v>240</v>
      </c>
      <c r="H190" s="67">
        <v>53</v>
      </c>
    </row>
    <row r="191" spans="1:8" x14ac:dyDescent="0.25">
      <c r="A191" s="212">
        <v>41933</v>
      </c>
      <c r="B191" s="160" t="s">
        <v>1217</v>
      </c>
      <c r="C191" t="s">
        <v>1210</v>
      </c>
      <c r="D191" t="s">
        <v>27</v>
      </c>
      <c r="E191" s="161">
        <v>5</v>
      </c>
      <c r="F191" s="161">
        <v>42.79</v>
      </c>
      <c r="G191" s="162">
        <v>213.95</v>
      </c>
      <c r="H191" s="67">
        <v>53</v>
      </c>
    </row>
    <row r="192" spans="1:8" x14ac:dyDescent="0.25">
      <c r="A192" s="212">
        <v>41933</v>
      </c>
      <c r="B192" s="160" t="s">
        <v>638</v>
      </c>
      <c r="C192" t="s">
        <v>637</v>
      </c>
      <c r="D192" t="s">
        <v>27</v>
      </c>
      <c r="E192" s="161">
        <v>7</v>
      </c>
      <c r="F192" s="161">
        <v>51</v>
      </c>
      <c r="G192" s="162">
        <v>357</v>
      </c>
      <c r="H192" s="67">
        <v>53</v>
      </c>
    </row>
    <row r="193" spans="1:8" x14ac:dyDescent="0.25">
      <c r="A193" s="212">
        <v>41933</v>
      </c>
      <c r="B193" s="160" t="s">
        <v>623</v>
      </c>
      <c r="C193" t="s">
        <v>7</v>
      </c>
      <c r="D193" t="s">
        <v>27</v>
      </c>
      <c r="E193" s="161">
        <v>5</v>
      </c>
      <c r="F193" s="161">
        <v>42.6</v>
      </c>
      <c r="G193" s="162">
        <v>213</v>
      </c>
      <c r="H193" s="67">
        <v>53</v>
      </c>
    </row>
    <row r="194" spans="1:8" x14ac:dyDescent="0.25">
      <c r="A194" s="212">
        <v>41933</v>
      </c>
      <c r="B194" s="160" t="s">
        <v>623</v>
      </c>
      <c r="C194" t="s">
        <v>7</v>
      </c>
      <c r="D194" t="s">
        <v>527</v>
      </c>
      <c r="E194" s="161">
        <v>10</v>
      </c>
      <c r="F194" s="161">
        <v>49.7</v>
      </c>
      <c r="G194" s="162">
        <v>497</v>
      </c>
      <c r="H194" s="67">
        <v>53</v>
      </c>
    </row>
    <row r="195" spans="1:8" x14ac:dyDescent="0.25">
      <c r="A195" s="212">
        <v>41933</v>
      </c>
      <c r="B195" s="160" t="s">
        <v>1212</v>
      </c>
      <c r="C195" t="s">
        <v>7</v>
      </c>
      <c r="D195" t="s">
        <v>27</v>
      </c>
      <c r="E195" s="161">
        <v>10</v>
      </c>
      <c r="F195" s="161">
        <v>42.72</v>
      </c>
      <c r="G195" s="162">
        <v>427.2</v>
      </c>
      <c r="H195" s="67">
        <v>53</v>
      </c>
    </row>
    <row r="196" spans="1:8" x14ac:dyDescent="0.25">
      <c r="A196" s="212">
        <v>41933</v>
      </c>
      <c r="B196" s="160" t="s">
        <v>631</v>
      </c>
      <c r="C196" t="s">
        <v>632</v>
      </c>
      <c r="D196" t="s">
        <v>27</v>
      </c>
      <c r="E196" s="161">
        <v>5</v>
      </c>
      <c r="F196" s="161">
        <v>80</v>
      </c>
      <c r="G196" s="162">
        <v>400</v>
      </c>
      <c r="H196" s="67">
        <v>53</v>
      </c>
    </row>
    <row r="197" spans="1:8" x14ac:dyDescent="0.25">
      <c r="A197" s="212">
        <v>41933</v>
      </c>
      <c r="B197" s="160" t="s">
        <v>285</v>
      </c>
      <c r="C197" t="s">
        <v>621</v>
      </c>
      <c r="D197" t="s">
        <v>27</v>
      </c>
      <c r="E197" s="161">
        <v>4</v>
      </c>
      <c r="F197" s="161">
        <v>80</v>
      </c>
      <c r="G197" s="162">
        <v>320</v>
      </c>
      <c r="H197" s="67">
        <v>53</v>
      </c>
    </row>
    <row r="198" spans="1:8" x14ac:dyDescent="0.25">
      <c r="A198" s="212">
        <v>41933</v>
      </c>
      <c r="B198" s="160" t="s">
        <v>1211</v>
      </c>
      <c r="C198" t="s">
        <v>1233</v>
      </c>
      <c r="D198" t="s">
        <v>27</v>
      </c>
      <c r="E198" s="161">
        <v>6</v>
      </c>
      <c r="F198" s="161">
        <v>54.58</v>
      </c>
      <c r="G198" s="162">
        <v>327.48</v>
      </c>
      <c r="H198" s="67">
        <v>53</v>
      </c>
    </row>
    <row r="199" spans="1:8" x14ac:dyDescent="0.25">
      <c r="A199" s="212">
        <v>41933</v>
      </c>
      <c r="B199" s="160" t="s">
        <v>1109</v>
      </c>
      <c r="C199" t="s">
        <v>7</v>
      </c>
      <c r="D199" t="s">
        <v>27</v>
      </c>
      <c r="E199" s="161">
        <v>7</v>
      </c>
      <c r="F199" s="161">
        <v>42.72</v>
      </c>
      <c r="G199" s="162">
        <v>299.04000000000002</v>
      </c>
      <c r="H199" s="67">
        <v>53</v>
      </c>
    </row>
    <row r="200" spans="1:8" x14ac:dyDescent="0.25">
      <c r="A200" s="212">
        <v>41934</v>
      </c>
      <c r="B200" s="160" t="s">
        <v>1217</v>
      </c>
      <c r="C200" t="s">
        <v>1210</v>
      </c>
      <c r="D200" t="s">
        <v>27</v>
      </c>
      <c r="E200" s="161">
        <v>9.5</v>
      </c>
      <c r="F200" s="161">
        <v>42.79</v>
      </c>
      <c r="G200" s="162">
        <v>406.505</v>
      </c>
      <c r="H200" s="67">
        <v>53</v>
      </c>
    </row>
    <row r="201" spans="1:8" x14ac:dyDescent="0.25">
      <c r="A201" s="212">
        <v>41934</v>
      </c>
      <c r="B201" s="160" t="s">
        <v>1109</v>
      </c>
      <c r="C201" t="s">
        <v>7</v>
      </c>
      <c r="D201" t="s">
        <v>27</v>
      </c>
      <c r="E201" s="161">
        <v>11.5</v>
      </c>
      <c r="F201" s="161">
        <v>42.72</v>
      </c>
      <c r="G201" s="162">
        <v>491.28</v>
      </c>
      <c r="H201" s="67">
        <v>53</v>
      </c>
    </row>
    <row r="202" spans="1:8" x14ac:dyDescent="0.25">
      <c r="A202" s="212">
        <v>41934</v>
      </c>
      <c r="B202" s="160" t="s">
        <v>623</v>
      </c>
      <c r="C202" t="s">
        <v>7</v>
      </c>
      <c r="D202" t="s">
        <v>527</v>
      </c>
      <c r="E202" s="161">
        <v>6</v>
      </c>
      <c r="F202" s="161">
        <v>49.7</v>
      </c>
      <c r="G202" s="162">
        <v>298.2</v>
      </c>
      <c r="H202" s="67">
        <v>53</v>
      </c>
    </row>
    <row r="203" spans="1:8" x14ac:dyDescent="0.25">
      <c r="A203" s="212">
        <v>41934</v>
      </c>
      <c r="B203" s="160" t="s">
        <v>1212</v>
      </c>
      <c r="C203" t="s">
        <v>7</v>
      </c>
      <c r="D203" t="s">
        <v>27</v>
      </c>
      <c r="E203" s="161">
        <v>10</v>
      </c>
      <c r="F203" s="161">
        <v>42.72</v>
      </c>
      <c r="G203" s="162">
        <v>427.2</v>
      </c>
      <c r="H203" s="67">
        <v>53</v>
      </c>
    </row>
    <row r="204" spans="1:8" x14ac:dyDescent="0.25">
      <c r="A204" s="212">
        <v>41934</v>
      </c>
      <c r="B204" s="160" t="s">
        <v>619</v>
      </c>
      <c r="C204" t="s">
        <v>620</v>
      </c>
      <c r="D204" t="s">
        <v>27</v>
      </c>
      <c r="E204" s="161">
        <v>4</v>
      </c>
      <c r="F204" s="161">
        <v>80</v>
      </c>
      <c r="G204" s="162">
        <v>320</v>
      </c>
      <c r="H204" s="67">
        <v>53</v>
      </c>
    </row>
    <row r="205" spans="1:8" x14ac:dyDescent="0.25">
      <c r="A205" s="212">
        <v>41934</v>
      </c>
      <c r="B205" s="160" t="s">
        <v>638</v>
      </c>
      <c r="C205" t="s">
        <v>637</v>
      </c>
      <c r="D205" t="s">
        <v>27</v>
      </c>
      <c r="E205" s="161">
        <v>3.5</v>
      </c>
      <c r="F205" s="161">
        <v>51</v>
      </c>
      <c r="G205" s="162">
        <v>178.5</v>
      </c>
      <c r="H205" s="67">
        <v>53</v>
      </c>
    </row>
    <row r="206" spans="1:8" x14ac:dyDescent="0.25">
      <c r="A206" s="212">
        <v>41934</v>
      </c>
      <c r="B206" s="160" t="s">
        <v>624</v>
      </c>
      <c r="C206" t="s">
        <v>625</v>
      </c>
      <c r="D206" t="s">
        <v>54</v>
      </c>
      <c r="E206" s="161">
        <v>1</v>
      </c>
      <c r="F206" s="161">
        <v>1800</v>
      </c>
      <c r="G206" s="162">
        <v>1800</v>
      </c>
      <c r="H206" s="67">
        <v>53</v>
      </c>
    </row>
    <row r="207" spans="1:8" x14ac:dyDescent="0.25">
      <c r="A207" s="212">
        <v>41934</v>
      </c>
      <c r="B207" s="160" t="s">
        <v>285</v>
      </c>
      <c r="C207" t="s">
        <v>621</v>
      </c>
      <c r="D207" t="s">
        <v>27</v>
      </c>
      <c r="E207" s="161">
        <v>1</v>
      </c>
      <c r="F207" s="161">
        <v>80</v>
      </c>
      <c r="G207" s="162">
        <v>80</v>
      </c>
      <c r="H207" s="67">
        <v>53</v>
      </c>
    </row>
    <row r="208" spans="1:8" x14ac:dyDescent="0.25">
      <c r="A208" s="212">
        <v>41934</v>
      </c>
      <c r="B208" s="160" t="s">
        <v>1211</v>
      </c>
      <c r="C208" t="s">
        <v>1233</v>
      </c>
      <c r="D208" t="s">
        <v>27</v>
      </c>
      <c r="E208" s="161">
        <v>10</v>
      </c>
      <c r="F208" s="161">
        <v>54.58</v>
      </c>
      <c r="G208" s="162">
        <v>545.79999999999995</v>
      </c>
      <c r="H208" s="67">
        <v>53</v>
      </c>
    </row>
    <row r="209" spans="1:8" x14ac:dyDescent="0.25">
      <c r="A209" s="212">
        <v>41934</v>
      </c>
      <c r="B209" s="160" t="s">
        <v>631</v>
      </c>
      <c r="C209" t="s">
        <v>632</v>
      </c>
      <c r="D209" t="s">
        <v>27</v>
      </c>
      <c r="E209" s="161">
        <v>1</v>
      </c>
      <c r="F209" s="161">
        <v>80</v>
      </c>
      <c r="G209" s="162">
        <v>80</v>
      </c>
      <c r="H209" s="67">
        <v>53</v>
      </c>
    </row>
    <row r="210" spans="1:8" x14ac:dyDescent="0.25">
      <c r="A210" s="212">
        <v>41934</v>
      </c>
      <c r="B210" s="160" t="s">
        <v>631</v>
      </c>
      <c r="C210" t="s">
        <v>632</v>
      </c>
      <c r="D210" t="s">
        <v>27</v>
      </c>
      <c r="E210" s="161">
        <v>2</v>
      </c>
      <c r="F210" s="161">
        <v>80</v>
      </c>
      <c r="G210" s="162">
        <v>160</v>
      </c>
      <c r="H210" s="67">
        <v>53</v>
      </c>
    </row>
    <row r="211" spans="1:8" x14ac:dyDescent="0.25">
      <c r="A211" s="212">
        <v>41935</v>
      </c>
      <c r="B211" s="160" t="s">
        <v>1212</v>
      </c>
      <c r="C211" t="s">
        <v>7</v>
      </c>
      <c r="D211" t="s">
        <v>27</v>
      </c>
      <c r="E211" s="161">
        <v>10</v>
      </c>
      <c r="F211" s="161">
        <v>42.72</v>
      </c>
      <c r="G211" s="162">
        <v>427.2</v>
      </c>
      <c r="H211" s="67">
        <v>53</v>
      </c>
    </row>
    <row r="212" spans="1:8" x14ac:dyDescent="0.25">
      <c r="A212" s="212">
        <v>41935</v>
      </c>
      <c r="B212" s="160" t="s">
        <v>631</v>
      </c>
      <c r="C212" t="s">
        <v>632</v>
      </c>
      <c r="D212" t="s">
        <v>27</v>
      </c>
      <c r="E212" s="161">
        <v>8.5</v>
      </c>
      <c r="F212" s="161">
        <v>80</v>
      </c>
      <c r="G212" s="162">
        <v>680</v>
      </c>
      <c r="H212" s="67">
        <v>53</v>
      </c>
    </row>
    <row r="213" spans="1:8" x14ac:dyDescent="0.25">
      <c r="A213" s="212">
        <v>41935</v>
      </c>
      <c r="B213" s="160" t="s">
        <v>1211</v>
      </c>
      <c r="C213" t="s">
        <v>1233</v>
      </c>
      <c r="D213" t="s">
        <v>27</v>
      </c>
      <c r="E213" s="161">
        <v>6</v>
      </c>
      <c r="F213" s="161">
        <v>54.58</v>
      </c>
      <c r="G213" s="162">
        <v>327.48</v>
      </c>
      <c r="H213" s="67">
        <v>53</v>
      </c>
    </row>
    <row r="214" spans="1:8" x14ac:dyDescent="0.25">
      <c r="A214" s="212">
        <v>41935</v>
      </c>
      <c r="B214" s="160" t="s">
        <v>1213</v>
      </c>
      <c r="C214" t="s">
        <v>1214</v>
      </c>
      <c r="D214" t="s">
        <v>27</v>
      </c>
      <c r="E214" s="161">
        <v>2</v>
      </c>
      <c r="F214" s="161">
        <v>35</v>
      </c>
      <c r="G214" s="162">
        <v>70</v>
      </c>
      <c r="H214" s="67">
        <v>53</v>
      </c>
    </row>
    <row r="215" spans="1:8" x14ac:dyDescent="0.25">
      <c r="A215" s="212">
        <v>41935</v>
      </c>
      <c r="B215" s="160" t="s">
        <v>631</v>
      </c>
      <c r="C215" t="s">
        <v>632</v>
      </c>
      <c r="D215" t="s">
        <v>27</v>
      </c>
      <c r="E215" s="161">
        <v>8.5</v>
      </c>
      <c r="F215" s="161">
        <v>80</v>
      </c>
      <c r="G215" s="162">
        <v>680</v>
      </c>
      <c r="H215" s="67">
        <v>53</v>
      </c>
    </row>
    <row r="216" spans="1:8" x14ac:dyDescent="0.25">
      <c r="A216" s="212">
        <v>41935</v>
      </c>
      <c r="B216" s="160" t="s">
        <v>623</v>
      </c>
      <c r="C216" t="s">
        <v>7</v>
      </c>
      <c r="D216" t="s">
        <v>527</v>
      </c>
      <c r="E216" s="161">
        <v>7.5</v>
      </c>
      <c r="F216" s="161">
        <v>49.7</v>
      </c>
      <c r="G216" s="162">
        <v>372.75</v>
      </c>
      <c r="H216" s="67">
        <v>53</v>
      </c>
    </row>
    <row r="217" spans="1:8" x14ac:dyDescent="0.25">
      <c r="A217" s="212">
        <v>41935</v>
      </c>
      <c r="B217" s="160" t="s">
        <v>1109</v>
      </c>
      <c r="C217" t="s">
        <v>7</v>
      </c>
      <c r="D217" t="s">
        <v>27</v>
      </c>
      <c r="E217" s="161">
        <v>7</v>
      </c>
      <c r="F217" s="161">
        <v>42.72</v>
      </c>
      <c r="G217" s="162">
        <v>299.04000000000002</v>
      </c>
      <c r="H217" s="67">
        <v>53</v>
      </c>
    </row>
    <row r="218" spans="1:8" x14ac:dyDescent="0.25">
      <c r="A218" s="212">
        <v>41935</v>
      </c>
      <c r="B218" s="160" t="s">
        <v>1217</v>
      </c>
      <c r="C218" t="s">
        <v>1210</v>
      </c>
      <c r="D218" t="s">
        <v>27</v>
      </c>
      <c r="E218" s="161">
        <v>6</v>
      </c>
      <c r="F218" s="161">
        <v>42.79</v>
      </c>
      <c r="G218" s="162">
        <v>256.74</v>
      </c>
      <c r="H218" s="67">
        <v>53</v>
      </c>
    </row>
    <row r="219" spans="1:8" x14ac:dyDescent="0.25">
      <c r="A219" s="212">
        <v>41935</v>
      </c>
      <c r="B219" s="160" t="s">
        <v>638</v>
      </c>
      <c r="C219" t="s">
        <v>637</v>
      </c>
      <c r="D219" t="s">
        <v>27</v>
      </c>
      <c r="E219" s="161">
        <v>10</v>
      </c>
      <c r="F219" s="161">
        <v>51</v>
      </c>
      <c r="G219" s="162">
        <v>510</v>
      </c>
      <c r="H219" s="67">
        <v>53</v>
      </c>
    </row>
    <row r="220" spans="1:8" x14ac:dyDescent="0.25">
      <c r="A220" s="212">
        <v>41936</v>
      </c>
      <c r="B220" s="160" t="s">
        <v>1211</v>
      </c>
      <c r="C220" t="s">
        <v>1233</v>
      </c>
      <c r="D220" t="s">
        <v>27</v>
      </c>
      <c r="E220" s="161">
        <v>6</v>
      </c>
      <c r="F220" s="161">
        <v>54.58</v>
      </c>
      <c r="G220" s="162">
        <v>327.48</v>
      </c>
      <c r="H220" s="67">
        <v>53</v>
      </c>
    </row>
    <row r="221" spans="1:8" x14ac:dyDescent="0.25">
      <c r="A221" s="212">
        <v>41936</v>
      </c>
      <c r="B221" s="160" t="s">
        <v>1109</v>
      </c>
      <c r="C221" t="s">
        <v>7</v>
      </c>
      <c r="D221" t="s">
        <v>27</v>
      </c>
      <c r="E221" s="161">
        <v>7</v>
      </c>
      <c r="F221" s="161">
        <v>42.72</v>
      </c>
      <c r="G221" s="162">
        <v>299.04000000000002</v>
      </c>
      <c r="H221" s="67">
        <v>53</v>
      </c>
    </row>
    <row r="222" spans="1:8" x14ac:dyDescent="0.25">
      <c r="A222" s="212">
        <v>41936</v>
      </c>
      <c r="B222" s="160" t="s">
        <v>631</v>
      </c>
      <c r="C222" t="s">
        <v>632</v>
      </c>
      <c r="D222" t="s">
        <v>27</v>
      </c>
      <c r="E222" s="161">
        <v>5</v>
      </c>
      <c r="F222" s="161">
        <v>80</v>
      </c>
      <c r="G222" s="162">
        <v>400</v>
      </c>
      <c r="H222" s="67">
        <v>53</v>
      </c>
    </row>
    <row r="223" spans="1:8" x14ac:dyDescent="0.25">
      <c r="A223" s="212">
        <v>41936</v>
      </c>
      <c r="B223" s="160" t="s">
        <v>1212</v>
      </c>
      <c r="C223" t="s">
        <v>7</v>
      </c>
      <c r="D223" t="s">
        <v>27</v>
      </c>
      <c r="E223" s="161">
        <v>4</v>
      </c>
      <c r="F223" s="161">
        <v>42.72</v>
      </c>
      <c r="G223" s="162">
        <v>170.88</v>
      </c>
      <c r="H223" s="67">
        <v>53</v>
      </c>
    </row>
    <row r="224" spans="1:8" x14ac:dyDescent="0.25">
      <c r="A224" s="212">
        <v>41936</v>
      </c>
      <c r="B224" s="160" t="s">
        <v>631</v>
      </c>
      <c r="C224" t="s">
        <v>632</v>
      </c>
      <c r="D224" t="s">
        <v>27</v>
      </c>
      <c r="E224" s="161">
        <v>2</v>
      </c>
      <c r="F224" s="161">
        <v>80</v>
      </c>
      <c r="G224" s="162">
        <v>160</v>
      </c>
      <c r="H224" s="67">
        <v>53</v>
      </c>
    </row>
    <row r="225" spans="1:8" x14ac:dyDescent="0.25">
      <c r="A225" s="212">
        <v>41936</v>
      </c>
      <c r="B225" s="160" t="s">
        <v>638</v>
      </c>
      <c r="C225" t="s">
        <v>637</v>
      </c>
      <c r="D225" t="s">
        <v>27</v>
      </c>
      <c r="E225" s="161">
        <v>6</v>
      </c>
      <c r="F225" s="161">
        <v>51</v>
      </c>
      <c r="G225" s="162">
        <v>306</v>
      </c>
      <c r="H225" s="67">
        <v>53</v>
      </c>
    </row>
    <row r="226" spans="1:8" x14ac:dyDescent="0.25">
      <c r="A226" s="212">
        <v>41936</v>
      </c>
      <c r="B226" s="160" t="s">
        <v>1217</v>
      </c>
      <c r="C226" t="s">
        <v>1210</v>
      </c>
      <c r="D226" t="s">
        <v>27</v>
      </c>
      <c r="E226" s="161">
        <v>6</v>
      </c>
      <c r="F226" s="161">
        <v>42.79</v>
      </c>
      <c r="G226" s="162">
        <v>256.74</v>
      </c>
      <c r="H226" s="67">
        <v>53</v>
      </c>
    </row>
    <row r="227" spans="1:8" x14ac:dyDescent="0.25">
      <c r="A227" s="212">
        <v>41939</v>
      </c>
      <c r="B227" s="160" t="s">
        <v>1217</v>
      </c>
      <c r="C227" t="s">
        <v>1210</v>
      </c>
      <c r="D227" t="s">
        <v>27</v>
      </c>
      <c r="E227" s="161">
        <v>8</v>
      </c>
      <c r="F227" s="161">
        <v>42.79</v>
      </c>
      <c r="G227" s="162">
        <v>342.32</v>
      </c>
      <c r="H227" s="67">
        <v>53</v>
      </c>
    </row>
    <row r="228" spans="1:8" x14ac:dyDescent="0.25">
      <c r="A228" s="212">
        <v>41939</v>
      </c>
      <c r="B228" s="160" t="s">
        <v>1212</v>
      </c>
      <c r="C228" t="s">
        <v>7</v>
      </c>
      <c r="D228" t="s">
        <v>27</v>
      </c>
      <c r="E228" s="161">
        <v>8.5</v>
      </c>
      <c r="F228" s="161">
        <v>42.72</v>
      </c>
      <c r="G228" s="162">
        <v>363.12</v>
      </c>
      <c r="H228" s="67">
        <v>53</v>
      </c>
    </row>
    <row r="229" spans="1:8" x14ac:dyDescent="0.25">
      <c r="A229" s="212">
        <v>41939</v>
      </c>
      <c r="B229" s="160" t="s">
        <v>624</v>
      </c>
      <c r="C229" t="s">
        <v>625</v>
      </c>
      <c r="D229" t="s">
        <v>54</v>
      </c>
      <c r="E229" s="161">
        <v>1</v>
      </c>
      <c r="F229" s="161">
        <v>1800</v>
      </c>
      <c r="G229" s="162">
        <v>1800</v>
      </c>
      <c r="H229" s="67">
        <v>53</v>
      </c>
    </row>
    <row r="230" spans="1:8" x14ac:dyDescent="0.25">
      <c r="A230" s="212">
        <v>41939</v>
      </c>
      <c r="B230" s="160" t="s">
        <v>638</v>
      </c>
      <c r="C230" t="s">
        <v>637</v>
      </c>
      <c r="D230" t="s">
        <v>27</v>
      </c>
      <c r="E230" s="161">
        <v>10</v>
      </c>
      <c r="F230" s="161">
        <v>51</v>
      </c>
      <c r="G230" s="162">
        <v>510</v>
      </c>
      <c r="H230" s="67">
        <v>53</v>
      </c>
    </row>
    <row r="231" spans="1:8" x14ac:dyDescent="0.25">
      <c r="A231" s="212">
        <v>41939</v>
      </c>
      <c r="B231" s="160" t="s">
        <v>1109</v>
      </c>
      <c r="C231" t="s">
        <v>7</v>
      </c>
      <c r="D231" t="s">
        <v>27</v>
      </c>
      <c r="E231" s="161">
        <v>11</v>
      </c>
      <c r="F231" s="161">
        <v>42.72</v>
      </c>
      <c r="G231" s="162">
        <v>469.92</v>
      </c>
      <c r="H231" s="67">
        <v>53</v>
      </c>
    </row>
    <row r="232" spans="1:8" x14ac:dyDescent="0.25">
      <c r="A232" s="212">
        <v>41939</v>
      </c>
      <c r="B232" s="160" t="s">
        <v>623</v>
      </c>
      <c r="C232" t="s">
        <v>7</v>
      </c>
      <c r="D232" t="s">
        <v>527</v>
      </c>
      <c r="E232" s="161">
        <v>10</v>
      </c>
      <c r="F232" s="161">
        <v>49.7</v>
      </c>
      <c r="G232" s="162">
        <v>497</v>
      </c>
      <c r="H232" s="67">
        <v>53</v>
      </c>
    </row>
    <row r="233" spans="1:8" x14ac:dyDescent="0.25">
      <c r="A233" s="212">
        <v>41939</v>
      </c>
      <c r="B233" s="160" t="s">
        <v>1212</v>
      </c>
      <c r="C233" t="s">
        <v>7</v>
      </c>
      <c r="D233" t="s">
        <v>27</v>
      </c>
      <c r="E233" s="161">
        <v>10</v>
      </c>
      <c r="F233" s="161">
        <v>42.72</v>
      </c>
      <c r="G233" s="162">
        <v>427.2</v>
      </c>
      <c r="H233" s="67">
        <v>53</v>
      </c>
    </row>
    <row r="234" spans="1:8" x14ac:dyDescent="0.25">
      <c r="A234" s="212">
        <v>41939</v>
      </c>
      <c r="B234" s="160" t="s">
        <v>1211</v>
      </c>
      <c r="C234" t="s">
        <v>1233</v>
      </c>
      <c r="D234" t="s">
        <v>27</v>
      </c>
      <c r="E234" s="161">
        <v>9.5</v>
      </c>
      <c r="F234" s="161">
        <v>54.58</v>
      </c>
      <c r="G234" s="162">
        <v>518.51</v>
      </c>
      <c r="H234" s="67">
        <v>53</v>
      </c>
    </row>
    <row r="235" spans="1:8" x14ac:dyDescent="0.25">
      <c r="A235" s="212">
        <v>41940</v>
      </c>
      <c r="B235" s="160" t="s">
        <v>1209</v>
      </c>
      <c r="C235" t="s">
        <v>1210</v>
      </c>
      <c r="D235" t="s">
        <v>27</v>
      </c>
      <c r="E235" s="161">
        <v>5</v>
      </c>
      <c r="F235" s="161">
        <v>42.79</v>
      </c>
      <c r="G235" s="162">
        <v>213.95</v>
      </c>
      <c r="H235" s="67">
        <v>53</v>
      </c>
    </row>
    <row r="236" spans="1:8" x14ac:dyDescent="0.25">
      <c r="A236" s="212">
        <v>41940</v>
      </c>
      <c r="B236" s="160" t="s">
        <v>1213</v>
      </c>
      <c r="C236" t="s">
        <v>1214</v>
      </c>
      <c r="D236" t="s">
        <v>27</v>
      </c>
      <c r="E236" s="161">
        <v>2</v>
      </c>
      <c r="F236" s="161">
        <v>35</v>
      </c>
      <c r="G236" s="162">
        <v>70</v>
      </c>
      <c r="H236" s="67">
        <v>53</v>
      </c>
    </row>
    <row r="237" spans="1:8" x14ac:dyDescent="0.25">
      <c r="A237" s="212">
        <v>41940</v>
      </c>
      <c r="B237" s="160" t="s">
        <v>619</v>
      </c>
      <c r="C237" t="s">
        <v>620</v>
      </c>
      <c r="D237" t="s">
        <v>27</v>
      </c>
      <c r="E237" s="161">
        <v>3</v>
      </c>
      <c r="F237" s="161">
        <v>80</v>
      </c>
      <c r="G237" s="162">
        <v>240</v>
      </c>
      <c r="H237" s="67">
        <v>53</v>
      </c>
    </row>
    <row r="238" spans="1:8" x14ac:dyDescent="0.25">
      <c r="A238" s="212">
        <v>41940</v>
      </c>
      <c r="B238" s="160" t="s">
        <v>1212</v>
      </c>
      <c r="C238" t="s">
        <v>7</v>
      </c>
      <c r="D238" t="s">
        <v>27</v>
      </c>
      <c r="E238" s="161">
        <v>2</v>
      </c>
      <c r="F238" s="161">
        <v>42.72</v>
      </c>
      <c r="G238" s="162">
        <v>85.44</v>
      </c>
      <c r="H238" s="67">
        <v>53</v>
      </c>
    </row>
    <row r="239" spans="1:8" x14ac:dyDescent="0.25">
      <c r="A239" s="212">
        <v>41940</v>
      </c>
      <c r="B239" s="160" t="s">
        <v>1109</v>
      </c>
      <c r="C239" t="s">
        <v>7</v>
      </c>
      <c r="D239" t="s">
        <v>27</v>
      </c>
      <c r="E239" s="161">
        <v>11.5</v>
      </c>
      <c r="F239" s="161">
        <v>42.72</v>
      </c>
      <c r="G239" s="162">
        <v>491.28</v>
      </c>
      <c r="H239" s="67">
        <v>53</v>
      </c>
    </row>
    <row r="240" spans="1:8" x14ac:dyDescent="0.25">
      <c r="A240" s="212">
        <v>41940</v>
      </c>
      <c r="B240" s="160" t="s">
        <v>1211</v>
      </c>
      <c r="C240" t="s">
        <v>1233</v>
      </c>
      <c r="D240" t="s">
        <v>27</v>
      </c>
      <c r="E240" s="161">
        <v>7</v>
      </c>
      <c r="F240" s="161">
        <v>54.58</v>
      </c>
      <c r="G240" s="162">
        <v>382.06</v>
      </c>
      <c r="H240" s="67">
        <v>53</v>
      </c>
    </row>
    <row r="241" spans="1:8" x14ac:dyDescent="0.25">
      <c r="A241" s="212">
        <v>41940</v>
      </c>
      <c r="B241" s="160" t="s">
        <v>1212</v>
      </c>
      <c r="C241" t="s">
        <v>7</v>
      </c>
      <c r="D241" t="s">
        <v>27</v>
      </c>
      <c r="E241" s="161">
        <v>10.5</v>
      </c>
      <c r="F241" s="161">
        <v>42.72</v>
      </c>
      <c r="G241" s="162">
        <v>448.56</v>
      </c>
      <c r="H241" s="67">
        <v>53</v>
      </c>
    </row>
    <row r="242" spans="1:8" x14ac:dyDescent="0.25">
      <c r="A242" s="212">
        <v>41940</v>
      </c>
      <c r="B242" s="160" t="s">
        <v>634</v>
      </c>
      <c r="C242" t="s">
        <v>635</v>
      </c>
      <c r="D242" t="s">
        <v>27</v>
      </c>
      <c r="E242" s="161">
        <v>2.5</v>
      </c>
      <c r="F242" s="161">
        <v>92.5</v>
      </c>
      <c r="G242" s="162">
        <v>231.25</v>
      </c>
      <c r="H242" s="67">
        <v>53</v>
      </c>
    </row>
    <row r="243" spans="1:8" x14ac:dyDescent="0.25">
      <c r="A243" s="212">
        <v>41940</v>
      </c>
      <c r="B243" s="160" t="s">
        <v>631</v>
      </c>
      <c r="C243" t="s">
        <v>632</v>
      </c>
      <c r="D243" t="s">
        <v>27</v>
      </c>
      <c r="E243" s="161">
        <v>2</v>
      </c>
      <c r="F243" s="161">
        <v>80</v>
      </c>
      <c r="G243" s="162">
        <v>160</v>
      </c>
      <c r="H243" s="67">
        <v>53</v>
      </c>
    </row>
    <row r="244" spans="1:8" x14ac:dyDescent="0.25">
      <c r="A244" s="212">
        <v>41940</v>
      </c>
      <c r="B244" s="160" t="s">
        <v>631</v>
      </c>
      <c r="C244" t="s">
        <v>632</v>
      </c>
      <c r="D244" t="s">
        <v>27</v>
      </c>
      <c r="E244" s="161">
        <v>2</v>
      </c>
      <c r="F244" s="161">
        <v>80</v>
      </c>
      <c r="G244" s="162">
        <v>160</v>
      </c>
      <c r="H244" s="67">
        <v>53</v>
      </c>
    </row>
    <row r="245" spans="1:8" x14ac:dyDescent="0.25">
      <c r="A245" s="212">
        <v>41940</v>
      </c>
      <c r="B245" s="160" t="s">
        <v>285</v>
      </c>
      <c r="C245" t="s">
        <v>621</v>
      </c>
      <c r="D245" t="s">
        <v>27</v>
      </c>
      <c r="E245" s="161">
        <v>2.5</v>
      </c>
      <c r="F245" s="161">
        <v>80</v>
      </c>
      <c r="G245" s="162">
        <v>200</v>
      </c>
      <c r="H245" s="67">
        <v>53</v>
      </c>
    </row>
    <row r="246" spans="1:8" x14ac:dyDescent="0.25">
      <c r="A246" s="212">
        <v>41940</v>
      </c>
      <c r="B246" s="160" t="s">
        <v>623</v>
      </c>
      <c r="C246" t="s">
        <v>7</v>
      </c>
      <c r="D246" t="s">
        <v>527</v>
      </c>
      <c r="E246" s="161">
        <v>10.5</v>
      </c>
      <c r="F246" s="161">
        <v>49.7</v>
      </c>
      <c r="G246" s="162">
        <v>521.85</v>
      </c>
      <c r="H246" s="67">
        <v>53</v>
      </c>
    </row>
    <row r="247" spans="1:8" x14ac:dyDescent="0.25">
      <c r="A247" s="212">
        <v>41940</v>
      </c>
      <c r="B247" s="160" t="s">
        <v>638</v>
      </c>
      <c r="C247" t="s">
        <v>637</v>
      </c>
      <c r="D247" t="s">
        <v>27</v>
      </c>
      <c r="E247" s="161">
        <v>10.5</v>
      </c>
      <c r="F247" s="161">
        <v>51</v>
      </c>
      <c r="G247" s="162">
        <v>535.5</v>
      </c>
      <c r="H247" s="67">
        <v>53</v>
      </c>
    </row>
    <row r="248" spans="1:8" x14ac:dyDescent="0.25">
      <c r="A248" s="212">
        <v>41940</v>
      </c>
      <c r="B248" s="160" t="s">
        <v>624</v>
      </c>
      <c r="C248" t="s">
        <v>625</v>
      </c>
      <c r="D248" t="s">
        <v>54</v>
      </c>
      <c r="E248" s="161">
        <v>1</v>
      </c>
      <c r="F248" s="161">
        <v>1800</v>
      </c>
      <c r="G248" s="162">
        <v>1800</v>
      </c>
      <c r="H248" s="67">
        <v>53</v>
      </c>
    </row>
    <row r="249" spans="1:8" x14ac:dyDescent="0.25">
      <c r="A249" s="212">
        <v>41940</v>
      </c>
      <c r="B249" s="160" t="s">
        <v>623</v>
      </c>
      <c r="C249" t="s">
        <v>7</v>
      </c>
      <c r="D249" t="s">
        <v>27</v>
      </c>
      <c r="E249" s="161">
        <v>2</v>
      </c>
      <c r="F249" s="161">
        <v>42.6</v>
      </c>
      <c r="G249" s="162">
        <v>85.2</v>
      </c>
      <c r="H249" s="67">
        <v>53</v>
      </c>
    </row>
    <row r="250" spans="1:8" x14ac:dyDescent="0.25">
      <c r="A250" s="212">
        <v>41941</v>
      </c>
      <c r="B250" s="160" t="s">
        <v>631</v>
      </c>
      <c r="C250" t="s">
        <v>632</v>
      </c>
      <c r="D250" t="s">
        <v>27</v>
      </c>
      <c r="E250" s="161">
        <v>5.25</v>
      </c>
      <c r="F250" s="161">
        <v>80</v>
      </c>
      <c r="G250" s="162">
        <v>420</v>
      </c>
      <c r="H250" s="67">
        <v>53</v>
      </c>
    </row>
    <row r="251" spans="1:8" x14ac:dyDescent="0.25">
      <c r="A251" s="212">
        <v>41941</v>
      </c>
      <c r="B251" s="160" t="s">
        <v>623</v>
      </c>
      <c r="C251" t="s">
        <v>7</v>
      </c>
      <c r="D251" t="s">
        <v>527</v>
      </c>
      <c r="E251" s="161">
        <v>5.5</v>
      </c>
      <c r="F251" s="161">
        <v>49.7</v>
      </c>
      <c r="G251" s="162">
        <v>273.35000000000002</v>
      </c>
      <c r="H251" s="67">
        <v>53</v>
      </c>
    </row>
    <row r="252" spans="1:8" x14ac:dyDescent="0.25">
      <c r="A252" s="212">
        <v>41941</v>
      </c>
      <c r="B252" s="160" t="s">
        <v>1209</v>
      </c>
      <c r="C252" t="s">
        <v>1210</v>
      </c>
      <c r="D252" t="s">
        <v>27</v>
      </c>
      <c r="E252" s="161">
        <v>5</v>
      </c>
      <c r="F252" s="161">
        <v>42.79</v>
      </c>
      <c r="G252" s="162">
        <v>213.95</v>
      </c>
      <c r="H252" s="67">
        <v>53</v>
      </c>
    </row>
    <row r="253" spans="1:8" x14ac:dyDescent="0.25">
      <c r="A253" s="212">
        <v>41941</v>
      </c>
      <c r="B253" s="160" t="s">
        <v>631</v>
      </c>
      <c r="C253" t="s">
        <v>632</v>
      </c>
      <c r="D253" t="s">
        <v>27</v>
      </c>
      <c r="E253" s="161">
        <v>4</v>
      </c>
      <c r="F253" s="161">
        <v>80</v>
      </c>
      <c r="G253" s="162">
        <v>320</v>
      </c>
      <c r="H253" s="67">
        <v>53</v>
      </c>
    </row>
    <row r="254" spans="1:8" x14ac:dyDescent="0.25">
      <c r="A254" s="212">
        <v>41941</v>
      </c>
      <c r="B254" s="160" t="s">
        <v>1212</v>
      </c>
      <c r="C254" t="s">
        <v>7</v>
      </c>
      <c r="D254" t="s">
        <v>27</v>
      </c>
      <c r="E254" s="161">
        <v>11.5</v>
      </c>
      <c r="F254" s="161">
        <v>42.72</v>
      </c>
      <c r="G254" s="162">
        <v>491.28</v>
      </c>
      <c r="H254" s="67">
        <v>53</v>
      </c>
    </row>
    <row r="255" spans="1:8" x14ac:dyDescent="0.25">
      <c r="A255" s="212">
        <v>41941</v>
      </c>
      <c r="B255" s="160" t="s">
        <v>1109</v>
      </c>
      <c r="C255" t="s">
        <v>7</v>
      </c>
      <c r="D255" t="s">
        <v>27</v>
      </c>
      <c r="E255" s="161">
        <v>13</v>
      </c>
      <c r="F255" s="161">
        <v>42.72</v>
      </c>
      <c r="G255" s="162">
        <v>555.36</v>
      </c>
      <c r="H255" s="67">
        <v>53</v>
      </c>
    </row>
    <row r="256" spans="1:8" x14ac:dyDescent="0.25">
      <c r="A256" s="212">
        <v>41941</v>
      </c>
      <c r="B256" s="160" t="s">
        <v>631</v>
      </c>
      <c r="C256" t="s">
        <v>632</v>
      </c>
      <c r="D256" t="s">
        <v>27</v>
      </c>
      <c r="E256" s="161">
        <v>4</v>
      </c>
      <c r="F256" s="161">
        <v>80</v>
      </c>
      <c r="G256" s="162">
        <v>320</v>
      </c>
      <c r="H256" s="67">
        <v>53</v>
      </c>
    </row>
    <row r="257" spans="1:8" x14ac:dyDescent="0.25">
      <c r="A257" s="212">
        <v>41941</v>
      </c>
      <c r="B257" s="160" t="s">
        <v>619</v>
      </c>
      <c r="C257" t="s">
        <v>620</v>
      </c>
      <c r="D257" t="s">
        <v>27</v>
      </c>
      <c r="E257" s="161">
        <v>5.5</v>
      </c>
      <c r="F257" s="161">
        <v>80</v>
      </c>
      <c r="G257" s="162">
        <v>440</v>
      </c>
      <c r="H257" s="67">
        <v>53</v>
      </c>
    </row>
    <row r="258" spans="1:8" x14ac:dyDescent="0.25">
      <c r="A258" s="212">
        <v>41941</v>
      </c>
      <c r="B258" s="160" t="s">
        <v>1213</v>
      </c>
      <c r="C258" t="s">
        <v>1214</v>
      </c>
      <c r="D258" t="s">
        <v>27</v>
      </c>
      <c r="E258" s="161">
        <v>2</v>
      </c>
      <c r="F258" s="161">
        <v>35</v>
      </c>
      <c r="G258" s="162">
        <v>70</v>
      </c>
      <c r="H258" s="67">
        <v>53</v>
      </c>
    </row>
    <row r="259" spans="1:8" x14ac:dyDescent="0.25">
      <c r="A259" s="212">
        <v>41942</v>
      </c>
      <c r="B259" s="160" t="s">
        <v>623</v>
      </c>
      <c r="C259" t="s">
        <v>7</v>
      </c>
      <c r="D259" t="s">
        <v>527</v>
      </c>
      <c r="E259" s="161">
        <v>5</v>
      </c>
      <c r="F259" s="161">
        <v>49.7</v>
      </c>
      <c r="G259" s="162">
        <v>248.5</v>
      </c>
      <c r="H259" s="67">
        <v>53</v>
      </c>
    </row>
    <row r="260" spans="1:8" x14ac:dyDescent="0.25">
      <c r="A260" s="212">
        <v>41942</v>
      </c>
      <c r="B260" s="160" t="s">
        <v>1212</v>
      </c>
      <c r="C260" t="s">
        <v>7</v>
      </c>
      <c r="D260" t="s">
        <v>27</v>
      </c>
      <c r="E260" s="161">
        <v>10.5</v>
      </c>
      <c r="F260" s="161">
        <v>42.72</v>
      </c>
      <c r="G260" s="162">
        <v>448.56</v>
      </c>
      <c r="H260" s="67">
        <v>53</v>
      </c>
    </row>
    <row r="261" spans="1:8" x14ac:dyDescent="0.25">
      <c r="A261" s="212">
        <v>41942</v>
      </c>
      <c r="B261" s="160" t="s">
        <v>631</v>
      </c>
      <c r="C261" t="s">
        <v>632</v>
      </c>
      <c r="D261" t="s">
        <v>27</v>
      </c>
      <c r="E261" s="161">
        <v>2</v>
      </c>
      <c r="F261" s="161">
        <v>80</v>
      </c>
      <c r="G261" s="162">
        <v>160</v>
      </c>
      <c r="H261" s="67">
        <v>53</v>
      </c>
    </row>
    <row r="262" spans="1:8" x14ac:dyDescent="0.25">
      <c r="A262" s="212">
        <v>41942</v>
      </c>
      <c r="B262" s="160" t="s">
        <v>1212</v>
      </c>
      <c r="C262" t="s">
        <v>7</v>
      </c>
      <c r="D262" t="s">
        <v>27</v>
      </c>
      <c r="E262" s="161">
        <v>10.5</v>
      </c>
      <c r="F262" s="161">
        <v>42.72</v>
      </c>
      <c r="G262" s="162">
        <v>448.56</v>
      </c>
      <c r="H262" s="67">
        <v>53</v>
      </c>
    </row>
    <row r="263" spans="1:8" x14ac:dyDescent="0.25">
      <c r="A263" s="212">
        <v>41942</v>
      </c>
      <c r="B263" s="160" t="s">
        <v>631</v>
      </c>
      <c r="C263" t="s">
        <v>632</v>
      </c>
      <c r="D263" t="s">
        <v>27</v>
      </c>
      <c r="E263" s="161">
        <v>3</v>
      </c>
      <c r="F263" s="161">
        <v>80</v>
      </c>
      <c r="G263" s="162">
        <v>240</v>
      </c>
      <c r="H263" s="67">
        <v>53</v>
      </c>
    </row>
    <row r="264" spans="1:8" x14ac:dyDescent="0.25">
      <c r="A264" s="212">
        <v>41942</v>
      </c>
      <c r="B264" s="160" t="s">
        <v>631</v>
      </c>
      <c r="C264" t="s">
        <v>632</v>
      </c>
      <c r="D264" t="s">
        <v>27</v>
      </c>
      <c r="E264" s="161">
        <v>2.5</v>
      </c>
      <c r="F264" s="161">
        <v>80</v>
      </c>
      <c r="G264" s="162">
        <v>200</v>
      </c>
      <c r="H264" s="67">
        <v>53</v>
      </c>
    </row>
    <row r="265" spans="1:8" x14ac:dyDescent="0.25">
      <c r="A265" s="212">
        <v>41942</v>
      </c>
      <c r="B265" s="160" t="s">
        <v>1209</v>
      </c>
      <c r="C265" t="s">
        <v>1210</v>
      </c>
      <c r="D265" t="s">
        <v>27</v>
      </c>
      <c r="E265" s="161">
        <v>5</v>
      </c>
      <c r="F265" s="161">
        <v>42.79</v>
      </c>
      <c r="G265" s="162">
        <v>213.95</v>
      </c>
      <c r="H265" s="67">
        <v>53</v>
      </c>
    </row>
    <row r="266" spans="1:8" x14ac:dyDescent="0.25">
      <c r="A266" s="212">
        <v>41942</v>
      </c>
      <c r="B266" s="160" t="s">
        <v>619</v>
      </c>
      <c r="C266" t="s">
        <v>620</v>
      </c>
      <c r="D266" t="s">
        <v>27</v>
      </c>
      <c r="E266" s="161">
        <v>5.5</v>
      </c>
      <c r="F266" s="161">
        <v>80</v>
      </c>
      <c r="G266" s="162">
        <v>440</v>
      </c>
      <c r="H266" s="67">
        <v>53</v>
      </c>
    </row>
    <row r="267" spans="1:8" x14ac:dyDescent="0.25">
      <c r="A267" s="212">
        <v>41942</v>
      </c>
      <c r="B267" s="160" t="s">
        <v>1109</v>
      </c>
      <c r="C267" t="s">
        <v>7</v>
      </c>
      <c r="D267" t="s">
        <v>27</v>
      </c>
      <c r="E267" s="161">
        <v>13</v>
      </c>
      <c r="F267" s="161">
        <v>42.72</v>
      </c>
      <c r="G267" s="162">
        <v>555.36</v>
      </c>
      <c r="H267" s="67">
        <v>53</v>
      </c>
    </row>
    <row r="268" spans="1:8" x14ac:dyDescent="0.25">
      <c r="A268" s="212">
        <v>41942</v>
      </c>
      <c r="B268" s="160" t="s">
        <v>1211</v>
      </c>
      <c r="C268" t="s">
        <v>1233</v>
      </c>
      <c r="D268" t="s">
        <v>27</v>
      </c>
      <c r="E268" s="161">
        <v>5</v>
      </c>
      <c r="F268" s="161">
        <v>54.58</v>
      </c>
      <c r="G268" s="162">
        <v>272.89999999999998</v>
      </c>
      <c r="H268" s="67">
        <v>53</v>
      </c>
    </row>
    <row r="269" spans="1:8" x14ac:dyDescent="0.25">
      <c r="A269" s="212">
        <v>41943</v>
      </c>
      <c r="B269" s="160" t="s">
        <v>1212</v>
      </c>
      <c r="C269" t="s">
        <v>7</v>
      </c>
      <c r="D269" t="s">
        <v>27</v>
      </c>
      <c r="E269" s="161">
        <v>9</v>
      </c>
      <c r="F269" s="161">
        <v>42.72</v>
      </c>
      <c r="G269" s="162">
        <v>384.48</v>
      </c>
      <c r="H269" s="67">
        <v>53</v>
      </c>
    </row>
    <row r="270" spans="1:8" x14ac:dyDescent="0.25">
      <c r="A270" s="212">
        <v>41943</v>
      </c>
      <c r="B270" s="160" t="s">
        <v>1212</v>
      </c>
      <c r="C270" t="s">
        <v>7</v>
      </c>
      <c r="D270" t="s">
        <v>27</v>
      </c>
      <c r="E270" s="161">
        <v>10.5</v>
      </c>
      <c r="F270" s="161">
        <v>42.72</v>
      </c>
      <c r="G270" s="162">
        <v>448.56</v>
      </c>
      <c r="H270" s="67">
        <v>53</v>
      </c>
    </row>
    <row r="271" spans="1:8" x14ac:dyDescent="0.25">
      <c r="A271" s="212">
        <v>41943</v>
      </c>
      <c r="B271" s="160" t="s">
        <v>631</v>
      </c>
      <c r="C271" t="s">
        <v>632</v>
      </c>
      <c r="D271" t="s">
        <v>27</v>
      </c>
      <c r="E271" s="161">
        <v>8.5</v>
      </c>
      <c r="F271" s="161">
        <v>80</v>
      </c>
      <c r="G271" s="162">
        <v>680</v>
      </c>
      <c r="H271" s="67">
        <v>53</v>
      </c>
    </row>
    <row r="272" spans="1:8" x14ac:dyDescent="0.25">
      <c r="A272" s="212">
        <v>41943</v>
      </c>
      <c r="B272" s="160" t="s">
        <v>631</v>
      </c>
      <c r="C272" t="s">
        <v>632</v>
      </c>
      <c r="D272" t="s">
        <v>27</v>
      </c>
      <c r="E272" s="161">
        <v>9</v>
      </c>
      <c r="F272" s="161">
        <v>80</v>
      </c>
      <c r="G272" s="162">
        <v>720</v>
      </c>
      <c r="H272" s="67">
        <v>53</v>
      </c>
    </row>
    <row r="273" spans="1:8" x14ac:dyDescent="0.25">
      <c r="A273" s="212">
        <v>41943</v>
      </c>
      <c r="B273" s="160" t="s">
        <v>1109</v>
      </c>
      <c r="C273" t="s">
        <v>7</v>
      </c>
      <c r="D273" t="s">
        <v>27</v>
      </c>
      <c r="E273" s="161">
        <v>1.5</v>
      </c>
      <c r="F273" s="161">
        <v>42.72</v>
      </c>
      <c r="G273" s="162">
        <v>64.08</v>
      </c>
      <c r="H273" s="67">
        <v>53</v>
      </c>
    </row>
    <row r="274" spans="1:8" x14ac:dyDescent="0.25">
      <c r="A274" s="212">
        <v>41943</v>
      </c>
      <c r="B274" s="160" t="s">
        <v>631</v>
      </c>
      <c r="C274" t="s">
        <v>632</v>
      </c>
      <c r="D274" t="s">
        <v>27</v>
      </c>
      <c r="E274" s="161">
        <v>7.5</v>
      </c>
      <c r="F274" s="161">
        <v>80</v>
      </c>
      <c r="G274" s="162">
        <v>600</v>
      </c>
      <c r="H274" s="67">
        <v>53</v>
      </c>
    </row>
    <row r="275" spans="1:8" x14ac:dyDescent="0.25">
      <c r="A275" s="212">
        <v>41943</v>
      </c>
      <c r="B275" s="160" t="s">
        <v>1211</v>
      </c>
      <c r="C275" t="s">
        <v>1233</v>
      </c>
      <c r="D275" t="s">
        <v>27</v>
      </c>
      <c r="E275" s="161">
        <v>10.5</v>
      </c>
      <c r="F275" s="161">
        <v>54.58</v>
      </c>
      <c r="G275" s="162">
        <v>573.09</v>
      </c>
      <c r="H275" s="67">
        <v>53</v>
      </c>
    </row>
    <row r="276" spans="1:8" x14ac:dyDescent="0.25">
      <c r="A276" s="212">
        <v>41943</v>
      </c>
      <c r="B276" s="160" t="s">
        <v>1209</v>
      </c>
      <c r="C276" t="s">
        <v>1210</v>
      </c>
      <c r="D276" t="s">
        <v>27</v>
      </c>
      <c r="E276" s="161">
        <v>5</v>
      </c>
      <c r="F276" s="161">
        <v>42.79</v>
      </c>
      <c r="G276" s="162">
        <v>213.95</v>
      </c>
      <c r="H276" s="67">
        <v>53</v>
      </c>
    </row>
    <row r="277" spans="1:8" x14ac:dyDescent="0.25">
      <c r="A277" s="212">
        <v>41943</v>
      </c>
      <c r="B277" s="160" t="s">
        <v>624</v>
      </c>
      <c r="C277" t="s">
        <v>625</v>
      </c>
      <c r="D277" t="s">
        <v>54</v>
      </c>
      <c r="E277" s="161">
        <v>1</v>
      </c>
      <c r="F277" s="161">
        <v>1800</v>
      </c>
      <c r="G277" s="162">
        <v>1800</v>
      </c>
      <c r="H277" s="67">
        <v>53</v>
      </c>
    </row>
    <row r="278" spans="1:8" x14ac:dyDescent="0.25">
      <c r="A278" s="212">
        <v>41943</v>
      </c>
      <c r="B278" s="160" t="s">
        <v>640</v>
      </c>
      <c r="C278" t="s">
        <v>641</v>
      </c>
      <c r="D278" t="s">
        <v>527</v>
      </c>
      <c r="E278" s="161">
        <v>1</v>
      </c>
      <c r="F278" s="161">
        <v>2801.25</v>
      </c>
      <c r="G278" s="162">
        <v>2801.25</v>
      </c>
      <c r="H278" s="67">
        <v>53</v>
      </c>
    </row>
    <row r="279" spans="1:8" x14ac:dyDescent="0.25">
      <c r="A279" s="212">
        <v>41943</v>
      </c>
      <c r="B279" s="160" t="s">
        <v>623</v>
      </c>
      <c r="C279" t="s">
        <v>7</v>
      </c>
      <c r="D279" t="s">
        <v>527</v>
      </c>
      <c r="E279" s="161">
        <v>10.5</v>
      </c>
      <c r="F279" s="161">
        <v>49.7</v>
      </c>
      <c r="G279" s="162">
        <v>521.85</v>
      </c>
      <c r="H279" s="67">
        <v>53</v>
      </c>
    </row>
    <row r="280" spans="1:8" x14ac:dyDescent="0.25">
      <c r="A280" s="212">
        <v>41943</v>
      </c>
      <c r="B280" s="160" t="s">
        <v>638</v>
      </c>
      <c r="C280" t="s">
        <v>637</v>
      </c>
      <c r="D280" t="s">
        <v>27</v>
      </c>
      <c r="E280" s="161">
        <v>9.5</v>
      </c>
      <c r="F280" s="161">
        <v>51</v>
      </c>
      <c r="G280" s="162">
        <v>484.5</v>
      </c>
      <c r="H280" s="67">
        <v>53</v>
      </c>
    </row>
    <row r="281" spans="1:8" x14ac:dyDescent="0.25">
      <c r="A281" s="212">
        <v>41944</v>
      </c>
      <c r="B281" s="160" t="s">
        <v>1109</v>
      </c>
      <c r="C281" t="s">
        <v>7</v>
      </c>
      <c r="D281" t="s">
        <v>27</v>
      </c>
      <c r="E281" s="161">
        <v>12</v>
      </c>
      <c r="F281" s="161">
        <v>42.72</v>
      </c>
      <c r="G281" s="162">
        <v>512.64</v>
      </c>
      <c r="H281" s="67">
        <v>53</v>
      </c>
    </row>
    <row r="282" spans="1:8" x14ac:dyDescent="0.25">
      <c r="A282" s="212">
        <v>41944</v>
      </c>
      <c r="B282" s="160" t="s">
        <v>1209</v>
      </c>
      <c r="C282" t="s">
        <v>1210</v>
      </c>
      <c r="D282" t="s">
        <v>27</v>
      </c>
      <c r="E282" s="161">
        <v>3.5</v>
      </c>
      <c r="F282" s="161">
        <v>42.79</v>
      </c>
      <c r="G282" s="162">
        <v>149.76499999999999</v>
      </c>
      <c r="H282" s="67">
        <v>53</v>
      </c>
    </row>
    <row r="283" spans="1:8" x14ac:dyDescent="0.25">
      <c r="A283" s="212">
        <v>41944</v>
      </c>
      <c r="B283" s="160" t="s">
        <v>1211</v>
      </c>
      <c r="C283" t="s">
        <v>1233</v>
      </c>
      <c r="D283" t="s">
        <v>27</v>
      </c>
      <c r="E283" s="161">
        <v>3.5</v>
      </c>
      <c r="F283" s="161">
        <v>54.58</v>
      </c>
      <c r="G283" s="162">
        <v>191.03</v>
      </c>
      <c r="H283" s="67">
        <v>53</v>
      </c>
    </row>
    <row r="284" spans="1:8" x14ac:dyDescent="0.25">
      <c r="A284" s="212">
        <v>41944</v>
      </c>
      <c r="B284" s="160" t="s">
        <v>631</v>
      </c>
      <c r="C284" t="s">
        <v>632</v>
      </c>
      <c r="D284" t="s">
        <v>27</v>
      </c>
      <c r="E284" s="161">
        <v>6</v>
      </c>
      <c r="F284" s="161">
        <v>80</v>
      </c>
      <c r="G284" s="162">
        <v>480</v>
      </c>
      <c r="H284" s="67">
        <v>53</v>
      </c>
    </row>
    <row r="285" spans="1:8" x14ac:dyDescent="0.25">
      <c r="A285" s="212">
        <v>41944</v>
      </c>
      <c r="B285" s="160" t="s">
        <v>631</v>
      </c>
      <c r="C285" t="s">
        <v>632</v>
      </c>
      <c r="D285" t="s">
        <v>27</v>
      </c>
      <c r="E285" s="161">
        <v>5.5</v>
      </c>
      <c r="F285" s="161">
        <v>80</v>
      </c>
      <c r="G285" s="162">
        <v>440</v>
      </c>
      <c r="H285" s="67">
        <v>53</v>
      </c>
    </row>
    <row r="286" spans="1:8" x14ac:dyDescent="0.25">
      <c r="A286" s="212">
        <v>41944</v>
      </c>
      <c r="B286" s="160" t="s">
        <v>631</v>
      </c>
      <c r="C286" t="s">
        <v>632</v>
      </c>
      <c r="D286" t="s">
        <v>27</v>
      </c>
      <c r="E286" s="161">
        <v>6</v>
      </c>
      <c r="F286" s="161">
        <v>80</v>
      </c>
      <c r="G286" s="162">
        <v>480</v>
      </c>
      <c r="H286" s="67">
        <v>53</v>
      </c>
    </row>
    <row r="287" spans="1:8" x14ac:dyDescent="0.25">
      <c r="A287" s="212">
        <v>41944</v>
      </c>
      <c r="B287" s="160" t="s">
        <v>638</v>
      </c>
      <c r="C287" t="s">
        <v>637</v>
      </c>
      <c r="D287" t="s">
        <v>27</v>
      </c>
      <c r="E287" s="161">
        <v>6</v>
      </c>
      <c r="F287" s="161">
        <v>51</v>
      </c>
      <c r="G287" s="162">
        <v>306</v>
      </c>
      <c r="H287" s="67">
        <v>53</v>
      </c>
    </row>
    <row r="288" spans="1:8" x14ac:dyDescent="0.25">
      <c r="A288" s="212">
        <v>41946</v>
      </c>
      <c r="B288" s="160" t="s">
        <v>1109</v>
      </c>
      <c r="C288" t="s">
        <v>7</v>
      </c>
      <c r="D288" t="s">
        <v>27</v>
      </c>
      <c r="E288" s="161">
        <v>6</v>
      </c>
      <c r="F288" s="161">
        <v>42.72</v>
      </c>
      <c r="G288" s="162">
        <v>256.32</v>
      </c>
      <c r="H288" s="67">
        <v>53</v>
      </c>
    </row>
    <row r="289" spans="1:8" x14ac:dyDescent="0.25">
      <c r="A289" s="212">
        <v>41946</v>
      </c>
      <c r="B289" s="160" t="s">
        <v>1211</v>
      </c>
      <c r="C289" t="s">
        <v>1233</v>
      </c>
      <c r="D289" t="s">
        <v>27</v>
      </c>
      <c r="E289" s="161">
        <v>10.5</v>
      </c>
      <c r="F289" s="161">
        <v>54.58</v>
      </c>
      <c r="G289" s="162">
        <v>573.09</v>
      </c>
      <c r="H289" s="67">
        <v>53</v>
      </c>
    </row>
    <row r="290" spans="1:8" x14ac:dyDescent="0.25">
      <c r="A290" s="212">
        <v>41946</v>
      </c>
      <c r="B290" s="160" t="s">
        <v>619</v>
      </c>
      <c r="C290" t="s">
        <v>620</v>
      </c>
      <c r="D290" t="s">
        <v>27</v>
      </c>
      <c r="E290" s="161">
        <v>7</v>
      </c>
      <c r="F290" s="161">
        <v>80</v>
      </c>
      <c r="G290" s="162">
        <v>560</v>
      </c>
      <c r="H290" s="67">
        <v>53</v>
      </c>
    </row>
    <row r="291" spans="1:8" x14ac:dyDescent="0.25">
      <c r="A291" s="212">
        <v>41947</v>
      </c>
      <c r="B291" s="160" t="s">
        <v>623</v>
      </c>
      <c r="C291" t="s">
        <v>7</v>
      </c>
      <c r="D291" t="s">
        <v>527</v>
      </c>
      <c r="E291" s="161">
        <v>11</v>
      </c>
      <c r="F291" s="161">
        <v>49.7</v>
      </c>
      <c r="G291" s="162">
        <v>546.70000000000005</v>
      </c>
      <c r="H291" s="67">
        <v>53</v>
      </c>
    </row>
    <row r="292" spans="1:8" x14ac:dyDescent="0.25">
      <c r="A292" s="212">
        <v>41947</v>
      </c>
      <c r="B292" s="160" t="s">
        <v>642</v>
      </c>
      <c r="C292" t="s">
        <v>643</v>
      </c>
      <c r="D292" t="s">
        <v>527</v>
      </c>
      <c r="E292" s="161">
        <v>1</v>
      </c>
      <c r="F292" s="161">
        <v>122.73</v>
      </c>
      <c r="G292" s="162">
        <v>122.73</v>
      </c>
      <c r="H292" s="67">
        <v>53</v>
      </c>
    </row>
    <row r="293" spans="1:8" x14ac:dyDescent="0.25">
      <c r="A293" s="212">
        <v>41949</v>
      </c>
      <c r="B293" s="160" t="s">
        <v>1212</v>
      </c>
      <c r="C293" t="s">
        <v>7</v>
      </c>
      <c r="D293" t="s">
        <v>27</v>
      </c>
      <c r="E293" s="161">
        <v>10.5</v>
      </c>
      <c r="F293" s="161">
        <v>42.72</v>
      </c>
      <c r="G293" s="162">
        <v>448.56</v>
      </c>
      <c r="H293" s="67">
        <v>53</v>
      </c>
    </row>
    <row r="294" spans="1:8" x14ac:dyDescent="0.25">
      <c r="A294" s="212">
        <v>41949</v>
      </c>
      <c r="B294" s="160" t="s">
        <v>1109</v>
      </c>
      <c r="C294" t="s">
        <v>7</v>
      </c>
      <c r="D294" t="s">
        <v>27</v>
      </c>
      <c r="E294" s="161">
        <v>6</v>
      </c>
      <c r="F294" s="161">
        <v>42.72</v>
      </c>
      <c r="G294" s="162">
        <v>256.32</v>
      </c>
      <c r="H294" s="67">
        <v>53</v>
      </c>
    </row>
    <row r="295" spans="1:8" x14ac:dyDescent="0.25">
      <c r="A295" s="212">
        <v>41949</v>
      </c>
      <c r="B295" s="160" t="s">
        <v>1211</v>
      </c>
      <c r="C295" t="s">
        <v>1233</v>
      </c>
      <c r="D295" t="s">
        <v>27</v>
      </c>
      <c r="E295" s="161">
        <v>5</v>
      </c>
      <c r="F295" s="161">
        <v>54.58</v>
      </c>
      <c r="G295" s="162">
        <v>272.89999999999998</v>
      </c>
      <c r="H295" s="67">
        <v>53</v>
      </c>
    </row>
    <row r="296" spans="1:8" x14ac:dyDescent="0.25">
      <c r="A296" s="212">
        <v>41949</v>
      </c>
      <c r="B296" s="160" t="s">
        <v>631</v>
      </c>
      <c r="C296" t="s">
        <v>632</v>
      </c>
      <c r="D296" t="s">
        <v>27</v>
      </c>
      <c r="E296" s="161">
        <v>7.5</v>
      </c>
      <c r="F296" s="161">
        <v>80</v>
      </c>
      <c r="G296" s="162">
        <v>600</v>
      </c>
      <c r="H296" s="67">
        <v>53</v>
      </c>
    </row>
    <row r="297" spans="1:8" x14ac:dyDescent="0.25">
      <c r="A297" s="212">
        <v>41949</v>
      </c>
      <c r="B297" s="160" t="s">
        <v>285</v>
      </c>
      <c r="C297" t="s">
        <v>621</v>
      </c>
      <c r="D297" t="s">
        <v>27</v>
      </c>
      <c r="E297" s="161">
        <v>5.75</v>
      </c>
      <c r="F297" s="161">
        <v>80</v>
      </c>
      <c r="G297" s="162">
        <v>460</v>
      </c>
      <c r="H297" s="67">
        <v>53</v>
      </c>
    </row>
    <row r="298" spans="1:8" x14ac:dyDescent="0.25">
      <c r="A298" s="212">
        <v>41949</v>
      </c>
      <c r="B298" s="160" t="s">
        <v>631</v>
      </c>
      <c r="C298" t="s">
        <v>632</v>
      </c>
      <c r="D298" t="s">
        <v>27</v>
      </c>
      <c r="E298" s="161">
        <v>5.5</v>
      </c>
      <c r="F298" s="161">
        <v>80</v>
      </c>
      <c r="G298" s="162">
        <v>440</v>
      </c>
      <c r="H298" s="67">
        <v>53</v>
      </c>
    </row>
    <row r="299" spans="1:8" x14ac:dyDescent="0.25">
      <c r="A299" s="212">
        <v>41949</v>
      </c>
      <c r="B299" s="160" t="s">
        <v>638</v>
      </c>
      <c r="C299" t="s">
        <v>618</v>
      </c>
      <c r="D299" t="s">
        <v>27</v>
      </c>
      <c r="E299" s="161">
        <v>10</v>
      </c>
      <c r="F299" s="161">
        <v>130</v>
      </c>
      <c r="G299" s="162">
        <v>1300</v>
      </c>
      <c r="H299" s="67">
        <v>53</v>
      </c>
    </row>
    <row r="300" spans="1:8" x14ac:dyDescent="0.25">
      <c r="A300" s="212">
        <v>41949</v>
      </c>
      <c r="B300" s="160" t="s">
        <v>624</v>
      </c>
      <c r="C300" t="s">
        <v>625</v>
      </c>
      <c r="D300" t="s">
        <v>54</v>
      </c>
      <c r="E300" s="161">
        <v>1</v>
      </c>
      <c r="F300" s="161">
        <v>1800</v>
      </c>
      <c r="G300" s="162">
        <v>1800</v>
      </c>
      <c r="H300" s="67">
        <v>53</v>
      </c>
    </row>
    <row r="301" spans="1:8" x14ac:dyDescent="0.25">
      <c r="A301" s="212">
        <v>41949</v>
      </c>
      <c r="B301" s="160" t="s">
        <v>623</v>
      </c>
      <c r="C301" t="s">
        <v>7</v>
      </c>
      <c r="D301" t="s">
        <v>27</v>
      </c>
      <c r="E301" s="161">
        <v>9.5</v>
      </c>
      <c r="F301" s="161">
        <v>42.6</v>
      </c>
      <c r="G301" s="162">
        <v>404.7</v>
      </c>
      <c r="H301" s="67">
        <v>53</v>
      </c>
    </row>
    <row r="302" spans="1:8" x14ac:dyDescent="0.25">
      <c r="A302" s="212">
        <v>41949</v>
      </c>
      <c r="B302" s="160" t="s">
        <v>631</v>
      </c>
      <c r="C302" t="s">
        <v>632</v>
      </c>
      <c r="D302" t="s">
        <v>27</v>
      </c>
      <c r="E302" s="161">
        <v>7.5</v>
      </c>
      <c r="F302" s="161">
        <v>80</v>
      </c>
      <c r="G302" s="162">
        <v>600</v>
      </c>
      <c r="H302" s="67">
        <v>53</v>
      </c>
    </row>
    <row r="303" spans="1:8" x14ac:dyDescent="0.25">
      <c r="A303" s="212">
        <v>41949</v>
      </c>
      <c r="B303" s="160" t="s">
        <v>619</v>
      </c>
      <c r="C303" t="s">
        <v>620</v>
      </c>
      <c r="D303" t="s">
        <v>27</v>
      </c>
      <c r="E303" s="161">
        <v>7</v>
      </c>
      <c r="F303" s="161">
        <v>80</v>
      </c>
      <c r="G303" s="162">
        <v>560</v>
      </c>
      <c r="H303" s="67">
        <v>53</v>
      </c>
    </row>
    <row r="304" spans="1:8" x14ac:dyDescent="0.25">
      <c r="A304" s="212">
        <v>41949</v>
      </c>
      <c r="B304" s="160" t="s">
        <v>644</v>
      </c>
      <c r="C304" t="s">
        <v>645</v>
      </c>
      <c r="D304" t="s">
        <v>27</v>
      </c>
      <c r="E304" s="161">
        <v>7.5</v>
      </c>
      <c r="F304" s="161">
        <v>80</v>
      </c>
      <c r="G304" s="162">
        <v>600</v>
      </c>
      <c r="H304" s="67">
        <v>53</v>
      </c>
    </row>
    <row r="305" spans="1:8" x14ac:dyDescent="0.25">
      <c r="A305" s="212">
        <v>41950</v>
      </c>
      <c r="B305" s="160" t="s">
        <v>631</v>
      </c>
      <c r="C305" t="s">
        <v>632</v>
      </c>
      <c r="D305" t="s">
        <v>27</v>
      </c>
      <c r="E305" s="161">
        <v>5</v>
      </c>
      <c r="F305" s="161">
        <v>80</v>
      </c>
      <c r="G305" s="162">
        <v>400</v>
      </c>
      <c r="H305" s="67">
        <v>53</v>
      </c>
    </row>
    <row r="306" spans="1:8" x14ac:dyDescent="0.25">
      <c r="A306" s="212">
        <v>41950</v>
      </c>
      <c r="B306" s="160" t="s">
        <v>1212</v>
      </c>
      <c r="C306" t="s">
        <v>7</v>
      </c>
      <c r="D306" t="s">
        <v>27</v>
      </c>
      <c r="E306" s="161">
        <v>10.5</v>
      </c>
      <c r="F306" s="161">
        <v>42.72</v>
      </c>
      <c r="G306" s="162">
        <v>448.56</v>
      </c>
      <c r="H306" s="67">
        <v>53</v>
      </c>
    </row>
    <row r="307" spans="1:8" x14ac:dyDescent="0.25">
      <c r="A307" s="212">
        <v>41950</v>
      </c>
      <c r="B307" s="160" t="s">
        <v>631</v>
      </c>
      <c r="C307" t="s">
        <v>632</v>
      </c>
      <c r="D307" t="s">
        <v>27</v>
      </c>
      <c r="E307" s="161">
        <v>4.5</v>
      </c>
      <c r="F307" s="161">
        <v>80</v>
      </c>
      <c r="G307" s="162">
        <v>360</v>
      </c>
      <c r="H307" s="67">
        <v>53</v>
      </c>
    </row>
    <row r="308" spans="1:8" x14ac:dyDescent="0.25">
      <c r="A308" s="212">
        <v>41950</v>
      </c>
      <c r="B308" s="160" t="s">
        <v>285</v>
      </c>
      <c r="C308" t="s">
        <v>621</v>
      </c>
      <c r="D308" t="s">
        <v>27</v>
      </c>
      <c r="E308" s="161">
        <v>5</v>
      </c>
      <c r="F308" s="161">
        <v>80</v>
      </c>
      <c r="G308" s="162">
        <v>400</v>
      </c>
      <c r="H308" s="67">
        <v>53</v>
      </c>
    </row>
    <row r="309" spans="1:8" x14ac:dyDescent="0.25">
      <c r="A309" s="212">
        <v>41950</v>
      </c>
      <c r="B309" s="160" t="s">
        <v>1211</v>
      </c>
      <c r="C309" t="s">
        <v>1233</v>
      </c>
      <c r="D309" t="s">
        <v>27</v>
      </c>
      <c r="E309" s="161">
        <v>10</v>
      </c>
      <c r="F309" s="161">
        <v>54.58</v>
      </c>
      <c r="G309" s="162">
        <v>545.79999999999995</v>
      </c>
      <c r="H309" s="67">
        <v>53</v>
      </c>
    </row>
    <row r="310" spans="1:8" x14ac:dyDescent="0.25">
      <c r="A310" s="212">
        <v>41950</v>
      </c>
      <c r="B310" s="160" t="s">
        <v>631</v>
      </c>
      <c r="C310" t="s">
        <v>632</v>
      </c>
      <c r="D310" t="s">
        <v>27</v>
      </c>
      <c r="E310" s="161">
        <v>5</v>
      </c>
      <c r="F310" s="161">
        <v>80</v>
      </c>
      <c r="G310" s="162">
        <v>400</v>
      </c>
      <c r="H310" s="67">
        <v>53</v>
      </c>
    </row>
    <row r="311" spans="1:8" x14ac:dyDescent="0.25">
      <c r="A311" s="212">
        <v>41950</v>
      </c>
      <c r="B311" s="160" t="s">
        <v>1209</v>
      </c>
      <c r="C311" t="s">
        <v>1210</v>
      </c>
      <c r="D311" t="s">
        <v>27</v>
      </c>
      <c r="E311" s="161">
        <v>9.5</v>
      </c>
      <c r="F311" s="161">
        <v>42.79</v>
      </c>
      <c r="G311" s="162">
        <v>406.505</v>
      </c>
      <c r="H311" s="67">
        <v>53</v>
      </c>
    </row>
    <row r="312" spans="1:8" x14ac:dyDescent="0.25">
      <c r="A312" s="212">
        <v>41950</v>
      </c>
      <c r="B312" s="160" t="s">
        <v>644</v>
      </c>
      <c r="C312" t="s">
        <v>645</v>
      </c>
      <c r="D312" t="s">
        <v>27</v>
      </c>
      <c r="E312" s="161">
        <v>5</v>
      </c>
      <c r="F312" s="161">
        <v>80</v>
      </c>
      <c r="G312" s="162">
        <v>400</v>
      </c>
      <c r="H312" s="67">
        <v>53</v>
      </c>
    </row>
    <row r="313" spans="1:8" x14ac:dyDescent="0.25">
      <c r="A313" s="212">
        <v>41950</v>
      </c>
      <c r="B313" s="160" t="s">
        <v>1109</v>
      </c>
      <c r="C313" t="s">
        <v>7</v>
      </c>
      <c r="D313" t="s">
        <v>27</v>
      </c>
      <c r="E313" s="161">
        <v>7</v>
      </c>
      <c r="F313" s="161">
        <v>42.72</v>
      </c>
      <c r="G313" s="162">
        <v>299.04000000000002</v>
      </c>
      <c r="H313" s="67">
        <v>53</v>
      </c>
    </row>
    <row r="314" spans="1:8" x14ac:dyDescent="0.25">
      <c r="A314" s="212">
        <v>41950</v>
      </c>
      <c r="B314" s="160" t="s">
        <v>624</v>
      </c>
      <c r="C314" t="s">
        <v>625</v>
      </c>
      <c r="D314" t="s">
        <v>54</v>
      </c>
      <c r="E314" s="161">
        <v>1</v>
      </c>
      <c r="F314" s="161">
        <v>1800</v>
      </c>
      <c r="G314" s="162">
        <v>1800</v>
      </c>
      <c r="H314" s="67">
        <v>53</v>
      </c>
    </row>
    <row r="315" spans="1:8" x14ac:dyDescent="0.25">
      <c r="A315" s="212">
        <v>41950</v>
      </c>
      <c r="B315" s="160" t="s">
        <v>631</v>
      </c>
      <c r="C315" t="s">
        <v>632</v>
      </c>
      <c r="D315" t="s">
        <v>27</v>
      </c>
      <c r="E315" s="161">
        <v>5</v>
      </c>
      <c r="F315" s="161">
        <v>80</v>
      </c>
      <c r="G315" s="162">
        <v>400</v>
      </c>
      <c r="H315" s="67">
        <v>53</v>
      </c>
    </row>
    <row r="316" spans="1:8" x14ac:dyDescent="0.25">
      <c r="A316" s="212">
        <v>41951</v>
      </c>
      <c r="B316" s="160" t="s">
        <v>644</v>
      </c>
      <c r="C316" t="s">
        <v>645</v>
      </c>
      <c r="D316" t="s">
        <v>27</v>
      </c>
      <c r="E316" s="161">
        <v>6.5</v>
      </c>
      <c r="F316" s="161">
        <v>80</v>
      </c>
      <c r="G316" s="162">
        <v>520</v>
      </c>
      <c r="H316" s="67">
        <v>53</v>
      </c>
    </row>
    <row r="317" spans="1:8" x14ac:dyDescent="0.25">
      <c r="A317" s="212">
        <v>41951</v>
      </c>
      <c r="B317" s="160" t="s">
        <v>1209</v>
      </c>
      <c r="C317" t="s">
        <v>1210</v>
      </c>
      <c r="D317" t="s">
        <v>27</v>
      </c>
      <c r="E317" s="161">
        <v>3</v>
      </c>
      <c r="F317" s="161">
        <v>42.79</v>
      </c>
      <c r="G317" s="162">
        <v>128.37</v>
      </c>
      <c r="H317" s="67">
        <v>53</v>
      </c>
    </row>
    <row r="318" spans="1:8" x14ac:dyDescent="0.25">
      <c r="A318" s="212">
        <v>41951</v>
      </c>
      <c r="B318" s="160" t="s">
        <v>1109</v>
      </c>
      <c r="C318" t="s">
        <v>7</v>
      </c>
      <c r="D318" t="s">
        <v>27</v>
      </c>
      <c r="E318" s="161">
        <v>3</v>
      </c>
      <c r="F318" s="161">
        <v>42.72</v>
      </c>
      <c r="G318" s="162">
        <v>128.16</v>
      </c>
      <c r="H318" s="67">
        <v>53</v>
      </c>
    </row>
    <row r="319" spans="1:8" x14ac:dyDescent="0.25">
      <c r="A319" s="212">
        <v>41951</v>
      </c>
      <c r="B319" s="160" t="s">
        <v>1211</v>
      </c>
      <c r="C319" t="s">
        <v>1233</v>
      </c>
      <c r="D319" t="s">
        <v>27</v>
      </c>
      <c r="E319" s="161">
        <v>3.5</v>
      </c>
      <c r="F319" s="161">
        <v>54.58</v>
      </c>
      <c r="G319" s="162">
        <v>191.03</v>
      </c>
      <c r="H319" s="67">
        <v>53</v>
      </c>
    </row>
    <row r="320" spans="1:8" x14ac:dyDescent="0.25">
      <c r="A320" s="212">
        <v>41951</v>
      </c>
      <c r="B320" s="160" t="s">
        <v>1212</v>
      </c>
      <c r="C320" t="s">
        <v>7</v>
      </c>
      <c r="D320" t="s">
        <v>27</v>
      </c>
      <c r="E320" s="161">
        <v>7</v>
      </c>
      <c r="F320" s="161">
        <v>42.72</v>
      </c>
      <c r="G320" s="162">
        <v>299.04000000000002</v>
      </c>
      <c r="H320" s="67">
        <v>53</v>
      </c>
    </row>
    <row r="321" spans="1:8" x14ac:dyDescent="0.25">
      <c r="A321" s="212">
        <v>41953</v>
      </c>
      <c r="B321" s="160" t="s">
        <v>644</v>
      </c>
      <c r="C321" t="s">
        <v>645</v>
      </c>
      <c r="D321" t="s">
        <v>27</v>
      </c>
      <c r="E321" s="161">
        <v>4.5</v>
      </c>
      <c r="F321" s="161">
        <v>80</v>
      </c>
      <c r="G321" s="162">
        <v>360</v>
      </c>
      <c r="H321" s="67">
        <v>53</v>
      </c>
    </row>
    <row r="322" spans="1:8" x14ac:dyDescent="0.25">
      <c r="A322" s="212">
        <v>41953</v>
      </c>
      <c r="B322" s="160" t="s">
        <v>1109</v>
      </c>
      <c r="C322" t="s">
        <v>7</v>
      </c>
      <c r="D322" t="s">
        <v>27</v>
      </c>
      <c r="E322" s="161">
        <v>7</v>
      </c>
      <c r="F322" s="161">
        <v>42.72</v>
      </c>
      <c r="G322" s="162">
        <v>299.04000000000002</v>
      </c>
      <c r="H322" s="67">
        <v>53</v>
      </c>
    </row>
    <row r="323" spans="1:8" x14ac:dyDescent="0.25">
      <c r="A323" s="212">
        <v>41953</v>
      </c>
      <c r="B323" s="160" t="s">
        <v>1212</v>
      </c>
      <c r="C323" t="s">
        <v>7</v>
      </c>
      <c r="D323" t="s">
        <v>27</v>
      </c>
      <c r="E323" s="161">
        <v>10</v>
      </c>
      <c r="F323" s="161">
        <v>42.72</v>
      </c>
      <c r="G323" s="162">
        <v>427.2</v>
      </c>
      <c r="H323" s="67">
        <v>53</v>
      </c>
    </row>
    <row r="324" spans="1:8" x14ac:dyDescent="0.25">
      <c r="A324" s="212">
        <v>41953</v>
      </c>
      <c r="B324" s="160" t="s">
        <v>1211</v>
      </c>
      <c r="C324" t="s">
        <v>1233</v>
      </c>
      <c r="D324" t="s">
        <v>27</v>
      </c>
      <c r="E324" s="161">
        <v>6</v>
      </c>
      <c r="F324" s="161">
        <v>54.58</v>
      </c>
      <c r="G324" s="162">
        <v>327.48</v>
      </c>
      <c r="H324" s="67">
        <v>53</v>
      </c>
    </row>
    <row r="325" spans="1:8" x14ac:dyDescent="0.25">
      <c r="A325" s="212">
        <v>41953</v>
      </c>
      <c r="B325" s="160" t="s">
        <v>638</v>
      </c>
      <c r="C325" t="s">
        <v>618</v>
      </c>
      <c r="D325" t="s">
        <v>27</v>
      </c>
      <c r="E325" s="161">
        <v>6</v>
      </c>
      <c r="F325" s="161">
        <v>130</v>
      </c>
      <c r="G325" s="162">
        <v>780</v>
      </c>
      <c r="H325" s="67">
        <v>53</v>
      </c>
    </row>
    <row r="326" spans="1:8" x14ac:dyDescent="0.25">
      <c r="A326" s="212">
        <v>41953</v>
      </c>
      <c r="B326" s="160" t="s">
        <v>624</v>
      </c>
      <c r="C326" t="s">
        <v>625</v>
      </c>
      <c r="D326" t="s">
        <v>54</v>
      </c>
      <c r="E326" s="161">
        <v>1</v>
      </c>
      <c r="F326" s="161">
        <v>1800</v>
      </c>
      <c r="G326" s="162">
        <v>1800</v>
      </c>
      <c r="H326" s="67">
        <v>53</v>
      </c>
    </row>
    <row r="327" spans="1:8" x14ac:dyDescent="0.25">
      <c r="A327" s="212">
        <v>41953</v>
      </c>
      <c r="B327" s="160" t="s">
        <v>1209</v>
      </c>
      <c r="C327" t="s">
        <v>1210</v>
      </c>
      <c r="D327" t="s">
        <v>27</v>
      </c>
      <c r="E327" s="161">
        <v>7</v>
      </c>
      <c r="F327" s="161">
        <v>42.79</v>
      </c>
      <c r="G327" s="162">
        <v>299.52999999999997</v>
      </c>
      <c r="H327" s="67">
        <v>53</v>
      </c>
    </row>
    <row r="328" spans="1:8" x14ac:dyDescent="0.25">
      <c r="A328" s="212">
        <v>41953</v>
      </c>
      <c r="B328" s="160" t="s">
        <v>1213</v>
      </c>
      <c r="C328" t="s">
        <v>1214</v>
      </c>
      <c r="D328" t="s">
        <v>27</v>
      </c>
      <c r="E328" s="161">
        <v>2</v>
      </c>
      <c r="F328" s="161">
        <v>35</v>
      </c>
      <c r="G328" s="162">
        <v>70</v>
      </c>
      <c r="H328" s="67">
        <v>53</v>
      </c>
    </row>
    <row r="329" spans="1:8" x14ac:dyDescent="0.25">
      <c r="A329" s="212">
        <v>41954</v>
      </c>
      <c r="B329" s="160" t="s">
        <v>1209</v>
      </c>
      <c r="C329" t="s">
        <v>1210</v>
      </c>
      <c r="D329" t="s">
        <v>27</v>
      </c>
      <c r="E329" s="161">
        <v>9</v>
      </c>
      <c r="F329" s="161">
        <v>42.79</v>
      </c>
      <c r="G329" s="162">
        <v>385.11</v>
      </c>
      <c r="H329" s="67">
        <v>53</v>
      </c>
    </row>
    <row r="330" spans="1:8" x14ac:dyDescent="0.25">
      <c r="A330" s="212">
        <v>41954</v>
      </c>
      <c r="B330" s="160" t="s">
        <v>1212</v>
      </c>
      <c r="C330" t="s">
        <v>7</v>
      </c>
      <c r="D330" t="s">
        <v>27</v>
      </c>
      <c r="E330" s="161">
        <v>10</v>
      </c>
      <c r="F330" s="161">
        <v>42.72</v>
      </c>
      <c r="G330" s="162">
        <v>427.2</v>
      </c>
      <c r="H330" s="67">
        <v>53</v>
      </c>
    </row>
    <row r="331" spans="1:8" x14ac:dyDescent="0.25">
      <c r="A331" s="212">
        <v>41954</v>
      </c>
      <c r="B331" s="160" t="s">
        <v>631</v>
      </c>
      <c r="C331" t="s">
        <v>632</v>
      </c>
      <c r="D331" t="s">
        <v>27</v>
      </c>
      <c r="E331" s="161">
        <v>9.5</v>
      </c>
      <c r="F331" s="161">
        <v>80</v>
      </c>
      <c r="G331" s="162">
        <v>760</v>
      </c>
      <c r="H331" s="67">
        <v>53</v>
      </c>
    </row>
    <row r="332" spans="1:8" x14ac:dyDescent="0.25">
      <c r="A332" s="212">
        <v>41954</v>
      </c>
      <c r="B332" s="160" t="s">
        <v>644</v>
      </c>
      <c r="C332" t="s">
        <v>645</v>
      </c>
      <c r="D332" t="s">
        <v>27</v>
      </c>
      <c r="E332" s="161">
        <v>4.5</v>
      </c>
      <c r="F332" s="161">
        <v>80</v>
      </c>
      <c r="G332" s="162">
        <v>360</v>
      </c>
      <c r="H332" s="67">
        <v>53</v>
      </c>
    </row>
    <row r="333" spans="1:8" x14ac:dyDescent="0.25">
      <c r="A333" s="212">
        <v>41954</v>
      </c>
      <c r="B333" s="160" t="s">
        <v>1109</v>
      </c>
      <c r="C333" t="s">
        <v>7</v>
      </c>
      <c r="D333" t="s">
        <v>27</v>
      </c>
      <c r="E333" s="161">
        <v>7</v>
      </c>
      <c r="F333" s="161">
        <v>42.72</v>
      </c>
      <c r="G333" s="162">
        <v>299.04000000000002</v>
      </c>
      <c r="H333" s="67">
        <v>53</v>
      </c>
    </row>
    <row r="334" spans="1:8" x14ac:dyDescent="0.25">
      <c r="A334" s="212">
        <v>41954</v>
      </c>
      <c r="B334" s="160" t="s">
        <v>638</v>
      </c>
      <c r="C334" t="s">
        <v>618</v>
      </c>
      <c r="D334" t="s">
        <v>27</v>
      </c>
      <c r="E334" s="161">
        <v>6.5</v>
      </c>
      <c r="F334" s="161">
        <v>130</v>
      </c>
      <c r="G334" s="162">
        <v>845</v>
      </c>
      <c r="H334" s="67">
        <v>53</v>
      </c>
    </row>
    <row r="335" spans="1:8" x14ac:dyDescent="0.25">
      <c r="A335" s="212">
        <v>41954</v>
      </c>
      <c r="B335" s="160" t="s">
        <v>624</v>
      </c>
      <c r="C335" t="s">
        <v>625</v>
      </c>
      <c r="D335" t="s">
        <v>54</v>
      </c>
      <c r="E335" s="161">
        <v>1</v>
      </c>
      <c r="F335" s="161">
        <v>1800</v>
      </c>
      <c r="G335" s="162">
        <v>1800</v>
      </c>
      <c r="H335" s="67">
        <v>53</v>
      </c>
    </row>
    <row r="336" spans="1:8" x14ac:dyDescent="0.25">
      <c r="A336" s="212">
        <v>41954</v>
      </c>
      <c r="B336" s="160" t="s">
        <v>1211</v>
      </c>
      <c r="C336" t="s">
        <v>1233</v>
      </c>
      <c r="D336" t="s">
        <v>27</v>
      </c>
      <c r="E336" s="161">
        <v>7</v>
      </c>
      <c r="F336" s="161">
        <v>54.58</v>
      </c>
      <c r="G336" s="162">
        <v>382.06</v>
      </c>
      <c r="H336" s="67">
        <v>53</v>
      </c>
    </row>
    <row r="337" spans="1:8" x14ac:dyDescent="0.25">
      <c r="A337" s="212">
        <v>41954</v>
      </c>
      <c r="B337" s="160" t="s">
        <v>631</v>
      </c>
      <c r="C337" t="s">
        <v>632</v>
      </c>
      <c r="D337" t="s">
        <v>27</v>
      </c>
      <c r="E337" s="161">
        <v>9</v>
      </c>
      <c r="F337" s="161">
        <v>80</v>
      </c>
      <c r="G337" s="162">
        <v>720</v>
      </c>
      <c r="H337" s="67">
        <v>53</v>
      </c>
    </row>
    <row r="338" spans="1:8" x14ac:dyDescent="0.25">
      <c r="A338" s="212">
        <v>41954</v>
      </c>
      <c r="B338" s="160" t="s">
        <v>631</v>
      </c>
      <c r="C338" t="s">
        <v>632</v>
      </c>
      <c r="D338" t="s">
        <v>27</v>
      </c>
      <c r="E338" s="161">
        <v>2</v>
      </c>
      <c r="F338" s="161">
        <v>80</v>
      </c>
      <c r="G338" s="162">
        <v>160</v>
      </c>
      <c r="H338" s="67">
        <v>53</v>
      </c>
    </row>
    <row r="339" spans="1:8" x14ac:dyDescent="0.25">
      <c r="A339" s="212">
        <v>41955</v>
      </c>
      <c r="B339" s="160" t="s">
        <v>1109</v>
      </c>
      <c r="C339" t="s">
        <v>7</v>
      </c>
      <c r="D339" t="s">
        <v>27</v>
      </c>
      <c r="E339" s="161">
        <v>7</v>
      </c>
      <c r="F339" s="161">
        <v>42.72</v>
      </c>
      <c r="G339" s="162">
        <v>299.04000000000002</v>
      </c>
      <c r="H339" s="67">
        <v>53</v>
      </c>
    </row>
    <row r="340" spans="1:8" x14ac:dyDescent="0.25">
      <c r="A340" s="212">
        <v>41955</v>
      </c>
      <c r="B340" s="160" t="s">
        <v>624</v>
      </c>
      <c r="C340" t="s">
        <v>625</v>
      </c>
      <c r="D340" t="s">
        <v>54</v>
      </c>
      <c r="E340" s="161">
        <v>1</v>
      </c>
      <c r="F340" s="161">
        <v>1800</v>
      </c>
      <c r="G340" s="162">
        <v>1800</v>
      </c>
      <c r="H340" s="67">
        <v>53</v>
      </c>
    </row>
    <row r="341" spans="1:8" x14ac:dyDescent="0.25">
      <c r="A341" s="212">
        <v>41955</v>
      </c>
      <c r="B341" s="160" t="s">
        <v>631</v>
      </c>
      <c r="C341" t="s">
        <v>632</v>
      </c>
      <c r="D341" t="s">
        <v>27</v>
      </c>
      <c r="E341" s="161">
        <v>9.5</v>
      </c>
      <c r="F341" s="161">
        <v>80</v>
      </c>
      <c r="G341" s="162">
        <v>760</v>
      </c>
      <c r="H341" s="67">
        <v>53</v>
      </c>
    </row>
    <row r="342" spans="1:8" x14ac:dyDescent="0.25">
      <c r="A342" s="212">
        <v>41955</v>
      </c>
      <c r="B342" s="160" t="s">
        <v>623</v>
      </c>
      <c r="C342" t="s">
        <v>7</v>
      </c>
      <c r="D342" t="s">
        <v>27</v>
      </c>
      <c r="E342" s="161">
        <v>5</v>
      </c>
      <c r="F342" s="161">
        <v>42.6</v>
      </c>
      <c r="G342" s="162">
        <v>213</v>
      </c>
      <c r="H342" s="67">
        <v>53</v>
      </c>
    </row>
    <row r="343" spans="1:8" x14ac:dyDescent="0.25">
      <c r="A343" s="212">
        <v>41955</v>
      </c>
      <c r="B343" s="160" t="s">
        <v>1209</v>
      </c>
      <c r="C343" t="s">
        <v>1210</v>
      </c>
      <c r="D343" t="s">
        <v>27</v>
      </c>
      <c r="E343" s="161">
        <v>10</v>
      </c>
      <c r="F343" s="161">
        <v>42.79</v>
      </c>
      <c r="G343" s="162">
        <v>427.9</v>
      </c>
      <c r="H343" s="67">
        <v>53</v>
      </c>
    </row>
    <row r="344" spans="1:8" x14ac:dyDescent="0.25">
      <c r="A344" s="212">
        <v>41955</v>
      </c>
      <c r="B344" s="160" t="s">
        <v>1212</v>
      </c>
      <c r="C344" t="s">
        <v>7</v>
      </c>
      <c r="D344" t="s">
        <v>27</v>
      </c>
      <c r="E344" s="161">
        <v>10</v>
      </c>
      <c r="F344" s="161">
        <v>42.72</v>
      </c>
      <c r="G344" s="162">
        <v>427.2</v>
      </c>
      <c r="H344" s="67">
        <v>53</v>
      </c>
    </row>
    <row r="345" spans="1:8" x14ac:dyDescent="0.25">
      <c r="A345" s="212">
        <v>41955</v>
      </c>
      <c r="B345" s="160" t="s">
        <v>638</v>
      </c>
      <c r="C345" t="s">
        <v>618</v>
      </c>
      <c r="D345" t="s">
        <v>27</v>
      </c>
      <c r="E345" s="161">
        <v>10</v>
      </c>
      <c r="F345" s="161">
        <v>130</v>
      </c>
      <c r="G345" s="162">
        <v>1300</v>
      </c>
      <c r="H345" s="67">
        <v>53</v>
      </c>
    </row>
    <row r="346" spans="1:8" x14ac:dyDescent="0.25">
      <c r="A346" s="212">
        <v>41955</v>
      </c>
      <c r="B346" s="160" t="s">
        <v>1211</v>
      </c>
      <c r="C346" t="s">
        <v>1233</v>
      </c>
      <c r="D346" t="s">
        <v>27</v>
      </c>
      <c r="E346" s="161">
        <v>7</v>
      </c>
      <c r="F346" s="161">
        <v>54.58</v>
      </c>
      <c r="G346" s="162">
        <v>382.06</v>
      </c>
      <c r="H346" s="67">
        <v>53</v>
      </c>
    </row>
    <row r="347" spans="1:8" x14ac:dyDescent="0.25">
      <c r="A347" s="212">
        <v>41955</v>
      </c>
      <c r="B347" s="160" t="s">
        <v>631</v>
      </c>
      <c r="C347" t="s">
        <v>632</v>
      </c>
      <c r="D347" t="s">
        <v>27</v>
      </c>
      <c r="E347" s="161">
        <v>9.5</v>
      </c>
      <c r="F347" s="161">
        <v>80</v>
      </c>
      <c r="G347" s="162">
        <v>760</v>
      </c>
      <c r="H347" s="67">
        <v>53</v>
      </c>
    </row>
    <row r="348" spans="1:8" x14ac:dyDescent="0.25">
      <c r="A348" s="212">
        <v>41956</v>
      </c>
      <c r="B348" s="160" t="s">
        <v>631</v>
      </c>
      <c r="C348" t="s">
        <v>632</v>
      </c>
      <c r="D348" t="s">
        <v>27</v>
      </c>
      <c r="E348" s="161">
        <v>9.5</v>
      </c>
      <c r="F348" s="161">
        <v>80</v>
      </c>
      <c r="G348" s="162">
        <v>760</v>
      </c>
      <c r="H348" s="67">
        <v>53</v>
      </c>
    </row>
    <row r="349" spans="1:8" x14ac:dyDescent="0.25">
      <c r="A349" s="212">
        <v>41956</v>
      </c>
      <c r="B349" s="160" t="s">
        <v>626</v>
      </c>
      <c r="C349" t="s">
        <v>627</v>
      </c>
      <c r="D349" t="s">
        <v>27</v>
      </c>
      <c r="E349" s="161">
        <v>9.5</v>
      </c>
      <c r="F349" s="161">
        <v>80</v>
      </c>
      <c r="G349" s="162">
        <v>760</v>
      </c>
      <c r="H349" s="67">
        <v>53</v>
      </c>
    </row>
    <row r="350" spans="1:8" x14ac:dyDescent="0.25">
      <c r="A350" s="212">
        <v>41956</v>
      </c>
      <c r="B350" s="160" t="s">
        <v>644</v>
      </c>
      <c r="C350" t="s">
        <v>645</v>
      </c>
      <c r="D350" t="s">
        <v>27</v>
      </c>
      <c r="E350" s="161">
        <v>9.5</v>
      </c>
      <c r="F350" s="161">
        <v>80</v>
      </c>
      <c r="G350" s="162">
        <v>760</v>
      </c>
      <c r="H350" s="67">
        <v>53</v>
      </c>
    </row>
    <row r="351" spans="1:8" x14ac:dyDescent="0.25">
      <c r="A351" s="212">
        <v>41956</v>
      </c>
      <c r="B351" s="160" t="s">
        <v>626</v>
      </c>
      <c r="C351" t="s">
        <v>627</v>
      </c>
      <c r="D351" t="s">
        <v>27</v>
      </c>
      <c r="E351" s="161">
        <v>3</v>
      </c>
      <c r="F351" s="161">
        <v>80</v>
      </c>
      <c r="G351" s="162">
        <v>240</v>
      </c>
      <c r="H351" s="67">
        <v>53</v>
      </c>
    </row>
    <row r="352" spans="1:8" x14ac:dyDescent="0.25">
      <c r="A352" s="212">
        <v>41956</v>
      </c>
      <c r="B352" s="160" t="s">
        <v>646</v>
      </c>
      <c r="C352" t="s">
        <v>618</v>
      </c>
      <c r="D352" t="s">
        <v>27</v>
      </c>
      <c r="E352" s="161">
        <v>5</v>
      </c>
      <c r="F352" s="161">
        <v>125</v>
      </c>
      <c r="G352" s="162">
        <v>625</v>
      </c>
      <c r="H352" s="67">
        <v>53</v>
      </c>
    </row>
    <row r="353" spans="1:8" x14ac:dyDescent="0.25">
      <c r="A353" s="212">
        <v>41956</v>
      </c>
      <c r="B353" s="160" t="s">
        <v>644</v>
      </c>
      <c r="C353" t="s">
        <v>645</v>
      </c>
      <c r="D353" t="s">
        <v>27</v>
      </c>
      <c r="E353" s="161">
        <v>6.5</v>
      </c>
      <c r="F353" s="161">
        <v>80</v>
      </c>
      <c r="G353" s="162">
        <v>520</v>
      </c>
      <c r="H353" s="67">
        <v>53</v>
      </c>
    </row>
    <row r="354" spans="1:8" x14ac:dyDescent="0.25">
      <c r="A354" s="212">
        <v>41956</v>
      </c>
      <c r="B354" s="160" t="s">
        <v>631</v>
      </c>
      <c r="C354" t="s">
        <v>632</v>
      </c>
      <c r="D354" t="s">
        <v>27</v>
      </c>
      <c r="E354" s="161">
        <v>9.5</v>
      </c>
      <c r="F354" s="161">
        <v>80</v>
      </c>
      <c r="G354" s="162">
        <v>760</v>
      </c>
      <c r="H354" s="67">
        <v>53</v>
      </c>
    </row>
    <row r="355" spans="1:8" x14ac:dyDescent="0.25">
      <c r="A355" s="212">
        <v>41956</v>
      </c>
      <c r="B355" s="160" t="s">
        <v>1109</v>
      </c>
      <c r="C355" t="s">
        <v>7</v>
      </c>
      <c r="D355" t="s">
        <v>27</v>
      </c>
      <c r="E355" s="161">
        <v>12.5</v>
      </c>
      <c r="F355" s="161">
        <v>42.72</v>
      </c>
      <c r="G355" s="162">
        <v>534</v>
      </c>
      <c r="H355" s="67">
        <v>53</v>
      </c>
    </row>
    <row r="356" spans="1:8" x14ac:dyDescent="0.25">
      <c r="A356" s="212">
        <v>41956</v>
      </c>
      <c r="B356" s="160" t="s">
        <v>1209</v>
      </c>
      <c r="C356" t="s">
        <v>1210</v>
      </c>
      <c r="D356" t="s">
        <v>27</v>
      </c>
      <c r="E356" s="161">
        <v>6</v>
      </c>
      <c r="F356" s="161">
        <v>42.79</v>
      </c>
      <c r="G356" s="162">
        <v>256.74</v>
      </c>
      <c r="H356" s="67">
        <v>53</v>
      </c>
    </row>
    <row r="357" spans="1:8" x14ac:dyDescent="0.25">
      <c r="A357" s="212">
        <v>41956</v>
      </c>
      <c r="B357" s="160" t="s">
        <v>638</v>
      </c>
      <c r="C357" t="s">
        <v>618</v>
      </c>
      <c r="D357" t="s">
        <v>27</v>
      </c>
      <c r="E357" s="161">
        <v>10</v>
      </c>
      <c r="F357" s="161">
        <v>130</v>
      </c>
      <c r="G357" s="162">
        <v>1300</v>
      </c>
      <c r="H357" s="67">
        <v>53</v>
      </c>
    </row>
    <row r="358" spans="1:8" x14ac:dyDescent="0.25">
      <c r="A358" s="212">
        <v>41956</v>
      </c>
      <c r="B358" s="160" t="s">
        <v>1211</v>
      </c>
      <c r="C358" t="s">
        <v>1233</v>
      </c>
      <c r="D358" t="s">
        <v>27</v>
      </c>
      <c r="E358" s="161">
        <v>7</v>
      </c>
      <c r="F358" s="161">
        <v>54.58</v>
      </c>
      <c r="G358" s="162">
        <v>382.06</v>
      </c>
      <c r="H358" s="67">
        <v>53</v>
      </c>
    </row>
    <row r="359" spans="1:8" x14ac:dyDescent="0.25">
      <c r="A359" s="212">
        <v>41956</v>
      </c>
      <c r="B359" s="160" t="s">
        <v>1212</v>
      </c>
      <c r="C359" t="s">
        <v>7</v>
      </c>
      <c r="D359" t="s">
        <v>27</v>
      </c>
      <c r="E359" s="161">
        <v>10</v>
      </c>
      <c r="F359" s="161">
        <v>42.72</v>
      </c>
      <c r="G359" s="162">
        <v>427.2</v>
      </c>
      <c r="H359" s="67">
        <v>53</v>
      </c>
    </row>
    <row r="360" spans="1:8" x14ac:dyDescent="0.25">
      <c r="A360" s="212">
        <v>41956</v>
      </c>
      <c r="B360" s="160" t="s">
        <v>624</v>
      </c>
      <c r="C360" t="s">
        <v>625</v>
      </c>
      <c r="D360" t="s">
        <v>54</v>
      </c>
      <c r="E360" s="161">
        <v>1</v>
      </c>
      <c r="F360" s="161">
        <v>1800</v>
      </c>
      <c r="G360" s="162">
        <v>1800</v>
      </c>
      <c r="H360" s="67">
        <v>53</v>
      </c>
    </row>
    <row r="361" spans="1:8" x14ac:dyDescent="0.25">
      <c r="A361" s="212">
        <v>41957</v>
      </c>
      <c r="B361" s="160" t="s">
        <v>631</v>
      </c>
      <c r="C361" t="s">
        <v>632</v>
      </c>
      <c r="D361" t="s">
        <v>27</v>
      </c>
      <c r="E361" s="161">
        <v>9.5</v>
      </c>
      <c r="F361" s="161">
        <v>80</v>
      </c>
      <c r="G361" s="162">
        <v>760</v>
      </c>
      <c r="H361" s="67">
        <v>53</v>
      </c>
    </row>
    <row r="362" spans="1:8" x14ac:dyDescent="0.25">
      <c r="A362" s="212">
        <v>41957</v>
      </c>
      <c r="B362" s="160" t="s">
        <v>646</v>
      </c>
      <c r="C362" t="s">
        <v>618</v>
      </c>
      <c r="D362" t="s">
        <v>27</v>
      </c>
      <c r="E362" s="161">
        <v>8.5</v>
      </c>
      <c r="F362" s="161">
        <v>125</v>
      </c>
      <c r="G362" s="162">
        <v>1062.5</v>
      </c>
      <c r="H362" s="67">
        <v>53</v>
      </c>
    </row>
    <row r="363" spans="1:8" x14ac:dyDescent="0.25">
      <c r="A363" s="212">
        <v>41957</v>
      </c>
      <c r="B363" s="160" t="s">
        <v>626</v>
      </c>
      <c r="C363" t="s">
        <v>627</v>
      </c>
      <c r="D363" t="s">
        <v>27</v>
      </c>
      <c r="E363" s="161">
        <v>9.5</v>
      </c>
      <c r="F363" s="161">
        <v>80</v>
      </c>
      <c r="G363" s="162">
        <v>760</v>
      </c>
      <c r="H363" s="67">
        <v>53</v>
      </c>
    </row>
    <row r="364" spans="1:8" x14ac:dyDescent="0.25">
      <c r="A364" s="212">
        <v>41957</v>
      </c>
      <c r="B364" s="160" t="s">
        <v>644</v>
      </c>
      <c r="C364" t="s">
        <v>645</v>
      </c>
      <c r="D364" t="s">
        <v>27</v>
      </c>
      <c r="E364" s="161">
        <v>9</v>
      </c>
      <c r="F364" s="161">
        <v>80</v>
      </c>
      <c r="G364" s="162">
        <v>720</v>
      </c>
      <c r="H364" s="67">
        <v>53</v>
      </c>
    </row>
    <row r="365" spans="1:8" x14ac:dyDescent="0.25">
      <c r="A365" s="212">
        <v>41957</v>
      </c>
      <c r="B365" s="160" t="s">
        <v>623</v>
      </c>
      <c r="C365" t="s">
        <v>7</v>
      </c>
      <c r="D365" t="s">
        <v>27</v>
      </c>
      <c r="E365" s="161">
        <v>8</v>
      </c>
      <c r="F365" s="161">
        <v>42.6</v>
      </c>
      <c r="G365" s="162">
        <v>340.8</v>
      </c>
      <c r="H365" s="67">
        <v>53</v>
      </c>
    </row>
    <row r="366" spans="1:8" x14ac:dyDescent="0.25">
      <c r="A366" s="212">
        <v>41957</v>
      </c>
      <c r="B366" s="160" t="s">
        <v>1211</v>
      </c>
      <c r="C366" t="s">
        <v>1233</v>
      </c>
      <c r="D366" t="s">
        <v>27</v>
      </c>
      <c r="E366" s="161">
        <v>7</v>
      </c>
      <c r="F366" s="161">
        <v>54.58</v>
      </c>
      <c r="G366" s="162">
        <v>382.06</v>
      </c>
      <c r="H366" s="67">
        <v>53</v>
      </c>
    </row>
    <row r="367" spans="1:8" x14ac:dyDescent="0.25">
      <c r="A367" s="212">
        <v>41957</v>
      </c>
      <c r="B367" s="160" t="s">
        <v>1209</v>
      </c>
      <c r="C367" t="s">
        <v>1210</v>
      </c>
      <c r="D367" t="s">
        <v>27</v>
      </c>
      <c r="E367" s="161">
        <v>7</v>
      </c>
      <c r="F367" s="161">
        <v>42.79</v>
      </c>
      <c r="G367" s="162">
        <v>299.52999999999997</v>
      </c>
      <c r="H367" s="67">
        <v>53</v>
      </c>
    </row>
    <row r="368" spans="1:8" x14ac:dyDescent="0.25">
      <c r="A368" s="212">
        <v>41957</v>
      </c>
      <c r="B368" s="160" t="s">
        <v>1212</v>
      </c>
      <c r="C368" t="s">
        <v>7</v>
      </c>
      <c r="D368" t="s">
        <v>27</v>
      </c>
      <c r="E368" s="161">
        <v>5</v>
      </c>
      <c r="F368" s="161">
        <v>42.72</v>
      </c>
      <c r="G368" s="162">
        <v>213.6</v>
      </c>
      <c r="H368" s="67">
        <v>53</v>
      </c>
    </row>
    <row r="369" spans="1:8" x14ac:dyDescent="0.25">
      <c r="A369" s="212">
        <v>41957</v>
      </c>
      <c r="B369" s="160" t="s">
        <v>638</v>
      </c>
      <c r="C369" t="s">
        <v>618</v>
      </c>
      <c r="D369" t="s">
        <v>27</v>
      </c>
      <c r="E369" s="161">
        <v>10</v>
      </c>
      <c r="F369" s="161">
        <v>130</v>
      </c>
      <c r="G369" s="162">
        <v>1300</v>
      </c>
      <c r="H369" s="67">
        <v>53</v>
      </c>
    </row>
    <row r="370" spans="1:8" x14ac:dyDescent="0.25">
      <c r="A370" s="212">
        <v>41957</v>
      </c>
      <c r="B370" s="160" t="s">
        <v>644</v>
      </c>
      <c r="C370" t="s">
        <v>645</v>
      </c>
      <c r="D370" t="s">
        <v>27</v>
      </c>
      <c r="E370" s="161">
        <v>3.5</v>
      </c>
      <c r="F370" s="161">
        <v>80</v>
      </c>
      <c r="G370" s="162">
        <v>280</v>
      </c>
      <c r="H370" s="67">
        <v>53</v>
      </c>
    </row>
    <row r="371" spans="1:8" x14ac:dyDescent="0.25">
      <c r="A371" s="212">
        <v>41957</v>
      </c>
      <c r="B371" s="160" t="s">
        <v>1109</v>
      </c>
      <c r="C371" t="s">
        <v>7</v>
      </c>
      <c r="D371" t="s">
        <v>27</v>
      </c>
      <c r="E371" s="161">
        <v>12</v>
      </c>
      <c r="F371" s="161">
        <v>42.72</v>
      </c>
      <c r="G371" s="162">
        <v>512.64</v>
      </c>
      <c r="H371" s="67">
        <v>53</v>
      </c>
    </row>
    <row r="372" spans="1:8" x14ac:dyDescent="0.25">
      <c r="A372" s="212">
        <v>41958</v>
      </c>
      <c r="B372" s="160" t="s">
        <v>1212</v>
      </c>
      <c r="C372" t="s">
        <v>7</v>
      </c>
      <c r="D372" t="s">
        <v>27</v>
      </c>
      <c r="E372" s="161">
        <v>9.5</v>
      </c>
      <c r="F372" s="161">
        <v>42.72</v>
      </c>
      <c r="G372" s="162">
        <v>405.84</v>
      </c>
      <c r="H372" s="67">
        <v>53</v>
      </c>
    </row>
    <row r="373" spans="1:8" x14ac:dyDescent="0.25">
      <c r="A373" s="212">
        <v>41958</v>
      </c>
      <c r="B373" s="160" t="s">
        <v>1211</v>
      </c>
      <c r="C373" t="s">
        <v>1233</v>
      </c>
      <c r="D373" t="s">
        <v>27</v>
      </c>
      <c r="E373" s="161">
        <v>3</v>
      </c>
      <c r="F373" s="161">
        <v>54.58</v>
      </c>
      <c r="G373" s="162">
        <v>163.74</v>
      </c>
      <c r="H373" s="67">
        <v>53</v>
      </c>
    </row>
    <row r="374" spans="1:8" x14ac:dyDescent="0.25">
      <c r="A374" s="212">
        <v>41958</v>
      </c>
      <c r="B374" s="160" t="s">
        <v>638</v>
      </c>
      <c r="C374" t="s">
        <v>618</v>
      </c>
      <c r="D374" t="s">
        <v>27</v>
      </c>
      <c r="E374" s="161">
        <v>6.5</v>
      </c>
      <c r="F374" s="161">
        <v>130</v>
      </c>
      <c r="G374" s="162">
        <v>845</v>
      </c>
      <c r="H374" s="67">
        <v>53</v>
      </c>
    </row>
    <row r="375" spans="1:8" x14ac:dyDescent="0.25">
      <c r="A375" s="212">
        <v>41958</v>
      </c>
      <c r="B375" s="160" t="s">
        <v>624</v>
      </c>
      <c r="C375" t="s">
        <v>625</v>
      </c>
      <c r="D375" t="s">
        <v>54</v>
      </c>
      <c r="E375" s="161">
        <v>1</v>
      </c>
      <c r="F375" s="161">
        <v>1800</v>
      </c>
      <c r="G375" s="162">
        <v>1800</v>
      </c>
      <c r="H375" s="67">
        <v>53</v>
      </c>
    </row>
    <row r="376" spans="1:8" x14ac:dyDescent="0.25">
      <c r="A376" s="212">
        <v>41958</v>
      </c>
      <c r="B376" s="160" t="s">
        <v>631</v>
      </c>
      <c r="C376" t="s">
        <v>632</v>
      </c>
      <c r="D376" t="s">
        <v>27</v>
      </c>
      <c r="E376" s="161">
        <v>3.5</v>
      </c>
      <c r="F376" s="161">
        <v>80</v>
      </c>
      <c r="G376" s="162">
        <v>280</v>
      </c>
      <c r="H376" s="67">
        <v>53</v>
      </c>
    </row>
    <row r="377" spans="1:8" x14ac:dyDescent="0.25">
      <c r="A377" s="212">
        <v>41958</v>
      </c>
      <c r="B377" s="160" t="s">
        <v>647</v>
      </c>
      <c r="C377" t="s">
        <v>618</v>
      </c>
      <c r="D377" t="s">
        <v>27</v>
      </c>
      <c r="E377" s="161">
        <v>8</v>
      </c>
      <c r="F377" s="161">
        <v>125</v>
      </c>
      <c r="G377" s="162">
        <v>1000</v>
      </c>
      <c r="H377" s="67">
        <v>53</v>
      </c>
    </row>
    <row r="378" spans="1:8" x14ac:dyDescent="0.25">
      <c r="A378" s="212">
        <v>41958</v>
      </c>
      <c r="B378" s="160" t="s">
        <v>1109</v>
      </c>
      <c r="C378" t="s">
        <v>7</v>
      </c>
      <c r="D378" t="s">
        <v>27</v>
      </c>
      <c r="E378" s="161">
        <v>6</v>
      </c>
      <c r="F378" s="161">
        <v>42.72</v>
      </c>
      <c r="G378" s="162">
        <v>256.32</v>
      </c>
      <c r="H378" s="67">
        <v>53</v>
      </c>
    </row>
    <row r="379" spans="1:8" x14ac:dyDescent="0.25">
      <c r="A379" s="212">
        <v>41958</v>
      </c>
      <c r="B379" s="160" t="s">
        <v>631</v>
      </c>
      <c r="C379" t="s">
        <v>632</v>
      </c>
      <c r="D379" t="s">
        <v>27</v>
      </c>
      <c r="E379" s="161">
        <v>5</v>
      </c>
      <c r="F379" s="161">
        <v>80</v>
      </c>
      <c r="G379" s="162">
        <v>400</v>
      </c>
      <c r="H379" s="67">
        <v>53</v>
      </c>
    </row>
    <row r="380" spans="1:8" x14ac:dyDescent="0.25">
      <c r="A380" s="212">
        <v>41958</v>
      </c>
      <c r="B380" s="160" t="s">
        <v>631</v>
      </c>
      <c r="C380" t="s">
        <v>632</v>
      </c>
      <c r="D380" t="s">
        <v>27</v>
      </c>
      <c r="E380" s="161">
        <v>8</v>
      </c>
      <c r="F380" s="161">
        <v>80</v>
      </c>
      <c r="G380" s="162">
        <v>640</v>
      </c>
      <c r="H380" s="67">
        <v>53</v>
      </c>
    </row>
    <row r="381" spans="1:8" x14ac:dyDescent="0.25">
      <c r="A381" s="212">
        <v>41958</v>
      </c>
      <c r="B381" s="160" t="s">
        <v>631</v>
      </c>
      <c r="C381" t="s">
        <v>632</v>
      </c>
      <c r="D381" t="s">
        <v>27</v>
      </c>
      <c r="E381" s="161">
        <v>5</v>
      </c>
      <c r="F381" s="161">
        <v>80</v>
      </c>
      <c r="G381" s="162">
        <v>400</v>
      </c>
      <c r="H381" s="67">
        <v>53</v>
      </c>
    </row>
    <row r="382" spans="1:8" x14ac:dyDescent="0.25">
      <c r="A382" s="212">
        <v>41960</v>
      </c>
      <c r="B382" s="160" t="s">
        <v>1212</v>
      </c>
      <c r="C382" t="s">
        <v>7</v>
      </c>
      <c r="D382" t="s">
        <v>27</v>
      </c>
      <c r="E382" s="161">
        <v>9.5</v>
      </c>
      <c r="F382" s="161">
        <v>42.72</v>
      </c>
      <c r="G382" s="162">
        <v>405.84</v>
      </c>
      <c r="H382" s="67">
        <v>53</v>
      </c>
    </row>
    <row r="383" spans="1:8" x14ac:dyDescent="0.25">
      <c r="A383" s="212">
        <v>41960</v>
      </c>
      <c r="B383" s="160" t="s">
        <v>1109</v>
      </c>
      <c r="C383" t="s">
        <v>7</v>
      </c>
      <c r="D383" t="s">
        <v>27</v>
      </c>
      <c r="E383" s="161">
        <v>6</v>
      </c>
      <c r="F383" s="161">
        <v>42.72</v>
      </c>
      <c r="G383" s="162">
        <v>256.32</v>
      </c>
      <c r="H383" s="67">
        <v>53</v>
      </c>
    </row>
    <row r="384" spans="1:8" x14ac:dyDescent="0.25">
      <c r="A384" s="212">
        <v>41960</v>
      </c>
      <c r="B384" s="160" t="s">
        <v>638</v>
      </c>
      <c r="C384" t="s">
        <v>618</v>
      </c>
      <c r="D384" t="s">
        <v>27</v>
      </c>
      <c r="E384" s="161">
        <v>9.5</v>
      </c>
      <c r="F384" s="161">
        <v>130</v>
      </c>
      <c r="G384" s="162">
        <v>1235</v>
      </c>
      <c r="H384" s="67">
        <v>53</v>
      </c>
    </row>
    <row r="385" spans="1:8" x14ac:dyDescent="0.25">
      <c r="A385" s="212">
        <v>41960</v>
      </c>
      <c r="B385" s="160" t="s">
        <v>626</v>
      </c>
      <c r="C385" t="s">
        <v>627</v>
      </c>
      <c r="D385" t="s">
        <v>27</v>
      </c>
      <c r="E385" s="161">
        <v>5.5</v>
      </c>
      <c r="F385" s="161">
        <v>80</v>
      </c>
      <c r="G385" s="162">
        <v>440</v>
      </c>
      <c r="H385" s="67">
        <v>53</v>
      </c>
    </row>
    <row r="386" spans="1:8" x14ac:dyDescent="0.25">
      <c r="A386" s="212">
        <v>41960</v>
      </c>
      <c r="B386" s="160" t="s">
        <v>1211</v>
      </c>
      <c r="C386" t="s">
        <v>1233</v>
      </c>
      <c r="D386" t="s">
        <v>27</v>
      </c>
      <c r="E386" s="161">
        <v>1</v>
      </c>
      <c r="F386" s="161">
        <v>54.58</v>
      </c>
      <c r="G386" s="162">
        <v>54.58</v>
      </c>
      <c r="H386" s="67">
        <v>53</v>
      </c>
    </row>
    <row r="387" spans="1:8" x14ac:dyDescent="0.25">
      <c r="A387" s="212">
        <v>41960</v>
      </c>
      <c r="B387" s="160" t="s">
        <v>631</v>
      </c>
      <c r="C387" t="s">
        <v>632</v>
      </c>
      <c r="D387" t="s">
        <v>27</v>
      </c>
      <c r="E387" s="161">
        <v>3</v>
      </c>
      <c r="F387" s="161">
        <v>80</v>
      </c>
      <c r="G387" s="162">
        <v>240</v>
      </c>
      <c r="H387" s="67">
        <v>53</v>
      </c>
    </row>
    <row r="388" spans="1:8" x14ac:dyDescent="0.25">
      <c r="A388" s="212">
        <v>41961</v>
      </c>
      <c r="B388" s="160" t="s">
        <v>644</v>
      </c>
      <c r="C388" t="s">
        <v>645</v>
      </c>
      <c r="D388" t="s">
        <v>27</v>
      </c>
      <c r="E388" s="161">
        <v>4</v>
      </c>
      <c r="F388" s="161">
        <v>80</v>
      </c>
      <c r="G388" s="162">
        <v>320</v>
      </c>
      <c r="H388" s="67">
        <v>53</v>
      </c>
    </row>
    <row r="389" spans="1:8" x14ac:dyDescent="0.25">
      <c r="A389" s="212">
        <v>41961</v>
      </c>
      <c r="B389" s="160" t="s">
        <v>624</v>
      </c>
      <c r="C389" t="s">
        <v>625</v>
      </c>
      <c r="D389" t="s">
        <v>54</v>
      </c>
      <c r="E389" s="161">
        <v>1</v>
      </c>
      <c r="F389" s="161">
        <v>1800</v>
      </c>
      <c r="G389" s="162">
        <v>1800</v>
      </c>
      <c r="H389" s="67">
        <v>53</v>
      </c>
    </row>
    <row r="390" spans="1:8" x14ac:dyDescent="0.25">
      <c r="A390" s="212">
        <v>41961</v>
      </c>
      <c r="B390" s="160" t="s">
        <v>1212</v>
      </c>
      <c r="C390" t="s">
        <v>7</v>
      </c>
      <c r="D390" t="s">
        <v>27</v>
      </c>
      <c r="E390" s="161">
        <v>5</v>
      </c>
      <c r="F390" s="161">
        <v>42.72</v>
      </c>
      <c r="G390" s="162">
        <v>213.6</v>
      </c>
      <c r="H390" s="67">
        <v>53</v>
      </c>
    </row>
    <row r="391" spans="1:8" x14ac:dyDescent="0.25">
      <c r="A391" s="212">
        <v>41961</v>
      </c>
      <c r="B391" s="160" t="s">
        <v>1209</v>
      </c>
      <c r="C391" t="s">
        <v>1210</v>
      </c>
      <c r="D391" t="s">
        <v>27</v>
      </c>
      <c r="E391" s="161">
        <v>7.5</v>
      </c>
      <c r="F391" s="161">
        <v>42.79</v>
      </c>
      <c r="G391" s="162">
        <v>320.92500000000001</v>
      </c>
      <c r="H391" s="67">
        <v>53</v>
      </c>
    </row>
    <row r="392" spans="1:8" x14ac:dyDescent="0.25">
      <c r="A392" s="212">
        <v>41961</v>
      </c>
      <c r="B392" s="160" t="s">
        <v>644</v>
      </c>
      <c r="C392" t="s">
        <v>645</v>
      </c>
      <c r="D392" t="s">
        <v>27</v>
      </c>
      <c r="E392" s="161">
        <v>4</v>
      </c>
      <c r="F392" s="161">
        <v>80</v>
      </c>
      <c r="G392" s="162">
        <v>320</v>
      </c>
      <c r="H392" s="67">
        <v>53</v>
      </c>
    </row>
    <row r="393" spans="1:8" x14ac:dyDescent="0.25">
      <c r="A393" s="212">
        <v>41961</v>
      </c>
      <c r="B393" s="160" t="s">
        <v>638</v>
      </c>
      <c r="C393" t="s">
        <v>618</v>
      </c>
      <c r="D393" t="s">
        <v>27</v>
      </c>
      <c r="E393" s="161">
        <v>9</v>
      </c>
      <c r="F393" s="161">
        <v>130</v>
      </c>
      <c r="G393" s="162">
        <v>1170</v>
      </c>
      <c r="H393" s="67">
        <v>53</v>
      </c>
    </row>
    <row r="394" spans="1:8" x14ac:dyDescent="0.25">
      <c r="A394" s="212">
        <v>41961</v>
      </c>
      <c r="B394" s="160" t="s">
        <v>1211</v>
      </c>
      <c r="C394" t="s">
        <v>1233</v>
      </c>
      <c r="D394" t="s">
        <v>27</v>
      </c>
      <c r="E394" s="161">
        <v>10</v>
      </c>
      <c r="F394" s="161">
        <v>54.58</v>
      </c>
      <c r="G394" s="162">
        <v>545.79999999999995</v>
      </c>
      <c r="H394" s="67">
        <v>53</v>
      </c>
    </row>
    <row r="395" spans="1:8" x14ac:dyDescent="0.25">
      <c r="A395" s="212">
        <v>41961</v>
      </c>
      <c r="B395" s="160" t="s">
        <v>1212</v>
      </c>
      <c r="C395" t="s">
        <v>7</v>
      </c>
      <c r="D395" t="s">
        <v>27</v>
      </c>
      <c r="E395" s="161">
        <v>10</v>
      </c>
      <c r="F395" s="161">
        <v>42.72</v>
      </c>
      <c r="G395" s="162">
        <v>427.2</v>
      </c>
      <c r="H395" s="67">
        <v>53</v>
      </c>
    </row>
    <row r="396" spans="1:8" x14ac:dyDescent="0.25">
      <c r="A396" s="212">
        <v>41961</v>
      </c>
      <c r="B396" s="160" t="s">
        <v>631</v>
      </c>
      <c r="C396" t="s">
        <v>632</v>
      </c>
      <c r="D396" t="s">
        <v>27</v>
      </c>
      <c r="E396" s="161">
        <v>9.5</v>
      </c>
      <c r="F396" s="161">
        <v>80</v>
      </c>
      <c r="G396" s="162">
        <v>760</v>
      </c>
      <c r="H396" s="67">
        <v>53</v>
      </c>
    </row>
    <row r="397" spans="1:8" x14ac:dyDescent="0.25">
      <c r="A397" s="212">
        <v>41961</v>
      </c>
      <c r="B397" s="160" t="s">
        <v>631</v>
      </c>
      <c r="C397" t="s">
        <v>632</v>
      </c>
      <c r="D397" t="s">
        <v>27</v>
      </c>
      <c r="E397" s="161">
        <v>9.5</v>
      </c>
      <c r="F397" s="161">
        <v>80</v>
      </c>
      <c r="G397" s="162">
        <v>760</v>
      </c>
      <c r="H397" s="67">
        <v>53</v>
      </c>
    </row>
    <row r="398" spans="1:8" x14ac:dyDescent="0.25">
      <c r="A398" s="212">
        <v>41961</v>
      </c>
      <c r="B398" s="160" t="s">
        <v>1109</v>
      </c>
      <c r="C398" t="s">
        <v>7</v>
      </c>
      <c r="D398" t="s">
        <v>27</v>
      </c>
      <c r="E398" s="161">
        <v>9.5</v>
      </c>
      <c r="F398" s="161">
        <v>42.72</v>
      </c>
      <c r="G398" s="162">
        <v>405.84</v>
      </c>
      <c r="H398" s="67">
        <v>53</v>
      </c>
    </row>
    <row r="399" spans="1:8" x14ac:dyDescent="0.25">
      <c r="A399" s="212">
        <v>41962</v>
      </c>
      <c r="B399" s="160" t="s">
        <v>638</v>
      </c>
      <c r="C399" t="s">
        <v>618</v>
      </c>
      <c r="D399" t="s">
        <v>27</v>
      </c>
      <c r="E399" s="161">
        <v>10</v>
      </c>
      <c r="F399" s="161">
        <v>130</v>
      </c>
      <c r="G399" s="162">
        <v>1300</v>
      </c>
      <c r="H399" s="67">
        <v>53</v>
      </c>
    </row>
    <row r="400" spans="1:8" x14ac:dyDescent="0.25">
      <c r="A400" s="212">
        <v>41962</v>
      </c>
      <c r="B400" s="160" t="s">
        <v>1212</v>
      </c>
      <c r="C400" t="s">
        <v>7</v>
      </c>
      <c r="D400" t="s">
        <v>27</v>
      </c>
      <c r="E400" s="161">
        <v>10</v>
      </c>
      <c r="F400" s="161">
        <v>42.72</v>
      </c>
      <c r="G400" s="162">
        <v>427.2</v>
      </c>
      <c r="H400" s="67">
        <v>53</v>
      </c>
    </row>
    <row r="401" spans="1:8" x14ac:dyDescent="0.25">
      <c r="A401" s="212">
        <v>41962</v>
      </c>
      <c r="B401" s="160" t="s">
        <v>624</v>
      </c>
      <c r="C401" t="s">
        <v>625</v>
      </c>
      <c r="D401" t="s">
        <v>54</v>
      </c>
      <c r="E401" s="161">
        <v>1</v>
      </c>
      <c r="F401" s="161">
        <v>1800</v>
      </c>
      <c r="G401" s="162">
        <v>1800</v>
      </c>
      <c r="H401" s="67">
        <v>53</v>
      </c>
    </row>
    <row r="402" spans="1:8" x14ac:dyDescent="0.25">
      <c r="A402" s="212">
        <v>41962</v>
      </c>
      <c r="B402" s="160" t="s">
        <v>1211</v>
      </c>
      <c r="C402" t="s">
        <v>1233</v>
      </c>
      <c r="D402" t="s">
        <v>27</v>
      </c>
      <c r="E402" s="161">
        <v>2.5</v>
      </c>
      <c r="F402" s="161">
        <v>54.58</v>
      </c>
      <c r="G402" s="162">
        <v>136.44999999999999</v>
      </c>
      <c r="H402" s="67">
        <v>53</v>
      </c>
    </row>
    <row r="403" spans="1:8" x14ac:dyDescent="0.25">
      <c r="A403" s="212">
        <v>41962</v>
      </c>
      <c r="B403" s="160" t="s">
        <v>1212</v>
      </c>
      <c r="C403" t="s">
        <v>7</v>
      </c>
      <c r="D403" t="s">
        <v>27</v>
      </c>
      <c r="E403" s="161">
        <v>10</v>
      </c>
      <c r="F403" s="161">
        <v>42.72</v>
      </c>
      <c r="G403" s="162">
        <v>427.2</v>
      </c>
      <c r="H403" s="67">
        <v>53</v>
      </c>
    </row>
    <row r="404" spans="1:8" x14ac:dyDescent="0.25">
      <c r="A404" s="212">
        <v>41962</v>
      </c>
      <c r="B404" s="160" t="s">
        <v>631</v>
      </c>
      <c r="C404" t="s">
        <v>632</v>
      </c>
      <c r="D404" t="s">
        <v>27</v>
      </c>
      <c r="E404" s="161">
        <v>3</v>
      </c>
      <c r="F404" s="161">
        <v>80</v>
      </c>
      <c r="G404" s="162">
        <v>240</v>
      </c>
      <c r="H404" s="67">
        <v>53</v>
      </c>
    </row>
    <row r="405" spans="1:8" x14ac:dyDescent="0.25">
      <c r="A405" s="212">
        <v>41962</v>
      </c>
      <c r="B405" s="160" t="s">
        <v>285</v>
      </c>
      <c r="C405" t="s">
        <v>621</v>
      </c>
      <c r="D405" t="s">
        <v>27</v>
      </c>
      <c r="E405" s="161">
        <v>2.5</v>
      </c>
      <c r="F405" s="161">
        <v>90</v>
      </c>
      <c r="G405" s="162">
        <v>225</v>
      </c>
      <c r="H405" s="67">
        <v>53</v>
      </c>
    </row>
    <row r="406" spans="1:8" x14ac:dyDescent="0.25">
      <c r="A406" s="212">
        <v>41962</v>
      </c>
      <c r="B406" s="160" t="s">
        <v>634</v>
      </c>
      <c r="C406" t="s">
        <v>635</v>
      </c>
      <c r="D406" t="s">
        <v>27</v>
      </c>
      <c r="E406" s="161">
        <v>5.5</v>
      </c>
      <c r="F406" s="161">
        <v>92.5</v>
      </c>
      <c r="G406" s="162">
        <v>508.75</v>
      </c>
      <c r="H406" s="67">
        <v>53</v>
      </c>
    </row>
    <row r="407" spans="1:8" x14ac:dyDescent="0.25">
      <c r="A407" s="212">
        <v>41962</v>
      </c>
      <c r="B407" s="160" t="s">
        <v>1109</v>
      </c>
      <c r="C407" t="s">
        <v>7</v>
      </c>
      <c r="D407" t="s">
        <v>27</v>
      </c>
      <c r="E407" s="161">
        <v>3</v>
      </c>
      <c r="F407" s="161">
        <v>42.72</v>
      </c>
      <c r="G407" s="162">
        <v>128.16</v>
      </c>
      <c r="H407" s="67">
        <v>53</v>
      </c>
    </row>
    <row r="408" spans="1:8" x14ac:dyDescent="0.25">
      <c r="A408" s="212">
        <v>41962</v>
      </c>
      <c r="B408" s="160" t="s">
        <v>631</v>
      </c>
      <c r="C408" t="s">
        <v>632</v>
      </c>
      <c r="D408" t="s">
        <v>27</v>
      </c>
      <c r="E408" s="161">
        <v>3</v>
      </c>
      <c r="F408" s="161">
        <v>80</v>
      </c>
      <c r="G408" s="162">
        <v>240</v>
      </c>
      <c r="H408" s="67">
        <v>53</v>
      </c>
    </row>
    <row r="409" spans="1:8" x14ac:dyDescent="0.25">
      <c r="A409" s="212">
        <v>41963</v>
      </c>
      <c r="B409" s="160" t="s">
        <v>1212</v>
      </c>
      <c r="C409" t="s">
        <v>7</v>
      </c>
      <c r="D409" t="s">
        <v>27</v>
      </c>
      <c r="E409" s="161">
        <v>10</v>
      </c>
      <c r="F409" s="161">
        <v>42.72</v>
      </c>
      <c r="G409" s="162">
        <v>427.2</v>
      </c>
      <c r="H409" s="67">
        <v>53</v>
      </c>
    </row>
    <row r="410" spans="1:8" x14ac:dyDescent="0.25">
      <c r="A410" s="212">
        <v>41963</v>
      </c>
      <c r="B410" s="160" t="s">
        <v>634</v>
      </c>
      <c r="C410" t="s">
        <v>635</v>
      </c>
      <c r="D410" t="s">
        <v>27</v>
      </c>
      <c r="E410" s="161">
        <v>2</v>
      </c>
      <c r="F410" s="161">
        <v>92.5</v>
      </c>
      <c r="G410" s="162">
        <v>185</v>
      </c>
      <c r="H410" s="67">
        <v>53</v>
      </c>
    </row>
    <row r="411" spans="1:8" x14ac:dyDescent="0.25">
      <c r="A411" s="212">
        <v>41963</v>
      </c>
      <c r="B411" s="160" t="s">
        <v>1212</v>
      </c>
      <c r="C411" t="s">
        <v>7</v>
      </c>
      <c r="D411" t="s">
        <v>27</v>
      </c>
      <c r="E411" s="161">
        <v>10</v>
      </c>
      <c r="F411" s="161">
        <v>42.72</v>
      </c>
      <c r="G411" s="162">
        <v>427.2</v>
      </c>
      <c r="H411" s="67">
        <v>53</v>
      </c>
    </row>
    <row r="412" spans="1:8" x14ac:dyDescent="0.25">
      <c r="A412" s="212">
        <v>41963</v>
      </c>
      <c r="B412" s="160" t="s">
        <v>1212</v>
      </c>
      <c r="C412" t="s">
        <v>7</v>
      </c>
      <c r="D412" t="s">
        <v>27</v>
      </c>
      <c r="E412" s="161">
        <v>10</v>
      </c>
      <c r="F412" s="161">
        <v>42.72</v>
      </c>
      <c r="G412" s="162">
        <v>427.2</v>
      </c>
      <c r="H412" s="67">
        <v>53</v>
      </c>
    </row>
    <row r="413" spans="1:8" x14ac:dyDescent="0.25">
      <c r="A413" s="212">
        <v>41963</v>
      </c>
      <c r="B413" s="160" t="s">
        <v>631</v>
      </c>
      <c r="C413" t="s">
        <v>632</v>
      </c>
      <c r="D413" t="s">
        <v>27</v>
      </c>
      <c r="E413" s="161">
        <v>9</v>
      </c>
      <c r="F413" s="161">
        <v>80</v>
      </c>
      <c r="G413" s="162">
        <v>720</v>
      </c>
      <c r="H413" s="67">
        <v>53</v>
      </c>
    </row>
    <row r="414" spans="1:8" x14ac:dyDescent="0.25">
      <c r="A414" s="212">
        <v>41963</v>
      </c>
      <c r="B414" s="160" t="s">
        <v>631</v>
      </c>
      <c r="C414" t="s">
        <v>632</v>
      </c>
      <c r="D414" t="s">
        <v>27</v>
      </c>
      <c r="E414" s="161">
        <v>5</v>
      </c>
      <c r="F414" s="161">
        <v>80</v>
      </c>
      <c r="G414" s="162">
        <v>400</v>
      </c>
      <c r="H414" s="67">
        <v>53</v>
      </c>
    </row>
    <row r="415" spans="1:8" x14ac:dyDescent="0.25">
      <c r="A415" s="212">
        <v>41963</v>
      </c>
      <c r="B415" s="160" t="s">
        <v>1109</v>
      </c>
      <c r="C415" t="s">
        <v>7</v>
      </c>
      <c r="D415" t="s">
        <v>27</v>
      </c>
      <c r="E415" s="161">
        <v>11.75</v>
      </c>
      <c r="F415" s="161">
        <v>42.72</v>
      </c>
      <c r="G415" s="162">
        <v>501.96</v>
      </c>
      <c r="H415" s="67">
        <v>53</v>
      </c>
    </row>
    <row r="416" spans="1:8" x14ac:dyDescent="0.25">
      <c r="A416" s="212">
        <v>41963</v>
      </c>
      <c r="B416" s="160" t="s">
        <v>638</v>
      </c>
      <c r="C416" t="s">
        <v>618</v>
      </c>
      <c r="D416" t="s">
        <v>27</v>
      </c>
      <c r="E416" s="161">
        <v>10</v>
      </c>
      <c r="F416" s="161">
        <v>130</v>
      </c>
      <c r="G416" s="162">
        <v>1300</v>
      </c>
      <c r="H416" s="67">
        <v>53</v>
      </c>
    </row>
    <row r="417" spans="1:8" x14ac:dyDescent="0.25">
      <c r="A417" s="212">
        <v>41963</v>
      </c>
      <c r="B417" s="160" t="s">
        <v>1209</v>
      </c>
      <c r="C417" t="s">
        <v>1210</v>
      </c>
      <c r="D417" t="s">
        <v>27</v>
      </c>
      <c r="E417" s="161">
        <v>10</v>
      </c>
      <c r="F417" s="161">
        <v>42.79</v>
      </c>
      <c r="G417" s="162">
        <v>427.9</v>
      </c>
      <c r="H417" s="67">
        <v>53</v>
      </c>
    </row>
    <row r="418" spans="1:8" x14ac:dyDescent="0.25">
      <c r="A418" s="212">
        <v>41963</v>
      </c>
      <c r="B418" s="160" t="s">
        <v>1211</v>
      </c>
      <c r="C418" t="s">
        <v>1233</v>
      </c>
      <c r="D418" t="s">
        <v>27</v>
      </c>
      <c r="E418" s="161">
        <v>10</v>
      </c>
      <c r="F418" s="161">
        <v>54.58</v>
      </c>
      <c r="G418" s="162">
        <v>545.79999999999995</v>
      </c>
      <c r="H418" s="67">
        <v>53</v>
      </c>
    </row>
    <row r="419" spans="1:8" x14ac:dyDescent="0.25">
      <c r="A419" s="212">
        <v>41963</v>
      </c>
      <c r="B419" s="160" t="s">
        <v>285</v>
      </c>
      <c r="C419" t="s">
        <v>621</v>
      </c>
      <c r="D419" t="s">
        <v>27</v>
      </c>
      <c r="E419" s="161">
        <v>8</v>
      </c>
      <c r="F419" s="161">
        <v>90</v>
      </c>
      <c r="G419" s="162">
        <v>720</v>
      </c>
      <c r="H419" s="67">
        <v>53</v>
      </c>
    </row>
    <row r="420" spans="1:8" x14ac:dyDescent="0.25">
      <c r="A420" s="212">
        <v>41964</v>
      </c>
      <c r="B420" s="160" t="s">
        <v>285</v>
      </c>
      <c r="C420" t="s">
        <v>621</v>
      </c>
      <c r="D420" t="s">
        <v>27</v>
      </c>
      <c r="E420" s="161">
        <v>4.5</v>
      </c>
      <c r="F420" s="161">
        <v>90</v>
      </c>
      <c r="G420" s="162">
        <v>405</v>
      </c>
      <c r="H420" s="67">
        <v>53</v>
      </c>
    </row>
    <row r="421" spans="1:8" x14ac:dyDescent="0.25">
      <c r="A421" s="212">
        <v>41967</v>
      </c>
      <c r="B421" s="160" t="s">
        <v>631</v>
      </c>
      <c r="C421" t="s">
        <v>632</v>
      </c>
      <c r="D421" t="s">
        <v>27</v>
      </c>
      <c r="E421" s="161">
        <v>3.5</v>
      </c>
      <c r="F421" s="161">
        <v>80</v>
      </c>
      <c r="G421" s="162">
        <v>280</v>
      </c>
      <c r="H421" s="67">
        <v>53</v>
      </c>
    </row>
    <row r="422" spans="1:8" x14ac:dyDescent="0.25">
      <c r="A422" s="212">
        <v>41967</v>
      </c>
      <c r="B422" s="160" t="s">
        <v>631</v>
      </c>
      <c r="C422" t="s">
        <v>632</v>
      </c>
      <c r="D422" t="s">
        <v>27</v>
      </c>
      <c r="E422" s="161">
        <v>4</v>
      </c>
      <c r="F422" s="161">
        <v>80</v>
      </c>
      <c r="G422" s="162">
        <v>320</v>
      </c>
      <c r="H422" s="67">
        <v>53</v>
      </c>
    </row>
    <row r="423" spans="1:8" x14ac:dyDescent="0.25">
      <c r="A423" s="212">
        <v>41967</v>
      </c>
      <c r="B423" s="160" t="s">
        <v>624</v>
      </c>
      <c r="C423" t="s">
        <v>625</v>
      </c>
      <c r="D423" t="s">
        <v>54</v>
      </c>
      <c r="E423" s="161">
        <v>1</v>
      </c>
      <c r="F423" s="161">
        <v>1800</v>
      </c>
      <c r="G423" s="162">
        <v>1800</v>
      </c>
      <c r="H423" s="67">
        <v>53</v>
      </c>
    </row>
    <row r="424" spans="1:8" x14ac:dyDescent="0.25">
      <c r="A424" s="212">
        <v>41968</v>
      </c>
      <c r="B424" s="160" t="s">
        <v>638</v>
      </c>
      <c r="C424" t="s">
        <v>618</v>
      </c>
      <c r="D424" t="s">
        <v>27</v>
      </c>
      <c r="E424" s="161">
        <v>6.5</v>
      </c>
      <c r="F424" s="161">
        <v>130</v>
      </c>
      <c r="G424" s="162">
        <v>845</v>
      </c>
      <c r="H424" s="67">
        <v>53</v>
      </c>
    </row>
    <row r="425" spans="1:8" x14ac:dyDescent="0.25">
      <c r="A425" s="212">
        <v>41968</v>
      </c>
      <c r="B425" s="160" t="s">
        <v>631</v>
      </c>
      <c r="C425" t="s">
        <v>632</v>
      </c>
      <c r="D425" t="s">
        <v>27</v>
      </c>
      <c r="E425" s="161">
        <v>6</v>
      </c>
      <c r="F425" s="161">
        <v>80</v>
      </c>
      <c r="G425" s="162">
        <v>480</v>
      </c>
      <c r="H425" s="67">
        <v>53</v>
      </c>
    </row>
    <row r="426" spans="1:8" x14ac:dyDescent="0.25">
      <c r="A426" s="212">
        <v>41968</v>
      </c>
      <c r="B426" s="160" t="s">
        <v>285</v>
      </c>
      <c r="C426" t="s">
        <v>621</v>
      </c>
      <c r="D426" t="s">
        <v>27</v>
      </c>
      <c r="E426" s="161">
        <v>9</v>
      </c>
      <c r="F426" s="161">
        <v>90</v>
      </c>
      <c r="G426" s="162">
        <v>810</v>
      </c>
      <c r="H426" s="67">
        <v>53</v>
      </c>
    </row>
    <row r="427" spans="1:8" x14ac:dyDescent="0.25">
      <c r="A427" s="212">
        <v>41968</v>
      </c>
      <c r="B427" s="160" t="s">
        <v>631</v>
      </c>
      <c r="C427" t="s">
        <v>632</v>
      </c>
      <c r="D427" t="s">
        <v>27</v>
      </c>
      <c r="E427" s="161">
        <v>6</v>
      </c>
      <c r="F427" s="161">
        <v>80</v>
      </c>
      <c r="G427" s="162">
        <v>480</v>
      </c>
      <c r="H427" s="67">
        <v>53</v>
      </c>
    </row>
    <row r="428" spans="1:8" x14ac:dyDescent="0.25">
      <c r="A428" s="212">
        <v>41969</v>
      </c>
      <c r="B428" s="160" t="s">
        <v>624</v>
      </c>
      <c r="C428" t="s">
        <v>625</v>
      </c>
      <c r="D428" t="s">
        <v>54</v>
      </c>
      <c r="E428" s="161">
        <v>1</v>
      </c>
      <c r="F428" s="161">
        <v>1800</v>
      </c>
      <c r="G428" s="162">
        <v>1800</v>
      </c>
      <c r="H428" s="67">
        <v>53</v>
      </c>
    </row>
    <row r="429" spans="1:8" x14ac:dyDescent="0.25">
      <c r="A429" s="212">
        <v>41969</v>
      </c>
      <c r="B429" s="160" t="s">
        <v>1211</v>
      </c>
      <c r="C429" t="s">
        <v>1233</v>
      </c>
      <c r="D429" t="s">
        <v>27</v>
      </c>
      <c r="E429" s="161">
        <v>10</v>
      </c>
      <c r="F429" s="161">
        <v>54.58</v>
      </c>
      <c r="G429" s="162">
        <v>545.79999999999995</v>
      </c>
      <c r="H429" s="67">
        <v>53</v>
      </c>
    </row>
    <row r="430" spans="1:8" x14ac:dyDescent="0.25">
      <c r="A430" s="212">
        <v>41969</v>
      </c>
      <c r="B430" s="160" t="s">
        <v>1109</v>
      </c>
      <c r="C430" t="s">
        <v>7</v>
      </c>
      <c r="D430" t="s">
        <v>27</v>
      </c>
      <c r="E430" s="161">
        <v>6</v>
      </c>
      <c r="F430" s="161">
        <v>42.72</v>
      </c>
      <c r="G430" s="162">
        <v>256.32</v>
      </c>
      <c r="H430" s="67">
        <v>53</v>
      </c>
    </row>
    <row r="431" spans="1:8" x14ac:dyDescent="0.25">
      <c r="A431" s="212">
        <v>41969</v>
      </c>
      <c r="B431" s="160" t="s">
        <v>1109</v>
      </c>
      <c r="C431" t="s">
        <v>7</v>
      </c>
      <c r="D431" t="s">
        <v>27</v>
      </c>
      <c r="E431" s="161">
        <v>6</v>
      </c>
      <c r="F431" s="161">
        <v>42.72</v>
      </c>
      <c r="G431" s="162">
        <v>256.32</v>
      </c>
      <c r="H431" s="67">
        <v>53</v>
      </c>
    </row>
    <row r="432" spans="1:8" x14ac:dyDescent="0.25">
      <c r="A432" s="212">
        <v>41969</v>
      </c>
      <c r="B432" s="160" t="s">
        <v>1212</v>
      </c>
      <c r="C432" t="s">
        <v>7</v>
      </c>
      <c r="D432" t="s">
        <v>27</v>
      </c>
      <c r="E432" s="161">
        <v>4</v>
      </c>
      <c r="F432" s="161">
        <v>42.72</v>
      </c>
      <c r="G432" s="162">
        <v>170.88</v>
      </c>
      <c r="H432" s="67">
        <v>53</v>
      </c>
    </row>
    <row r="433" spans="1:8" x14ac:dyDescent="0.25">
      <c r="A433" s="212">
        <v>41969</v>
      </c>
      <c r="B433" s="160" t="s">
        <v>1211</v>
      </c>
      <c r="C433" t="s">
        <v>1233</v>
      </c>
      <c r="D433" t="s">
        <v>27</v>
      </c>
      <c r="E433" s="161">
        <v>10</v>
      </c>
      <c r="F433" s="161">
        <v>54.58</v>
      </c>
      <c r="G433" s="162">
        <v>545.79999999999995</v>
      </c>
      <c r="H433" s="67">
        <v>53</v>
      </c>
    </row>
    <row r="434" spans="1:8" x14ac:dyDescent="0.25">
      <c r="A434" s="212">
        <v>41969</v>
      </c>
      <c r="B434" s="160" t="s">
        <v>1212</v>
      </c>
      <c r="C434" t="s">
        <v>7</v>
      </c>
      <c r="D434" t="s">
        <v>27</v>
      </c>
      <c r="E434" s="161">
        <v>4</v>
      </c>
      <c r="F434" s="161">
        <v>42.72</v>
      </c>
      <c r="G434" s="162">
        <v>170.88</v>
      </c>
      <c r="H434" s="67">
        <v>53</v>
      </c>
    </row>
    <row r="435" spans="1:8" x14ac:dyDescent="0.25">
      <c r="A435" s="212">
        <v>41970</v>
      </c>
      <c r="B435" s="160" t="s">
        <v>638</v>
      </c>
      <c r="C435" t="s">
        <v>618</v>
      </c>
      <c r="D435" t="s">
        <v>27</v>
      </c>
      <c r="E435" s="161">
        <v>7</v>
      </c>
      <c r="F435" s="161">
        <v>130</v>
      </c>
      <c r="G435" s="162">
        <v>910</v>
      </c>
      <c r="H435" s="67">
        <v>53</v>
      </c>
    </row>
    <row r="436" spans="1:8" x14ac:dyDescent="0.25">
      <c r="A436" s="212">
        <v>41971</v>
      </c>
      <c r="B436" s="160" t="s">
        <v>631</v>
      </c>
      <c r="C436" t="s">
        <v>632</v>
      </c>
      <c r="D436" t="s">
        <v>27</v>
      </c>
      <c r="E436" s="161">
        <v>5</v>
      </c>
      <c r="F436" s="161">
        <v>80</v>
      </c>
      <c r="G436" s="162">
        <v>400</v>
      </c>
      <c r="H436" s="67">
        <v>53</v>
      </c>
    </row>
    <row r="437" spans="1:8" x14ac:dyDescent="0.25">
      <c r="A437" s="212">
        <v>41971</v>
      </c>
      <c r="B437" s="160" t="s">
        <v>631</v>
      </c>
      <c r="C437" t="s">
        <v>632</v>
      </c>
      <c r="D437" t="s">
        <v>27</v>
      </c>
      <c r="E437" s="161">
        <v>5</v>
      </c>
      <c r="F437" s="161">
        <v>80</v>
      </c>
      <c r="G437" s="162">
        <v>400</v>
      </c>
      <c r="H437" s="67">
        <v>53</v>
      </c>
    </row>
    <row r="438" spans="1:8" x14ac:dyDescent="0.25">
      <c r="A438" s="212">
        <v>41973</v>
      </c>
      <c r="B438" s="160" t="s">
        <v>648</v>
      </c>
      <c r="C438" t="s">
        <v>649</v>
      </c>
      <c r="D438" t="s">
        <v>527</v>
      </c>
      <c r="E438" s="161">
        <v>1</v>
      </c>
      <c r="F438" s="161">
        <v>1218</v>
      </c>
      <c r="G438" s="162">
        <v>1218</v>
      </c>
      <c r="H438" s="67">
        <v>53</v>
      </c>
    </row>
    <row r="439" spans="1:8" x14ac:dyDescent="0.25">
      <c r="A439" s="212">
        <v>41977</v>
      </c>
      <c r="B439" s="160" t="s">
        <v>1211</v>
      </c>
      <c r="C439" t="s">
        <v>1233</v>
      </c>
      <c r="D439" t="s">
        <v>27</v>
      </c>
      <c r="E439" s="161">
        <v>9.5</v>
      </c>
      <c r="F439" s="161">
        <v>54.58</v>
      </c>
      <c r="G439" s="162">
        <v>518.51</v>
      </c>
      <c r="H439" s="67">
        <v>53</v>
      </c>
    </row>
    <row r="440" spans="1:8" x14ac:dyDescent="0.25">
      <c r="A440" s="212">
        <v>41977</v>
      </c>
      <c r="B440" s="160" t="s">
        <v>1209</v>
      </c>
      <c r="C440" t="s">
        <v>1210</v>
      </c>
      <c r="D440" t="s">
        <v>27</v>
      </c>
      <c r="E440" s="161">
        <v>5</v>
      </c>
      <c r="F440" s="161">
        <v>42.79</v>
      </c>
      <c r="G440" s="162">
        <v>213.95</v>
      </c>
      <c r="H440" s="67">
        <v>53</v>
      </c>
    </row>
    <row r="441" spans="1:8" x14ac:dyDescent="0.25">
      <c r="A441" s="212">
        <v>41977</v>
      </c>
      <c r="B441" s="160" t="s">
        <v>624</v>
      </c>
      <c r="C441" t="s">
        <v>625</v>
      </c>
      <c r="D441" t="s">
        <v>54</v>
      </c>
      <c r="E441" s="161">
        <v>1</v>
      </c>
      <c r="F441" s="161">
        <v>1800</v>
      </c>
      <c r="G441" s="162">
        <v>1800</v>
      </c>
      <c r="H441" s="67">
        <v>53</v>
      </c>
    </row>
    <row r="442" spans="1:8" x14ac:dyDescent="0.25">
      <c r="A442" s="212">
        <v>41977</v>
      </c>
      <c r="B442" s="160" t="s">
        <v>631</v>
      </c>
      <c r="C442" t="s">
        <v>632</v>
      </c>
      <c r="D442" t="s">
        <v>27</v>
      </c>
      <c r="E442" s="161">
        <v>3.5</v>
      </c>
      <c r="F442" s="161">
        <v>80</v>
      </c>
      <c r="G442" s="162">
        <v>280</v>
      </c>
      <c r="H442" s="67">
        <v>53</v>
      </c>
    </row>
    <row r="443" spans="1:8" x14ac:dyDescent="0.25">
      <c r="A443" s="212">
        <v>41978</v>
      </c>
      <c r="B443" s="160" t="s">
        <v>624</v>
      </c>
      <c r="C443" t="s">
        <v>625</v>
      </c>
      <c r="D443" t="s">
        <v>54</v>
      </c>
      <c r="E443" s="161">
        <v>1</v>
      </c>
      <c r="F443" s="161">
        <v>1800</v>
      </c>
      <c r="G443" s="162">
        <v>1800</v>
      </c>
      <c r="H443" s="67">
        <v>53</v>
      </c>
    </row>
    <row r="444" spans="1:8" x14ac:dyDescent="0.25">
      <c r="A444" s="212">
        <v>41978</v>
      </c>
      <c r="B444" s="160" t="s">
        <v>1211</v>
      </c>
      <c r="C444" t="s">
        <v>1233</v>
      </c>
      <c r="D444" t="s">
        <v>27</v>
      </c>
      <c r="E444" s="161">
        <v>3</v>
      </c>
      <c r="F444" s="161">
        <v>54.58</v>
      </c>
      <c r="G444" s="162">
        <v>163.74</v>
      </c>
      <c r="H444" s="67">
        <v>53</v>
      </c>
    </row>
    <row r="445" spans="1:8" x14ac:dyDescent="0.25">
      <c r="A445" s="212">
        <v>41978</v>
      </c>
      <c r="B445" s="160" t="s">
        <v>634</v>
      </c>
      <c r="C445" t="s">
        <v>635</v>
      </c>
      <c r="D445" t="s">
        <v>27</v>
      </c>
      <c r="E445" s="161">
        <v>2</v>
      </c>
      <c r="F445" s="161">
        <v>92.5</v>
      </c>
      <c r="G445" s="162">
        <v>185</v>
      </c>
      <c r="H445" s="67">
        <v>53</v>
      </c>
    </row>
    <row r="446" spans="1:8" x14ac:dyDescent="0.25">
      <c r="A446" s="212">
        <v>41981</v>
      </c>
      <c r="B446" s="160" t="s">
        <v>619</v>
      </c>
      <c r="C446" t="s">
        <v>620</v>
      </c>
      <c r="D446" t="s">
        <v>27</v>
      </c>
      <c r="E446" s="161">
        <v>4.5</v>
      </c>
      <c r="F446" s="161">
        <v>80</v>
      </c>
      <c r="G446" s="162">
        <v>360</v>
      </c>
      <c r="H446" s="67">
        <v>53</v>
      </c>
    </row>
    <row r="447" spans="1:8" x14ac:dyDescent="0.25">
      <c r="A447" s="212">
        <v>41981</v>
      </c>
      <c r="B447" s="160" t="s">
        <v>1109</v>
      </c>
      <c r="C447" t="s">
        <v>7</v>
      </c>
      <c r="D447" t="s">
        <v>27</v>
      </c>
      <c r="E447" s="161">
        <v>8</v>
      </c>
      <c r="F447" s="161">
        <v>42.72</v>
      </c>
      <c r="G447" s="162">
        <v>341.76</v>
      </c>
      <c r="H447" s="67">
        <v>53</v>
      </c>
    </row>
    <row r="448" spans="1:8" x14ac:dyDescent="0.25">
      <c r="A448" s="212">
        <v>41981</v>
      </c>
      <c r="B448" s="160" t="s">
        <v>1212</v>
      </c>
      <c r="C448" t="s">
        <v>7</v>
      </c>
      <c r="D448" t="s">
        <v>27</v>
      </c>
      <c r="E448" s="161">
        <v>10</v>
      </c>
      <c r="F448" s="161">
        <v>42.72</v>
      </c>
      <c r="G448" s="162">
        <v>427.2</v>
      </c>
      <c r="H448" s="67">
        <v>53</v>
      </c>
    </row>
    <row r="449" spans="1:8" x14ac:dyDescent="0.25">
      <c r="A449" s="212">
        <v>41981</v>
      </c>
      <c r="B449" s="160" t="s">
        <v>623</v>
      </c>
      <c r="C449" t="s">
        <v>7</v>
      </c>
      <c r="D449" t="s">
        <v>527</v>
      </c>
      <c r="E449" s="161">
        <v>10</v>
      </c>
      <c r="F449" s="161">
        <v>49.7</v>
      </c>
      <c r="G449" s="162">
        <v>497</v>
      </c>
      <c r="H449" s="67">
        <v>53</v>
      </c>
    </row>
    <row r="450" spans="1:8" x14ac:dyDescent="0.25">
      <c r="A450" s="212">
        <v>41981</v>
      </c>
      <c r="B450" s="160" t="s">
        <v>644</v>
      </c>
      <c r="C450" t="s">
        <v>645</v>
      </c>
      <c r="D450" t="s">
        <v>27</v>
      </c>
      <c r="E450" s="161">
        <v>5</v>
      </c>
      <c r="F450" s="161">
        <v>80</v>
      </c>
      <c r="G450" s="162">
        <v>400</v>
      </c>
      <c r="H450" s="67">
        <v>53</v>
      </c>
    </row>
    <row r="451" spans="1:8" x14ac:dyDescent="0.25">
      <c r="A451" s="212">
        <v>41981</v>
      </c>
      <c r="B451" s="160" t="s">
        <v>623</v>
      </c>
      <c r="C451" t="s">
        <v>7</v>
      </c>
      <c r="D451" t="s">
        <v>527</v>
      </c>
      <c r="E451" s="161">
        <v>10</v>
      </c>
      <c r="F451" s="161">
        <v>49.7</v>
      </c>
      <c r="G451" s="162">
        <v>497</v>
      </c>
      <c r="H451" s="67">
        <v>53</v>
      </c>
    </row>
    <row r="452" spans="1:8" x14ac:dyDescent="0.25">
      <c r="A452" s="212">
        <v>41981</v>
      </c>
      <c r="B452" s="160" t="s">
        <v>1212</v>
      </c>
      <c r="C452" t="s">
        <v>7</v>
      </c>
      <c r="D452" t="s">
        <v>27</v>
      </c>
      <c r="E452" s="161">
        <v>10</v>
      </c>
      <c r="F452" s="161">
        <v>42.72</v>
      </c>
      <c r="G452" s="162">
        <v>427.2</v>
      </c>
      <c r="H452" s="67">
        <v>53</v>
      </c>
    </row>
    <row r="453" spans="1:8" x14ac:dyDescent="0.25">
      <c r="A453" s="212">
        <v>41982</v>
      </c>
      <c r="B453" s="160" t="s">
        <v>1212</v>
      </c>
      <c r="C453" t="s">
        <v>7</v>
      </c>
      <c r="D453" t="s">
        <v>27</v>
      </c>
      <c r="E453" s="161">
        <v>7</v>
      </c>
      <c r="F453" s="161">
        <v>42.72</v>
      </c>
      <c r="G453" s="162">
        <v>299.04000000000002</v>
      </c>
      <c r="H453" s="67">
        <v>53</v>
      </c>
    </row>
    <row r="454" spans="1:8" x14ac:dyDescent="0.25">
      <c r="A454" s="212">
        <v>41982</v>
      </c>
      <c r="B454" s="160" t="s">
        <v>623</v>
      </c>
      <c r="C454" t="s">
        <v>7</v>
      </c>
      <c r="D454" t="s">
        <v>27</v>
      </c>
      <c r="E454" s="161">
        <v>10</v>
      </c>
      <c r="F454" s="161">
        <v>46.85</v>
      </c>
      <c r="G454" s="162">
        <v>468.5</v>
      </c>
      <c r="H454" s="67">
        <v>53</v>
      </c>
    </row>
    <row r="455" spans="1:8" x14ac:dyDescent="0.25">
      <c r="A455" s="212">
        <v>41982</v>
      </c>
      <c r="B455" s="160" t="s">
        <v>623</v>
      </c>
      <c r="C455" t="s">
        <v>7</v>
      </c>
      <c r="D455" t="s">
        <v>27</v>
      </c>
      <c r="E455" s="161">
        <v>10</v>
      </c>
      <c r="F455" s="161">
        <v>42.6</v>
      </c>
      <c r="G455" s="162">
        <v>426</v>
      </c>
      <c r="H455" s="67">
        <v>53</v>
      </c>
    </row>
    <row r="456" spans="1:8" x14ac:dyDescent="0.25">
      <c r="A456" s="212">
        <v>41982</v>
      </c>
      <c r="B456" s="160" t="s">
        <v>634</v>
      </c>
      <c r="C456" t="s">
        <v>635</v>
      </c>
      <c r="D456" t="s">
        <v>27</v>
      </c>
      <c r="E456" s="161">
        <v>4.5</v>
      </c>
      <c r="F456" s="161">
        <v>92.5</v>
      </c>
      <c r="G456" s="162">
        <v>416.25</v>
      </c>
      <c r="H456" s="67">
        <v>53</v>
      </c>
    </row>
    <row r="457" spans="1:8" x14ac:dyDescent="0.25">
      <c r="A457" s="212">
        <v>41982</v>
      </c>
      <c r="B457" s="160" t="s">
        <v>1212</v>
      </c>
      <c r="C457" t="s">
        <v>7</v>
      </c>
      <c r="D457" t="s">
        <v>27</v>
      </c>
      <c r="E457" s="161">
        <v>10</v>
      </c>
      <c r="F457" s="161">
        <v>42.72</v>
      </c>
      <c r="G457" s="162">
        <v>427.2</v>
      </c>
      <c r="H457" s="67">
        <v>53</v>
      </c>
    </row>
    <row r="458" spans="1:8" x14ac:dyDescent="0.25">
      <c r="A458" s="212">
        <v>41982</v>
      </c>
      <c r="B458" s="160" t="s">
        <v>644</v>
      </c>
      <c r="C458" t="s">
        <v>645</v>
      </c>
      <c r="D458" t="s">
        <v>27</v>
      </c>
      <c r="E458" s="161">
        <v>9</v>
      </c>
      <c r="F458" s="161">
        <v>80</v>
      </c>
      <c r="G458" s="162">
        <v>720</v>
      </c>
      <c r="H458" s="67">
        <v>53</v>
      </c>
    </row>
    <row r="459" spans="1:8" x14ac:dyDescent="0.25">
      <c r="A459" s="212">
        <v>41982</v>
      </c>
      <c r="B459" s="160" t="s">
        <v>619</v>
      </c>
      <c r="C459" t="s">
        <v>620</v>
      </c>
      <c r="D459" t="s">
        <v>27</v>
      </c>
      <c r="E459" s="161">
        <v>10</v>
      </c>
      <c r="F459" s="161">
        <v>80</v>
      </c>
      <c r="G459" s="162">
        <v>800</v>
      </c>
      <c r="H459" s="67">
        <v>53</v>
      </c>
    </row>
    <row r="460" spans="1:8" x14ac:dyDescent="0.25">
      <c r="A460" s="212">
        <v>41982</v>
      </c>
      <c r="B460" s="160" t="s">
        <v>1109</v>
      </c>
      <c r="C460" t="s">
        <v>7</v>
      </c>
      <c r="D460" t="s">
        <v>27</v>
      </c>
      <c r="E460" s="161">
        <v>7</v>
      </c>
      <c r="F460" s="161">
        <v>42.72</v>
      </c>
      <c r="G460" s="162">
        <v>299.04000000000002</v>
      </c>
      <c r="H460" s="67">
        <v>53</v>
      </c>
    </row>
    <row r="461" spans="1:8" x14ac:dyDescent="0.25">
      <c r="A461" s="212">
        <v>41983</v>
      </c>
      <c r="B461" s="160" t="s">
        <v>1211</v>
      </c>
      <c r="C461" t="s">
        <v>1233</v>
      </c>
      <c r="D461" t="s">
        <v>27</v>
      </c>
      <c r="E461" s="161">
        <v>10</v>
      </c>
      <c r="F461" s="161">
        <v>54.58</v>
      </c>
      <c r="G461" s="162">
        <v>545.79999999999995</v>
      </c>
      <c r="H461" s="67">
        <v>53</v>
      </c>
    </row>
    <row r="462" spans="1:8" x14ac:dyDescent="0.25">
      <c r="A462" s="212">
        <v>41983</v>
      </c>
      <c r="B462" s="160" t="s">
        <v>619</v>
      </c>
      <c r="C462" t="s">
        <v>620</v>
      </c>
      <c r="D462" t="s">
        <v>27</v>
      </c>
      <c r="E462" s="161">
        <v>10</v>
      </c>
      <c r="F462" s="161">
        <v>80</v>
      </c>
      <c r="G462" s="162">
        <v>800</v>
      </c>
      <c r="H462" s="67">
        <v>53</v>
      </c>
    </row>
    <row r="463" spans="1:8" x14ac:dyDescent="0.25">
      <c r="A463" s="212">
        <v>41983</v>
      </c>
      <c r="B463" s="160" t="s">
        <v>1109</v>
      </c>
      <c r="C463" t="s">
        <v>7</v>
      </c>
      <c r="D463" t="s">
        <v>27</v>
      </c>
      <c r="E463" s="161">
        <v>6</v>
      </c>
      <c r="F463" s="161">
        <v>42.72</v>
      </c>
      <c r="G463" s="162">
        <v>256.32</v>
      </c>
      <c r="H463" s="67">
        <v>53</v>
      </c>
    </row>
    <row r="464" spans="1:8" x14ac:dyDescent="0.25">
      <c r="A464" s="212">
        <v>41983</v>
      </c>
      <c r="B464" s="160" t="s">
        <v>1212</v>
      </c>
      <c r="C464" t="s">
        <v>7</v>
      </c>
      <c r="D464" t="s">
        <v>27</v>
      </c>
      <c r="E464" s="161">
        <v>10</v>
      </c>
      <c r="F464" s="161">
        <v>42.72</v>
      </c>
      <c r="G464" s="162">
        <v>427.2</v>
      </c>
      <c r="H464" s="67">
        <v>53</v>
      </c>
    </row>
    <row r="465" spans="1:8" x14ac:dyDescent="0.25">
      <c r="A465" s="212">
        <v>41983</v>
      </c>
      <c r="B465" s="160" t="s">
        <v>634</v>
      </c>
      <c r="C465" t="s">
        <v>635</v>
      </c>
      <c r="D465" t="s">
        <v>27</v>
      </c>
      <c r="E465" s="161">
        <v>6</v>
      </c>
      <c r="F465" s="161">
        <v>92.5</v>
      </c>
      <c r="G465" s="162">
        <v>555</v>
      </c>
      <c r="H465" s="67">
        <v>53</v>
      </c>
    </row>
    <row r="466" spans="1:8" x14ac:dyDescent="0.25">
      <c r="A466" s="212">
        <v>41983</v>
      </c>
      <c r="B466" s="160" t="s">
        <v>624</v>
      </c>
      <c r="C466" t="s">
        <v>625</v>
      </c>
      <c r="D466" t="s">
        <v>54</v>
      </c>
      <c r="E466" s="161">
        <v>1</v>
      </c>
      <c r="F466" s="161">
        <v>1800</v>
      </c>
      <c r="G466" s="162">
        <v>1800</v>
      </c>
      <c r="H466" s="67">
        <v>53</v>
      </c>
    </row>
    <row r="467" spans="1:8" x14ac:dyDescent="0.25">
      <c r="A467" s="212">
        <v>41983</v>
      </c>
      <c r="B467" s="160" t="s">
        <v>623</v>
      </c>
      <c r="C467" t="s">
        <v>7</v>
      </c>
      <c r="D467" t="s">
        <v>527</v>
      </c>
      <c r="E467" s="161">
        <v>10</v>
      </c>
      <c r="F467" s="161">
        <v>49.7</v>
      </c>
      <c r="G467" s="162">
        <v>497</v>
      </c>
      <c r="H467" s="67">
        <v>53</v>
      </c>
    </row>
    <row r="468" spans="1:8" x14ac:dyDescent="0.25">
      <c r="A468" s="212">
        <v>41983</v>
      </c>
      <c r="B468" s="160" t="s">
        <v>623</v>
      </c>
      <c r="C468" t="s">
        <v>7</v>
      </c>
      <c r="D468" t="s">
        <v>27</v>
      </c>
      <c r="E468" s="161">
        <v>10</v>
      </c>
      <c r="F468" s="161">
        <v>46.85</v>
      </c>
      <c r="G468" s="162">
        <v>468.5</v>
      </c>
      <c r="H468" s="67">
        <v>53</v>
      </c>
    </row>
    <row r="469" spans="1:8" x14ac:dyDescent="0.25">
      <c r="A469" s="212">
        <v>41983</v>
      </c>
      <c r="B469" s="160" t="s">
        <v>644</v>
      </c>
      <c r="C469" t="s">
        <v>645</v>
      </c>
      <c r="D469" t="s">
        <v>27</v>
      </c>
      <c r="E469" s="161">
        <v>10</v>
      </c>
      <c r="F469" s="161">
        <v>80</v>
      </c>
      <c r="G469" s="162">
        <v>800</v>
      </c>
      <c r="H469" s="67">
        <v>53</v>
      </c>
    </row>
    <row r="470" spans="1:8" x14ac:dyDescent="0.25">
      <c r="A470" s="212">
        <v>41984</v>
      </c>
      <c r="B470" s="160" t="s">
        <v>1212</v>
      </c>
      <c r="C470" t="s">
        <v>7</v>
      </c>
      <c r="D470" t="s">
        <v>27</v>
      </c>
      <c r="E470" s="161">
        <v>8.5</v>
      </c>
      <c r="F470" s="161">
        <v>42.72</v>
      </c>
      <c r="G470" s="162">
        <v>363.12</v>
      </c>
      <c r="H470" s="67">
        <v>53</v>
      </c>
    </row>
    <row r="471" spans="1:8" x14ac:dyDescent="0.25">
      <c r="A471" s="212">
        <v>41984</v>
      </c>
      <c r="B471" s="160" t="s">
        <v>1209</v>
      </c>
      <c r="C471" t="s">
        <v>1210</v>
      </c>
      <c r="D471" t="s">
        <v>27</v>
      </c>
      <c r="E471" s="161">
        <v>5</v>
      </c>
      <c r="F471" s="161">
        <v>42.79</v>
      </c>
      <c r="G471" s="162">
        <v>213.95</v>
      </c>
      <c r="H471" s="67">
        <v>53</v>
      </c>
    </row>
    <row r="472" spans="1:8" x14ac:dyDescent="0.25">
      <c r="A472" s="212">
        <v>41984</v>
      </c>
      <c r="B472" s="160" t="s">
        <v>650</v>
      </c>
      <c r="C472" t="s">
        <v>645</v>
      </c>
      <c r="D472" t="s">
        <v>27</v>
      </c>
      <c r="E472" s="161">
        <v>7</v>
      </c>
      <c r="F472" s="161">
        <v>120</v>
      </c>
      <c r="G472" s="162">
        <v>840</v>
      </c>
      <c r="H472" s="67">
        <v>53</v>
      </c>
    </row>
    <row r="473" spans="1:8" x14ac:dyDescent="0.25">
      <c r="A473" s="212">
        <v>41984</v>
      </c>
      <c r="B473" s="160" t="s">
        <v>1211</v>
      </c>
      <c r="C473" t="s">
        <v>1233</v>
      </c>
      <c r="D473" t="s">
        <v>27</v>
      </c>
      <c r="E473" s="161">
        <v>10.5</v>
      </c>
      <c r="F473" s="161">
        <v>54.58</v>
      </c>
      <c r="G473" s="162">
        <v>573.09</v>
      </c>
      <c r="H473" s="67">
        <v>53</v>
      </c>
    </row>
    <row r="474" spans="1:8" x14ac:dyDescent="0.25">
      <c r="A474" s="212">
        <v>41984</v>
      </c>
      <c r="B474" s="160" t="s">
        <v>619</v>
      </c>
      <c r="C474" t="s">
        <v>620</v>
      </c>
      <c r="D474" t="s">
        <v>27</v>
      </c>
      <c r="E474" s="161">
        <v>8.5</v>
      </c>
      <c r="F474" s="161">
        <v>80</v>
      </c>
      <c r="G474" s="162">
        <v>680</v>
      </c>
      <c r="H474" s="67">
        <v>53</v>
      </c>
    </row>
    <row r="475" spans="1:8" x14ac:dyDescent="0.25">
      <c r="A475" s="212">
        <v>41984</v>
      </c>
      <c r="B475" s="160" t="s">
        <v>634</v>
      </c>
      <c r="C475" t="s">
        <v>635</v>
      </c>
      <c r="D475" t="s">
        <v>27</v>
      </c>
      <c r="E475" s="161">
        <v>2.5</v>
      </c>
      <c r="F475" s="161">
        <v>92.5</v>
      </c>
      <c r="G475" s="162">
        <v>231.25</v>
      </c>
      <c r="H475" s="67">
        <v>53</v>
      </c>
    </row>
    <row r="476" spans="1:8" x14ac:dyDescent="0.25">
      <c r="A476" s="212">
        <v>41984</v>
      </c>
      <c r="B476" s="160" t="s">
        <v>644</v>
      </c>
      <c r="C476" t="s">
        <v>645</v>
      </c>
      <c r="D476" t="s">
        <v>27</v>
      </c>
      <c r="E476" s="161">
        <v>2</v>
      </c>
      <c r="F476" s="161">
        <v>80</v>
      </c>
      <c r="G476" s="162">
        <v>160</v>
      </c>
      <c r="H476" s="67">
        <v>53</v>
      </c>
    </row>
    <row r="477" spans="1:8" x14ac:dyDescent="0.25">
      <c r="A477" s="212">
        <v>41984</v>
      </c>
      <c r="B477" s="160" t="s">
        <v>1109</v>
      </c>
      <c r="C477" t="s">
        <v>7</v>
      </c>
      <c r="D477" t="s">
        <v>27</v>
      </c>
      <c r="E477" s="161">
        <v>12</v>
      </c>
      <c r="F477" s="161">
        <v>42.72</v>
      </c>
      <c r="G477" s="162">
        <v>512.64</v>
      </c>
      <c r="H477" s="67">
        <v>53</v>
      </c>
    </row>
    <row r="478" spans="1:8" x14ac:dyDescent="0.25">
      <c r="A478" s="212">
        <v>41984</v>
      </c>
      <c r="B478" s="160" t="s">
        <v>631</v>
      </c>
      <c r="C478" t="s">
        <v>632</v>
      </c>
      <c r="D478" t="s">
        <v>27</v>
      </c>
      <c r="E478" s="161">
        <v>6</v>
      </c>
      <c r="F478" s="161">
        <v>80</v>
      </c>
      <c r="G478" s="162">
        <v>480</v>
      </c>
      <c r="H478" s="67">
        <v>53</v>
      </c>
    </row>
    <row r="479" spans="1:8" x14ac:dyDescent="0.25">
      <c r="A479" s="212">
        <v>41984</v>
      </c>
      <c r="B479" s="160" t="s">
        <v>623</v>
      </c>
      <c r="C479" t="s">
        <v>7</v>
      </c>
      <c r="D479" t="s">
        <v>27</v>
      </c>
      <c r="E479" s="161">
        <v>10</v>
      </c>
      <c r="F479" s="161">
        <v>46.85</v>
      </c>
      <c r="G479" s="162">
        <v>468.5</v>
      </c>
      <c r="H479" s="67">
        <v>53</v>
      </c>
    </row>
    <row r="480" spans="1:8" x14ac:dyDescent="0.25">
      <c r="A480" s="212">
        <v>41984</v>
      </c>
      <c r="B480" s="160" t="s">
        <v>623</v>
      </c>
      <c r="C480" t="s">
        <v>7</v>
      </c>
      <c r="D480" t="s">
        <v>527</v>
      </c>
      <c r="E480" s="161">
        <v>10</v>
      </c>
      <c r="F480" s="161">
        <v>49.7</v>
      </c>
      <c r="G480" s="162">
        <v>497</v>
      </c>
      <c r="H480" s="67">
        <v>53</v>
      </c>
    </row>
    <row r="481" spans="1:8" x14ac:dyDescent="0.25">
      <c r="A481" s="212">
        <v>41984</v>
      </c>
      <c r="B481" s="160" t="s">
        <v>624</v>
      </c>
      <c r="C481" t="s">
        <v>625</v>
      </c>
      <c r="D481" t="s">
        <v>54</v>
      </c>
      <c r="E481" s="161">
        <v>1</v>
      </c>
      <c r="F481" s="161">
        <v>1800</v>
      </c>
      <c r="G481" s="162">
        <v>1800</v>
      </c>
      <c r="H481" s="67">
        <v>53</v>
      </c>
    </row>
    <row r="482" spans="1:8" x14ac:dyDescent="0.25">
      <c r="A482" s="212">
        <v>41984</v>
      </c>
      <c r="B482" s="160" t="s">
        <v>623</v>
      </c>
      <c r="C482" t="s">
        <v>7</v>
      </c>
      <c r="D482" t="s">
        <v>27</v>
      </c>
      <c r="E482" s="161">
        <v>8.5</v>
      </c>
      <c r="F482" s="161">
        <v>42.6</v>
      </c>
      <c r="G482" s="162">
        <v>362.1</v>
      </c>
      <c r="H482" s="67">
        <v>53</v>
      </c>
    </row>
    <row r="483" spans="1:8" x14ac:dyDescent="0.25">
      <c r="A483" s="212">
        <v>41986</v>
      </c>
      <c r="B483" s="160" t="s">
        <v>1212</v>
      </c>
      <c r="C483" t="s">
        <v>7</v>
      </c>
      <c r="D483" t="s">
        <v>27</v>
      </c>
      <c r="E483" s="161">
        <v>10.5</v>
      </c>
      <c r="F483" s="161">
        <v>42.72</v>
      </c>
      <c r="G483" s="162">
        <v>448.56</v>
      </c>
      <c r="H483" s="67">
        <v>53</v>
      </c>
    </row>
    <row r="484" spans="1:8" x14ac:dyDescent="0.25">
      <c r="A484" s="212">
        <v>41986</v>
      </c>
      <c r="B484" s="160" t="s">
        <v>652</v>
      </c>
      <c r="C484" t="s">
        <v>7</v>
      </c>
      <c r="D484" t="s">
        <v>27</v>
      </c>
      <c r="E484" s="161">
        <v>10.5</v>
      </c>
      <c r="F484" s="161">
        <v>42.6</v>
      </c>
      <c r="G484" s="162">
        <v>447.3</v>
      </c>
      <c r="H484" s="67">
        <v>53</v>
      </c>
    </row>
    <row r="485" spans="1:8" x14ac:dyDescent="0.25">
      <c r="A485" s="212">
        <v>41986</v>
      </c>
      <c r="B485" s="160" t="s">
        <v>1109</v>
      </c>
      <c r="C485" t="s">
        <v>7</v>
      </c>
      <c r="D485" t="s">
        <v>27</v>
      </c>
      <c r="E485" s="161">
        <v>9</v>
      </c>
      <c r="F485" s="161">
        <v>42.72</v>
      </c>
      <c r="G485" s="162">
        <v>384.48</v>
      </c>
      <c r="H485" s="67">
        <v>53</v>
      </c>
    </row>
    <row r="486" spans="1:8" x14ac:dyDescent="0.25">
      <c r="A486" s="212">
        <v>41986</v>
      </c>
      <c r="B486" s="160" t="s">
        <v>644</v>
      </c>
      <c r="C486" t="s">
        <v>632</v>
      </c>
      <c r="D486" t="s">
        <v>27</v>
      </c>
      <c r="E486" s="161">
        <v>10</v>
      </c>
      <c r="F486" s="161">
        <v>80</v>
      </c>
      <c r="G486" s="162">
        <v>800</v>
      </c>
      <c r="H486" s="67">
        <v>53</v>
      </c>
    </row>
    <row r="487" spans="1:8" x14ac:dyDescent="0.25">
      <c r="A487" s="212">
        <v>41986</v>
      </c>
      <c r="B487" s="160" t="s">
        <v>631</v>
      </c>
      <c r="C487" t="s">
        <v>632</v>
      </c>
      <c r="D487" t="s">
        <v>27</v>
      </c>
      <c r="E487" s="161">
        <v>8</v>
      </c>
      <c r="F487" s="161">
        <v>80</v>
      </c>
      <c r="G487" s="162">
        <v>640</v>
      </c>
      <c r="H487" s="67">
        <v>53</v>
      </c>
    </row>
    <row r="488" spans="1:8" x14ac:dyDescent="0.25">
      <c r="A488" s="212">
        <v>41986</v>
      </c>
      <c r="B488" s="160" t="s">
        <v>653</v>
      </c>
      <c r="C488" t="s">
        <v>645</v>
      </c>
      <c r="D488" t="s">
        <v>27</v>
      </c>
      <c r="E488" s="161">
        <v>3.5</v>
      </c>
      <c r="F488" s="161">
        <v>120</v>
      </c>
      <c r="G488" s="162">
        <v>420</v>
      </c>
      <c r="H488" s="67">
        <v>53</v>
      </c>
    </row>
    <row r="489" spans="1:8" x14ac:dyDescent="0.25">
      <c r="A489" s="212">
        <v>41986</v>
      </c>
      <c r="B489" s="160" t="s">
        <v>651</v>
      </c>
      <c r="C489" t="s">
        <v>632</v>
      </c>
      <c r="D489" t="s">
        <v>527</v>
      </c>
      <c r="E489" s="161">
        <v>8.5</v>
      </c>
      <c r="F489" s="161">
        <v>75</v>
      </c>
      <c r="G489" s="162">
        <v>637.5</v>
      </c>
      <c r="H489" s="67">
        <v>53</v>
      </c>
    </row>
    <row r="490" spans="1:8" x14ac:dyDescent="0.25">
      <c r="A490" s="212">
        <v>41986</v>
      </c>
      <c r="B490" s="160" t="s">
        <v>631</v>
      </c>
      <c r="C490" t="s">
        <v>632</v>
      </c>
      <c r="D490" t="s">
        <v>27</v>
      </c>
      <c r="E490" s="161">
        <v>10</v>
      </c>
      <c r="F490" s="161">
        <v>80</v>
      </c>
      <c r="G490" s="162">
        <v>800</v>
      </c>
      <c r="H490" s="67">
        <v>53</v>
      </c>
    </row>
    <row r="491" spans="1:8" x14ac:dyDescent="0.25">
      <c r="A491" s="212">
        <v>41986</v>
      </c>
      <c r="B491" s="160" t="s">
        <v>623</v>
      </c>
      <c r="C491" t="s">
        <v>7</v>
      </c>
      <c r="D491" t="s">
        <v>527</v>
      </c>
      <c r="E491" s="161">
        <v>10.5</v>
      </c>
      <c r="F491" s="161">
        <v>49.7</v>
      </c>
      <c r="G491" s="162">
        <v>521.85</v>
      </c>
      <c r="H491" s="67">
        <v>53</v>
      </c>
    </row>
    <row r="492" spans="1:8" x14ac:dyDescent="0.25">
      <c r="A492" s="212">
        <v>41986</v>
      </c>
      <c r="B492" s="160" t="s">
        <v>1209</v>
      </c>
      <c r="C492" t="s">
        <v>1210</v>
      </c>
      <c r="D492" t="s">
        <v>27</v>
      </c>
      <c r="E492" s="161">
        <v>10</v>
      </c>
      <c r="F492" s="161">
        <v>42.79</v>
      </c>
      <c r="G492" s="162">
        <v>427.9</v>
      </c>
      <c r="H492" s="67">
        <v>53</v>
      </c>
    </row>
    <row r="493" spans="1:8" x14ac:dyDescent="0.25">
      <c r="A493" s="212">
        <v>41986</v>
      </c>
      <c r="B493" s="160" t="s">
        <v>619</v>
      </c>
      <c r="C493" t="s">
        <v>620</v>
      </c>
      <c r="D493" t="s">
        <v>27</v>
      </c>
      <c r="E493" s="161">
        <v>10</v>
      </c>
      <c r="F493" s="161">
        <v>80</v>
      </c>
      <c r="G493" s="162">
        <v>800</v>
      </c>
      <c r="H493" s="67">
        <v>53</v>
      </c>
    </row>
    <row r="494" spans="1:8" x14ac:dyDescent="0.25">
      <c r="A494" s="212">
        <v>41986</v>
      </c>
      <c r="B494" s="160" t="s">
        <v>631</v>
      </c>
      <c r="C494" t="s">
        <v>632</v>
      </c>
      <c r="D494" t="s">
        <v>27</v>
      </c>
      <c r="E494" s="161">
        <v>8</v>
      </c>
      <c r="F494" s="161">
        <v>80</v>
      </c>
      <c r="G494" s="162">
        <v>640</v>
      </c>
      <c r="H494" s="67">
        <v>53</v>
      </c>
    </row>
    <row r="495" spans="1:8" x14ac:dyDescent="0.25">
      <c r="A495" s="212">
        <v>41988</v>
      </c>
      <c r="B495" s="160" t="s">
        <v>1212</v>
      </c>
      <c r="C495" t="s">
        <v>7</v>
      </c>
      <c r="D495" t="s">
        <v>27</v>
      </c>
      <c r="E495" s="161">
        <v>7</v>
      </c>
      <c r="F495" s="161">
        <v>42.72</v>
      </c>
      <c r="G495" s="162">
        <v>299.04000000000002</v>
      </c>
      <c r="H495" s="67">
        <v>53</v>
      </c>
    </row>
    <row r="496" spans="1:8" x14ac:dyDescent="0.25">
      <c r="A496" s="212">
        <v>41988</v>
      </c>
      <c r="B496" s="160" t="s">
        <v>1209</v>
      </c>
      <c r="C496" t="s">
        <v>1210</v>
      </c>
      <c r="D496" t="s">
        <v>27</v>
      </c>
      <c r="E496" s="161">
        <v>10</v>
      </c>
      <c r="F496" s="161">
        <v>42.79</v>
      </c>
      <c r="G496" s="162">
        <v>427.9</v>
      </c>
      <c r="H496" s="67">
        <v>53</v>
      </c>
    </row>
    <row r="497" spans="1:8" x14ac:dyDescent="0.25">
      <c r="A497" s="212">
        <v>41988</v>
      </c>
      <c r="B497" s="160" t="s">
        <v>631</v>
      </c>
      <c r="C497" t="s">
        <v>632</v>
      </c>
      <c r="D497" t="s">
        <v>27</v>
      </c>
      <c r="E497" s="161">
        <v>5</v>
      </c>
      <c r="F497" s="161">
        <v>80</v>
      </c>
      <c r="G497" s="162">
        <v>400</v>
      </c>
      <c r="H497" s="67">
        <v>53</v>
      </c>
    </row>
    <row r="498" spans="1:8" x14ac:dyDescent="0.25">
      <c r="A498" s="212">
        <v>41988</v>
      </c>
      <c r="B498" s="160" t="s">
        <v>631</v>
      </c>
      <c r="C498" t="s">
        <v>632</v>
      </c>
      <c r="D498" t="s">
        <v>27</v>
      </c>
      <c r="E498" s="161">
        <v>5</v>
      </c>
      <c r="F498" s="161">
        <v>80</v>
      </c>
      <c r="G498" s="162">
        <v>400</v>
      </c>
      <c r="H498" s="67">
        <v>53</v>
      </c>
    </row>
    <row r="499" spans="1:8" x14ac:dyDescent="0.25">
      <c r="A499" s="212">
        <v>41988</v>
      </c>
      <c r="B499" s="160" t="s">
        <v>631</v>
      </c>
      <c r="C499" t="s">
        <v>632</v>
      </c>
      <c r="D499" t="s">
        <v>27</v>
      </c>
      <c r="E499" s="161">
        <v>6</v>
      </c>
      <c r="F499" s="161">
        <v>80</v>
      </c>
      <c r="G499" s="162">
        <v>480</v>
      </c>
      <c r="H499" s="67">
        <v>53</v>
      </c>
    </row>
    <row r="500" spans="1:8" x14ac:dyDescent="0.25">
      <c r="A500" s="212">
        <v>41988</v>
      </c>
      <c r="B500" s="160" t="s">
        <v>1212</v>
      </c>
      <c r="C500" t="s">
        <v>7</v>
      </c>
      <c r="D500" t="s">
        <v>27</v>
      </c>
      <c r="E500" s="161">
        <v>5</v>
      </c>
      <c r="F500" s="161">
        <v>42.72</v>
      </c>
      <c r="G500" s="162">
        <v>213.6</v>
      </c>
      <c r="H500" s="67">
        <v>53</v>
      </c>
    </row>
    <row r="501" spans="1:8" x14ac:dyDescent="0.25">
      <c r="A501" s="212">
        <v>41988</v>
      </c>
      <c r="B501" s="160" t="s">
        <v>619</v>
      </c>
      <c r="C501" t="s">
        <v>620</v>
      </c>
      <c r="D501" t="s">
        <v>27</v>
      </c>
      <c r="E501" s="161">
        <v>10</v>
      </c>
      <c r="F501" s="161">
        <v>80</v>
      </c>
      <c r="G501" s="162">
        <v>800</v>
      </c>
      <c r="H501" s="67">
        <v>53</v>
      </c>
    </row>
    <row r="502" spans="1:8" x14ac:dyDescent="0.25">
      <c r="A502" s="212">
        <v>41988</v>
      </c>
      <c r="B502" s="160" t="s">
        <v>1109</v>
      </c>
      <c r="C502" t="s">
        <v>7</v>
      </c>
      <c r="D502" t="s">
        <v>27</v>
      </c>
      <c r="E502" s="161">
        <v>6</v>
      </c>
      <c r="F502" s="161">
        <v>42.72</v>
      </c>
      <c r="G502" s="162">
        <v>256.32</v>
      </c>
      <c r="H502" s="67">
        <v>53</v>
      </c>
    </row>
    <row r="503" spans="1:8" x14ac:dyDescent="0.25">
      <c r="A503" s="212">
        <v>41988</v>
      </c>
      <c r="B503" s="160" t="s">
        <v>623</v>
      </c>
      <c r="C503" t="s">
        <v>7</v>
      </c>
      <c r="D503" t="s">
        <v>527</v>
      </c>
      <c r="E503" s="161">
        <v>10.5</v>
      </c>
      <c r="F503" s="161">
        <v>49.7</v>
      </c>
      <c r="G503" s="162">
        <v>521.85</v>
      </c>
      <c r="H503" s="67">
        <v>53</v>
      </c>
    </row>
    <row r="504" spans="1:8" x14ac:dyDescent="0.25">
      <c r="A504" s="212">
        <v>41988</v>
      </c>
      <c r="B504" s="160" t="s">
        <v>623</v>
      </c>
      <c r="C504" t="s">
        <v>7</v>
      </c>
      <c r="D504" t="s">
        <v>27</v>
      </c>
      <c r="E504" s="161">
        <v>10.5</v>
      </c>
      <c r="F504" s="161">
        <v>46.85</v>
      </c>
      <c r="G504" s="162">
        <v>491.92500000000001</v>
      </c>
      <c r="H504" s="67">
        <v>53</v>
      </c>
    </row>
    <row r="505" spans="1:8" x14ac:dyDescent="0.25">
      <c r="A505" s="212">
        <v>42009</v>
      </c>
      <c r="B505" s="160" t="s">
        <v>1109</v>
      </c>
      <c r="C505" t="s">
        <v>7</v>
      </c>
      <c r="D505" t="s">
        <v>27</v>
      </c>
      <c r="E505" s="161">
        <v>12</v>
      </c>
      <c r="F505" s="161">
        <v>42.72</v>
      </c>
      <c r="G505" s="162">
        <v>512.64</v>
      </c>
      <c r="H505" s="67">
        <v>53</v>
      </c>
    </row>
    <row r="506" spans="1:8" x14ac:dyDescent="0.25">
      <c r="A506" s="212">
        <v>42009</v>
      </c>
      <c r="B506" s="160" t="s">
        <v>1211</v>
      </c>
      <c r="C506" t="s">
        <v>1233</v>
      </c>
      <c r="D506" t="s">
        <v>27</v>
      </c>
      <c r="E506" s="161">
        <v>11</v>
      </c>
      <c r="F506" s="161">
        <v>54.58</v>
      </c>
      <c r="G506" s="162">
        <v>600.38</v>
      </c>
      <c r="H506" s="67">
        <v>53</v>
      </c>
    </row>
    <row r="507" spans="1:8" x14ac:dyDescent="0.25">
      <c r="A507" s="212">
        <v>42009</v>
      </c>
      <c r="B507" s="160" t="s">
        <v>624</v>
      </c>
      <c r="C507" t="s">
        <v>625</v>
      </c>
      <c r="D507" t="s">
        <v>54</v>
      </c>
      <c r="E507" s="161">
        <v>1</v>
      </c>
      <c r="F507" s="161">
        <v>1800</v>
      </c>
      <c r="G507" s="162">
        <v>1800</v>
      </c>
      <c r="H507" s="67">
        <v>53</v>
      </c>
    </row>
    <row r="508" spans="1:8" x14ac:dyDescent="0.25">
      <c r="A508" s="212">
        <v>42009</v>
      </c>
      <c r="B508" s="160" t="s">
        <v>623</v>
      </c>
      <c r="C508" t="s">
        <v>7</v>
      </c>
      <c r="D508" t="s">
        <v>27</v>
      </c>
      <c r="E508" s="161">
        <v>11</v>
      </c>
      <c r="F508" s="161">
        <v>42.6</v>
      </c>
      <c r="G508" s="162">
        <v>468.6</v>
      </c>
      <c r="H508" s="67">
        <v>53</v>
      </c>
    </row>
    <row r="509" spans="1:8" x14ac:dyDescent="0.25">
      <c r="A509" s="212">
        <v>42009</v>
      </c>
      <c r="B509" s="160" t="s">
        <v>1209</v>
      </c>
      <c r="C509" t="s">
        <v>1210</v>
      </c>
      <c r="D509" t="s">
        <v>27</v>
      </c>
      <c r="E509" s="161">
        <v>5</v>
      </c>
      <c r="F509" s="161">
        <v>42.79</v>
      </c>
      <c r="G509" s="162">
        <v>213.95</v>
      </c>
      <c r="H509" s="67">
        <v>53</v>
      </c>
    </row>
    <row r="510" spans="1:8" x14ac:dyDescent="0.25">
      <c r="A510" s="212">
        <v>42009</v>
      </c>
      <c r="B510" s="160" t="s">
        <v>1212</v>
      </c>
      <c r="C510" t="s">
        <v>7</v>
      </c>
      <c r="D510" t="s">
        <v>27</v>
      </c>
      <c r="E510" s="161">
        <v>8</v>
      </c>
      <c r="F510" s="161">
        <v>42.72</v>
      </c>
      <c r="G510" s="162">
        <v>341.76</v>
      </c>
      <c r="H510" s="67">
        <v>53</v>
      </c>
    </row>
    <row r="511" spans="1:8" x14ac:dyDescent="0.25">
      <c r="A511" s="212">
        <v>42009</v>
      </c>
      <c r="B511" s="160" t="s">
        <v>285</v>
      </c>
      <c r="C511" t="s">
        <v>621</v>
      </c>
      <c r="D511" t="s">
        <v>27</v>
      </c>
      <c r="E511" s="161">
        <v>8</v>
      </c>
      <c r="F511" s="161">
        <v>90</v>
      </c>
      <c r="G511" s="162">
        <v>720</v>
      </c>
      <c r="H511" s="67">
        <v>53</v>
      </c>
    </row>
    <row r="512" spans="1:8" x14ac:dyDescent="0.25">
      <c r="A512" s="212">
        <v>42009</v>
      </c>
      <c r="B512" s="160" t="s">
        <v>619</v>
      </c>
      <c r="C512" t="s">
        <v>620</v>
      </c>
      <c r="D512" t="s">
        <v>27</v>
      </c>
      <c r="E512" s="161">
        <v>11</v>
      </c>
      <c r="F512" s="161">
        <v>80</v>
      </c>
      <c r="G512" s="162">
        <v>880</v>
      </c>
      <c r="H512" s="67">
        <v>53</v>
      </c>
    </row>
    <row r="513" spans="1:8" x14ac:dyDescent="0.25">
      <c r="A513" s="212">
        <v>42009</v>
      </c>
      <c r="B513" s="160" t="s">
        <v>623</v>
      </c>
      <c r="C513" t="s">
        <v>7</v>
      </c>
      <c r="D513" t="s">
        <v>27</v>
      </c>
      <c r="E513" s="161">
        <v>5.5</v>
      </c>
      <c r="F513" s="161">
        <v>46.85</v>
      </c>
      <c r="G513" s="162">
        <v>257.67500000000001</v>
      </c>
      <c r="H513" s="67">
        <v>53</v>
      </c>
    </row>
    <row r="514" spans="1:8" x14ac:dyDescent="0.25">
      <c r="A514" s="212">
        <v>42009</v>
      </c>
      <c r="B514" s="160" t="s">
        <v>623</v>
      </c>
      <c r="C514" t="s">
        <v>7</v>
      </c>
      <c r="D514" t="s">
        <v>527</v>
      </c>
      <c r="E514" s="161">
        <v>11</v>
      </c>
      <c r="F514" s="161">
        <v>49.7</v>
      </c>
      <c r="G514" s="162">
        <v>546.70000000000005</v>
      </c>
      <c r="H514" s="67">
        <v>53</v>
      </c>
    </row>
    <row r="515" spans="1:8" x14ac:dyDescent="0.25">
      <c r="A515" s="212">
        <v>42010</v>
      </c>
      <c r="B515" s="160" t="s">
        <v>623</v>
      </c>
      <c r="C515" t="s">
        <v>7</v>
      </c>
      <c r="D515" t="s">
        <v>27</v>
      </c>
      <c r="E515" s="161">
        <v>8.5</v>
      </c>
      <c r="F515" s="161">
        <v>42.6</v>
      </c>
      <c r="G515" s="162">
        <v>362.1</v>
      </c>
      <c r="H515" s="67">
        <v>53</v>
      </c>
    </row>
    <row r="516" spans="1:8" x14ac:dyDescent="0.25">
      <c r="A516" s="212">
        <v>42010</v>
      </c>
      <c r="B516" s="160" t="s">
        <v>623</v>
      </c>
      <c r="C516" t="s">
        <v>7</v>
      </c>
      <c r="D516" t="s">
        <v>527</v>
      </c>
      <c r="E516" s="161">
        <v>4.5</v>
      </c>
      <c r="F516" s="161">
        <v>49.7</v>
      </c>
      <c r="G516" s="162">
        <v>223.65</v>
      </c>
      <c r="H516" s="67">
        <v>53</v>
      </c>
    </row>
    <row r="517" spans="1:8" x14ac:dyDescent="0.25">
      <c r="A517" s="212">
        <v>42010</v>
      </c>
      <c r="B517" s="160" t="s">
        <v>1209</v>
      </c>
      <c r="C517" t="s">
        <v>1210</v>
      </c>
      <c r="D517" t="s">
        <v>27</v>
      </c>
      <c r="E517" s="161">
        <v>5</v>
      </c>
      <c r="F517" s="161">
        <v>42.79</v>
      </c>
      <c r="G517" s="162">
        <v>213.95</v>
      </c>
      <c r="H517" s="67">
        <v>53</v>
      </c>
    </row>
    <row r="518" spans="1:8" x14ac:dyDescent="0.25">
      <c r="A518" s="212">
        <v>42010</v>
      </c>
      <c r="B518" s="160" t="s">
        <v>1109</v>
      </c>
      <c r="C518" t="s">
        <v>7</v>
      </c>
      <c r="D518" t="s">
        <v>27</v>
      </c>
      <c r="E518" s="161">
        <v>5</v>
      </c>
      <c r="F518" s="161">
        <v>42.72</v>
      </c>
      <c r="G518" s="162">
        <v>213.6</v>
      </c>
      <c r="H518" s="67">
        <v>53</v>
      </c>
    </row>
    <row r="519" spans="1:8" x14ac:dyDescent="0.25">
      <c r="A519" s="212">
        <v>42010</v>
      </c>
      <c r="B519" s="160" t="s">
        <v>1211</v>
      </c>
      <c r="C519" t="s">
        <v>1233</v>
      </c>
      <c r="D519" t="s">
        <v>27</v>
      </c>
      <c r="E519" s="161">
        <v>5</v>
      </c>
      <c r="F519" s="161">
        <v>54.58</v>
      </c>
      <c r="G519" s="162">
        <v>272.89999999999998</v>
      </c>
      <c r="H519" s="67">
        <v>53</v>
      </c>
    </row>
    <row r="520" spans="1:8" x14ac:dyDescent="0.25">
      <c r="A520" s="212">
        <v>42010</v>
      </c>
      <c r="B520" s="160" t="s">
        <v>624</v>
      </c>
      <c r="C520" t="s">
        <v>625</v>
      </c>
      <c r="D520" t="s">
        <v>54</v>
      </c>
      <c r="E520" s="161">
        <v>1</v>
      </c>
      <c r="F520" s="161">
        <v>1800</v>
      </c>
      <c r="G520" s="162">
        <v>1800</v>
      </c>
      <c r="H520" s="67">
        <v>53</v>
      </c>
    </row>
    <row r="521" spans="1:8" x14ac:dyDescent="0.25">
      <c r="A521" s="212">
        <v>42010</v>
      </c>
      <c r="B521" s="160" t="s">
        <v>285</v>
      </c>
      <c r="C521" t="s">
        <v>621</v>
      </c>
      <c r="D521" t="s">
        <v>27</v>
      </c>
      <c r="E521" s="161">
        <v>2.5</v>
      </c>
      <c r="F521" s="161">
        <v>90</v>
      </c>
      <c r="G521" s="162">
        <v>225</v>
      </c>
      <c r="H521" s="67">
        <v>53</v>
      </c>
    </row>
    <row r="522" spans="1:8" x14ac:dyDescent="0.25">
      <c r="A522" s="212">
        <v>42010</v>
      </c>
      <c r="B522" s="160" t="s">
        <v>619</v>
      </c>
      <c r="C522" t="s">
        <v>620</v>
      </c>
      <c r="D522" t="s">
        <v>27</v>
      </c>
      <c r="E522" s="161">
        <v>4.5</v>
      </c>
      <c r="F522" s="161">
        <v>80</v>
      </c>
      <c r="G522" s="162">
        <v>360</v>
      </c>
      <c r="H522" s="67">
        <v>53</v>
      </c>
    </row>
    <row r="523" spans="1:8" x14ac:dyDescent="0.25">
      <c r="A523" s="212">
        <v>42010</v>
      </c>
      <c r="B523" s="160" t="s">
        <v>623</v>
      </c>
      <c r="C523" t="s">
        <v>7</v>
      </c>
      <c r="D523" t="s">
        <v>27</v>
      </c>
      <c r="E523" s="161">
        <v>4</v>
      </c>
      <c r="F523" s="161">
        <v>46.85</v>
      </c>
      <c r="G523" s="162">
        <v>187.4</v>
      </c>
      <c r="H523" s="67">
        <v>53</v>
      </c>
    </row>
    <row r="524" spans="1:8" x14ac:dyDescent="0.25">
      <c r="A524" s="212">
        <v>42010</v>
      </c>
      <c r="B524" s="160" t="s">
        <v>634</v>
      </c>
      <c r="C524" t="s">
        <v>635</v>
      </c>
      <c r="D524" t="s">
        <v>27</v>
      </c>
      <c r="E524" s="161">
        <v>1.5</v>
      </c>
      <c r="F524" s="161">
        <v>92.5</v>
      </c>
      <c r="G524" s="162">
        <v>138.75</v>
      </c>
      <c r="H524" s="67">
        <v>53</v>
      </c>
    </row>
    <row r="525" spans="1:8" x14ac:dyDescent="0.25">
      <c r="A525" s="212">
        <v>42011</v>
      </c>
      <c r="B525" s="160" t="s">
        <v>623</v>
      </c>
      <c r="C525" t="s">
        <v>7</v>
      </c>
      <c r="D525" t="s">
        <v>27</v>
      </c>
      <c r="E525" s="161">
        <v>10.5</v>
      </c>
      <c r="F525" s="161">
        <v>42.6</v>
      </c>
      <c r="G525" s="162">
        <v>447.3</v>
      </c>
      <c r="H525" s="67">
        <v>53</v>
      </c>
    </row>
    <row r="526" spans="1:8" x14ac:dyDescent="0.25">
      <c r="A526" s="212">
        <v>42011</v>
      </c>
      <c r="B526" s="160" t="s">
        <v>623</v>
      </c>
      <c r="C526" t="s">
        <v>7</v>
      </c>
      <c r="D526" t="s">
        <v>527</v>
      </c>
      <c r="E526" s="161">
        <v>10.5</v>
      </c>
      <c r="F526" s="161">
        <v>49.7</v>
      </c>
      <c r="G526" s="162">
        <v>521.85</v>
      </c>
      <c r="H526" s="67">
        <v>53</v>
      </c>
    </row>
    <row r="527" spans="1:8" x14ac:dyDescent="0.25">
      <c r="A527" s="212">
        <v>42011</v>
      </c>
      <c r="B527" s="160" t="s">
        <v>285</v>
      </c>
      <c r="C527" t="s">
        <v>621</v>
      </c>
      <c r="D527" t="s">
        <v>27</v>
      </c>
      <c r="E527" s="161">
        <v>5</v>
      </c>
      <c r="F527" s="161">
        <v>90</v>
      </c>
      <c r="G527" s="162">
        <v>450</v>
      </c>
      <c r="H527" s="67">
        <v>53</v>
      </c>
    </row>
    <row r="528" spans="1:8" x14ac:dyDescent="0.25">
      <c r="A528" s="212">
        <v>42011</v>
      </c>
      <c r="B528" s="160" t="s">
        <v>619</v>
      </c>
      <c r="C528" t="s">
        <v>620</v>
      </c>
      <c r="D528" t="s">
        <v>27</v>
      </c>
      <c r="E528" s="161">
        <v>10</v>
      </c>
      <c r="F528" s="161">
        <v>80</v>
      </c>
      <c r="G528" s="162">
        <v>800</v>
      </c>
      <c r="H528" s="67">
        <v>53</v>
      </c>
    </row>
    <row r="529" spans="1:8" x14ac:dyDescent="0.25">
      <c r="A529" s="212">
        <v>42011</v>
      </c>
      <c r="B529" s="160" t="s">
        <v>623</v>
      </c>
      <c r="C529" t="s">
        <v>7</v>
      </c>
      <c r="D529" t="s">
        <v>27</v>
      </c>
      <c r="E529" s="161">
        <v>10.5</v>
      </c>
      <c r="F529" s="161">
        <v>46.85</v>
      </c>
      <c r="G529" s="162">
        <v>491.92500000000001</v>
      </c>
      <c r="H529" s="67">
        <v>53</v>
      </c>
    </row>
    <row r="530" spans="1:8" x14ac:dyDescent="0.25">
      <c r="A530" s="212">
        <v>42011</v>
      </c>
      <c r="B530" s="160" t="s">
        <v>624</v>
      </c>
      <c r="C530" t="s">
        <v>625</v>
      </c>
      <c r="D530" t="s">
        <v>54</v>
      </c>
      <c r="E530" s="161">
        <v>1</v>
      </c>
      <c r="F530" s="161">
        <v>1800</v>
      </c>
      <c r="G530" s="162">
        <v>1800</v>
      </c>
      <c r="H530" s="67">
        <v>53</v>
      </c>
    </row>
    <row r="531" spans="1:8" x14ac:dyDescent="0.25">
      <c r="A531" s="212">
        <v>42011</v>
      </c>
      <c r="B531" s="160" t="s">
        <v>1211</v>
      </c>
      <c r="C531" t="s">
        <v>1233</v>
      </c>
      <c r="D531" t="s">
        <v>27</v>
      </c>
      <c r="E531" s="161">
        <v>10.5</v>
      </c>
      <c r="F531" s="161">
        <v>54.58</v>
      </c>
      <c r="G531" s="162">
        <v>573.09</v>
      </c>
      <c r="H531" s="67">
        <v>53</v>
      </c>
    </row>
    <row r="532" spans="1:8" x14ac:dyDescent="0.25">
      <c r="A532" s="212">
        <v>42011</v>
      </c>
      <c r="B532" s="160" t="s">
        <v>1109</v>
      </c>
      <c r="C532" t="s">
        <v>7</v>
      </c>
      <c r="D532" t="s">
        <v>27</v>
      </c>
      <c r="E532" s="161">
        <v>6</v>
      </c>
      <c r="F532" s="161">
        <v>42.72</v>
      </c>
      <c r="G532" s="162">
        <v>256.32</v>
      </c>
      <c r="H532" s="67">
        <v>53</v>
      </c>
    </row>
    <row r="533" spans="1:8" x14ac:dyDescent="0.25">
      <c r="A533" s="212">
        <v>42011</v>
      </c>
      <c r="B533" s="160" t="s">
        <v>1209</v>
      </c>
      <c r="C533" t="s">
        <v>1210</v>
      </c>
      <c r="D533" t="s">
        <v>27</v>
      </c>
      <c r="E533" s="161">
        <v>10</v>
      </c>
      <c r="F533" s="161">
        <v>42.79</v>
      </c>
      <c r="G533" s="162">
        <v>427.9</v>
      </c>
      <c r="H533" s="67">
        <v>53</v>
      </c>
    </row>
    <row r="534" spans="1:8" x14ac:dyDescent="0.25">
      <c r="A534" s="212">
        <v>42011</v>
      </c>
      <c r="B534" s="160" t="s">
        <v>631</v>
      </c>
      <c r="C534" t="s">
        <v>632</v>
      </c>
      <c r="D534" t="s">
        <v>27</v>
      </c>
      <c r="E534" s="161">
        <v>8.5</v>
      </c>
      <c r="F534" s="161">
        <v>80</v>
      </c>
      <c r="G534" s="162">
        <v>680</v>
      </c>
      <c r="H534" s="67">
        <v>53</v>
      </c>
    </row>
    <row r="535" spans="1:8" x14ac:dyDescent="0.25">
      <c r="A535" s="212">
        <v>42012</v>
      </c>
      <c r="B535" s="160" t="s">
        <v>654</v>
      </c>
      <c r="C535" t="s">
        <v>655</v>
      </c>
      <c r="D535" t="s">
        <v>27</v>
      </c>
      <c r="E535" s="161">
        <v>4.5</v>
      </c>
      <c r="F535" s="161">
        <v>120</v>
      </c>
      <c r="G535" s="162">
        <v>540</v>
      </c>
      <c r="H535" s="67">
        <v>53</v>
      </c>
    </row>
    <row r="536" spans="1:8" x14ac:dyDescent="0.25">
      <c r="A536" s="212">
        <v>42012</v>
      </c>
      <c r="B536" s="160" t="s">
        <v>623</v>
      </c>
      <c r="C536" t="s">
        <v>7</v>
      </c>
      <c r="D536" t="s">
        <v>27</v>
      </c>
      <c r="E536" s="161">
        <v>4</v>
      </c>
      <c r="F536" s="161">
        <v>46.85</v>
      </c>
      <c r="G536" s="162">
        <v>187.4</v>
      </c>
      <c r="H536" s="67">
        <v>53</v>
      </c>
    </row>
    <row r="537" spans="1:8" x14ac:dyDescent="0.25">
      <c r="A537" s="212">
        <v>42012</v>
      </c>
      <c r="B537" s="160" t="s">
        <v>1218</v>
      </c>
      <c r="C537" t="s">
        <v>1219</v>
      </c>
      <c r="D537" t="s">
        <v>27</v>
      </c>
      <c r="E537" s="161">
        <v>10</v>
      </c>
      <c r="F537" s="161">
        <v>135</v>
      </c>
      <c r="G537" s="162">
        <v>1350</v>
      </c>
      <c r="H537" s="67">
        <v>53</v>
      </c>
    </row>
    <row r="538" spans="1:8" x14ac:dyDescent="0.25">
      <c r="A538" s="212">
        <v>42012</v>
      </c>
      <c r="B538" s="160" t="s">
        <v>285</v>
      </c>
      <c r="C538" t="s">
        <v>621</v>
      </c>
      <c r="D538" t="s">
        <v>27</v>
      </c>
      <c r="E538" s="161">
        <v>4</v>
      </c>
      <c r="F538" s="161">
        <v>90</v>
      </c>
      <c r="G538" s="162">
        <v>360</v>
      </c>
      <c r="H538" s="67">
        <v>53</v>
      </c>
    </row>
    <row r="539" spans="1:8" x14ac:dyDescent="0.25">
      <c r="A539" s="212">
        <v>42012</v>
      </c>
      <c r="B539" s="160" t="s">
        <v>623</v>
      </c>
      <c r="C539" t="s">
        <v>7</v>
      </c>
      <c r="D539" t="s">
        <v>27</v>
      </c>
      <c r="E539" s="161">
        <v>9</v>
      </c>
      <c r="F539" s="161">
        <v>42.6</v>
      </c>
      <c r="G539" s="162">
        <v>383.4</v>
      </c>
      <c r="H539" s="67">
        <v>53</v>
      </c>
    </row>
    <row r="540" spans="1:8" x14ac:dyDescent="0.25">
      <c r="A540" s="212">
        <v>42012</v>
      </c>
      <c r="B540" s="160" t="s">
        <v>624</v>
      </c>
      <c r="C540" t="s">
        <v>625</v>
      </c>
      <c r="D540" t="s">
        <v>54</v>
      </c>
      <c r="E540" s="161">
        <v>1</v>
      </c>
      <c r="F540" s="161">
        <v>1800</v>
      </c>
      <c r="G540" s="162">
        <v>1800</v>
      </c>
      <c r="H540" s="67">
        <v>53</v>
      </c>
    </row>
    <row r="541" spans="1:8" x14ac:dyDescent="0.25">
      <c r="A541" s="212">
        <v>42012</v>
      </c>
      <c r="B541" s="160" t="s">
        <v>653</v>
      </c>
      <c r="C541" t="s">
        <v>656</v>
      </c>
      <c r="D541" t="s">
        <v>27</v>
      </c>
      <c r="E541" s="161">
        <v>3</v>
      </c>
      <c r="F541" s="161">
        <v>120</v>
      </c>
      <c r="G541" s="162">
        <v>360</v>
      </c>
      <c r="H541" s="67">
        <v>53</v>
      </c>
    </row>
    <row r="542" spans="1:8" x14ac:dyDescent="0.25">
      <c r="A542" s="212">
        <v>42012</v>
      </c>
      <c r="B542" s="160" t="s">
        <v>1109</v>
      </c>
      <c r="C542" t="s">
        <v>7</v>
      </c>
      <c r="D542" t="s">
        <v>27</v>
      </c>
      <c r="E542" s="161">
        <v>12</v>
      </c>
      <c r="F542" s="161">
        <v>42.72</v>
      </c>
      <c r="G542" s="162">
        <v>512.64</v>
      </c>
      <c r="H542" s="67">
        <v>53</v>
      </c>
    </row>
    <row r="543" spans="1:8" x14ac:dyDescent="0.25">
      <c r="A543" s="212">
        <v>42012</v>
      </c>
      <c r="B543" s="160" t="s">
        <v>631</v>
      </c>
      <c r="C543" t="s">
        <v>632</v>
      </c>
      <c r="D543" t="s">
        <v>27</v>
      </c>
      <c r="E543" s="161">
        <v>3.5</v>
      </c>
      <c r="F543" s="161">
        <v>80</v>
      </c>
      <c r="G543" s="162">
        <v>280</v>
      </c>
      <c r="H543" s="67">
        <v>53</v>
      </c>
    </row>
    <row r="544" spans="1:8" x14ac:dyDescent="0.25">
      <c r="A544" s="212">
        <v>42012</v>
      </c>
      <c r="B544" s="160" t="s">
        <v>623</v>
      </c>
      <c r="C544" t="s">
        <v>7</v>
      </c>
      <c r="D544" t="s">
        <v>527</v>
      </c>
      <c r="E544" s="161">
        <v>10.5</v>
      </c>
      <c r="F544" s="161">
        <v>49.7</v>
      </c>
      <c r="G544" s="162">
        <v>521.85</v>
      </c>
      <c r="H544" s="67">
        <v>53</v>
      </c>
    </row>
    <row r="545" spans="1:8" x14ac:dyDescent="0.25">
      <c r="A545" s="212">
        <v>42012</v>
      </c>
      <c r="B545" s="160" t="s">
        <v>619</v>
      </c>
      <c r="C545" t="s">
        <v>620</v>
      </c>
      <c r="D545" t="s">
        <v>27</v>
      </c>
      <c r="E545" s="161">
        <v>10.5</v>
      </c>
      <c r="F545" s="161">
        <v>80</v>
      </c>
      <c r="G545" s="162">
        <v>840</v>
      </c>
      <c r="H545" s="67">
        <v>53</v>
      </c>
    </row>
    <row r="546" spans="1:8" x14ac:dyDescent="0.25">
      <c r="A546" s="212">
        <v>42012</v>
      </c>
      <c r="B546" s="160" t="s">
        <v>1209</v>
      </c>
      <c r="C546" t="s">
        <v>1210</v>
      </c>
      <c r="D546" t="s">
        <v>27</v>
      </c>
      <c r="E546" s="161">
        <v>4</v>
      </c>
      <c r="F546" s="161">
        <v>42.79</v>
      </c>
      <c r="G546" s="162">
        <v>171.16</v>
      </c>
      <c r="H546" s="67">
        <v>53</v>
      </c>
    </row>
    <row r="547" spans="1:8" x14ac:dyDescent="0.25">
      <c r="A547" s="212">
        <v>42012</v>
      </c>
      <c r="B547" s="160" t="s">
        <v>1211</v>
      </c>
      <c r="C547" t="s">
        <v>1233</v>
      </c>
      <c r="D547" t="s">
        <v>27</v>
      </c>
      <c r="E547" s="161">
        <v>8.5</v>
      </c>
      <c r="F547" s="161">
        <v>54.58</v>
      </c>
      <c r="G547" s="162">
        <v>463.93</v>
      </c>
      <c r="H547" s="67">
        <v>53</v>
      </c>
    </row>
    <row r="548" spans="1:8" x14ac:dyDescent="0.25">
      <c r="A548" s="212">
        <v>42013</v>
      </c>
      <c r="B548" s="160" t="s">
        <v>631</v>
      </c>
      <c r="C548" t="s">
        <v>632</v>
      </c>
      <c r="D548" t="s">
        <v>27</v>
      </c>
      <c r="E548" s="161">
        <v>3</v>
      </c>
      <c r="F548" s="161">
        <v>80</v>
      </c>
      <c r="G548" s="162">
        <v>240</v>
      </c>
      <c r="H548" s="67">
        <v>53</v>
      </c>
    </row>
    <row r="549" spans="1:8" x14ac:dyDescent="0.25">
      <c r="A549" s="212">
        <v>42013</v>
      </c>
      <c r="B549" s="160" t="s">
        <v>1109</v>
      </c>
      <c r="C549" t="s">
        <v>7</v>
      </c>
      <c r="D549" t="s">
        <v>27</v>
      </c>
      <c r="E549" s="161">
        <v>4</v>
      </c>
      <c r="F549" s="161">
        <v>42.72</v>
      </c>
      <c r="G549" s="162">
        <v>170.88</v>
      </c>
      <c r="H549" s="67">
        <v>53</v>
      </c>
    </row>
    <row r="550" spans="1:8" x14ac:dyDescent="0.25">
      <c r="A550" s="212">
        <v>42013</v>
      </c>
      <c r="B550" s="160" t="s">
        <v>619</v>
      </c>
      <c r="C550" t="s">
        <v>620</v>
      </c>
      <c r="D550" t="s">
        <v>27</v>
      </c>
      <c r="E550" s="161">
        <v>9</v>
      </c>
      <c r="F550" s="161">
        <v>80</v>
      </c>
      <c r="G550" s="162">
        <v>720</v>
      </c>
      <c r="H550" s="67">
        <v>53</v>
      </c>
    </row>
    <row r="551" spans="1:8" x14ac:dyDescent="0.25">
      <c r="A551" s="212">
        <v>42013</v>
      </c>
      <c r="B551" s="160" t="s">
        <v>285</v>
      </c>
      <c r="C551" t="s">
        <v>621</v>
      </c>
      <c r="D551" t="s">
        <v>27</v>
      </c>
      <c r="E551" s="161">
        <v>5</v>
      </c>
      <c r="F551" s="161">
        <v>90</v>
      </c>
      <c r="G551" s="162">
        <v>450</v>
      </c>
      <c r="H551" s="67">
        <v>53</v>
      </c>
    </row>
    <row r="552" spans="1:8" x14ac:dyDescent="0.25">
      <c r="A552" s="212">
        <v>42013</v>
      </c>
      <c r="B552" s="160" t="s">
        <v>623</v>
      </c>
      <c r="C552" t="s">
        <v>7</v>
      </c>
      <c r="D552" t="s">
        <v>527</v>
      </c>
      <c r="E552" s="161">
        <v>10</v>
      </c>
      <c r="F552" s="161">
        <v>49.7</v>
      </c>
      <c r="G552" s="162">
        <v>497</v>
      </c>
      <c r="H552" s="67">
        <v>53</v>
      </c>
    </row>
    <row r="553" spans="1:8" x14ac:dyDescent="0.25">
      <c r="A553" s="212">
        <v>42014</v>
      </c>
      <c r="B553" s="160" t="s">
        <v>619</v>
      </c>
      <c r="C553" t="s">
        <v>620</v>
      </c>
      <c r="D553" t="s">
        <v>27</v>
      </c>
      <c r="E553" s="161">
        <v>3.5</v>
      </c>
      <c r="F553" s="161">
        <v>80</v>
      </c>
      <c r="G553" s="162">
        <v>280</v>
      </c>
      <c r="H553" s="67">
        <v>53</v>
      </c>
    </row>
    <row r="554" spans="1:8" x14ac:dyDescent="0.25">
      <c r="A554" s="212">
        <v>42014</v>
      </c>
      <c r="B554" s="160" t="s">
        <v>623</v>
      </c>
      <c r="C554" t="s">
        <v>7</v>
      </c>
      <c r="D554" t="s">
        <v>527</v>
      </c>
      <c r="E554" s="161">
        <v>4.5</v>
      </c>
      <c r="F554" s="161">
        <v>49.7</v>
      </c>
      <c r="G554" s="162">
        <v>223.65</v>
      </c>
      <c r="H554" s="67">
        <v>53</v>
      </c>
    </row>
    <row r="555" spans="1:8" x14ac:dyDescent="0.25">
      <c r="A555" s="212">
        <v>42014</v>
      </c>
      <c r="B555" s="160" t="s">
        <v>285</v>
      </c>
      <c r="C555" t="s">
        <v>621</v>
      </c>
      <c r="D555" t="s">
        <v>27</v>
      </c>
      <c r="E555" s="161">
        <v>2.5</v>
      </c>
      <c r="F555" s="161">
        <v>90</v>
      </c>
      <c r="G555" s="162">
        <v>225</v>
      </c>
      <c r="H555" s="67">
        <v>53</v>
      </c>
    </row>
    <row r="556" spans="1:8" x14ac:dyDescent="0.25">
      <c r="A556" s="212">
        <v>42014</v>
      </c>
      <c r="B556" s="160" t="s">
        <v>1109</v>
      </c>
      <c r="C556" t="s">
        <v>7</v>
      </c>
      <c r="D556" t="s">
        <v>27</v>
      </c>
      <c r="E556" s="161">
        <v>5</v>
      </c>
      <c r="F556" s="161">
        <v>42.72</v>
      </c>
      <c r="G556" s="162">
        <v>213.6</v>
      </c>
      <c r="H556" s="67">
        <v>53</v>
      </c>
    </row>
    <row r="557" spans="1:8" x14ac:dyDescent="0.25">
      <c r="A557" s="212">
        <v>42014</v>
      </c>
      <c r="B557" s="160" t="s">
        <v>1211</v>
      </c>
      <c r="C557" t="s">
        <v>1233</v>
      </c>
      <c r="D557" t="s">
        <v>27</v>
      </c>
      <c r="E557" s="161">
        <v>3.5</v>
      </c>
      <c r="F557" s="161">
        <v>54.58</v>
      </c>
      <c r="G557" s="162">
        <v>191.03</v>
      </c>
      <c r="H557" s="67">
        <v>53</v>
      </c>
    </row>
    <row r="558" spans="1:8" x14ac:dyDescent="0.25">
      <c r="A558" s="212">
        <v>42014</v>
      </c>
      <c r="B558" s="160" t="s">
        <v>1209</v>
      </c>
      <c r="C558" t="s">
        <v>1210</v>
      </c>
      <c r="D558" t="s">
        <v>27</v>
      </c>
      <c r="E558" s="161">
        <v>3.5</v>
      </c>
      <c r="F558" s="161">
        <v>42.79</v>
      </c>
      <c r="G558" s="162">
        <v>149.76499999999999</v>
      </c>
      <c r="H558" s="67">
        <v>53</v>
      </c>
    </row>
    <row r="559" spans="1:8" x14ac:dyDescent="0.25">
      <c r="A559" s="212">
        <v>42016</v>
      </c>
      <c r="B559" s="160" t="s">
        <v>634</v>
      </c>
      <c r="C559" t="s">
        <v>635</v>
      </c>
      <c r="D559" t="s">
        <v>27</v>
      </c>
      <c r="E559" s="161">
        <v>3</v>
      </c>
      <c r="F559" s="161">
        <v>92.5</v>
      </c>
      <c r="G559" s="162">
        <v>277.5</v>
      </c>
      <c r="H559" s="67">
        <v>53</v>
      </c>
    </row>
    <row r="560" spans="1:8" x14ac:dyDescent="0.25">
      <c r="A560" s="212">
        <v>42016</v>
      </c>
      <c r="B560" s="160" t="s">
        <v>285</v>
      </c>
      <c r="C560" t="s">
        <v>621</v>
      </c>
      <c r="D560" t="s">
        <v>27</v>
      </c>
      <c r="E560" s="161">
        <v>7</v>
      </c>
      <c r="F560" s="161">
        <v>90</v>
      </c>
      <c r="G560" s="162">
        <v>630</v>
      </c>
      <c r="H560" s="67">
        <v>53</v>
      </c>
    </row>
    <row r="561" spans="1:8" x14ac:dyDescent="0.25">
      <c r="A561" s="212">
        <v>42016</v>
      </c>
      <c r="B561" s="160" t="s">
        <v>619</v>
      </c>
      <c r="C561" t="s">
        <v>620</v>
      </c>
      <c r="D561" t="s">
        <v>27</v>
      </c>
      <c r="E561" s="161">
        <v>7</v>
      </c>
      <c r="F561" s="161">
        <v>80</v>
      </c>
      <c r="G561" s="162">
        <v>560</v>
      </c>
      <c r="H561" s="67">
        <v>53</v>
      </c>
    </row>
    <row r="562" spans="1:8" x14ac:dyDescent="0.25">
      <c r="A562" s="212">
        <v>42016</v>
      </c>
      <c r="B562" s="160" t="s">
        <v>623</v>
      </c>
      <c r="C562" t="s">
        <v>7</v>
      </c>
      <c r="D562" t="s">
        <v>527</v>
      </c>
      <c r="E562" s="161">
        <v>7</v>
      </c>
      <c r="F562" s="161">
        <v>49.7</v>
      </c>
      <c r="G562" s="162">
        <v>347.9</v>
      </c>
      <c r="H562" s="67">
        <v>53</v>
      </c>
    </row>
    <row r="563" spans="1:8" x14ac:dyDescent="0.25">
      <c r="A563" s="212">
        <v>42016</v>
      </c>
      <c r="B563" s="160" t="s">
        <v>624</v>
      </c>
      <c r="C563" t="s">
        <v>625</v>
      </c>
      <c r="D563" t="s">
        <v>54</v>
      </c>
      <c r="E563" s="161">
        <v>1</v>
      </c>
      <c r="F563" s="161">
        <v>1800</v>
      </c>
      <c r="G563" s="162">
        <v>1800</v>
      </c>
      <c r="H563" s="67">
        <v>53</v>
      </c>
    </row>
    <row r="564" spans="1:8" x14ac:dyDescent="0.25">
      <c r="A564" s="212">
        <v>42016</v>
      </c>
      <c r="B564" s="160" t="s">
        <v>623</v>
      </c>
      <c r="C564" t="s">
        <v>7</v>
      </c>
      <c r="D564" t="s">
        <v>527</v>
      </c>
      <c r="E564" s="161">
        <v>5</v>
      </c>
      <c r="F564" s="161">
        <v>49.7</v>
      </c>
      <c r="G564" s="162">
        <v>248.5</v>
      </c>
      <c r="H564" s="67">
        <v>53</v>
      </c>
    </row>
    <row r="565" spans="1:8" x14ac:dyDescent="0.25">
      <c r="A565" s="212">
        <v>42016</v>
      </c>
      <c r="B565" s="160" t="s">
        <v>1109</v>
      </c>
      <c r="C565" t="s">
        <v>7</v>
      </c>
      <c r="D565" t="s">
        <v>27</v>
      </c>
      <c r="E565" s="161">
        <v>6</v>
      </c>
      <c r="F565" s="161">
        <v>42.72</v>
      </c>
      <c r="G565" s="162">
        <v>256.32</v>
      </c>
      <c r="H565" s="67">
        <v>53</v>
      </c>
    </row>
    <row r="566" spans="1:8" x14ac:dyDescent="0.25">
      <c r="A566" s="212">
        <v>42016</v>
      </c>
      <c r="B566" s="160" t="s">
        <v>1211</v>
      </c>
      <c r="C566" t="s">
        <v>1233</v>
      </c>
      <c r="D566" t="s">
        <v>27</v>
      </c>
      <c r="E566" s="161">
        <v>10.5</v>
      </c>
      <c r="F566" s="161">
        <v>54.58</v>
      </c>
      <c r="G566" s="162">
        <v>573.09</v>
      </c>
      <c r="H566" s="67">
        <v>53</v>
      </c>
    </row>
    <row r="567" spans="1:8" x14ac:dyDescent="0.25">
      <c r="A567" s="212">
        <v>42016</v>
      </c>
      <c r="B567" s="160" t="s">
        <v>1212</v>
      </c>
      <c r="C567" t="s">
        <v>7</v>
      </c>
      <c r="D567" t="s">
        <v>27</v>
      </c>
      <c r="E567" s="161">
        <v>5</v>
      </c>
      <c r="F567" s="161">
        <v>42.72</v>
      </c>
      <c r="G567" s="162">
        <v>213.6</v>
      </c>
      <c r="H567" s="67">
        <v>53</v>
      </c>
    </row>
    <row r="568" spans="1:8" x14ac:dyDescent="0.25">
      <c r="A568" s="212">
        <v>42017</v>
      </c>
      <c r="B568" s="160" t="s">
        <v>624</v>
      </c>
      <c r="C568" t="s">
        <v>625</v>
      </c>
      <c r="D568" t="s">
        <v>54</v>
      </c>
      <c r="E568" s="161">
        <v>1</v>
      </c>
      <c r="F568" s="161">
        <v>1800</v>
      </c>
      <c r="G568" s="162">
        <v>1800</v>
      </c>
      <c r="H568" s="67">
        <v>53</v>
      </c>
    </row>
    <row r="569" spans="1:8" x14ac:dyDescent="0.25">
      <c r="A569" s="212">
        <v>42017</v>
      </c>
      <c r="B569" s="160" t="s">
        <v>285</v>
      </c>
      <c r="C569" t="s">
        <v>621</v>
      </c>
      <c r="D569" t="s">
        <v>27</v>
      </c>
      <c r="E569" s="161">
        <v>4</v>
      </c>
      <c r="F569" s="161">
        <v>90</v>
      </c>
      <c r="G569" s="162">
        <v>360</v>
      </c>
      <c r="H569" s="67">
        <v>53</v>
      </c>
    </row>
    <row r="570" spans="1:8" x14ac:dyDescent="0.25">
      <c r="A570" s="212">
        <v>42017</v>
      </c>
      <c r="B570" s="160" t="s">
        <v>623</v>
      </c>
      <c r="C570" t="s">
        <v>7</v>
      </c>
      <c r="D570" t="s">
        <v>527</v>
      </c>
      <c r="E570" s="161">
        <v>10</v>
      </c>
      <c r="F570" s="161">
        <v>49.7</v>
      </c>
      <c r="G570" s="162">
        <v>497</v>
      </c>
      <c r="H570" s="67">
        <v>53</v>
      </c>
    </row>
    <row r="571" spans="1:8" x14ac:dyDescent="0.25">
      <c r="A571" s="212">
        <v>42017</v>
      </c>
      <c r="B571" s="160" t="s">
        <v>623</v>
      </c>
      <c r="C571" t="s">
        <v>7</v>
      </c>
      <c r="D571" t="s">
        <v>27</v>
      </c>
      <c r="E571" s="161">
        <v>5</v>
      </c>
      <c r="F571" s="161">
        <v>46.85</v>
      </c>
      <c r="G571" s="162">
        <v>234.25</v>
      </c>
      <c r="H571" s="67">
        <v>53</v>
      </c>
    </row>
    <row r="572" spans="1:8" x14ac:dyDescent="0.25">
      <c r="A572" s="212">
        <v>42017</v>
      </c>
      <c r="B572" s="160" t="s">
        <v>1109</v>
      </c>
      <c r="C572" t="s">
        <v>7</v>
      </c>
      <c r="D572" t="s">
        <v>27</v>
      </c>
      <c r="E572" s="161">
        <v>11</v>
      </c>
      <c r="F572" s="161">
        <v>42.72</v>
      </c>
      <c r="G572" s="162">
        <v>469.92</v>
      </c>
      <c r="H572" s="67">
        <v>53</v>
      </c>
    </row>
    <row r="573" spans="1:8" x14ac:dyDescent="0.25">
      <c r="A573" s="212">
        <v>42017</v>
      </c>
      <c r="B573" s="160" t="s">
        <v>1212</v>
      </c>
      <c r="C573" t="s">
        <v>7</v>
      </c>
      <c r="D573" t="s">
        <v>27</v>
      </c>
      <c r="E573" s="161">
        <v>5</v>
      </c>
      <c r="F573" s="161">
        <v>42.72</v>
      </c>
      <c r="G573" s="162">
        <v>213.6</v>
      </c>
      <c r="H573" s="67">
        <v>53</v>
      </c>
    </row>
    <row r="574" spans="1:8" x14ac:dyDescent="0.25">
      <c r="A574" s="212">
        <v>42017</v>
      </c>
      <c r="B574" s="160" t="s">
        <v>619</v>
      </c>
      <c r="C574" t="s">
        <v>620</v>
      </c>
      <c r="D574" t="s">
        <v>27</v>
      </c>
      <c r="E574" s="161">
        <v>10</v>
      </c>
      <c r="F574" s="161">
        <v>80</v>
      </c>
      <c r="G574" s="162">
        <v>800</v>
      </c>
      <c r="H574" s="67">
        <v>53</v>
      </c>
    </row>
    <row r="575" spans="1:8" x14ac:dyDescent="0.25">
      <c r="A575" s="212">
        <v>42018</v>
      </c>
      <c r="B575" s="160" t="s">
        <v>619</v>
      </c>
      <c r="C575" t="s">
        <v>620</v>
      </c>
      <c r="D575" t="s">
        <v>27</v>
      </c>
      <c r="E575" s="161">
        <v>6.5</v>
      </c>
      <c r="F575" s="161">
        <v>80</v>
      </c>
      <c r="G575" s="162">
        <v>520</v>
      </c>
      <c r="H575" s="67">
        <v>53</v>
      </c>
    </row>
    <row r="576" spans="1:8" x14ac:dyDescent="0.25">
      <c r="A576" s="212">
        <v>42018</v>
      </c>
      <c r="B576" s="160" t="s">
        <v>1109</v>
      </c>
      <c r="C576" t="s">
        <v>7</v>
      </c>
      <c r="D576" t="s">
        <v>27</v>
      </c>
      <c r="E576" s="161">
        <v>7</v>
      </c>
      <c r="F576" s="161">
        <v>42.72</v>
      </c>
      <c r="G576" s="162">
        <v>299.04000000000002</v>
      </c>
      <c r="H576" s="67">
        <v>53</v>
      </c>
    </row>
    <row r="577" spans="1:8" x14ac:dyDescent="0.25">
      <c r="A577" s="212">
        <v>42018</v>
      </c>
      <c r="B577" s="160" t="s">
        <v>1209</v>
      </c>
      <c r="C577" t="s">
        <v>1210</v>
      </c>
      <c r="D577" t="s">
        <v>27</v>
      </c>
      <c r="E577" s="161">
        <v>5</v>
      </c>
      <c r="F577" s="161">
        <v>42.79</v>
      </c>
      <c r="G577" s="162">
        <v>213.95</v>
      </c>
      <c r="H577" s="67">
        <v>53</v>
      </c>
    </row>
    <row r="578" spans="1:8" x14ac:dyDescent="0.25">
      <c r="A578" s="212">
        <v>42018</v>
      </c>
      <c r="B578" s="160" t="s">
        <v>623</v>
      </c>
      <c r="C578" t="s">
        <v>7</v>
      </c>
      <c r="D578" t="s">
        <v>27</v>
      </c>
      <c r="E578" s="161">
        <v>5</v>
      </c>
      <c r="F578" s="161">
        <v>46.85</v>
      </c>
      <c r="G578" s="162">
        <v>234.25</v>
      </c>
      <c r="H578" s="67">
        <v>53</v>
      </c>
    </row>
    <row r="579" spans="1:8" x14ac:dyDescent="0.25">
      <c r="A579" s="212">
        <v>42018</v>
      </c>
      <c r="B579" s="160" t="s">
        <v>623</v>
      </c>
      <c r="C579" t="s">
        <v>7</v>
      </c>
      <c r="D579" t="s">
        <v>527</v>
      </c>
      <c r="E579" s="161">
        <v>10.5</v>
      </c>
      <c r="F579" s="161">
        <v>49.7</v>
      </c>
      <c r="G579" s="162">
        <v>521.85</v>
      </c>
      <c r="H579" s="67">
        <v>53</v>
      </c>
    </row>
    <row r="580" spans="1:8" x14ac:dyDescent="0.25">
      <c r="A580" s="212">
        <v>42018</v>
      </c>
      <c r="B580" s="160" t="s">
        <v>624</v>
      </c>
      <c r="C580" t="s">
        <v>625</v>
      </c>
      <c r="D580" t="s">
        <v>54</v>
      </c>
      <c r="E580" s="161">
        <v>1</v>
      </c>
      <c r="F580" s="161">
        <v>1800</v>
      </c>
      <c r="G580" s="162">
        <v>1800</v>
      </c>
      <c r="H580" s="67">
        <v>53</v>
      </c>
    </row>
    <row r="581" spans="1:8" x14ac:dyDescent="0.25">
      <c r="A581" s="212">
        <v>42019</v>
      </c>
      <c r="B581" s="160" t="s">
        <v>619</v>
      </c>
      <c r="C581" t="s">
        <v>620</v>
      </c>
      <c r="D581" t="s">
        <v>27</v>
      </c>
      <c r="E581" s="161">
        <v>5</v>
      </c>
      <c r="F581" s="161">
        <v>80</v>
      </c>
      <c r="G581" s="162">
        <v>400</v>
      </c>
      <c r="H581" s="67">
        <v>53</v>
      </c>
    </row>
    <row r="582" spans="1:8" x14ac:dyDescent="0.25">
      <c r="A582" s="212">
        <v>42019</v>
      </c>
      <c r="B582" s="160" t="s">
        <v>634</v>
      </c>
      <c r="C582" t="s">
        <v>635</v>
      </c>
      <c r="D582" t="s">
        <v>27</v>
      </c>
      <c r="E582" s="161">
        <v>2</v>
      </c>
      <c r="F582" s="161">
        <v>92.5</v>
      </c>
      <c r="G582" s="162">
        <v>185</v>
      </c>
      <c r="H582" s="67">
        <v>53</v>
      </c>
    </row>
    <row r="583" spans="1:8" x14ac:dyDescent="0.25">
      <c r="A583" s="212">
        <v>42019</v>
      </c>
      <c r="B583" s="160" t="s">
        <v>624</v>
      </c>
      <c r="C583" t="s">
        <v>625</v>
      </c>
      <c r="D583" t="s">
        <v>54</v>
      </c>
      <c r="E583" s="161">
        <v>1</v>
      </c>
      <c r="F583" s="161">
        <v>1800</v>
      </c>
      <c r="G583" s="162">
        <v>1800</v>
      </c>
      <c r="H583" s="67">
        <v>53</v>
      </c>
    </row>
    <row r="584" spans="1:8" x14ac:dyDescent="0.25">
      <c r="A584" s="212">
        <v>42019</v>
      </c>
      <c r="B584" s="160" t="s">
        <v>1109</v>
      </c>
      <c r="C584" t="s">
        <v>7</v>
      </c>
      <c r="D584" t="s">
        <v>27</v>
      </c>
      <c r="E584" s="161">
        <v>11.5</v>
      </c>
      <c r="F584" s="161">
        <v>42.72</v>
      </c>
      <c r="G584" s="162">
        <v>491.28</v>
      </c>
      <c r="H584" s="67">
        <v>53</v>
      </c>
    </row>
    <row r="585" spans="1:8" x14ac:dyDescent="0.25">
      <c r="A585" s="212">
        <v>42019</v>
      </c>
      <c r="B585" s="160" t="s">
        <v>623</v>
      </c>
      <c r="C585" t="s">
        <v>7</v>
      </c>
      <c r="D585" t="s">
        <v>27</v>
      </c>
      <c r="E585" s="161">
        <v>5</v>
      </c>
      <c r="F585" s="161">
        <v>46.85</v>
      </c>
      <c r="G585" s="162">
        <v>234.25</v>
      </c>
      <c r="H585" s="67">
        <v>53</v>
      </c>
    </row>
    <row r="586" spans="1:8" x14ac:dyDescent="0.25">
      <c r="A586" s="212">
        <v>42019</v>
      </c>
      <c r="B586" s="160" t="s">
        <v>623</v>
      </c>
      <c r="C586" t="s">
        <v>7</v>
      </c>
      <c r="D586" t="s">
        <v>527</v>
      </c>
      <c r="E586" s="161">
        <v>5</v>
      </c>
      <c r="F586" s="161">
        <v>49.7</v>
      </c>
      <c r="G586" s="162">
        <v>248.5</v>
      </c>
      <c r="H586" s="67">
        <v>53</v>
      </c>
    </row>
    <row r="587" spans="1:8" x14ac:dyDescent="0.25">
      <c r="A587" s="212">
        <v>42019</v>
      </c>
      <c r="B587" s="160" t="s">
        <v>1209</v>
      </c>
      <c r="C587" t="s">
        <v>1210</v>
      </c>
      <c r="D587" t="s">
        <v>27</v>
      </c>
      <c r="E587" s="161">
        <v>5</v>
      </c>
      <c r="F587" s="161">
        <v>42.79</v>
      </c>
      <c r="G587" s="162">
        <v>213.95</v>
      </c>
      <c r="H587" s="67">
        <v>53</v>
      </c>
    </row>
    <row r="588" spans="1:8" x14ac:dyDescent="0.25">
      <c r="A588" s="212">
        <v>42019</v>
      </c>
      <c r="B588" s="160" t="s">
        <v>276</v>
      </c>
      <c r="C588" t="s">
        <v>1220</v>
      </c>
      <c r="D588" t="s">
        <v>27</v>
      </c>
      <c r="E588" s="161">
        <v>2</v>
      </c>
      <c r="F588" s="161">
        <v>35</v>
      </c>
      <c r="G588" s="162">
        <v>70</v>
      </c>
      <c r="H588" s="67">
        <v>53</v>
      </c>
    </row>
    <row r="589" spans="1:8" x14ac:dyDescent="0.25">
      <c r="A589" s="212">
        <v>42020</v>
      </c>
      <c r="B589" s="160" t="s">
        <v>1109</v>
      </c>
      <c r="C589" t="s">
        <v>7</v>
      </c>
      <c r="D589" t="s">
        <v>27</v>
      </c>
      <c r="E589" s="161">
        <v>10.5</v>
      </c>
      <c r="F589" s="161">
        <v>42.72</v>
      </c>
      <c r="G589" s="162">
        <v>448.56</v>
      </c>
      <c r="H589" s="67">
        <v>53</v>
      </c>
    </row>
    <row r="590" spans="1:8" x14ac:dyDescent="0.25">
      <c r="A590" s="212">
        <v>42020</v>
      </c>
      <c r="B590" s="160" t="s">
        <v>1212</v>
      </c>
      <c r="C590" t="s">
        <v>7</v>
      </c>
      <c r="D590" t="s">
        <v>27</v>
      </c>
      <c r="E590" s="161">
        <v>5</v>
      </c>
      <c r="F590" s="161">
        <v>42.72</v>
      </c>
      <c r="G590" s="162">
        <v>213.6</v>
      </c>
      <c r="H590" s="67">
        <v>53</v>
      </c>
    </row>
    <row r="591" spans="1:8" x14ac:dyDescent="0.25">
      <c r="A591" s="212">
        <v>42020</v>
      </c>
      <c r="B591" s="160" t="s">
        <v>657</v>
      </c>
      <c r="C591" t="s">
        <v>7</v>
      </c>
      <c r="D591" t="s">
        <v>527</v>
      </c>
      <c r="E591" s="161">
        <v>52</v>
      </c>
      <c r="F591" s="161">
        <v>20</v>
      </c>
      <c r="G591" s="162">
        <v>1040</v>
      </c>
      <c r="H591" s="67">
        <v>53</v>
      </c>
    </row>
    <row r="592" spans="1:8" x14ac:dyDescent="0.25">
      <c r="A592" s="212">
        <v>42020</v>
      </c>
      <c r="B592" s="160" t="s">
        <v>285</v>
      </c>
      <c r="C592" t="s">
        <v>621</v>
      </c>
      <c r="D592" t="s">
        <v>27</v>
      </c>
      <c r="E592" s="161">
        <v>4</v>
      </c>
      <c r="F592" s="161">
        <v>90</v>
      </c>
      <c r="G592" s="162">
        <v>360</v>
      </c>
      <c r="H592" s="67">
        <v>53</v>
      </c>
    </row>
    <row r="593" spans="1:8" x14ac:dyDescent="0.25">
      <c r="A593" s="212">
        <v>42020</v>
      </c>
      <c r="B593" s="160" t="s">
        <v>619</v>
      </c>
      <c r="C593" t="s">
        <v>620</v>
      </c>
      <c r="D593" t="s">
        <v>27</v>
      </c>
      <c r="E593" s="161">
        <v>5</v>
      </c>
      <c r="F593" s="161">
        <v>80</v>
      </c>
      <c r="G593" s="162">
        <v>400</v>
      </c>
      <c r="H593" s="67">
        <v>53</v>
      </c>
    </row>
    <row r="594" spans="1:8" x14ac:dyDescent="0.25">
      <c r="A594" s="212">
        <v>42020</v>
      </c>
      <c r="B594" s="160" t="s">
        <v>658</v>
      </c>
      <c r="C594" t="s">
        <v>7</v>
      </c>
      <c r="D594" t="s">
        <v>27</v>
      </c>
      <c r="E594" s="161">
        <v>15</v>
      </c>
      <c r="F594" s="161">
        <v>20</v>
      </c>
      <c r="G594" s="162">
        <v>300</v>
      </c>
      <c r="H594" s="67">
        <v>53</v>
      </c>
    </row>
    <row r="595" spans="1:8" x14ac:dyDescent="0.25">
      <c r="A595" s="212">
        <v>42020</v>
      </c>
      <c r="B595" s="160" t="s">
        <v>624</v>
      </c>
      <c r="C595" t="s">
        <v>625</v>
      </c>
      <c r="D595" t="s">
        <v>54</v>
      </c>
      <c r="E595" s="161">
        <v>1</v>
      </c>
      <c r="F595" s="161">
        <v>1800</v>
      </c>
      <c r="G595" s="162">
        <v>1800</v>
      </c>
      <c r="H595" s="67">
        <v>53</v>
      </c>
    </row>
    <row r="596" spans="1:8" x14ac:dyDescent="0.25">
      <c r="A596" s="212">
        <v>42020</v>
      </c>
      <c r="B596" s="160" t="s">
        <v>623</v>
      </c>
      <c r="C596" t="s">
        <v>7</v>
      </c>
      <c r="D596" t="s">
        <v>527</v>
      </c>
      <c r="E596" s="161">
        <v>3.5</v>
      </c>
      <c r="F596" s="161">
        <v>49.7</v>
      </c>
      <c r="G596" s="162">
        <v>173.95</v>
      </c>
      <c r="H596" s="67">
        <v>53</v>
      </c>
    </row>
    <row r="597" spans="1:8" x14ac:dyDescent="0.25">
      <c r="A597" s="212">
        <v>42020</v>
      </c>
      <c r="B597" s="160" t="s">
        <v>623</v>
      </c>
      <c r="C597" t="s">
        <v>7</v>
      </c>
      <c r="D597" t="s">
        <v>27</v>
      </c>
      <c r="E597" s="161">
        <v>5</v>
      </c>
      <c r="F597" s="161">
        <v>46.85</v>
      </c>
      <c r="G597" s="162">
        <v>234.25</v>
      </c>
      <c r="H597" s="67">
        <v>53</v>
      </c>
    </row>
    <row r="598" spans="1:8" x14ac:dyDescent="0.25">
      <c r="A598" s="212">
        <v>42020</v>
      </c>
      <c r="B598" s="160" t="s">
        <v>1209</v>
      </c>
      <c r="C598" t="s">
        <v>1210</v>
      </c>
      <c r="D598" t="s">
        <v>27</v>
      </c>
      <c r="E598" s="161">
        <v>5</v>
      </c>
      <c r="F598" s="161">
        <v>42.79</v>
      </c>
      <c r="G598" s="162">
        <v>213.95</v>
      </c>
      <c r="H598" s="67">
        <v>53</v>
      </c>
    </row>
    <row r="599" spans="1:8" x14ac:dyDescent="0.25">
      <c r="A599" s="212">
        <v>42023</v>
      </c>
      <c r="B599" s="160" t="s">
        <v>623</v>
      </c>
      <c r="C599" t="s">
        <v>7</v>
      </c>
      <c r="D599" t="s">
        <v>527</v>
      </c>
      <c r="E599" s="161">
        <v>5</v>
      </c>
      <c r="F599" s="161">
        <v>49.7</v>
      </c>
      <c r="G599" s="162">
        <v>248.5</v>
      </c>
      <c r="H599" s="67">
        <v>53</v>
      </c>
    </row>
    <row r="600" spans="1:8" x14ac:dyDescent="0.25">
      <c r="A600" s="212">
        <v>42023</v>
      </c>
      <c r="B600" s="160" t="s">
        <v>1109</v>
      </c>
      <c r="C600" t="s">
        <v>7</v>
      </c>
      <c r="D600" t="s">
        <v>27</v>
      </c>
      <c r="E600" s="161">
        <v>8</v>
      </c>
      <c r="F600" s="161">
        <v>42.72</v>
      </c>
      <c r="G600" s="162">
        <v>341.76</v>
      </c>
      <c r="H600" s="67">
        <v>53</v>
      </c>
    </row>
    <row r="601" spans="1:8" x14ac:dyDescent="0.25">
      <c r="A601" s="212">
        <v>42023</v>
      </c>
      <c r="B601" s="160" t="s">
        <v>624</v>
      </c>
      <c r="C601" t="s">
        <v>625</v>
      </c>
      <c r="D601" t="s">
        <v>54</v>
      </c>
      <c r="E601" s="161">
        <v>1</v>
      </c>
      <c r="F601" s="161">
        <v>1800</v>
      </c>
      <c r="G601" s="162">
        <v>1800</v>
      </c>
      <c r="H601" s="67">
        <v>53</v>
      </c>
    </row>
    <row r="602" spans="1:8" x14ac:dyDescent="0.25">
      <c r="A602" s="212">
        <v>42023</v>
      </c>
      <c r="B602" s="160" t="s">
        <v>1209</v>
      </c>
      <c r="C602" t="s">
        <v>1210</v>
      </c>
      <c r="D602" t="s">
        <v>27</v>
      </c>
      <c r="E602" s="161">
        <v>9</v>
      </c>
      <c r="F602" s="161">
        <v>42.79</v>
      </c>
      <c r="G602" s="162">
        <v>385.11</v>
      </c>
      <c r="H602" s="67">
        <v>53</v>
      </c>
    </row>
    <row r="603" spans="1:8" x14ac:dyDescent="0.25">
      <c r="A603" s="212">
        <v>42023</v>
      </c>
      <c r="B603" s="160" t="s">
        <v>619</v>
      </c>
      <c r="C603" t="s">
        <v>620</v>
      </c>
      <c r="D603" t="s">
        <v>27</v>
      </c>
      <c r="E603" s="161">
        <v>10</v>
      </c>
      <c r="F603" s="161">
        <v>80</v>
      </c>
      <c r="G603" s="162">
        <v>800</v>
      </c>
      <c r="H603" s="67">
        <v>53</v>
      </c>
    </row>
    <row r="604" spans="1:8" x14ac:dyDescent="0.25">
      <c r="A604" s="212">
        <v>42023</v>
      </c>
      <c r="B604" s="160" t="s">
        <v>1212</v>
      </c>
      <c r="C604" t="s">
        <v>7</v>
      </c>
      <c r="D604" t="s">
        <v>27</v>
      </c>
      <c r="E604" s="161">
        <v>5.5</v>
      </c>
      <c r="F604" s="161">
        <v>42.72</v>
      </c>
      <c r="G604" s="162">
        <v>234.96</v>
      </c>
      <c r="H604" s="67">
        <v>53</v>
      </c>
    </row>
    <row r="605" spans="1:8" x14ac:dyDescent="0.25">
      <c r="A605" s="212">
        <v>42023</v>
      </c>
      <c r="B605" s="160" t="s">
        <v>285</v>
      </c>
      <c r="C605" t="s">
        <v>621</v>
      </c>
      <c r="D605" t="s">
        <v>27</v>
      </c>
      <c r="E605" s="161">
        <v>8</v>
      </c>
      <c r="F605" s="161">
        <v>90</v>
      </c>
      <c r="G605" s="162">
        <v>720</v>
      </c>
      <c r="H605" s="67">
        <v>53</v>
      </c>
    </row>
    <row r="606" spans="1:8" x14ac:dyDescent="0.25">
      <c r="A606" s="212">
        <v>42024</v>
      </c>
      <c r="B606" s="160" t="s">
        <v>623</v>
      </c>
      <c r="C606" t="s">
        <v>7</v>
      </c>
      <c r="D606" t="s">
        <v>527</v>
      </c>
      <c r="E606" s="161">
        <v>10</v>
      </c>
      <c r="F606" s="161">
        <v>49.7</v>
      </c>
      <c r="G606" s="162">
        <v>497</v>
      </c>
      <c r="H606" s="67">
        <v>53</v>
      </c>
    </row>
    <row r="607" spans="1:8" x14ac:dyDescent="0.25">
      <c r="A607" s="212">
        <v>42025</v>
      </c>
      <c r="B607" s="160" t="s">
        <v>624</v>
      </c>
      <c r="C607" t="s">
        <v>625</v>
      </c>
      <c r="D607" t="s">
        <v>54</v>
      </c>
      <c r="E607" s="161">
        <v>1</v>
      </c>
      <c r="F607" s="161">
        <v>1800</v>
      </c>
      <c r="G607" s="162">
        <v>1800</v>
      </c>
      <c r="H607" s="67">
        <v>53</v>
      </c>
    </row>
    <row r="608" spans="1:8" x14ac:dyDescent="0.25">
      <c r="A608" s="212">
        <v>42025</v>
      </c>
      <c r="B608" s="160" t="s">
        <v>285</v>
      </c>
      <c r="C608" t="s">
        <v>621</v>
      </c>
      <c r="D608" t="s">
        <v>27</v>
      </c>
      <c r="E608" s="161">
        <v>2.5</v>
      </c>
      <c r="F608" s="161">
        <v>90</v>
      </c>
      <c r="G608" s="162">
        <v>225</v>
      </c>
      <c r="H608" s="67">
        <v>53</v>
      </c>
    </row>
    <row r="609" spans="1:8" x14ac:dyDescent="0.25">
      <c r="A609" s="212">
        <v>42025</v>
      </c>
      <c r="B609" s="160" t="s">
        <v>619</v>
      </c>
      <c r="C609" t="s">
        <v>620</v>
      </c>
      <c r="D609" t="s">
        <v>27</v>
      </c>
      <c r="E609" s="161">
        <v>5.5</v>
      </c>
      <c r="F609" s="161">
        <v>80</v>
      </c>
      <c r="G609" s="162">
        <v>440</v>
      </c>
      <c r="H609" s="67">
        <v>53</v>
      </c>
    </row>
    <row r="610" spans="1:8" x14ac:dyDescent="0.25">
      <c r="A610" s="212">
        <v>42025</v>
      </c>
      <c r="B610" s="160" t="s">
        <v>1109</v>
      </c>
      <c r="C610" t="s">
        <v>7</v>
      </c>
      <c r="D610" t="s">
        <v>27</v>
      </c>
      <c r="E610" s="161">
        <v>6</v>
      </c>
      <c r="F610" s="161">
        <v>42.72</v>
      </c>
      <c r="G610" s="162">
        <v>256.32</v>
      </c>
      <c r="H610" s="67">
        <v>53</v>
      </c>
    </row>
    <row r="611" spans="1:8" x14ac:dyDescent="0.25">
      <c r="A611" s="212">
        <v>42025</v>
      </c>
      <c r="B611" s="160" t="s">
        <v>623</v>
      </c>
      <c r="C611" t="s">
        <v>7</v>
      </c>
      <c r="D611" t="s">
        <v>527</v>
      </c>
      <c r="E611" s="161">
        <v>5.5</v>
      </c>
      <c r="F611" s="161">
        <v>49.7</v>
      </c>
      <c r="G611" s="162">
        <v>273.35000000000002</v>
      </c>
      <c r="H611" s="67">
        <v>53</v>
      </c>
    </row>
    <row r="612" spans="1:8" x14ac:dyDescent="0.25">
      <c r="A612" s="212">
        <v>42031</v>
      </c>
      <c r="B612" s="160" t="s">
        <v>653</v>
      </c>
      <c r="C612" t="s">
        <v>656</v>
      </c>
      <c r="D612" t="s">
        <v>27</v>
      </c>
      <c r="E612" s="161">
        <v>2.5</v>
      </c>
      <c r="F612" s="161">
        <v>80</v>
      </c>
      <c r="G612" s="162">
        <v>200</v>
      </c>
      <c r="H612" s="67">
        <v>53</v>
      </c>
    </row>
    <row r="613" spans="1:8" x14ac:dyDescent="0.25">
      <c r="A613" s="212">
        <v>42031</v>
      </c>
      <c r="B613" s="160" t="s">
        <v>1212</v>
      </c>
      <c r="C613" t="s">
        <v>7</v>
      </c>
      <c r="D613" t="s">
        <v>27</v>
      </c>
      <c r="E613" s="161">
        <v>4.5</v>
      </c>
      <c r="F613" s="161">
        <v>42.72</v>
      </c>
      <c r="G613" s="162">
        <v>192.24</v>
      </c>
      <c r="H613" s="67">
        <v>53</v>
      </c>
    </row>
    <row r="614" spans="1:8" x14ac:dyDescent="0.25">
      <c r="A614" s="212">
        <v>42031</v>
      </c>
      <c r="B614" s="160" t="s">
        <v>624</v>
      </c>
      <c r="C614" t="s">
        <v>625</v>
      </c>
      <c r="D614" t="s">
        <v>54</v>
      </c>
      <c r="E614" s="161">
        <v>1</v>
      </c>
      <c r="F614" s="161">
        <v>1800</v>
      </c>
      <c r="G614" s="162">
        <v>1800</v>
      </c>
      <c r="H614" s="67">
        <v>53</v>
      </c>
    </row>
    <row r="615" spans="1:8" x14ac:dyDescent="0.25">
      <c r="A615" s="212">
        <v>42031</v>
      </c>
      <c r="B615" s="160" t="s">
        <v>1109</v>
      </c>
      <c r="C615" t="s">
        <v>7</v>
      </c>
      <c r="D615" t="s">
        <v>27</v>
      </c>
      <c r="E615" s="161">
        <v>11.5</v>
      </c>
      <c r="F615" s="161">
        <v>42.72</v>
      </c>
      <c r="G615" s="162">
        <v>491.28</v>
      </c>
      <c r="H615" s="67">
        <v>53</v>
      </c>
    </row>
    <row r="616" spans="1:8" x14ac:dyDescent="0.25">
      <c r="A616" s="212">
        <v>42031</v>
      </c>
      <c r="B616" s="160" t="s">
        <v>1212</v>
      </c>
      <c r="C616" t="s">
        <v>7</v>
      </c>
      <c r="D616" t="s">
        <v>27</v>
      </c>
      <c r="E616" s="161">
        <v>11</v>
      </c>
      <c r="F616" s="161">
        <v>42.72</v>
      </c>
      <c r="G616" s="162">
        <v>469.92</v>
      </c>
      <c r="H616" s="67">
        <v>53</v>
      </c>
    </row>
    <row r="617" spans="1:8" x14ac:dyDescent="0.25">
      <c r="A617" s="212">
        <v>42031</v>
      </c>
      <c r="B617" s="160" t="s">
        <v>1211</v>
      </c>
      <c r="C617" t="s">
        <v>1233</v>
      </c>
      <c r="D617" t="s">
        <v>27</v>
      </c>
      <c r="E617" s="161">
        <v>10.5</v>
      </c>
      <c r="F617" s="161">
        <v>54.58</v>
      </c>
      <c r="G617" s="162">
        <v>573.09</v>
      </c>
      <c r="H617" s="67">
        <v>53</v>
      </c>
    </row>
    <row r="618" spans="1:8" x14ac:dyDescent="0.25">
      <c r="A618" s="212">
        <v>42031</v>
      </c>
      <c r="B618" s="160" t="s">
        <v>1209</v>
      </c>
      <c r="C618" t="s">
        <v>1210</v>
      </c>
      <c r="D618" t="s">
        <v>27</v>
      </c>
      <c r="E618" s="161">
        <v>7</v>
      </c>
      <c r="F618" s="161">
        <v>42.79</v>
      </c>
      <c r="G618" s="162">
        <v>299.52999999999997</v>
      </c>
      <c r="H618" s="67">
        <v>53</v>
      </c>
    </row>
    <row r="619" spans="1:8" x14ac:dyDescent="0.25">
      <c r="A619" s="212">
        <v>42031</v>
      </c>
      <c r="B619" s="160" t="s">
        <v>619</v>
      </c>
      <c r="C619" t="s">
        <v>620</v>
      </c>
      <c r="D619" t="s">
        <v>27</v>
      </c>
      <c r="E619" s="161">
        <v>10.5</v>
      </c>
      <c r="F619" s="161">
        <v>80</v>
      </c>
      <c r="G619" s="162">
        <v>840</v>
      </c>
      <c r="H619" s="67">
        <v>53</v>
      </c>
    </row>
    <row r="620" spans="1:8" x14ac:dyDescent="0.25">
      <c r="A620" s="212">
        <v>42031</v>
      </c>
      <c r="B620" s="160" t="s">
        <v>285</v>
      </c>
      <c r="C620" t="s">
        <v>621</v>
      </c>
      <c r="D620" t="s">
        <v>27</v>
      </c>
      <c r="E620" s="161">
        <v>7.5</v>
      </c>
      <c r="F620" s="161">
        <v>90</v>
      </c>
      <c r="G620" s="162">
        <v>675</v>
      </c>
      <c r="H620" s="67">
        <v>53</v>
      </c>
    </row>
    <row r="621" spans="1:8" x14ac:dyDescent="0.25">
      <c r="A621" s="212">
        <v>42032</v>
      </c>
      <c r="B621" s="160" t="s">
        <v>634</v>
      </c>
      <c r="C621" t="s">
        <v>635</v>
      </c>
      <c r="D621" t="s">
        <v>27</v>
      </c>
      <c r="E621" s="161">
        <v>3.5</v>
      </c>
      <c r="F621" s="161">
        <v>92.5</v>
      </c>
      <c r="G621" s="162">
        <v>323.75</v>
      </c>
      <c r="H621" s="67">
        <v>53</v>
      </c>
    </row>
    <row r="622" spans="1:8" x14ac:dyDescent="0.25">
      <c r="A622" s="212">
        <v>42032</v>
      </c>
      <c r="B622" s="160" t="s">
        <v>653</v>
      </c>
      <c r="C622" t="s">
        <v>656</v>
      </c>
      <c r="D622" t="s">
        <v>27</v>
      </c>
      <c r="E622" s="161">
        <v>2.5</v>
      </c>
      <c r="F622" s="161">
        <v>80</v>
      </c>
      <c r="G622" s="162">
        <v>200</v>
      </c>
      <c r="H622" s="67">
        <v>53</v>
      </c>
    </row>
    <row r="623" spans="1:8" x14ac:dyDescent="0.25">
      <c r="A623" s="212">
        <v>42033</v>
      </c>
      <c r="B623" s="160" t="s">
        <v>285</v>
      </c>
      <c r="C623" t="s">
        <v>621</v>
      </c>
      <c r="D623" t="s">
        <v>27</v>
      </c>
      <c r="E623" s="161">
        <v>3.5</v>
      </c>
      <c r="F623" s="161">
        <v>90</v>
      </c>
      <c r="G623" s="162">
        <v>315</v>
      </c>
      <c r="H623" s="67">
        <v>53</v>
      </c>
    </row>
    <row r="624" spans="1:8" x14ac:dyDescent="0.25">
      <c r="A624" s="212">
        <v>42033</v>
      </c>
      <c r="B624" s="160" t="s">
        <v>634</v>
      </c>
      <c r="C624" t="s">
        <v>635</v>
      </c>
      <c r="D624" t="s">
        <v>27</v>
      </c>
      <c r="E624" s="161">
        <v>5</v>
      </c>
      <c r="F624" s="161">
        <v>92.5</v>
      </c>
      <c r="G624" s="162">
        <v>462.5</v>
      </c>
      <c r="H624" s="67">
        <v>53</v>
      </c>
    </row>
    <row r="625" spans="1:8" x14ac:dyDescent="0.25">
      <c r="A625" s="212">
        <v>42033</v>
      </c>
      <c r="B625" s="160" t="s">
        <v>1212</v>
      </c>
      <c r="C625" t="s">
        <v>7</v>
      </c>
      <c r="D625" t="s">
        <v>27</v>
      </c>
      <c r="E625" s="161">
        <v>5</v>
      </c>
      <c r="F625" s="161">
        <v>42.72</v>
      </c>
      <c r="G625" s="162">
        <v>213.6</v>
      </c>
      <c r="H625" s="67">
        <v>53</v>
      </c>
    </row>
    <row r="626" spans="1:8" x14ac:dyDescent="0.25">
      <c r="A626" s="212">
        <v>42033</v>
      </c>
      <c r="B626" s="160" t="s">
        <v>1109</v>
      </c>
      <c r="C626" t="s">
        <v>7</v>
      </c>
      <c r="D626" t="s">
        <v>27</v>
      </c>
      <c r="E626" s="161">
        <v>6</v>
      </c>
      <c r="F626" s="161">
        <v>42.72</v>
      </c>
      <c r="G626" s="162">
        <v>256.32</v>
      </c>
      <c r="H626" s="67">
        <v>53</v>
      </c>
    </row>
    <row r="627" spans="1:8" x14ac:dyDescent="0.25">
      <c r="A627" s="212">
        <v>42033</v>
      </c>
      <c r="B627" s="160" t="s">
        <v>659</v>
      </c>
      <c r="C627" t="s">
        <v>7</v>
      </c>
      <c r="D627" t="s">
        <v>527</v>
      </c>
      <c r="E627" s="161">
        <v>5</v>
      </c>
      <c r="F627" s="161">
        <v>20</v>
      </c>
      <c r="G627" s="162">
        <v>100</v>
      </c>
      <c r="H627" s="67">
        <v>53</v>
      </c>
    </row>
    <row r="628" spans="1:8" x14ac:dyDescent="0.25">
      <c r="A628" s="212">
        <v>42034</v>
      </c>
      <c r="B628" s="160" t="s">
        <v>1212</v>
      </c>
      <c r="C628" t="s">
        <v>7</v>
      </c>
      <c r="D628" t="s">
        <v>27</v>
      </c>
      <c r="E628" s="161">
        <v>3.5</v>
      </c>
      <c r="F628" s="161">
        <v>42.72</v>
      </c>
      <c r="G628" s="162">
        <v>149.52000000000001</v>
      </c>
      <c r="H628" s="67">
        <v>53</v>
      </c>
    </row>
    <row r="629" spans="1:8" x14ac:dyDescent="0.25">
      <c r="A629" s="212">
        <v>42034</v>
      </c>
      <c r="B629" s="160" t="s">
        <v>1109</v>
      </c>
      <c r="C629" t="s">
        <v>7</v>
      </c>
      <c r="D629" t="s">
        <v>27</v>
      </c>
      <c r="E629" s="161">
        <v>6</v>
      </c>
      <c r="F629" s="161">
        <v>42.72</v>
      </c>
      <c r="G629" s="162">
        <v>256.32</v>
      </c>
      <c r="H629" s="67">
        <v>53</v>
      </c>
    </row>
    <row r="630" spans="1:8" x14ac:dyDescent="0.25">
      <c r="A630" s="212">
        <v>42034</v>
      </c>
      <c r="B630" s="160" t="s">
        <v>1211</v>
      </c>
      <c r="C630" t="s">
        <v>1233</v>
      </c>
      <c r="D630" t="s">
        <v>27</v>
      </c>
      <c r="E630" s="161">
        <v>8</v>
      </c>
      <c r="F630" s="161">
        <v>54.58</v>
      </c>
      <c r="G630" s="162">
        <v>436.64</v>
      </c>
      <c r="H630" s="67">
        <v>53</v>
      </c>
    </row>
    <row r="631" spans="1:8" x14ac:dyDescent="0.25">
      <c r="A631" s="212">
        <v>42034</v>
      </c>
      <c r="B631" s="160" t="s">
        <v>276</v>
      </c>
      <c r="C631" t="s">
        <v>1220</v>
      </c>
      <c r="D631" t="s">
        <v>27</v>
      </c>
      <c r="E631" s="161">
        <v>2</v>
      </c>
      <c r="F631" s="161">
        <v>35</v>
      </c>
      <c r="G631" s="162">
        <v>70</v>
      </c>
      <c r="H631" s="67">
        <v>53</v>
      </c>
    </row>
    <row r="632" spans="1:8" x14ac:dyDescent="0.25">
      <c r="A632" s="212">
        <v>42034</v>
      </c>
      <c r="B632" s="160" t="s">
        <v>1209</v>
      </c>
      <c r="C632" t="s">
        <v>1210</v>
      </c>
      <c r="D632" t="s">
        <v>27</v>
      </c>
      <c r="E632" s="161">
        <v>2</v>
      </c>
      <c r="F632" s="161">
        <v>42.79</v>
      </c>
      <c r="G632" s="162">
        <v>85.58</v>
      </c>
      <c r="H632" s="67">
        <v>53</v>
      </c>
    </row>
    <row r="633" spans="1:8" x14ac:dyDescent="0.25">
      <c r="A633" s="212">
        <v>42034</v>
      </c>
      <c r="B633" s="160" t="s">
        <v>623</v>
      </c>
      <c r="C633" t="s">
        <v>7</v>
      </c>
      <c r="D633" t="s">
        <v>27</v>
      </c>
      <c r="E633" s="161">
        <v>8</v>
      </c>
      <c r="F633" s="161">
        <v>42.6</v>
      </c>
      <c r="G633" s="162">
        <v>340.8</v>
      </c>
      <c r="H633" s="67">
        <v>53</v>
      </c>
    </row>
    <row r="634" spans="1:8" x14ac:dyDescent="0.25">
      <c r="A634" s="212">
        <v>42034</v>
      </c>
      <c r="B634" s="160" t="s">
        <v>1209</v>
      </c>
      <c r="C634" t="s">
        <v>1210</v>
      </c>
      <c r="D634" t="s">
        <v>27</v>
      </c>
      <c r="E634" s="161">
        <v>5</v>
      </c>
      <c r="F634" s="161">
        <v>42.79</v>
      </c>
      <c r="G634" s="162">
        <v>213.95</v>
      </c>
      <c r="H634" s="67">
        <v>53</v>
      </c>
    </row>
    <row r="635" spans="1:8" x14ac:dyDescent="0.25">
      <c r="A635" s="212">
        <v>42034</v>
      </c>
      <c r="B635" s="160" t="s">
        <v>660</v>
      </c>
      <c r="C635" t="s">
        <v>7</v>
      </c>
      <c r="D635" t="s">
        <v>527</v>
      </c>
      <c r="E635" s="161">
        <v>4</v>
      </c>
      <c r="F635" s="161">
        <v>20</v>
      </c>
      <c r="G635" s="162">
        <v>80</v>
      </c>
      <c r="H635" s="67">
        <v>53</v>
      </c>
    </row>
    <row r="636" spans="1:8" x14ac:dyDescent="0.25">
      <c r="A636" s="212">
        <v>42034</v>
      </c>
      <c r="B636" s="160" t="s">
        <v>623</v>
      </c>
      <c r="C636" t="s">
        <v>7</v>
      </c>
      <c r="D636" t="s">
        <v>527</v>
      </c>
      <c r="E636" s="161">
        <v>4</v>
      </c>
      <c r="F636" s="161">
        <v>49.7</v>
      </c>
      <c r="G636" s="162">
        <v>198.8</v>
      </c>
      <c r="H636" s="67">
        <v>53</v>
      </c>
    </row>
    <row r="637" spans="1:8" x14ac:dyDescent="0.25">
      <c r="A637" s="212">
        <v>42034</v>
      </c>
      <c r="B637" s="160" t="s">
        <v>623</v>
      </c>
      <c r="C637" t="s">
        <v>7</v>
      </c>
      <c r="D637" t="s">
        <v>27</v>
      </c>
      <c r="E637" s="161">
        <v>3.5</v>
      </c>
      <c r="F637" s="161">
        <v>46.85</v>
      </c>
      <c r="G637" s="162">
        <v>163.97499999999999</v>
      </c>
      <c r="H637" s="67">
        <v>53</v>
      </c>
    </row>
    <row r="638" spans="1:8" x14ac:dyDescent="0.25">
      <c r="A638" s="212">
        <v>42034</v>
      </c>
      <c r="B638" s="160" t="s">
        <v>661</v>
      </c>
      <c r="C638" t="s">
        <v>7</v>
      </c>
      <c r="D638" t="s">
        <v>27</v>
      </c>
      <c r="E638" s="161">
        <v>1</v>
      </c>
      <c r="F638" s="161">
        <v>20</v>
      </c>
      <c r="G638" s="162">
        <v>20</v>
      </c>
      <c r="H638" s="67">
        <v>53</v>
      </c>
    </row>
    <row r="639" spans="1:8" x14ac:dyDescent="0.25">
      <c r="A639" s="212">
        <v>42037</v>
      </c>
      <c r="B639" s="160" t="s">
        <v>623</v>
      </c>
      <c r="C639" t="s">
        <v>7</v>
      </c>
      <c r="D639" t="s">
        <v>27</v>
      </c>
      <c r="E639" s="161">
        <v>5</v>
      </c>
      <c r="F639" s="161">
        <v>42.6</v>
      </c>
      <c r="G639" s="162">
        <v>213</v>
      </c>
      <c r="H639" s="67">
        <v>53</v>
      </c>
    </row>
    <row r="640" spans="1:8" x14ac:dyDescent="0.25">
      <c r="A640" s="212">
        <v>42037</v>
      </c>
      <c r="B640" s="160" t="s">
        <v>1109</v>
      </c>
      <c r="C640" t="s">
        <v>7</v>
      </c>
      <c r="D640" t="s">
        <v>27</v>
      </c>
      <c r="E640" s="161">
        <v>6</v>
      </c>
      <c r="F640" s="161">
        <v>42.72</v>
      </c>
      <c r="G640" s="162">
        <v>256.32</v>
      </c>
      <c r="H640" s="67">
        <v>53</v>
      </c>
    </row>
    <row r="641" spans="1:8" x14ac:dyDescent="0.25">
      <c r="A641" s="212">
        <v>42037</v>
      </c>
      <c r="B641" s="160" t="s">
        <v>1212</v>
      </c>
      <c r="C641" t="s">
        <v>7</v>
      </c>
      <c r="D641" t="s">
        <v>27</v>
      </c>
      <c r="E641" s="161">
        <v>5</v>
      </c>
      <c r="F641" s="161">
        <v>42.72</v>
      </c>
      <c r="G641" s="162">
        <v>213.6</v>
      </c>
      <c r="H641" s="67">
        <v>53</v>
      </c>
    </row>
    <row r="642" spans="1:8" x14ac:dyDescent="0.25">
      <c r="A642" s="212">
        <v>42037</v>
      </c>
      <c r="B642" s="160" t="s">
        <v>624</v>
      </c>
      <c r="C642" t="s">
        <v>625</v>
      </c>
      <c r="D642" t="s">
        <v>54</v>
      </c>
      <c r="E642" s="161">
        <v>1</v>
      </c>
      <c r="F642" s="161">
        <v>1800</v>
      </c>
      <c r="G642" s="162">
        <v>1800</v>
      </c>
      <c r="H642" s="67">
        <v>53</v>
      </c>
    </row>
    <row r="643" spans="1:8" x14ac:dyDescent="0.25">
      <c r="A643" s="212">
        <v>42037</v>
      </c>
      <c r="B643" s="160" t="s">
        <v>634</v>
      </c>
      <c r="C643" t="s">
        <v>635</v>
      </c>
      <c r="D643" t="s">
        <v>27</v>
      </c>
      <c r="E643" s="161">
        <v>5</v>
      </c>
      <c r="F643" s="161">
        <v>92.5</v>
      </c>
      <c r="G643" s="162">
        <v>462.5</v>
      </c>
      <c r="H643" s="67">
        <v>53</v>
      </c>
    </row>
    <row r="644" spans="1:8" x14ac:dyDescent="0.25">
      <c r="A644" s="212">
        <v>42037</v>
      </c>
      <c r="B644" s="160" t="s">
        <v>1209</v>
      </c>
      <c r="C644" t="s">
        <v>1210</v>
      </c>
      <c r="D644" t="s">
        <v>27</v>
      </c>
      <c r="E644" s="161">
        <v>2</v>
      </c>
      <c r="F644" s="161">
        <v>42.79</v>
      </c>
      <c r="G644" s="162">
        <v>85.58</v>
      </c>
      <c r="H644" s="67">
        <v>53</v>
      </c>
    </row>
    <row r="645" spans="1:8" x14ac:dyDescent="0.25">
      <c r="A645" s="212">
        <v>42037</v>
      </c>
      <c r="B645" s="160" t="s">
        <v>276</v>
      </c>
      <c r="C645" t="s">
        <v>1220</v>
      </c>
      <c r="D645" t="s">
        <v>27</v>
      </c>
      <c r="E645" s="161">
        <v>4</v>
      </c>
      <c r="F645" s="161">
        <v>35</v>
      </c>
      <c r="G645" s="162">
        <v>140</v>
      </c>
      <c r="H645" s="67">
        <v>53</v>
      </c>
    </row>
    <row r="646" spans="1:8" x14ac:dyDescent="0.25">
      <c r="A646" s="212">
        <v>42037</v>
      </c>
      <c r="B646" s="160" t="s">
        <v>1211</v>
      </c>
      <c r="C646" t="s">
        <v>1233</v>
      </c>
      <c r="D646" t="s">
        <v>27</v>
      </c>
      <c r="E646" s="161">
        <v>5</v>
      </c>
      <c r="F646" s="161">
        <v>54.58</v>
      </c>
      <c r="G646" s="162">
        <v>272.89999999999998</v>
      </c>
      <c r="H646" s="67">
        <v>53</v>
      </c>
    </row>
    <row r="647" spans="1:8" x14ac:dyDescent="0.25">
      <c r="A647" s="212">
        <v>42038</v>
      </c>
      <c r="B647" s="160" t="s">
        <v>619</v>
      </c>
      <c r="C647" t="s">
        <v>620</v>
      </c>
      <c r="D647" t="s">
        <v>27</v>
      </c>
      <c r="E647" s="161">
        <v>4.5</v>
      </c>
      <c r="F647" s="161">
        <v>80</v>
      </c>
      <c r="G647" s="162">
        <v>360</v>
      </c>
      <c r="H647" s="67">
        <v>53</v>
      </c>
    </row>
    <row r="648" spans="1:8" x14ac:dyDescent="0.25">
      <c r="A648" s="212">
        <v>42038</v>
      </c>
      <c r="B648" s="160" t="s">
        <v>619</v>
      </c>
      <c r="C648" t="s">
        <v>620</v>
      </c>
      <c r="D648" t="s">
        <v>27</v>
      </c>
      <c r="E648" s="161">
        <v>3</v>
      </c>
      <c r="F648" s="161">
        <v>80</v>
      </c>
      <c r="G648" s="162">
        <v>240</v>
      </c>
      <c r="H648" s="67">
        <v>53</v>
      </c>
    </row>
    <row r="649" spans="1:8" x14ac:dyDescent="0.25">
      <c r="A649" s="212">
        <v>42038</v>
      </c>
      <c r="B649" s="160" t="s">
        <v>631</v>
      </c>
      <c r="C649" t="s">
        <v>632</v>
      </c>
      <c r="D649" t="s">
        <v>27</v>
      </c>
      <c r="E649" s="161">
        <v>5.5</v>
      </c>
      <c r="F649" s="161">
        <v>80</v>
      </c>
      <c r="G649" s="162">
        <v>440</v>
      </c>
      <c r="H649" s="67">
        <v>53</v>
      </c>
    </row>
    <row r="650" spans="1:8" x14ac:dyDescent="0.25">
      <c r="A650" s="212">
        <v>42038</v>
      </c>
      <c r="B650" s="160" t="s">
        <v>276</v>
      </c>
      <c r="C650" t="s">
        <v>1220</v>
      </c>
      <c r="D650" t="s">
        <v>27</v>
      </c>
      <c r="E650" s="161">
        <v>8</v>
      </c>
      <c r="F650" s="161">
        <v>35</v>
      </c>
      <c r="G650" s="162">
        <v>280</v>
      </c>
      <c r="H650" s="67">
        <v>53</v>
      </c>
    </row>
    <row r="651" spans="1:8" x14ac:dyDescent="0.25">
      <c r="A651" s="212">
        <v>42038</v>
      </c>
      <c r="B651" s="160" t="s">
        <v>1109</v>
      </c>
      <c r="C651" t="s">
        <v>7</v>
      </c>
      <c r="D651" t="s">
        <v>27</v>
      </c>
      <c r="E651" s="161">
        <v>6</v>
      </c>
      <c r="F651" s="161">
        <v>42.72</v>
      </c>
      <c r="G651" s="162">
        <v>256.32</v>
      </c>
      <c r="H651" s="67">
        <v>53</v>
      </c>
    </row>
    <row r="652" spans="1:8" x14ac:dyDescent="0.25">
      <c r="A652" s="212">
        <v>42038</v>
      </c>
      <c r="B652" s="160" t="s">
        <v>285</v>
      </c>
      <c r="C652" t="s">
        <v>621</v>
      </c>
      <c r="D652" t="s">
        <v>27</v>
      </c>
      <c r="E652" s="161">
        <v>5.5</v>
      </c>
      <c r="F652" s="161">
        <v>90</v>
      </c>
      <c r="G652" s="162">
        <v>495</v>
      </c>
      <c r="H652" s="67">
        <v>53</v>
      </c>
    </row>
    <row r="653" spans="1:8" x14ac:dyDescent="0.25">
      <c r="A653" s="212">
        <v>42038</v>
      </c>
      <c r="B653" s="160" t="s">
        <v>623</v>
      </c>
      <c r="C653" t="s">
        <v>7</v>
      </c>
      <c r="D653" t="s">
        <v>527</v>
      </c>
      <c r="E653" s="161">
        <v>5.5</v>
      </c>
      <c r="F653" s="161">
        <v>49.7</v>
      </c>
      <c r="G653" s="162">
        <v>273.35000000000002</v>
      </c>
      <c r="H653" s="67">
        <v>53</v>
      </c>
    </row>
    <row r="654" spans="1:8" x14ac:dyDescent="0.25">
      <c r="A654" s="212">
        <v>42039</v>
      </c>
      <c r="B654" s="160" t="s">
        <v>619</v>
      </c>
      <c r="C654" t="s">
        <v>620</v>
      </c>
      <c r="D654" t="s">
        <v>27</v>
      </c>
      <c r="E654" s="161">
        <v>9</v>
      </c>
      <c r="F654" s="161">
        <v>80</v>
      </c>
      <c r="G654" s="162">
        <v>720</v>
      </c>
      <c r="H654" s="67">
        <v>53</v>
      </c>
    </row>
    <row r="655" spans="1:8" x14ac:dyDescent="0.25">
      <c r="A655" s="212">
        <v>42041</v>
      </c>
      <c r="B655" s="160" t="s">
        <v>634</v>
      </c>
      <c r="C655" t="s">
        <v>635</v>
      </c>
      <c r="D655" t="s">
        <v>27</v>
      </c>
      <c r="E655" s="161">
        <v>3</v>
      </c>
      <c r="F655" s="161">
        <v>92.5</v>
      </c>
      <c r="G655" s="162">
        <v>277.5</v>
      </c>
      <c r="H655" s="67">
        <v>53</v>
      </c>
    </row>
    <row r="656" spans="1:8" x14ac:dyDescent="0.25">
      <c r="A656" s="212">
        <v>42041</v>
      </c>
      <c r="B656" s="160" t="s">
        <v>623</v>
      </c>
      <c r="C656" t="s">
        <v>7</v>
      </c>
      <c r="D656" t="s">
        <v>27</v>
      </c>
      <c r="E656" s="161">
        <v>11.5</v>
      </c>
      <c r="F656" s="161">
        <v>42.6</v>
      </c>
      <c r="G656" s="162">
        <v>489.9</v>
      </c>
      <c r="H656" s="67">
        <v>53</v>
      </c>
    </row>
    <row r="657" spans="1:8" x14ac:dyDescent="0.25">
      <c r="A657" s="212">
        <v>42041</v>
      </c>
      <c r="B657" s="160" t="s">
        <v>285</v>
      </c>
      <c r="C657" t="s">
        <v>621</v>
      </c>
      <c r="D657" t="s">
        <v>27</v>
      </c>
      <c r="E657" s="161">
        <v>10</v>
      </c>
      <c r="F657" s="161">
        <v>90</v>
      </c>
      <c r="G657" s="162">
        <v>900</v>
      </c>
      <c r="H657" s="67">
        <v>53</v>
      </c>
    </row>
    <row r="658" spans="1:8" x14ac:dyDescent="0.25">
      <c r="A658" s="212">
        <v>42041</v>
      </c>
      <c r="B658" s="160" t="s">
        <v>1109</v>
      </c>
      <c r="C658" t="s">
        <v>7</v>
      </c>
      <c r="D658" t="s">
        <v>27</v>
      </c>
      <c r="E658" s="161">
        <v>6</v>
      </c>
      <c r="F658" s="161">
        <v>42.72</v>
      </c>
      <c r="G658" s="162">
        <v>256.32</v>
      </c>
      <c r="H658" s="67">
        <v>53</v>
      </c>
    </row>
    <row r="659" spans="1:8" x14ac:dyDescent="0.25">
      <c r="A659" s="212">
        <v>42041</v>
      </c>
      <c r="B659" s="160" t="s">
        <v>276</v>
      </c>
      <c r="C659" t="s">
        <v>1220</v>
      </c>
      <c r="D659" t="s">
        <v>27</v>
      </c>
      <c r="E659" s="161">
        <v>11.5</v>
      </c>
      <c r="F659" s="161">
        <v>35</v>
      </c>
      <c r="G659" s="162">
        <v>402.5</v>
      </c>
      <c r="H659" s="67">
        <v>53</v>
      </c>
    </row>
    <row r="660" spans="1:8" x14ac:dyDescent="0.25">
      <c r="A660" s="212">
        <v>42041</v>
      </c>
      <c r="B660" s="160" t="s">
        <v>623</v>
      </c>
      <c r="C660" t="s">
        <v>7</v>
      </c>
      <c r="D660" t="s">
        <v>27</v>
      </c>
      <c r="E660" s="161">
        <v>5.5</v>
      </c>
      <c r="F660" s="161">
        <v>46.85</v>
      </c>
      <c r="G660" s="162">
        <v>257.67500000000001</v>
      </c>
      <c r="H660" s="67">
        <v>53</v>
      </c>
    </row>
    <row r="661" spans="1:8" x14ac:dyDescent="0.25">
      <c r="A661" s="212">
        <v>42041</v>
      </c>
      <c r="B661" s="160" t="s">
        <v>623</v>
      </c>
      <c r="C661" t="s">
        <v>7</v>
      </c>
      <c r="D661" t="s">
        <v>527</v>
      </c>
      <c r="E661" s="161">
        <v>6</v>
      </c>
      <c r="F661" s="161">
        <v>49.7</v>
      </c>
      <c r="G661" s="162">
        <v>298.2</v>
      </c>
      <c r="H661" s="67">
        <v>53</v>
      </c>
    </row>
    <row r="662" spans="1:8" x14ac:dyDescent="0.25">
      <c r="A662" s="212">
        <v>42042</v>
      </c>
      <c r="B662" s="160" t="s">
        <v>663</v>
      </c>
      <c r="C662" t="s">
        <v>7</v>
      </c>
      <c r="D662" t="s">
        <v>27</v>
      </c>
      <c r="E662" s="161">
        <v>6</v>
      </c>
      <c r="F662" s="161">
        <v>20</v>
      </c>
      <c r="G662" s="162">
        <v>120</v>
      </c>
      <c r="H662" s="67">
        <v>53</v>
      </c>
    </row>
    <row r="663" spans="1:8" x14ac:dyDescent="0.25">
      <c r="A663" s="212">
        <v>42042</v>
      </c>
      <c r="B663" s="160" t="s">
        <v>662</v>
      </c>
      <c r="C663" t="s">
        <v>7</v>
      </c>
      <c r="D663" t="s">
        <v>527</v>
      </c>
      <c r="E663" s="161">
        <v>6</v>
      </c>
      <c r="F663" s="161">
        <v>20</v>
      </c>
      <c r="G663" s="162">
        <v>120</v>
      </c>
      <c r="H663" s="67">
        <v>53</v>
      </c>
    </row>
    <row r="664" spans="1:8" x14ac:dyDescent="0.25">
      <c r="A664" s="212">
        <v>42044</v>
      </c>
      <c r="B664" s="160" t="s">
        <v>285</v>
      </c>
      <c r="C664" t="s">
        <v>621</v>
      </c>
      <c r="D664" t="s">
        <v>27</v>
      </c>
      <c r="E664" s="161">
        <v>2</v>
      </c>
      <c r="F664" s="161">
        <v>90</v>
      </c>
      <c r="G664" s="162">
        <v>180</v>
      </c>
      <c r="H664" s="67">
        <v>53</v>
      </c>
    </row>
    <row r="665" spans="1:8" x14ac:dyDescent="0.25">
      <c r="A665" s="212">
        <v>42051</v>
      </c>
      <c r="B665" s="160" t="s">
        <v>1211</v>
      </c>
      <c r="C665" t="s">
        <v>1233</v>
      </c>
      <c r="D665" t="s">
        <v>27</v>
      </c>
      <c r="E665" s="161">
        <v>3</v>
      </c>
      <c r="F665" s="161">
        <v>54.58</v>
      </c>
      <c r="G665" s="162">
        <v>163.74</v>
      </c>
      <c r="H665" s="67">
        <v>53</v>
      </c>
    </row>
    <row r="666" spans="1:8" x14ac:dyDescent="0.25">
      <c r="A666" s="212">
        <v>42052</v>
      </c>
      <c r="B666" s="160" t="s">
        <v>1209</v>
      </c>
      <c r="C666" t="s">
        <v>1210</v>
      </c>
      <c r="D666" t="s">
        <v>27</v>
      </c>
      <c r="E666" s="161">
        <v>5.5</v>
      </c>
      <c r="F666" s="161">
        <v>42.79</v>
      </c>
      <c r="G666" s="162">
        <v>235.345</v>
      </c>
      <c r="H666" s="67">
        <v>53</v>
      </c>
    </row>
    <row r="667" spans="1:8" x14ac:dyDescent="0.25">
      <c r="A667" s="212">
        <v>42052</v>
      </c>
      <c r="B667" s="160" t="s">
        <v>276</v>
      </c>
      <c r="C667" t="s">
        <v>1220</v>
      </c>
      <c r="D667" t="s">
        <v>27</v>
      </c>
      <c r="E667" s="161">
        <v>10.5</v>
      </c>
      <c r="F667" s="161">
        <v>35</v>
      </c>
      <c r="G667" s="162">
        <v>367.5</v>
      </c>
      <c r="H667" s="67">
        <v>53</v>
      </c>
    </row>
    <row r="668" spans="1:8" x14ac:dyDescent="0.25">
      <c r="A668" s="212">
        <v>42052</v>
      </c>
      <c r="B668" s="160" t="s">
        <v>1212</v>
      </c>
      <c r="C668" t="s">
        <v>7</v>
      </c>
      <c r="D668" t="s">
        <v>27</v>
      </c>
      <c r="E668" s="161">
        <v>5</v>
      </c>
      <c r="F668" s="161">
        <v>42.72</v>
      </c>
      <c r="G668" s="162">
        <v>213.6</v>
      </c>
      <c r="H668" s="67">
        <v>53</v>
      </c>
    </row>
    <row r="669" spans="1:8" x14ac:dyDescent="0.25">
      <c r="A669" s="212">
        <v>42052</v>
      </c>
      <c r="B669" s="160" t="s">
        <v>1109</v>
      </c>
      <c r="C669" t="s">
        <v>7</v>
      </c>
      <c r="D669" t="s">
        <v>27</v>
      </c>
      <c r="E669" s="161">
        <v>6</v>
      </c>
      <c r="F669" s="161">
        <v>42.72</v>
      </c>
      <c r="G669" s="162">
        <v>256.32</v>
      </c>
      <c r="H669" s="67">
        <v>53</v>
      </c>
    </row>
    <row r="670" spans="1:8" x14ac:dyDescent="0.25">
      <c r="A670" s="212">
        <v>42052</v>
      </c>
      <c r="B670" s="160" t="s">
        <v>1211</v>
      </c>
      <c r="C670" t="s">
        <v>1233</v>
      </c>
      <c r="D670" t="s">
        <v>27</v>
      </c>
      <c r="E670" s="161">
        <v>5</v>
      </c>
      <c r="F670" s="161">
        <v>54.58</v>
      </c>
      <c r="G670" s="162">
        <v>272.89999999999998</v>
      </c>
      <c r="H670" s="67">
        <v>53</v>
      </c>
    </row>
    <row r="671" spans="1:8" x14ac:dyDescent="0.25">
      <c r="A671" s="212">
        <v>42052</v>
      </c>
      <c r="B671" s="160" t="s">
        <v>619</v>
      </c>
      <c r="C671" t="s">
        <v>620</v>
      </c>
      <c r="D671" t="s">
        <v>27</v>
      </c>
      <c r="E671" s="161">
        <v>7</v>
      </c>
      <c r="F671" s="161">
        <v>80</v>
      </c>
      <c r="G671" s="162">
        <v>560</v>
      </c>
      <c r="H671" s="67">
        <v>53</v>
      </c>
    </row>
    <row r="672" spans="1:8" x14ac:dyDescent="0.25">
      <c r="A672" s="212">
        <v>42052</v>
      </c>
      <c r="B672" s="160" t="s">
        <v>631</v>
      </c>
      <c r="C672" t="s">
        <v>632</v>
      </c>
      <c r="D672" t="s">
        <v>27</v>
      </c>
      <c r="E672" s="161">
        <v>3</v>
      </c>
      <c r="F672" s="161">
        <v>80</v>
      </c>
      <c r="G672" s="162">
        <v>240</v>
      </c>
      <c r="H672" s="67">
        <v>53</v>
      </c>
    </row>
    <row r="673" spans="1:8" x14ac:dyDescent="0.25">
      <c r="A673" s="212">
        <v>42052</v>
      </c>
      <c r="B673" s="160" t="s">
        <v>631</v>
      </c>
      <c r="C673" t="s">
        <v>632</v>
      </c>
      <c r="D673" t="s">
        <v>27</v>
      </c>
      <c r="E673" s="161">
        <v>3.5</v>
      </c>
      <c r="F673" s="161">
        <v>80</v>
      </c>
      <c r="G673" s="162">
        <v>280</v>
      </c>
      <c r="H673" s="67">
        <v>53</v>
      </c>
    </row>
    <row r="674" spans="1:8" x14ac:dyDescent="0.25">
      <c r="A674" s="212">
        <v>42052</v>
      </c>
      <c r="B674" s="160" t="s">
        <v>623</v>
      </c>
      <c r="C674" t="s">
        <v>7</v>
      </c>
      <c r="D674" t="s">
        <v>527</v>
      </c>
      <c r="E674" s="161">
        <v>10.5</v>
      </c>
      <c r="F674" s="161">
        <v>49.7</v>
      </c>
      <c r="G674" s="162">
        <v>521.85</v>
      </c>
      <c r="H674" s="67">
        <v>53</v>
      </c>
    </row>
    <row r="675" spans="1:8" x14ac:dyDescent="0.25">
      <c r="A675" s="212">
        <v>42052</v>
      </c>
      <c r="B675" s="160" t="s">
        <v>624</v>
      </c>
      <c r="C675" t="s">
        <v>625</v>
      </c>
      <c r="D675" t="s">
        <v>54</v>
      </c>
      <c r="E675" s="161">
        <v>1</v>
      </c>
      <c r="F675" s="161">
        <v>1800</v>
      </c>
      <c r="G675" s="162">
        <v>1800</v>
      </c>
      <c r="H675" s="67">
        <v>53</v>
      </c>
    </row>
    <row r="676" spans="1:8" x14ac:dyDescent="0.25">
      <c r="A676" s="212">
        <v>42052</v>
      </c>
      <c r="B676" s="160" t="s">
        <v>623</v>
      </c>
      <c r="C676" t="s">
        <v>7</v>
      </c>
      <c r="D676" t="s">
        <v>27</v>
      </c>
      <c r="E676" s="161">
        <v>10.5</v>
      </c>
      <c r="F676" s="161">
        <v>42.6</v>
      </c>
      <c r="G676" s="162">
        <v>447.3</v>
      </c>
      <c r="H676" s="67">
        <v>53</v>
      </c>
    </row>
    <row r="677" spans="1:8" x14ac:dyDescent="0.25">
      <c r="A677" s="212">
        <v>42053</v>
      </c>
      <c r="B677" s="160" t="s">
        <v>1209</v>
      </c>
      <c r="C677" t="s">
        <v>1210</v>
      </c>
      <c r="D677" t="s">
        <v>27</v>
      </c>
      <c r="E677" s="161">
        <v>11</v>
      </c>
      <c r="F677" s="161">
        <v>42.79</v>
      </c>
      <c r="G677" s="162">
        <v>470.69</v>
      </c>
      <c r="H677" s="67">
        <v>53</v>
      </c>
    </row>
    <row r="678" spans="1:8" x14ac:dyDescent="0.25">
      <c r="A678" s="212">
        <v>42053</v>
      </c>
      <c r="B678" s="160" t="s">
        <v>1211</v>
      </c>
      <c r="C678" t="s">
        <v>1233</v>
      </c>
      <c r="D678" t="s">
        <v>27</v>
      </c>
      <c r="E678" s="161">
        <v>11</v>
      </c>
      <c r="F678" s="161">
        <v>54.58</v>
      </c>
      <c r="G678" s="162">
        <v>600.38</v>
      </c>
      <c r="H678" s="67">
        <v>53</v>
      </c>
    </row>
    <row r="679" spans="1:8" x14ac:dyDescent="0.25">
      <c r="A679" s="212">
        <v>42053</v>
      </c>
      <c r="B679" s="160" t="s">
        <v>1109</v>
      </c>
      <c r="C679" t="s">
        <v>7</v>
      </c>
      <c r="D679" t="s">
        <v>27</v>
      </c>
      <c r="E679" s="161">
        <v>6.5</v>
      </c>
      <c r="F679" s="161">
        <v>42.72</v>
      </c>
      <c r="G679" s="162">
        <v>277.68</v>
      </c>
      <c r="H679" s="67">
        <v>53</v>
      </c>
    </row>
    <row r="680" spans="1:8" x14ac:dyDescent="0.25">
      <c r="A680" s="212">
        <v>42053</v>
      </c>
      <c r="B680" s="160" t="s">
        <v>624</v>
      </c>
      <c r="C680" t="s">
        <v>625</v>
      </c>
      <c r="D680" t="s">
        <v>54</v>
      </c>
      <c r="E680" s="161">
        <v>1</v>
      </c>
      <c r="F680" s="161">
        <v>1800</v>
      </c>
      <c r="G680" s="162">
        <v>1800</v>
      </c>
      <c r="H680" s="67">
        <v>53</v>
      </c>
    </row>
    <row r="681" spans="1:8" x14ac:dyDescent="0.25">
      <c r="A681" s="212">
        <v>42053</v>
      </c>
      <c r="B681" s="160" t="s">
        <v>619</v>
      </c>
      <c r="C681" t="s">
        <v>620</v>
      </c>
      <c r="D681" t="s">
        <v>27</v>
      </c>
      <c r="E681" s="161">
        <v>11</v>
      </c>
      <c r="F681" s="161">
        <v>80</v>
      </c>
      <c r="G681" s="162">
        <v>880</v>
      </c>
      <c r="H681" s="67">
        <v>53</v>
      </c>
    </row>
    <row r="682" spans="1:8" x14ac:dyDescent="0.25">
      <c r="A682" s="212">
        <v>42053</v>
      </c>
      <c r="B682" s="160" t="s">
        <v>631</v>
      </c>
      <c r="C682" t="s">
        <v>632</v>
      </c>
      <c r="D682" t="s">
        <v>27</v>
      </c>
      <c r="E682" s="161">
        <v>4</v>
      </c>
      <c r="F682" s="161">
        <v>80</v>
      </c>
      <c r="G682" s="162">
        <v>320</v>
      </c>
      <c r="H682" s="67">
        <v>53</v>
      </c>
    </row>
    <row r="683" spans="1:8" x14ac:dyDescent="0.25">
      <c r="A683" s="212">
        <v>42053</v>
      </c>
      <c r="B683" s="160" t="s">
        <v>631</v>
      </c>
      <c r="C683" t="s">
        <v>632</v>
      </c>
      <c r="D683" t="s">
        <v>27</v>
      </c>
      <c r="E683" s="161">
        <v>4</v>
      </c>
      <c r="F683" s="161">
        <v>80</v>
      </c>
      <c r="G683" s="162">
        <v>320</v>
      </c>
      <c r="H683" s="67">
        <v>53</v>
      </c>
    </row>
    <row r="684" spans="1:8" x14ac:dyDescent="0.25">
      <c r="A684" s="212">
        <v>42053</v>
      </c>
      <c r="B684" s="160" t="s">
        <v>623</v>
      </c>
      <c r="C684" t="s">
        <v>7</v>
      </c>
      <c r="D684" t="s">
        <v>527</v>
      </c>
      <c r="E684" s="161">
        <v>11</v>
      </c>
      <c r="F684" s="161">
        <v>49.7</v>
      </c>
      <c r="G684" s="162">
        <v>546.70000000000005</v>
      </c>
      <c r="H684" s="67">
        <v>53</v>
      </c>
    </row>
    <row r="685" spans="1:8" x14ac:dyDescent="0.25">
      <c r="A685" s="212">
        <v>42054</v>
      </c>
      <c r="B685" s="160" t="s">
        <v>1209</v>
      </c>
      <c r="C685" t="s">
        <v>1210</v>
      </c>
      <c r="D685" t="s">
        <v>27</v>
      </c>
      <c r="E685" s="161">
        <v>8</v>
      </c>
      <c r="F685" s="161">
        <v>42.79</v>
      </c>
      <c r="G685" s="162">
        <v>342.32</v>
      </c>
      <c r="H685" s="67">
        <v>53</v>
      </c>
    </row>
    <row r="686" spans="1:8" x14ac:dyDescent="0.25">
      <c r="A686" s="212">
        <v>42054</v>
      </c>
      <c r="B686" s="160" t="s">
        <v>1109</v>
      </c>
      <c r="C686" t="s">
        <v>7</v>
      </c>
      <c r="D686" t="s">
        <v>27</v>
      </c>
      <c r="E686" s="161">
        <v>6</v>
      </c>
      <c r="F686" s="161">
        <v>42.72</v>
      </c>
      <c r="G686" s="162">
        <v>256.32</v>
      </c>
      <c r="H686" s="67">
        <v>53</v>
      </c>
    </row>
    <row r="687" spans="1:8" x14ac:dyDescent="0.25">
      <c r="A687" s="212">
        <v>42054</v>
      </c>
      <c r="B687" s="160" t="s">
        <v>631</v>
      </c>
      <c r="C687" t="s">
        <v>632</v>
      </c>
      <c r="D687" t="s">
        <v>27</v>
      </c>
      <c r="E687" s="161">
        <v>3</v>
      </c>
      <c r="F687" s="161">
        <v>80</v>
      </c>
      <c r="G687" s="162">
        <v>240</v>
      </c>
      <c r="H687" s="67">
        <v>53</v>
      </c>
    </row>
    <row r="688" spans="1:8" x14ac:dyDescent="0.25">
      <c r="A688" s="212">
        <v>42054</v>
      </c>
      <c r="B688" s="160" t="s">
        <v>623</v>
      </c>
      <c r="C688" t="s">
        <v>7</v>
      </c>
      <c r="D688" t="s">
        <v>527</v>
      </c>
      <c r="E688" s="161">
        <v>10</v>
      </c>
      <c r="F688" s="161">
        <v>49.7</v>
      </c>
      <c r="G688" s="162">
        <v>497</v>
      </c>
      <c r="H688" s="67">
        <v>53</v>
      </c>
    </row>
    <row r="689" spans="1:8" x14ac:dyDescent="0.25">
      <c r="A689" s="212">
        <v>42054</v>
      </c>
      <c r="B689" s="160" t="s">
        <v>619</v>
      </c>
      <c r="C689" t="s">
        <v>620</v>
      </c>
      <c r="D689" t="s">
        <v>27</v>
      </c>
      <c r="E689" s="161">
        <v>10</v>
      </c>
      <c r="F689" s="161">
        <v>80</v>
      </c>
      <c r="G689" s="162">
        <v>800</v>
      </c>
      <c r="H689" s="67">
        <v>53</v>
      </c>
    </row>
    <row r="690" spans="1:8" x14ac:dyDescent="0.25">
      <c r="A690" s="212">
        <v>42054</v>
      </c>
      <c r="B690" s="160" t="s">
        <v>664</v>
      </c>
      <c r="C690" t="s">
        <v>665</v>
      </c>
      <c r="D690" t="s">
        <v>527</v>
      </c>
      <c r="E690" s="161">
        <v>8</v>
      </c>
      <c r="F690" s="161">
        <v>35</v>
      </c>
      <c r="G690" s="162">
        <v>280</v>
      </c>
      <c r="H690" s="67">
        <v>53</v>
      </c>
    </row>
    <row r="691" spans="1:8" x14ac:dyDescent="0.25">
      <c r="A691" s="212">
        <v>42055</v>
      </c>
      <c r="B691" s="160" t="s">
        <v>1109</v>
      </c>
      <c r="C691" t="s">
        <v>7</v>
      </c>
      <c r="D691" t="s">
        <v>27</v>
      </c>
      <c r="E691" s="161">
        <v>12</v>
      </c>
      <c r="F691" s="161">
        <v>42.72</v>
      </c>
      <c r="G691" s="162">
        <v>512.64</v>
      </c>
      <c r="H691" s="67">
        <v>53</v>
      </c>
    </row>
    <row r="692" spans="1:8" x14ac:dyDescent="0.25">
      <c r="A692" s="212">
        <v>42055</v>
      </c>
      <c r="B692" s="160" t="s">
        <v>1209</v>
      </c>
      <c r="C692" t="s">
        <v>1210</v>
      </c>
      <c r="D692" t="s">
        <v>27</v>
      </c>
      <c r="E692" s="161">
        <v>11</v>
      </c>
      <c r="F692" s="161">
        <v>42.79</v>
      </c>
      <c r="G692" s="162">
        <v>470.69</v>
      </c>
      <c r="H692" s="67">
        <v>53</v>
      </c>
    </row>
    <row r="693" spans="1:8" x14ac:dyDescent="0.25">
      <c r="A693" s="212">
        <v>42055</v>
      </c>
      <c r="B693" s="160" t="s">
        <v>624</v>
      </c>
      <c r="C693" t="s">
        <v>625</v>
      </c>
      <c r="D693" t="s">
        <v>54</v>
      </c>
      <c r="E693" s="161">
        <v>1</v>
      </c>
      <c r="F693" s="161">
        <v>1800</v>
      </c>
      <c r="G693" s="162">
        <v>1800</v>
      </c>
      <c r="H693" s="67">
        <v>53</v>
      </c>
    </row>
    <row r="694" spans="1:8" x14ac:dyDescent="0.25">
      <c r="A694" s="212">
        <v>42055</v>
      </c>
      <c r="B694" s="160" t="s">
        <v>619</v>
      </c>
      <c r="C694" t="s">
        <v>620</v>
      </c>
      <c r="D694" t="s">
        <v>27</v>
      </c>
      <c r="E694" s="161">
        <v>10.5</v>
      </c>
      <c r="F694" s="161">
        <v>80</v>
      </c>
      <c r="G694" s="162">
        <v>840</v>
      </c>
      <c r="H694" s="67">
        <v>53</v>
      </c>
    </row>
    <row r="695" spans="1:8" x14ac:dyDescent="0.25">
      <c r="A695" s="212">
        <v>42055</v>
      </c>
      <c r="B695" s="160" t="s">
        <v>631</v>
      </c>
      <c r="C695" t="s">
        <v>632</v>
      </c>
      <c r="D695" t="s">
        <v>27</v>
      </c>
      <c r="E695" s="161">
        <v>2.5</v>
      </c>
      <c r="F695" s="161">
        <v>80</v>
      </c>
      <c r="G695" s="162">
        <v>200</v>
      </c>
      <c r="H695" s="67">
        <v>53</v>
      </c>
    </row>
    <row r="696" spans="1:8" x14ac:dyDescent="0.25">
      <c r="A696" s="212">
        <v>42055</v>
      </c>
      <c r="B696" s="160" t="s">
        <v>631</v>
      </c>
      <c r="C696" t="s">
        <v>632</v>
      </c>
      <c r="D696" t="s">
        <v>27</v>
      </c>
      <c r="E696" s="161">
        <v>3.5</v>
      </c>
      <c r="F696" s="161">
        <v>80</v>
      </c>
      <c r="G696" s="162">
        <v>280</v>
      </c>
      <c r="H696" s="67">
        <v>53</v>
      </c>
    </row>
    <row r="697" spans="1:8" x14ac:dyDescent="0.25">
      <c r="A697" s="212">
        <v>42055</v>
      </c>
      <c r="B697" s="160" t="s">
        <v>623</v>
      </c>
      <c r="C697" t="s">
        <v>7</v>
      </c>
      <c r="D697" t="s">
        <v>527</v>
      </c>
      <c r="E697" s="161">
        <v>10.5</v>
      </c>
      <c r="F697" s="161">
        <v>49.7</v>
      </c>
      <c r="G697" s="162">
        <v>521.85</v>
      </c>
      <c r="H697" s="67">
        <v>53</v>
      </c>
    </row>
    <row r="698" spans="1:8" x14ac:dyDescent="0.25">
      <c r="A698" s="212">
        <v>42055</v>
      </c>
      <c r="B698" s="160" t="s">
        <v>664</v>
      </c>
      <c r="C698" t="s">
        <v>665</v>
      </c>
      <c r="D698" t="s">
        <v>527</v>
      </c>
      <c r="E698" s="161">
        <v>11</v>
      </c>
      <c r="F698" s="161">
        <v>35</v>
      </c>
      <c r="G698" s="162">
        <v>385</v>
      </c>
      <c r="H698" s="67">
        <v>53</v>
      </c>
    </row>
    <row r="699" spans="1:8" x14ac:dyDescent="0.25">
      <c r="A699" s="212">
        <v>42057</v>
      </c>
      <c r="B699" s="160" t="s">
        <v>666</v>
      </c>
      <c r="C699" t="s">
        <v>7</v>
      </c>
      <c r="D699" t="s">
        <v>27</v>
      </c>
      <c r="E699" s="161">
        <v>4</v>
      </c>
      <c r="F699" s="161">
        <v>20</v>
      </c>
      <c r="G699" s="162">
        <v>80</v>
      </c>
      <c r="H699" s="67">
        <v>53</v>
      </c>
    </row>
    <row r="700" spans="1:8" x14ac:dyDescent="0.25">
      <c r="A700" s="212">
        <v>42057</v>
      </c>
      <c r="B700" s="160" t="s">
        <v>668</v>
      </c>
      <c r="C700" t="s">
        <v>7</v>
      </c>
      <c r="D700" t="s">
        <v>27</v>
      </c>
      <c r="E700" s="161">
        <v>3</v>
      </c>
      <c r="F700" s="161">
        <v>20</v>
      </c>
      <c r="G700" s="162">
        <v>60</v>
      </c>
      <c r="H700" s="67">
        <v>53</v>
      </c>
    </row>
    <row r="701" spans="1:8" x14ac:dyDescent="0.25">
      <c r="A701" s="212">
        <v>42057</v>
      </c>
      <c r="B701" s="160" t="s">
        <v>667</v>
      </c>
      <c r="C701" t="s">
        <v>7</v>
      </c>
      <c r="D701" t="s">
        <v>27</v>
      </c>
      <c r="E701" s="161">
        <v>6</v>
      </c>
      <c r="F701" s="161">
        <v>20</v>
      </c>
      <c r="G701" s="162">
        <v>120</v>
      </c>
      <c r="H701" s="67">
        <v>53</v>
      </c>
    </row>
    <row r="702" spans="1:8" x14ac:dyDescent="0.25">
      <c r="A702" s="212">
        <v>42058</v>
      </c>
      <c r="B702" s="160" t="s">
        <v>664</v>
      </c>
      <c r="C702" t="s">
        <v>665</v>
      </c>
      <c r="D702" t="s">
        <v>527</v>
      </c>
      <c r="E702" s="161">
        <v>6</v>
      </c>
      <c r="F702" s="161">
        <v>35</v>
      </c>
      <c r="G702" s="162">
        <v>210</v>
      </c>
      <c r="H702" s="67">
        <v>53</v>
      </c>
    </row>
    <row r="703" spans="1:8" x14ac:dyDescent="0.25">
      <c r="A703" s="212">
        <v>42058</v>
      </c>
      <c r="B703" s="160" t="s">
        <v>1109</v>
      </c>
      <c r="C703" t="s">
        <v>7</v>
      </c>
      <c r="D703" t="s">
        <v>27</v>
      </c>
      <c r="E703" s="161">
        <v>3.5</v>
      </c>
      <c r="F703" s="161">
        <v>42.72</v>
      </c>
      <c r="G703" s="162">
        <v>149.52000000000001</v>
      </c>
      <c r="H703" s="67">
        <v>53</v>
      </c>
    </row>
    <row r="704" spans="1:8" x14ac:dyDescent="0.25">
      <c r="A704" s="212">
        <v>42059</v>
      </c>
      <c r="B704" s="160" t="s">
        <v>1212</v>
      </c>
      <c r="C704" t="s">
        <v>7</v>
      </c>
      <c r="D704" t="s">
        <v>27</v>
      </c>
      <c r="E704" s="161">
        <v>7</v>
      </c>
      <c r="F704" s="161">
        <v>42.72</v>
      </c>
      <c r="G704" s="162">
        <v>299.04000000000002</v>
      </c>
      <c r="H704" s="67">
        <v>53</v>
      </c>
    </row>
    <row r="705" spans="1:8" x14ac:dyDescent="0.25">
      <c r="A705" s="212">
        <v>42059</v>
      </c>
      <c r="B705" s="160" t="s">
        <v>1109</v>
      </c>
      <c r="C705" t="s">
        <v>7</v>
      </c>
      <c r="D705" t="s">
        <v>27</v>
      </c>
      <c r="E705" s="161">
        <v>6</v>
      </c>
      <c r="F705" s="161">
        <v>42.72</v>
      </c>
      <c r="G705" s="162">
        <v>256.32</v>
      </c>
      <c r="H705" s="67">
        <v>53</v>
      </c>
    </row>
    <row r="706" spans="1:8" x14ac:dyDescent="0.25">
      <c r="A706" s="212">
        <v>42059</v>
      </c>
      <c r="B706" s="160" t="s">
        <v>1209</v>
      </c>
      <c r="C706" t="s">
        <v>1210</v>
      </c>
      <c r="D706" t="s">
        <v>27</v>
      </c>
      <c r="E706" s="161">
        <v>6</v>
      </c>
      <c r="F706" s="161">
        <v>42.79</v>
      </c>
      <c r="G706" s="162">
        <v>256.74</v>
      </c>
      <c r="H706" s="67">
        <v>53</v>
      </c>
    </row>
    <row r="707" spans="1:8" x14ac:dyDescent="0.25">
      <c r="A707" s="212">
        <v>42059</v>
      </c>
      <c r="B707" s="160" t="s">
        <v>664</v>
      </c>
      <c r="C707" t="s">
        <v>665</v>
      </c>
      <c r="D707" t="s">
        <v>527</v>
      </c>
      <c r="E707" s="161">
        <v>6</v>
      </c>
      <c r="F707" s="161">
        <v>35</v>
      </c>
      <c r="G707" s="162">
        <v>210</v>
      </c>
      <c r="H707" s="67">
        <v>53</v>
      </c>
    </row>
    <row r="708" spans="1:8" x14ac:dyDescent="0.25">
      <c r="A708" s="212">
        <v>42059</v>
      </c>
      <c r="B708" s="160" t="s">
        <v>623</v>
      </c>
      <c r="C708" t="s">
        <v>7</v>
      </c>
      <c r="D708" t="s">
        <v>27</v>
      </c>
      <c r="E708" s="161">
        <v>7</v>
      </c>
      <c r="F708" s="161">
        <v>42.6</v>
      </c>
      <c r="G708" s="162">
        <v>298.2</v>
      </c>
      <c r="H708" s="67">
        <v>53</v>
      </c>
    </row>
    <row r="709" spans="1:8" x14ac:dyDescent="0.25">
      <c r="A709" s="212">
        <v>42059</v>
      </c>
      <c r="B709" s="160" t="s">
        <v>631</v>
      </c>
      <c r="C709" t="s">
        <v>632</v>
      </c>
      <c r="D709" t="s">
        <v>27</v>
      </c>
      <c r="E709" s="161">
        <v>4</v>
      </c>
      <c r="F709" s="161">
        <v>80</v>
      </c>
      <c r="G709" s="162">
        <v>320</v>
      </c>
      <c r="H709" s="67">
        <v>53</v>
      </c>
    </row>
    <row r="710" spans="1:8" x14ac:dyDescent="0.25">
      <c r="A710" s="212">
        <v>42059</v>
      </c>
      <c r="B710" s="160" t="s">
        <v>631</v>
      </c>
      <c r="C710" t="s">
        <v>632</v>
      </c>
      <c r="D710" t="s">
        <v>27</v>
      </c>
      <c r="E710" s="161">
        <v>4</v>
      </c>
      <c r="F710" s="161">
        <v>80</v>
      </c>
      <c r="G710" s="162">
        <v>320</v>
      </c>
      <c r="H710" s="67">
        <v>53</v>
      </c>
    </row>
    <row r="711" spans="1:8" x14ac:dyDescent="0.25">
      <c r="A711" s="212">
        <v>42059</v>
      </c>
      <c r="B711" s="160" t="s">
        <v>623</v>
      </c>
      <c r="C711" t="s">
        <v>7</v>
      </c>
      <c r="D711" t="s">
        <v>527</v>
      </c>
      <c r="E711" s="161">
        <v>11</v>
      </c>
      <c r="F711" s="161">
        <v>49.7</v>
      </c>
      <c r="G711" s="162">
        <v>546.70000000000005</v>
      </c>
      <c r="H711" s="67">
        <v>53</v>
      </c>
    </row>
    <row r="712" spans="1:8" x14ac:dyDescent="0.25">
      <c r="A712" s="212">
        <v>42059</v>
      </c>
      <c r="B712" s="160" t="s">
        <v>619</v>
      </c>
      <c r="C712" t="s">
        <v>620</v>
      </c>
      <c r="D712" t="s">
        <v>27</v>
      </c>
      <c r="E712" s="161">
        <v>7</v>
      </c>
      <c r="F712" s="161">
        <v>80</v>
      </c>
      <c r="G712" s="162">
        <v>560</v>
      </c>
      <c r="H712" s="67">
        <v>53</v>
      </c>
    </row>
    <row r="713" spans="1:8" x14ac:dyDescent="0.25">
      <c r="A713" s="212">
        <v>42059</v>
      </c>
      <c r="B713" s="160" t="s">
        <v>276</v>
      </c>
      <c r="C713" t="s">
        <v>1220</v>
      </c>
      <c r="D713" t="s">
        <v>27</v>
      </c>
      <c r="E713" s="161">
        <v>11.5</v>
      </c>
      <c r="F713" s="161">
        <v>35</v>
      </c>
      <c r="G713" s="162">
        <v>402.5</v>
      </c>
      <c r="H713" s="67">
        <v>53</v>
      </c>
    </row>
    <row r="714" spans="1:8" x14ac:dyDescent="0.25">
      <c r="A714" s="212">
        <v>42059</v>
      </c>
      <c r="B714" s="160" t="s">
        <v>623</v>
      </c>
      <c r="C714" t="s">
        <v>7</v>
      </c>
      <c r="D714" t="s">
        <v>27</v>
      </c>
      <c r="E714" s="161">
        <v>11.5</v>
      </c>
      <c r="F714" s="161">
        <v>42.6</v>
      </c>
      <c r="G714" s="162">
        <v>489.9</v>
      </c>
      <c r="H714" s="67">
        <v>53</v>
      </c>
    </row>
    <row r="715" spans="1:8" x14ac:dyDescent="0.25">
      <c r="A715" s="212">
        <v>42059</v>
      </c>
      <c r="B715" s="160" t="s">
        <v>624</v>
      </c>
      <c r="C715" t="s">
        <v>625</v>
      </c>
      <c r="D715" t="s">
        <v>54</v>
      </c>
      <c r="E715" s="161">
        <v>1</v>
      </c>
      <c r="F715" s="161">
        <v>1800</v>
      </c>
      <c r="G715" s="162">
        <v>1800</v>
      </c>
      <c r="H715" s="67">
        <v>53</v>
      </c>
    </row>
    <row r="716" spans="1:8" x14ac:dyDescent="0.25">
      <c r="A716" s="212">
        <v>42060</v>
      </c>
      <c r="B716" s="160" t="s">
        <v>631</v>
      </c>
      <c r="C716" t="s">
        <v>632</v>
      </c>
      <c r="D716" t="s">
        <v>27</v>
      </c>
      <c r="E716" s="161">
        <v>5</v>
      </c>
      <c r="F716" s="161">
        <v>80</v>
      </c>
      <c r="G716" s="162">
        <v>400</v>
      </c>
      <c r="H716" s="67">
        <v>53</v>
      </c>
    </row>
    <row r="717" spans="1:8" x14ac:dyDescent="0.25">
      <c r="A717" s="212">
        <v>42060</v>
      </c>
      <c r="B717" s="160" t="s">
        <v>623</v>
      </c>
      <c r="C717" t="s">
        <v>7</v>
      </c>
      <c r="D717" t="s">
        <v>27</v>
      </c>
      <c r="E717" s="161">
        <v>2</v>
      </c>
      <c r="F717" s="161">
        <v>42.6</v>
      </c>
      <c r="G717" s="162">
        <v>85.2</v>
      </c>
      <c r="H717" s="67">
        <v>53</v>
      </c>
    </row>
    <row r="718" spans="1:8" x14ac:dyDescent="0.25">
      <c r="A718" s="212">
        <v>42060</v>
      </c>
      <c r="B718" s="160" t="s">
        <v>623</v>
      </c>
      <c r="C718" t="s">
        <v>7</v>
      </c>
      <c r="D718" t="s">
        <v>27</v>
      </c>
      <c r="E718" s="161">
        <v>10.5</v>
      </c>
      <c r="F718" s="161">
        <v>42.6</v>
      </c>
      <c r="G718" s="162">
        <v>447.3</v>
      </c>
      <c r="H718" s="67">
        <v>53</v>
      </c>
    </row>
    <row r="719" spans="1:8" x14ac:dyDescent="0.25">
      <c r="A719" s="212">
        <v>42060</v>
      </c>
      <c r="B719" s="160" t="s">
        <v>631</v>
      </c>
      <c r="C719" t="s">
        <v>632</v>
      </c>
      <c r="D719" t="s">
        <v>27</v>
      </c>
      <c r="E719" s="161">
        <v>5</v>
      </c>
      <c r="F719" s="161">
        <v>80</v>
      </c>
      <c r="G719" s="162">
        <v>400</v>
      </c>
      <c r="H719" s="67">
        <v>53</v>
      </c>
    </row>
    <row r="720" spans="1:8" x14ac:dyDescent="0.25">
      <c r="A720" s="212">
        <v>42060</v>
      </c>
      <c r="B720" s="160" t="s">
        <v>623</v>
      </c>
      <c r="C720" t="s">
        <v>7</v>
      </c>
      <c r="D720" t="s">
        <v>527</v>
      </c>
      <c r="E720" s="161">
        <v>5</v>
      </c>
      <c r="F720" s="161">
        <v>49.7</v>
      </c>
      <c r="G720" s="162">
        <v>248.5</v>
      </c>
      <c r="H720" s="67">
        <v>53</v>
      </c>
    </row>
    <row r="721" spans="1:8" x14ac:dyDescent="0.25">
      <c r="A721" s="212">
        <v>42060</v>
      </c>
      <c r="B721" s="160" t="s">
        <v>1209</v>
      </c>
      <c r="C721" t="s">
        <v>1210</v>
      </c>
      <c r="D721" t="s">
        <v>27</v>
      </c>
      <c r="E721" s="161">
        <v>7</v>
      </c>
      <c r="F721" s="161">
        <v>42.79</v>
      </c>
      <c r="G721" s="162">
        <v>299.52999999999997</v>
      </c>
      <c r="H721" s="67">
        <v>53</v>
      </c>
    </row>
    <row r="722" spans="1:8" x14ac:dyDescent="0.25">
      <c r="A722" s="212">
        <v>42060</v>
      </c>
      <c r="B722" s="160" t="s">
        <v>1109</v>
      </c>
      <c r="C722" t="s">
        <v>7</v>
      </c>
      <c r="D722" t="s">
        <v>27</v>
      </c>
      <c r="E722" s="161">
        <v>4</v>
      </c>
      <c r="F722" s="161">
        <v>42.72</v>
      </c>
      <c r="G722" s="162">
        <v>170.88</v>
      </c>
      <c r="H722" s="67">
        <v>53</v>
      </c>
    </row>
    <row r="723" spans="1:8" x14ac:dyDescent="0.25">
      <c r="A723" s="212">
        <v>42060</v>
      </c>
      <c r="B723" s="160" t="s">
        <v>624</v>
      </c>
      <c r="C723" t="s">
        <v>625</v>
      </c>
      <c r="D723" t="s">
        <v>54</v>
      </c>
      <c r="E723" s="161">
        <v>1</v>
      </c>
      <c r="F723" s="161">
        <v>1800</v>
      </c>
      <c r="G723" s="162">
        <v>1800</v>
      </c>
      <c r="H723" s="67">
        <v>53</v>
      </c>
    </row>
    <row r="724" spans="1:8" x14ac:dyDescent="0.25">
      <c r="A724" s="212">
        <v>42060</v>
      </c>
      <c r="B724" s="160" t="s">
        <v>619</v>
      </c>
      <c r="C724" t="s">
        <v>620</v>
      </c>
      <c r="D724" t="s">
        <v>27</v>
      </c>
      <c r="E724" s="161">
        <v>10.5</v>
      </c>
      <c r="F724" s="161">
        <v>80</v>
      </c>
      <c r="G724" s="162">
        <v>840</v>
      </c>
      <c r="H724" s="67">
        <v>53</v>
      </c>
    </row>
    <row r="725" spans="1:8" x14ac:dyDescent="0.25">
      <c r="A725" s="212">
        <v>42061</v>
      </c>
      <c r="B725" s="160" t="s">
        <v>276</v>
      </c>
      <c r="C725" t="s">
        <v>1220</v>
      </c>
      <c r="D725" t="s">
        <v>27</v>
      </c>
      <c r="E725" s="161">
        <v>10.5</v>
      </c>
      <c r="F725" s="161">
        <v>35</v>
      </c>
      <c r="G725" s="162">
        <v>367.5</v>
      </c>
      <c r="H725" s="67">
        <v>53</v>
      </c>
    </row>
    <row r="726" spans="1:8" x14ac:dyDescent="0.25">
      <c r="A726" s="212">
        <v>42061</v>
      </c>
      <c r="B726" s="160" t="s">
        <v>664</v>
      </c>
      <c r="C726" t="s">
        <v>665</v>
      </c>
      <c r="D726" t="s">
        <v>527</v>
      </c>
      <c r="E726" s="161">
        <v>6</v>
      </c>
      <c r="F726" s="161">
        <v>35</v>
      </c>
      <c r="G726" s="162">
        <v>210</v>
      </c>
      <c r="H726" s="67">
        <v>53</v>
      </c>
    </row>
    <row r="727" spans="1:8" x14ac:dyDescent="0.25">
      <c r="A727" s="212">
        <v>42061</v>
      </c>
      <c r="B727" s="160" t="s">
        <v>1209</v>
      </c>
      <c r="C727" t="s">
        <v>1210</v>
      </c>
      <c r="D727" t="s">
        <v>27</v>
      </c>
      <c r="E727" s="161">
        <v>6</v>
      </c>
      <c r="F727" s="161">
        <v>42.79</v>
      </c>
      <c r="G727" s="162">
        <v>256.74</v>
      </c>
      <c r="H727" s="67">
        <v>53</v>
      </c>
    </row>
    <row r="728" spans="1:8" x14ac:dyDescent="0.25">
      <c r="A728" s="212">
        <v>42061</v>
      </c>
      <c r="B728" s="160" t="s">
        <v>1109</v>
      </c>
      <c r="C728" t="s">
        <v>7</v>
      </c>
      <c r="D728" t="s">
        <v>27</v>
      </c>
      <c r="E728" s="161">
        <v>6.5</v>
      </c>
      <c r="F728" s="161">
        <v>42.72</v>
      </c>
      <c r="G728" s="162">
        <v>277.68</v>
      </c>
      <c r="H728" s="67">
        <v>53</v>
      </c>
    </row>
    <row r="729" spans="1:8" x14ac:dyDescent="0.25">
      <c r="A729" s="212">
        <v>42062</v>
      </c>
      <c r="B729" s="160" t="s">
        <v>623</v>
      </c>
      <c r="C729" t="s">
        <v>7</v>
      </c>
      <c r="D729" t="s">
        <v>27</v>
      </c>
      <c r="E729" s="161">
        <v>4</v>
      </c>
      <c r="F729" s="161">
        <v>42.6</v>
      </c>
      <c r="G729" s="162">
        <v>170.4</v>
      </c>
      <c r="H729" s="67">
        <v>53</v>
      </c>
    </row>
    <row r="730" spans="1:8" x14ac:dyDescent="0.25">
      <c r="A730" s="213" t="s">
        <v>418</v>
      </c>
      <c r="B730" s="214" t="s">
        <v>669</v>
      </c>
      <c r="C730" s="215" t="s">
        <v>418</v>
      </c>
      <c r="D730" s="215" t="s">
        <v>418</v>
      </c>
      <c r="E730" s="216"/>
      <c r="F730" s="216"/>
      <c r="G730" s="217">
        <v>359268.44000000035</v>
      </c>
      <c r="H730" s="231" t="s">
        <v>418</v>
      </c>
    </row>
    <row r="731" spans="1:8" x14ac:dyDescent="0.25">
      <c r="A731" s="212" t="s">
        <v>418</v>
      </c>
      <c r="B731" s="160" t="s">
        <v>418</v>
      </c>
      <c r="C731" t="s">
        <v>418</v>
      </c>
      <c r="D731" t="s">
        <v>418</v>
      </c>
      <c r="E731" s="161"/>
      <c r="F731" s="161"/>
      <c r="G731" s="162"/>
      <c r="H731" s="67" t="s">
        <v>418</v>
      </c>
    </row>
    <row r="732" spans="1:8" x14ac:dyDescent="0.25">
      <c r="A732" s="209" t="s">
        <v>418</v>
      </c>
      <c r="B732" s="159" t="s">
        <v>1239</v>
      </c>
      <c r="C732" s="35" t="s">
        <v>418</v>
      </c>
      <c r="D732" s="35" t="s">
        <v>418</v>
      </c>
      <c r="E732" s="210"/>
      <c r="F732" s="210"/>
      <c r="G732" s="211"/>
      <c r="H732" s="229" t="s">
        <v>418</v>
      </c>
    </row>
    <row r="733" spans="1:8" x14ac:dyDescent="0.25">
      <c r="A733" s="212">
        <v>41929</v>
      </c>
      <c r="B733" s="160" t="s">
        <v>623</v>
      </c>
      <c r="C733" t="s">
        <v>7</v>
      </c>
      <c r="D733" t="s">
        <v>527</v>
      </c>
      <c r="E733" s="161">
        <v>10.5</v>
      </c>
      <c r="F733" s="161">
        <v>49.7</v>
      </c>
      <c r="G733" s="162">
        <v>521.85</v>
      </c>
      <c r="H733" s="67">
        <v>57</v>
      </c>
    </row>
    <row r="734" spans="1:8" x14ac:dyDescent="0.25">
      <c r="A734" s="212">
        <v>41944</v>
      </c>
      <c r="B734" s="160" t="s">
        <v>623</v>
      </c>
      <c r="C734" t="s">
        <v>7</v>
      </c>
      <c r="D734" t="s">
        <v>527</v>
      </c>
      <c r="E734" s="161">
        <v>8.5</v>
      </c>
      <c r="F734" s="161">
        <v>49.7</v>
      </c>
      <c r="G734" s="162">
        <v>422.45</v>
      </c>
      <c r="H734" s="67">
        <v>57</v>
      </c>
    </row>
    <row r="735" spans="1:8" x14ac:dyDescent="0.25">
      <c r="A735" s="212">
        <v>41946</v>
      </c>
      <c r="B735" s="160" t="s">
        <v>623</v>
      </c>
      <c r="C735" t="s">
        <v>7</v>
      </c>
      <c r="D735" t="s">
        <v>527</v>
      </c>
      <c r="E735" s="161">
        <v>10</v>
      </c>
      <c r="F735" s="161">
        <v>49.7</v>
      </c>
      <c r="G735" s="162">
        <v>497</v>
      </c>
      <c r="H735" s="67">
        <v>57</v>
      </c>
    </row>
    <row r="736" spans="1:8" x14ac:dyDescent="0.25">
      <c r="A736" s="212">
        <v>41946</v>
      </c>
      <c r="B736" s="160" t="s">
        <v>1212</v>
      </c>
      <c r="C736" t="s">
        <v>7</v>
      </c>
      <c r="D736" t="s">
        <v>27</v>
      </c>
      <c r="E736" s="161">
        <v>10.5</v>
      </c>
      <c r="F736" s="161">
        <v>42.72</v>
      </c>
      <c r="G736" s="162">
        <v>448.56</v>
      </c>
      <c r="H736" s="67">
        <v>57</v>
      </c>
    </row>
    <row r="737" spans="1:8" x14ac:dyDescent="0.25">
      <c r="A737" s="212">
        <v>41947</v>
      </c>
      <c r="B737" s="160" t="s">
        <v>619</v>
      </c>
      <c r="C737" t="s">
        <v>620</v>
      </c>
      <c r="D737" t="s">
        <v>27</v>
      </c>
      <c r="E737" s="161">
        <v>10.5</v>
      </c>
      <c r="F737" s="161">
        <v>80</v>
      </c>
      <c r="G737" s="162">
        <v>840</v>
      </c>
      <c r="H737" s="67">
        <v>57</v>
      </c>
    </row>
    <row r="738" spans="1:8" x14ac:dyDescent="0.25">
      <c r="A738" s="212">
        <v>41947</v>
      </c>
      <c r="B738" s="160" t="s">
        <v>1212</v>
      </c>
      <c r="C738" t="s">
        <v>7</v>
      </c>
      <c r="D738" t="s">
        <v>27</v>
      </c>
      <c r="E738" s="161">
        <v>10.5</v>
      </c>
      <c r="F738" s="161">
        <v>42.72</v>
      </c>
      <c r="G738" s="162">
        <v>448.56</v>
      </c>
      <c r="H738" s="67">
        <v>57</v>
      </c>
    </row>
    <row r="739" spans="1:8" x14ac:dyDescent="0.25">
      <c r="A739" s="212">
        <v>41947</v>
      </c>
      <c r="B739" s="160" t="s">
        <v>1211</v>
      </c>
      <c r="C739" t="s">
        <v>1233</v>
      </c>
      <c r="D739" t="s">
        <v>27</v>
      </c>
      <c r="E739" s="161">
        <v>5</v>
      </c>
      <c r="F739" s="161">
        <v>54.58</v>
      </c>
      <c r="G739" s="162">
        <v>272.89999999999998</v>
      </c>
      <c r="H739" s="67">
        <v>57</v>
      </c>
    </row>
    <row r="740" spans="1:8" x14ac:dyDescent="0.25">
      <c r="A740" s="212">
        <v>41947</v>
      </c>
      <c r="B740" s="160" t="s">
        <v>1209</v>
      </c>
      <c r="C740" t="s">
        <v>1210</v>
      </c>
      <c r="D740" t="s">
        <v>27</v>
      </c>
      <c r="E740" s="161">
        <v>5</v>
      </c>
      <c r="F740" s="161">
        <v>42.79</v>
      </c>
      <c r="G740" s="162">
        <v>213.95</v>
      </c>
      <c r="H740" s="67">
        <v>57</v>
      </c>
    </row>
    <row r="741" spans="1:8" x14ac:dyDescent="0.25">
      <c r="A741" s="212">
        <v>41948</v>
      </c>
      <c r="B741" s="160" t="s">
        <v>623</v>
      </c>
      <c r="C741" t="s">
        <v>7</v>
      </c>
      <c r="D741" t="s">
        <v>527</v>
      </c>
      <c r="E741" s="161">
        <v>5</v>
      </c>
      <c r="F741" s="161">
        <v>49.7</v>
      </c>
      <c r="G741" s="162">
        <v>248.5</v>
      </c>
      <c r="H741" s="67">
        <v>57</v>
      </c>
    </row>
    <row r="742" spans="1:8" x14ac:dyDescent="0.25">
      <c r="A742" s="212">
        <v>41948</v>
      </c>
      <c r="B742" s="160" t="s">
        <v>619</v>
      </c>
      <c r="C742" t="s">
        <v>620</v>
      </c>
      <c r="D742" t="s">
        <v>27</v>
      </c>
      <c r="E742" s="161">
        <v>4</v>
      </c>
      <c r="F742" s="161">
        <v>80</v>
      </c>
      <c r="G742" s="162">
        <v>320</v>
      </c>
      <c r="H742" s="67">
        <v>57</v>
      </c>
    </row>
    <row r="743" spans="1:8" x14ac:dyDescent="0.25">
      <c r="A743" s="212">
        <v>41949</v>
      </c>
      <c r="B743" s="160" t="s">
        <v>623</v>
      </c>
      <c r="C743" t="s">
        <v>7</v>
      </c>
      <c r="D743" t="s">
        <v>527</v>
      </c>
      <c r="E743" s="161">
        <v>10.5</v>
      </c>
      <c r="F743" s="161">
        <v>49.7</v>
      </c>
      <c r="G743" s="162">
        <v>521.85</v>
      </c>
      <c r="H743" s="67">
        <v>57</v>
      </c>
    </row>
    <row r="744" spans="1:8" x14ac:dyDescent="0.25">
      <c r="A744" s="212">
        <v>41949</v>
      </c>
      <c r="B744" s="160" t="s">
        <v>623</v>
      </c>
      <c r="C744" t="s">
        <v>7</v>
      </c>
      <c r="D744" t="s">
        <v>27</v>
      </c>
      <c r="E744" s="161">
        <v>1</v>
      </c>
      <c r="F744" s="161">
        <v>42.6</v>
      </c>
      <c r="G744" s="162">
        <v>42.6</v>
      </c>
      <c r="H744" s="67">
        <v>57</v>
      </c>
    </row>
    <row r="745" spans="1:8" x14ac:dyDescent="0.25">
      <c r="A745" s="212">
        <v>41950</v>
      </c>
      <c r="B745" s="160" t="s">
        <v>619</v>
      </c>
      <c r="C745" t="s">
        <v>620</v>
      </c>
      <c r="D745" t="s">
        <v>27</v>
      </c>
      <c r="E745" s="161">
        <v>8.5</v>
      </c>
      <c r="F745" s="161">
        <v>80</v>
      </c>
      <c r="G745" s="162">
        <v>680</v>
      </c>
      <c r="H745" s="67">
        <v>57</v>
      </c>
    </row>
    <row r="746" spans="1:8" x14ac:dyDescent="0.25">
      <c r="A746" s="212">
        <v>41950</v>
      </c>
      <c r="B746" s="160" t="s">
        <v>1109</v>
      </c>
      <c r="C746" t="s">
        <v>7</v>
      </c>
      <c r="D746" t="s">
        <v>27</v>
      </c>
      <c r="E746" s="161">
        <v>5</v>
      </c>
      <c r="F746" s="161">
        <v>42.72</v>
      </c>
      <c r="G746" s="162">
        <v>213.6</v>
      </c>
      <c r="H746" s="67">
        <v>57</v>
      </c>
    </row>
    <row r="747" spans="1:8" x14ac:dyDescent="0.25">
      <c r="A747" s="212">
        <v>41950</v>
      </c>
      <c r="B747" s="160" t="s">
        <v>623</v>
      </c>
      <c r="C747" t="s">
        <v>7</v>
      </c>
      <c r="D747" t="s">
        <v>527</v>
      </c>
      <c r="E747" s="161">
        <v>10</v>
      </c>
      <c r="F747" s="161">
        <v>49.7</v>
      </c>
      <c r="G747" s="162">
        <v>497</v>
      </c>
      <c r="H747" s="67">
        <v>57</v>
      </c>
    </row>
    <row r="748" spans="1:8" x14ac:dyDescent="0.25">
      <c r="A748" s="212">
        <v>41950</v>
      </c>
      <c r="B748" s="160" t="s">
        <v>638</v>
      </c>
      <c r="C748" t="s">
        <v>618</v>
      </c>
      <c r="D748" t="s">
        <v>27</v>
      </c>
      <c r="E748" s="161">
        <v>10</v>
      </c>
      <c r="F748" s="161">
        <v>130</v>
      </c>
      <c r="G748" s="162">
        <v>1300</v>
      </c>
      <c r="H748" s="67">
        <v>57</v>
      </c>
    </row>
    <row r="749" spans="1:8" x14ac:dyDescent="0.25">
      <c r="A749" s="212">
        <v>41950</v>
      </c>
      <c r="B749" s="160" t="s">
        <v>623</v>
      </c>
      <c r="C749" t="s">
        <v>7</v>
      </c>
      <c r="D749" t="s">
        <v>27</v>
      </c>
      <c r="E749" s="161">
        <v>9</v>
      </c>
      <c r="F749" s="161">
        <v>42.6</v>
      </c>
      <c r="G749" s="162">
        <v>383.4</v>
      </c>
      <c r="H749" s="67">
        <v>57</v>
      </c>
    </row>
    <row r="750" spans="1:8" x14ac:dyDescent="0.25">
      <c r="A750" s="212">
        <v>41951</v>
      </c>
      <c r="B750" s="160" t="s">
        <v>638</v>
      </c>
      <c r="C750" t="s">
        <v>618</v>
      </c>
      <c r="D750" t="s">
        <v>27</v>
      </c>
      <c r="E750" s="161">
        <v>7</v>
      </c>
      <c r="F750" s="161">
        <v>130</v>
      </c>
      <c r="G750" s="162">
        <v>910</v>
      </c>
      <c r="H750" s="67">
        <v>57</v>
      </c>
    </row>
    <row r="751" spans="1:8" x14ac:dyDescent="0.25">
      <c r="A751" s="212">
        <v>41951</v>
      </c>
      <c r="B751" s="160" t="s">
        <v>619</v>
      </c>
      <c r="C751" t="s">
        <v>620</v>
      </c>
      <c r="D751" t="s">
        <v>27</v>
      </c>
      <c r="E751" s="161">
        <v>6.5</v>
      </c>
      <c r="F751" s="161">
        <v>80</v>
      </c>
      <c r="G751" s="162">
        <v>520</v>
      </c>
      <c r="H751" s="67">
        <v>57</v>
      </c>
    </row>
    <row r="752" spans="1:8" x14ac:dyDescent="0.25">
      <c r="A752" s="212">
        <v>41953</v>
      </c>
      <c r="B752" s="160" t="s">
        <v>623</v>
      </c>
      <c r="C752" t="s">
        <v>7</v>
      </c>
      <c r="D752" t="s">
        <v>527</v>
      </c>
      <c r="E752" s="161">
        <v>10</v>
      </c>
      <c r="F752" s="161">
        <v>49.7</v>
      </c>
      <c r="G752" s="162">
        <v>497</v>
      </c>
      <c r="H752" s="67">
        <v>57</v>
      </c>
    </row>
    <row r="753" spans="1:8" x14ac:dyDescent="0.25">
      <c r="A753" s="212">
        <v>41953</v>
      </c>
      <c r="B753" s="160" t="s">
        <v>1109</v>
      </c>
      <c r="C753" t="s">
        <v>7</v>
      </c>
      <c r="D753" t="s">
        <v>27</v>
      </c>
      <c r="E753" s="161">
        <v>4.5</v>
      </c>
      <c r="F753" s="161">
        <v>42.72</v>
      </c>
      <c r="G753" s="162">
        <v>192.24</v>
      </c>
      <c r="H753" s="67">
        <v>57</v>
      </c>
    </row>
    <row r="754" spans="1:8" x14ac:dyDescent="0.25">
      <c r="A754" s="212">
        <v>41953</v>
      </c>
      <c r="B754" s="160" t="s">
        <v>619</v>
      </c>
      <c r="C754" t="s">
        <v>620</v>
      </c>
      <c r="D754" t="s">
        <v>27</v>
      </c>
      <c r="E754" s="161">
        <v>10</v>
      </c>
      <c r="F754" s="161">
        <v>80</v>
      </c>
      <c r="G754" s="162">
        <v>800</v>
      </c>
      <c r="H754" s="67">
        <v>57</v>
      </c>
    </row>
    <row r="755" spans="1:8" x14ac:dyDescent="0.25">
      <c r="A755" s="212">
        <v>41956</v>
      </c>
      <c r="B755" s="160" t="s">
        <v>623</v>
      </c>
      <c r="C755" t="s">
        <v>7</v>
      </c>
      <c r="D755" t="s">
        <v>527</v>
      </c>
      <c r="E755" s="161">
        <v>10.5</v>
      </c>
      <c r="F755" s="161">
        <v>49.7</v>
      </c>
      <c r="G755" s="162">
        <v>521.85</v>
      </c>
      <c r="H755" s="67">
        <v>57</v>
      </c>
    </row>
    <row r="756" spans="1:8" x14ac:dyDescent="0.25">
      <c r="A756" s="212">
        <v>41956</v>
      </c>
      <c r="B756" s="160" t="s">
        <v>619</v>
      </c>
      <c r="C756" t="s">
        <v>620</v>
      </c>
      <c r="D756" t="s">
        <v>27</v>
      </c>
      <c r="E756" s="161">
        <v>3.5</v>
      </c>
      <c r="F756" s="161">
        <v>80</v>
      </c>
      <c r="G756" s="162">
        <v>280</v>
      </c>
      <c r="H756" s="67">
        <v>57</v>
      </c>
    </row>
    <row r="757" spans="1:8" x14ac:dyDescent="0.25">
      <c r="A757" s="212">
        <v>41957</v>
      </c>
      <c r="B757" s="160" t="s">
        <v>619</v>
      </c>
      <c r="C757" t="s">
        <v>620</v>
      </c>
      <c r="D757" t="s">
        <v>27</v>
      </c>
      <c r="E757" s="161">
        <v>4</v>
      </c>
      <c r="F757" s="161">
        <v>80</v>
      </c>
      <c r="G757" s="162">
        <v>320</v>
      </c>
      <c r="H757" s="67">
        <v>57</v>
      </c>
    </row>
    <row r="758" spans="1:8" x14ac:dyDescent="0.25">
      <c r="A758" s="212">
        <v>41958</v>
      </c>
      <c r="B758" s="160" t="s">
        <v>1212</v>
      </c>
      <c r="C758" t="s">
        <v>7</v>
      </c>
      <c r="D758" t="s">
        <v>27</v>
      </c>
      <c r="E758" s="161">
        <v>9.5</v>
      </c>
      <c r="F758" s="161">
        <v>42.72</v>
      </c>
      <c r="G758" s="162">
        <v>405.84</v>
      </c>
      <c r="H758" s="67">
        <v>57</v>
      </c>
    </row>
    <row r="759" spans="1:8" x14ac:dyDescent="0.25">
      <c r="A759" s="212">
        <v>41958</v>
      </c>
      <c r="B759" s="160" t="s">
        <v>623</v>
      </c>
      <c r="C759" t="s">
        <v>7</v>
      </c>
      <c r="D759" t="s">
        <v>527</v>
      </c>
      <c r="E759" s="161">
        <v>9</v>
      </c>
      <c r="F759" s="161">
        <v>49.7</v>
      </c>
      <c r="G759" s="162">
        <v>447.3</v>
      </c>
      <c r="H759" s="67">
        <v>57</v>
      </c>
    </row>
    <row r="760" spans="1:8" x14ac:dyDescent="0.25">
      <c r="A760" s="212">
        <v>41961</v>
      </c>
      <c r="B760" s="160" t="s">
        <v>644</v>
      </c>
      <c r="C760" t="s">
        <v>645</v>
      </c>
      <c r="D760" t="s">
        <v>27</v>
      </c>
      <c r="E760" s="161">
        <v>3.75</v>
      </c>
      <c r="F760" s="161">
        <v>80</v>
      </c>
      <c r="G760" s="162">
        <v>300</v>
      </c>
      <c r="H760" s="67">
        <v>57</v>
      </c>
    </row>
    <row r="761" spans="1:8" x14ac:dyDescent="0.25">
      <c r="A761" s="212">
        <v>41961</v>
      </c>
      <c r="B761" s="160" t="s">
        <v>634</v>
      </c>
      <c r="C761" t="s">
        <v>635</v>
      </c>
      <c r="D761" t="s">
        <v>27</v>
      </c>
      <c r="E761" s="161">
        <v>10</v>
      </c>
      <c r="F761" s="161">
        <v>92.5</v>
      </c>
      <c r="G761" s="162">
        <v>925</v>
      </c>
      <c r="H761" s="67">
        <v>57</v>
      </c>
    </row>
    <row r="762" spans="1:8" x14ac:dyDescent="0.25">
      <c r="A762" s="212">
        <v>41961</v>
      </c>
      <c r="B762" s="160" t="s">
        <v>1212</v>
      </c>
      <c r="C762" t="s">
        <v>7</v>
      </c>
      <c r="D762" t="s">
        <v>27</v>
      </c>
      <c r="E762" s="161">
        <v>5</v>
      </c>
      <c r="F762" s="161">
        <v>42.72</v>
      </c>
      <c r="G762" s="162">
        <v>213.6</v>
      </c>
      <c r="H762" s="67">
        <v>57</v>
      </c>
    </row>
    <row r="763" spans="1:8" x14ac:dyDescent="0.25">
      <c r="A763" s="212">
        <v>41961</v>
      </c>
      <c r="B763" s="160" t="s">
        <v>644</v>
      </c>
      <c r="C763" t="s">
        <v>645</v>
      </c>
      <c r="D763" t="s">
        <v>27</v>
      </c>
      <c r="E763" s="161">
        <v>3.75</v>
      </c>
      <c r="F763" s="161">
        <v>80</v>
      </c>
      <c r="G763" s="162">
        <v>300</v>
      </c>
      <c r="H763" s="67">
        <v>57</v>
      </c>
    </row>
    <row r="764" spans="1:8" x14ac:dyDescent="0.25">
      <c r="A764" s="212">
        <v>41961</v>
      </c>
      <c r="B764" s="160" t="s">
        <v>619</v>
      </c>
      <c r="C764" t="s">
        <v>620</v>
      </c>
      <c r="D764" t="s">
        <v>27</v>
      </c>
      <c r="E764" s="161">
        <v>9</v>
      </c>
      <c r="F764" s="161">
        <v>80</v>
      </c>
      <c r="G764" s="162">
        <v>720</v>
      </c>
      <c r="H764" s="67">
        <v>57</v>
      </c>
    </row>
    <row r="765" spans="1:8" x14ac:dyDescent="0.25">
      <c r="A765" s="212">
        <v>41962</v>
      </c>
      <c r="B765" s="160" t="s">
        <v>623</v>
      </c>
      <c r="C765" t="s">
        <v>7</v>
      </c>
      <c r="D765" t="s">
        <v>527</v>
      </c>
      <c r="E765" s="161">
        <v>10</v>
      </c>
      <c r="F765" s="161">
        <v>49.7</v>
      </c>
      <c r="G765" s="162">
        <v>497</v>
      </c>
      <c r="H765" s="67">
        <v>57</v>
      </c>
    </row>
    <row r="766" spans="1:8" x14ac:dyDescent="0.25">
      <c r="A766" s="212">
        <v>41962</v>
      </c>
      <c r="B766" s="160" t="s">
        <v>1212</v>
      </c>
      <c r="C766" t="s">
        <v>7</v>
      </c>
      <c r="D766" t="s">
        <v>27</v>
      </c>
      <c r="E766" s="161">
        <v>10</v>
      </c>
      <c r="F766" s="161">
        <v>42.72</v>
      </c>
      <c r="G766" s="162">
        <v>427.2</v>
      </c>
      <c r="H766" s="67">
        <v>57</v>
      </c>
    </row>
    <row r="767" spans="1:8" x14ac:dyDescent="0.25">
      <c r="A767" s="212">
        <v>41962</v>
      </c>
      <c r="B767" s="160" t="s">
        <v>1109</v>
      </c>
      <c r="C767" t="s">
        <v>7</v>
      </c>
      <c r="D767" t="s">
        <v>27</v>
      </c>
      <c r="E767" s="161">
        <v>3</v>
      </c>
      <c r="F767" s="161">
        <v>42.72</v>
      </c>
      <c r="G767" s="162">
        <v>128.16</v>
      </c>
      <c r="H767" s="67">
        <v>57</v>
      </c>
    </row>
    <row r="768" spans="1:8" x14ac:dyDescent="0.25">
      <c r="A768" s="212">
        <v>41962</v>
      </c>
      <c r="B768" s="160" t="s">
        <v>619</v>
      </c>
      <c r="C768" t="s">
        <v>620</v>
      </c>
      <c r="D768" t="s">
        <v>27</v>
      </c>
      <c r="E768" s="161">
        <v>10</v>
      </c>
      <c r="F768" s="161">
        <v>80</v>
      </c>
      <c r="G768" s="162">
        <v>800</v>
      </c>
      <c r="H768" s="67">
        <v>57</v>
      </c>
    </row>
    <row r="769" spans="1:8" x14ac:dyDescent="0.25">
      <c r="A769" s="212">
        <v>41963</v>
      </c>
      <c r="B769" s="160" t="s">
        <v>623</v>
      </c>
      <c r="C769" t="s">
        <v>7</v>
      </c>
      <c r="D769" t="s">
        <v>527</v>
      </c>
      <c r="E769" s="161">
        <v>10</v>
      </c>
      <c r="F769" s="161">
        <v>49.7</v>
      </c>
      <c r="G769" s="162">
        <v>497</v>
      </c>
      <c r="H769" s="67">
        <v>57</v>
      </c>
    </row>
    <row r="770" spans="1:8" x14ac:dyDescent="0.25">
      <c r="A770" s="212">
        <v>41963</v>
      </c>
      <c r="B770" s="160" t="s">
        <v>619</v>
      </c>
      <c r="C770" t="s">
        <v>620</v>
      </c>
      <c r="D770" t="s">
        <v>27</v>
      </c>
      <c r="E770" s="161">
        <v>4</v>
      </c>
      <c r="F770" s="161">
        <v>80</v>
      </c>
      <c r="G770" s="162">
        <v>320</v>
      </c>
      <c r="H770" s="67">
        <v>57</v>
      </c>
    </row>
    <row r="771" spans="1:8" x14ac:dyDescent="0.25">
      <c r="A771" s="212">
        <v>41964</v>
      </c>
      <c r="B771" s="160" t="s">
        <v>623</v>
      </c>
      <c r="C771" t="s">
        <v>7</v>
      </c>
      <c r="D771" t="s">
        <v>527</v>
      </c>
      <c r="E771" s="161">
        <v>5.5</v>
      </c>
      <c r="F771" s="161">
        <v>49.7</v>
      </c>
      <c r="G771" s="162">
        <v>273.35000000000002</v>
      </c>
      <c r="H771" s="67">
        <v>57</v>
      </c>
    </row>
    <row r="772" spans="1:8" x14ac:dyDescent="0.25">
      <c r="A772" s="212">
        <v>41964</v>
      </c>
      <c r="B772" s="160" t="s">
        <v>619</v>
      </c>
      <c r="C772" t="s">
        <v>620</v>
      </c>
      <c r="D772" t="s">
        <v>27</v>
      </c>
      <c r="E772" s="161">
        <v>5</v>
      </c>
      <c r="F772" s="161">
        <v>80</v>
      </c>
      <c r="G772" s="162">
        <v>400</v>
      </c>
      <c r="H772" s="67">
        <v>57</v>
      </c>
    </row>
    <row r="773" spans="1:8" x14ac:dyDescent="0.25">
      <c r="A773" s="212">
        <v>41967</v>
      </c>
      <c r="B773" s="160" t="s">
        <v>1211</v>
      </c>
      <c r="C773" t="s">
        <v>1233</v>
      </c>
      <c r="D773" t="s">
        <v>27</v>
      </c>
      <c r="E773" s="161">
        <v>7</v>
      </c>
      <c r="F773" s="161">
        <v>54.58</v>
      </c>
      <c r="G773" s="162">
        <v>382.06</v>
      </c>
      <c r="H773" s="67">
        <v>57</v>
      </c>
    </row>
    <row r="774" spans="1:8" x14ac:dyDescent="0.25">
      <c r="A774" s="212">
        <v>41967</v>
      </c>
      <c r="B774" s="160" t="s">
        <v>1212</v>
      </c>
      <c r="C774" t="s">
        <v>7</v>
      </c>
      <c r="D774" t="s">
        <v>27</v>
      </c>
      <c r="E774" s="161">
        <v>10</v>
      </c>
      <c r="F774" s="161">
        <v>42.72</v>
      </c>
      <c r="G774" s="162">
        <v>427.2</v>
      </c>
      <c r="H774" s="67">
        <v>57</v>
      </c>
    </row>
    <row r="775" spans="1:8" x14ac:dyDescent="0.25">
      <c r="A775" s="212">
        <v>41967</v>
      </c>
      <c r="B775" s="160" t="s">
        <v>619</v>
      </c>
      <c r="C775" t="s">
        <v>620</v>
      </c>
      <c r="D775" t="s">
        <v>27</v>
      </c>
      <c r="E775" s="161">
        <v>8.5</v>
      </c>
      <c r="F775" s="161">
        <v>80</v>
      </c>
      <c r="G775" s="162">
        <v>680</v>
      </c>
      <c r="H775" s="67">
        <v>57</v>
      </c>
    </row>
    <row r="776" spans="1:8" x14ac:dyDescent="0.25">
      <c r="A776" s="212">
        <v>41967</v>
      </c>
      <c r="B776" s="160" t="s">
        <v>623</v>
      </c>
      <c r="C776" t="s">
        <v>7</v>
      </c>
      <c r="D776" t="s">
        <v>527</v>
      </c>
      <c r="E776" s="161">
        <v>9.5</v>
      </c>
      <c r="F776" s="161">
        <v>49.7</v>
      </c>
      <c r="G776" s="162">
        <v>472.15</v>
      </c>
      <c r="H776" s="67">
        <v>57</v>
      </c>
    </row>
    <row r="777" spans="1:8" x14ac:dyDescent="0.25">
      <c r="A777" s="212">
        <v>41967</v>
      </c>
      <c r="B777" s="160" t="s">
        <v>1213</v>
      </c>
      <c r="C777" t="s">
        <v>1214</v>
      </c>
      <c r="D777" t="s">
        <v>27</v>
      </c>
      <c r="E777" s="161">
        <v>1</v>
      </c>
      <c r="F777" s="161">
        <v>35</v>
      </c>
      <c r="G777" s="162">
        <v>35</v>
      </c>
      <c r="H777" s="67">
        <v>57</v>
      </c>
    </row>
    <row r="778" spans="1:8" x14ac:dyDescent="0.25">
      <c r="A778" s="212">
        <v>41967</v>
      </c>
      <c r="B778" s="160" t="s">
        <v>1209</v>
      </c>
      <c r="C778" t="s">
        <v>1210</v>
      </c>
      <c r="D778" t="s">
        <v>27</v>
      </c>
      <c r="E778" s="161">
        <v>6</v>
      </c>
      <c r="F778" s="161">
        <v>42.79</v>
      </c>
      <c r="G778" s="162">
        <v>256.74</v>
      </c>
      <c r="H778" s="67">
        <v>57</v>
      </c>
    </row>
    <row r="779" spans="1:8" x14ac:dyDescent="0.25">
      <c r="A779" s="212">
        <v>41967</v>
      </c>
      <c r="B779" s="160" t="s">
        <v>1109</v>
      </c>
      <c r="C779" t="s">
        <v>7</v>
      </c>
      <c r="D779" t="s">
        <v>27</v>
      </c>
      <c r="E779" s="161">
        <v>7</v>
      </c>
      <c r="F779" s="161">
        <v>42.72</v>
      </c>
      <c r="G779" s="162">
        <v>299.04000000000002</v>
      </c>
      <c r="H779" s="67">
        <v>57</v>
      </c>
    </row>
    <row r="780" spans="1:8" x14ac:dyDescent="0.25">
      <c r="A780" s="212">
        <v>41969</v>
      </c>
      <c r="B780" s="160" t="s">
        <v>1209</v>
      </c>
      <c r="C780" t="s">
        <v>1210</v>
      </c>
      <c r="D780" t="s">
        <v>27</v>
      </c>
      <c r="E780" s="161">
        <v>7.5</v>
      </c>
      <c r="F780" s="161">
        <v>42.79</v>
      </c>
      <c r="G780" s="162">
        <v>320.92500000000001</v>
      </c>
      <c r="H780" s="67">
        <v>57</v>
      </c>
    </row>
    <row r="781" spans="1:8" x14ac:dyDescent="0.25">
      <c r="A781" s="212">
        <v>41970</v>
      </c>
      <c r="B781" s="160" t="s">
        <v>644</v>
      </c>
      <c r="C781" t="s">
        <v>645</v>
      </c>
      <c r="D781" t="s">
        <v>27</v>
      </c>
      <c r="E781" s="161">
        <v>5.75</v>
      </c>
      <c r="F781" s="161">
        <v>80</v>
      </c>
      <c r="G781" s="162">
        <v>460</v>
      </c>
      <c r="H781" s="67">
        <v>57</v>
      </c>
    </row>
    <row r="782" spans="1:8" x14ac:dyDescent="0.25">
      <c r="A782" s="212">
        <v>41970</v>
      </c>
      <c r="B782" s="160" t="s">
        <v>623</v>
      </c>
      <c r="C782" t="s">
        <v>7</v>
      </c>
      <c r="D782" t="s">
        <v>527</v>
      </c>
      <c r="E782" s="161">
        <v>10</v>
      </c>
      <c r="F782" s="161">
        <v>49.7</v>
      </c>
      <c r="G782" s="162">
        <v>497</v>
      </c>
      <c r="H782" s="67">
        <v>57</v>
      </c>
    </row>
    <row r="783" spans="1:8" x14ac:dyDescent="0.25">
      <c r="A783" s="212">
        <v>41970</v>
      </c>
      <c r="B783" s="160" t="s">
        <v>619</v>
      </c>
      <c r="C783" t="s">
        <v>620</v>
      </c>
      <c r="D783" t="s">
        <v>27</v>
      </c>
      <c r="E783" s="161">
        <v>2.5</v>
      </c>
      <c r="F783" s="161">
        <v>80</v>
      </c>
      <c r="G783" s="162">
        <v>200</v>
      </c>
      <c r="H783" s="67">
        <v>57</v>
      </c>
    </row>
    <row r="784" spans="1:8" x14ac:dyDescent="0.25">
      <c r="A784" s="212">
        <v>41971</v>
      </c>
      <c r="B784" s="160" t="s">
        <v>619</v>
      </c>
      <c r="C784" t="s">
        <v>620</v>
      </c>
      <c r="D784" t="s">
        <v>27</v>
      </c>
      <c r="E784" s="161">
        <v>4</v>
      </c>
      <c r="F784" s="161">
        <v>80</v>
      </c>
      <c r="G784" s="162">
        <v>320</v>
      </c>
      <c r="H784" s="67">
        <v>57</v>
      </c>
    </row>
    <row r="785" spans="1:8" x14ac:dyDescent="0.25">
      <c r="A785" s="212">
        <v>41971</v>
      </c>
      <c r="B785" s="160" t="s">
        <v>623</v>
      </c>
      <c r="C785" t="s">
        <v>7</v>
      </c>
      <c r="D785" t="s">
        <v>527</v>
      </c>
      <c r="E785" s="161">
        <v>5</v>
      </c>
      <c r="F785" s="161">
        <v>49.7</v>
      </c>
      <c r="G785" s="162">
        <v>248.5</v>
      </c>
      <c r="H785" s="67">
        <v>57</v>
      </c>
    </row>
    <row r="786" spans="1:8" x14ac:dyDescent="0.25">
      <c r="A786" s="212">
        <v>41976</v>
      </c>
      <c r="B786" s="160" t="s">
        <v>1212</v>
      </c>
      <c r="C786" t="s">
        <v>7</v>
      </c>
      <c r="D786" t="s">
        <v>27</v>
      </c>
      <c r="E786" s="161">
        <v>9.5</v>
      </c>
      <c r="F786" s="161">
        <v>42.72</v>
      </c>
      <c r="G786" s="162">
        <v>405.84</v>
      </c>
      <c r="H786" s="67">
        <v>57</v>
      </c>
    </row>
    <row r="787" spans="1:8" x14ac:dyDescent="0.25">
      <c r="A787" s="212">
        <v>41976</v>
      </c>
      <c r="B787" s="160" t="s">
        <v>1209</v>
      </c>
      <c r="C787" t="s">
        <v>1210</v>
      </c>
      <c r="D787" t="s">
        <v>27</v>
      </c>
      <c r="E787" s="161">
        <v>9</v>
      </c>
      <c r="F787" s="161">
        <v>42.79</v>
      </c>
      <c r="G787" s="162">
        <v>385.11</v>
      </c>
      <c r="H787" s="67">
        <v>57</v>
      </c>
    </row>
    <row r="788" spans="1:8" x14ac:dyDescent="0.25">
      <c r="A788" s="212">
        <v>41976</v>
      </c>
      <c r="B788" s="160" t="s">
        <v>1212</v>
      </c>
      <c r="C788" t="s">
        <v>7</v>
      </c>
      <c r="D788" t="s">
        <v>27</v>
      </c>
      <c r="E788" s="161">
        <v>9.5</v>
      </c>
      <c r="F788" s="161">
        <v>42.72</v>
      </c>
      <c r="G788" s="162">
        <v>405.84</v>
      </c>
      <c r="H788" s="67">
        <v>57</v>
      </c>
    </row>
    <row r="789" spans="1:8" x14ac:dyDescent="0.25">
      <c r="A789" s="212">
        <v>41976</v>
      </c>
      <c r="B789" s="160" t="s">
        <v>1211</v>
      </c>
      <c r="C789" t="s">
        <v>1233</v>
      </c>
      <c r="D789" t="s">
        <v>27</v>
      </c>
      <c r="E789" s="161">
        <v>9.5</v>
      </c>
      <c r="F789" s="161">
        <v>54.58</v>
      </c>
      <c r="G789" s="162">
        <v>518.51</v>
      </c>
      <c r="H789" s="67">
        <v>57</v>
      </c>
    </row>
    <row r="790" spans="1:8" x14ac:dyDescent="0.25">
      <c r="A790" s="212">
        <v>41976</v>
      </c>
      <c r="B790" s="160" t="s">
        <v>1109</v>
      </c>
      <c r="C790" t="s">
        <v>7</v>
      </c>
      <c r="D790" t="s">
        <v>27</v>
      </c>
      <c r="E790" s="161">
        <v>5</v>
      </c>
      <c r="F790" s="161">
        <v>42.72</v>
      </c>
      <c r="G790" s="162">
        <v>213.6</v>
      </c>
      <c r="H790" s="67">
        <v>57</v>
      </c>
    </row>
    <row r="791" spans="1:8" x14ac:dyDescent="0.25">
      <c r="A791" s="212">
        <v>41976</v>
      </c>
      <c r="B791" s="160" t="s">
        <v>276</v>
      </c>
      <c r="C791" t="s">
        <v>1220</v>
      </c>
      <c r="D791" t="s">
        <v>27</v>
      </c>
      <c r="E791" s="161">
        <v>1</v>
      </c>
      <c r="F791" s="161">
        <v>35</v>
      </c>
      <c r="G791" s="162">
        <v>35</v>
      </c>
      <c r="H791" s="67">
        <v>57</v>
      </c>
    </row>
    <row r="792" spans="1:8" x14ac:dyDescent="0.25">
      <c r="A792" s="212">
        <v>41976</v>
      </c>
      <c r="B792" s="160" t="s">
        <v>286</v>
      </c>
      <c r="C792" t="s">
        <v>633</v>
      </c>
      <c r="D792" t="s">
        <v>27</v>
      </c>
      <c r="E792" s="161">
        <v>9.5</v>
      </c>
      <c r="F792" s="161">
        <v>90</v>
      </c>
      <c r="G792" s="162">
        <v>855</v>
      </c>
      <c r="H792" s="67">
        <v>57</v>
      </c>
    </row>
    <row r="793" spans="1:8" x14ac:dyDescent="0.25">
      <c r="A793" s="212">
        <v>41976</v>
      </c>
      <c r="B793" s="160" t="s">
        <v>634</v>
      </c>
      <c r="C793" t="s">
        <v>635</v>
      </c>
      <c r="D793" t="s">
        <v>27</v>
      </c>
      <c r="E793" s="161">
        <v>4.5</v>
      </c>
      <c r="F793" s="161">
        <v>92.5</v>
      </c>
      <c r="G793" s="162">
        <v>416.25</v>
      </c>
      <c r="H793" s="67">
        <v>57</v>
      </c>
    </row>
    <row r="794" spans="1:8" x14ac:dyDescent="0.25">
      <c r="A794" s="212">
        <v>41977</v>
      </c>
      <c r="B794" s="160" t="s">
        <v>1109</v>
      </c>
      <c r="C794" t="s">
        <v>7</v>
      </c>
      <c r="D794" t="s">
        <v>27</v>
      </c>
      <c r="E794" s="161">
        <v>6</v>
      </c>
      <c r="F794" s="161">
        <v>42.72</v>
      </c>
      <c r="G794" s="162">
        <v>256.32</v>
      </c>
      <c r="H794" s="67">
        <v>57</v>
      </c>
    </row>
    <row r="795" spans="1:8" x14ac:dyDescent="0.25">
      <c r="A795" s="212">
        <v>41977</v>
      </c>
      <c r="B795" s="160" t="s">
        <v>623</v>
      </c>
      <c r="C795" t="s">
        <v>7</v>
      </c>
      <c r="D795" t="s">
        <v>27</v>
      </c>
      <c r="E795" s="161">
        <v>10.5</v>
      </c>
      <c r="F795" s="161">
        <v>42.6</v>
      </c>
      <c r="G795" s="162">
        <v>447.3</v>
      </c>
      <c r="H795" s="67">
        <v>57</v>
      </c>
    </row>
    <row r="796" spans="1:8" x14ac:dyDescent="0.25">
      <c r="A796" s="212">
        <v>41977</v>
      </c>
      <c r="B796" s="160" t="s">
        <v>619</v>
      </c>
      <c r="C796" t="s">
        <v>620</v>
      </c>
      <c r="D796" t="s">
        <v>27</v>
      </c>
      <c r="E796" s="161">
        <v>7</v>
      </c>
      <c r="F796" s="161">
        <v>80</v>
      </c>
      <c r="G796" s="162">
        <v>560</v>
      </c>
      <c r="H796" s="67">
        <v>57</v>
      </c>
    </row>
    <row r="797" spans="1:8" x14ac:dyDescent="0.25">
      <c r="A797" s="212">
        <v>42023</v>
      </c>
      <c r="B797" s="160" t="s">
        <v>276</v>
      </c>
      <c r="C797" t="s">
        <v>1220</v>
      </c>
      <c r="D797" t="s">
        <v>27</v>
      </c>
      <c r="E797" s="161">
        <v>2.5</v>
      </c>
      <c r="F797" s="161">
        <v>35</v>
      </c>
      <c r="G797" s="162">
        <v>87.5</v>
      </c>
      <c r="H797" s="67">
        <v>57</v>
      </c>
    </row>
    <row r="798" spans="1:8" x14ac:dyDescent="0.25">
      <c r="A798" s="212">
        <v>42023</v>
      </c>
      <c r="B798" s="160" t="s">
        <v>1109</v>
      </c>
      <c r="C798" t="s">
        <v>7</v>
      </c>
      <c r="D798" t="s">
        <v>27</v>
      </c>
      <c r="E798" s="161">
        <v>3</v>
      </c>
      <c r="F798" s="161">
        <v>42.72</v>
      </c>
      <c r="G798" s="162">
        <v>128.16</v>
      </c>
      <c r="H798" s="67">
        <v>57</v>
      </c>
    </row>
    <row r="799" spans="1:8" x14ac:dyDescent="0.25">
      <c r="A799" s="212">
        <v>42024</v>
      </c>
      <c r="B799" s="160" t="s">
        <v>1212</v>
      </c>
      <c r="C799" t="s">
        <v>7</v>
      </c>
      <c r="D799" t="s">
        <v>27</v>
      </c>
      <c r="E799" s="161">
        <v>10.5</v>
      </c>
      <c r="F799" s="161">
        <v>42.72</v>
      </c>
      <c r="G799" s="162">
        <v>448.56</v>
      </c>
      <c r="H799" s="67">
        <v>57</v>
      </c>
    </row>
    <row r="800" spans="1:8" x14ac:dyDescent="0.25">
      <c r="A800" s="212">
        <v>42024</v>
      </c>
      <c r="B800" s="160" t="s">
        <v>1109</v>
      </c>
      <c r="C800" t="s">
        <v>7</v>
      </c>
      <c r="D800" t="s">
        <v>27</v>
      </c>
      <c r="E800" s="161">
        <v>8</v>
      </c>
      <c r="F800" s="161">
        <v>42.72</v>
      </c>
      <c r="G800" s="162">
        <v>341.76</v>
      </c>
      <c r="H800" s="67">
        <v>57</v>
      </c>
    </row>
    <row r="801" spans="1:8" x14ac:dyDescent="0.25">
      <c r="A801" s="212">
        <v>42024</v>
      </c>
      <c r="B801" s="160" t="s">
        <v>276</v>
      </c>
      <c r="C801" t="s">
        <v>1220</v>
      </c>
      <c r="D801" t="s">
        <v>27</v>
      </c>
      <c r="E801" s="161">
        <v>6.5</v>
      </c>
      <c r="F801" s="161">
        <v>35</v>
      </c>
      <c r="G801" s="162">
        <v>227.5</v>
      </c>
      <c r="H801" s="67">
        <v>57</v>
      </c>
    </row>
    <row r="802" spans="1:8" x14ac:dyDescent="0.25">
      <c r="A802" s="212">
        <v>42058</v>
      </c>
      <c r="B802" s="160" t="s">
        <v>623</v>
      </c>
      <c r="C802" t="s">
        <v>7</v>
      </c>
      <c r="D802" t="s">
        <v>27</v>
      </c>
      <c r="E802" s="161">
        <v>9</v>
      </c>
      <c r="F802" s="161">
        <v>46.85</v>
      </c>
      <c r="G802" s="162">
        <v>421.65</v>
      </c>
      <c r="H802" s="67">
        <v>57</v>
      </c>
    </row>
    <row r="803" spans="1:8" x14ac:dyDescent="0.25">
      <c r="A803" s="212">
        <v>42058</v>
      </c>
      <c r="B803" s="160" t="s">
        <v>623</v>
      </c>
      <c r="C803" t="s">
        <v>7</v>
      </c>
      <c r="D803" t="s">
        <v>527</v>
      </c>
      <c r="E803" s="161">
        <v>9</v>
      </c>
      <c r="F803" s="161">
        <v>49.7</v>
      </c>
      <c r="G803" s="162">
        <v>447.3</v>
      </c>
      <c r="H803" s="67">
        <v>57</v>
      </c>
    </row>
    <row r="804" spans="1:8" x14ac:dyDescent="0.25">
      <c r="A804" s="212">
        <v>42058</v>
      </c>
      <c r="B804" s="160" t="s">
        <v>1109</v>
      </c>
      <c r="C804" t="s">
        <v>7</v>
      </c>
      <c r="D804" t="s">
        <v>27</v>
      </c>
      <c r="E804" s="161">
        <v>7</v>
      </c>
      <c r="F804" s="161">
        <v>42.72</v>
      </c>
      <c r="G804" s="162">
        <v>299.04000000000002</v>
      </c>
      <c r="H804" s="67">
        <v>57</v>
      </c>
    </row>
    <row r="805" spans="1:8" x14ac:dyDescent="0.25">
      <c r="A805" s="212">
        <v>42058</v>
      </c>
      <c r="B805" s="160" t="s">
        <v>276</v>
      </c>
      <c r="C805" t="s">
        <v>1220</v>
      </c>
      <c r="D805" t="s">
        <v>27</v>
      </c>
      <c r="E805" s="161">
        <v>9</v>
      </c>
      <c r="F805" s="161">
        <v>35</v>
      </c>
      <c r="G805" s="162">
        <v>315</v>
      </c>
      <c r="H805" s="67">
        <v>57</v>
      </c>
    </row>
    <row r="806" spans="1:8" x14ac:dyDescent="0.25">
      <c r="A806" s="212">
        <v>42058</v>
      </c>
      <c r="B806" s="160" t="s">
        <v>619</v>
      </c>
      <c r="C806" t="s">
        <v>620</v>
      </c>
      <c r="D806" t="s">
        <v>27</v>
      </c>
      <c r="E806" s="161">
        <v>9</v>
      </c>
      <c r="F806" s="161">
        <v>80</v>
      </c>
      <c r="G806" s="162">
        <v>720</v>
      </c>
      <c r="H806" s="67">
        <v>57</v>
      </c>
    </row>
    <row r="807" spans="1:8" x14ac:dyDescent="0.25">
      <c r="A807" s="212">
        <v>42058</v>
      </c>
      <c r="B807" s="160" t="s">
        <v>670</v>
      </c>
      <c r="C807" t="s">
        <v>7</v>
      </c>
      <c r="D807" t="s">
        <v>27</v>
      </c>
      <c r="E807" s="161">
        <v>9</v>
      </c>
      <c r="F807" s="161">
        <v>42.6</v>
      </c>
      <c r="G807" s="162">
        <v>383.4</v>
      </c>
      <c r="H807" s="67">
        <v>57</v>
      </c>
    </row>
    <row r="808" spans="1:8" x14ac:dyDescent="0.25">
      <c r="A808" s="212">
        <v>42060</v>
      </c>
      <c r="B808" s="160" t="s">
        <v>671</v>
      </c>
      <c r="C808" t="s">
        <v>672</v>
      </c>
      <c r="D808" t="s">
        <v>527</v>
      </c>
      <c r="E808" s="161">
        <v>1</v>
      </c>
      <c r="F808" s="161">
        <v>900</v>
      </c>
      <c r="G808" s="162">
        <v>900</v>
      </c>
      <c r="H808" s="67">
        <v>57</v>
      </c>
    </row>
    <row r="809" spans="1:8" x14ac:dyDescent="0.25">
      <c r="A809" s="212">
        <v>42061</v>
      </c>
      <c r="B809" s="160" t="s">
        <v>673</v>
      </c>
      <c r="C809" t="s">
        <v>674</v>
      </c>
      <c r="D809" t="s">
        <v>527</v>
      </c>
      <c r="E809" s="161">
        <v>1</v>
      </c>
      <c r="F809" s="161">
        <v>34.51</v>
      </c>
      <c r="G809" s="162">
        <v>34.51</v>
      </c>
      <c r="H809" s="67">
        <v>57</v>
      </c>
    </row>
    <row r="810" spans="1:8" x14ac:dyDescent="0.25">
      <c r="A810" s="212">
        <v>42061</v>
      </c>
      <c r="B810" s="160" t="s">
        <v>1109</v>
      </c>
      <c r="C810" t="s">
        <v>7</v>
      </c>
      <c r="D810" t="s">
        <v>27</v>
      </c>
      <c r="E810" s="161">
        <v>6</v>
      </c>
      <c r="F810" s="161">
        <v>42.72</v>
      </c>
      <c r="G810" s="162">
        <v>256.32</v>
      </c>
      <c r="H810" s="67">
        <v>57</v>
      </c>
    </row>
    <row r="811" spans="1:8" x14ac:dyDescent="0.25">
      <c r="A811" s="212">
        <v>42061</v>
      </c>
      <c r="B811" s="160" t="s">
        <v>619</v>
      </c>
      <c r="C811" t="s">
        <v>620</v>
      </c>
      <c r="D811" t="s">
        <v>27</v>
      </c>
      <c r="E811" s="161">
        <v>10.5</v>
      </c>
      <c r="F811" s="161">
        <v>80</v>
      </c>
      <c r="G811" s="162">
        <v>840</v>
      </c>
      <c r="H811" s="67">
        <v>57</v>
      </c>
    </row>
    <row r="812" spans="1:8" x14ac:dyDescent="0.25">
      <c r="A812" s="212">
        <v>42061</v>
      </c>
      <c r="B812" s="160" t="s">
        <v>1212</v>
      </c>
      <c r="C812" t="s">
        <v>7</v>
      </c>
      <c r="D812" t="s">
        <v>27</v>
      </c>
      <c r="E812" s="161">
        <v>10.5</v>
      </c>
      <c r="F812" s="161">
        <v>42.72</v>
      </c>
      <c r="G812" s="162">
        <v>448.56</v>
      </c>
      <c r="H812" s="67">
        <v>57</v>
      </c>
    </row>
    <row r="813" spans="1:8" x14ac:dyDescent="0.25">
      <c r="A813" s="212">
        <v>42061</v>
      </c>
      <c r="B813" s="160" t="s">
        <v>623</v>
      </c>
      <c r="C813" t="s">
        <v>7</v>
      </c>
      <c r="D813" t="s">
        <v>527</v>
      </c>
      <c r="E813" s="161">
        <v>10.5</v>
      </c>
      <c r="F813" s="161">
        <v>49.7</v>
      </c>
      <c r="G813" s="162">
        <v>521.85</v>
      </c>
      <c r="H813" s="67">
        <v>57</v>
      </c>
    </row>
    <row r="814" spans="1:8" x14ac:dyDescent="0.25">
      <c r="A814" s="212">
        <v>42062</v>
      </c>
      <c r="B814" s="160" t="s">
        <v>664</v>
      </c>
      <c r="C814" t="s">
        <v>665</v>
      </c>
      <c r="D814" t="s">
        <v>527</v>
      </c>
      <c r="E814" s="161">
        <v>6</v>
      </c>
      <c r="F814" s="161">
        <v>35</v>
      </c>
      <c r="G814" s="162">
        <v>210</v>
      </c>
      <c r="H814" s="67">
        <v>57</v>
      </c>
    </row>
    <row r="815" spans="1:8" x14ac:dyDescent="0.25">
      <c r="A815" s="212">
        <v>42063</v>
      </c>
      <c r="B815" s="160" t="s">
        <v>676</v>
      </c>
      <c r="C815" t="s">
        <v>677</v>
      </c>
      <c r="D815" t="s">
        <v>527</v>
      </c>
      <c r="E815" s="161">
        <v>1</v>
      </c>
      <c r="F815" s="161">
        <v>710.5</v>
      </c>
      <c r="G815" s="162">
        <v>710.5</v>
      </c>
      <c r="H815" s="67">
        <v>57</v>
      </c>
    </row>
    <row r="816" spans="1:8" x14ac:dyDescent="0.25">
      <c r="A816" s="212">
        <v>42063</v>
      </c>
      <c r="B816" s="160" t="s">
        <v>675</v>
      </c>
      <c r="C816" t="s">
        <v>649</v>
      </c>
      <c r="D816" t="s">
        <v>527</v>
      </c>
      <c r="E816" s="161">
        <v>1</v>
      </c>
      <c r="F816" s="161">
        <v>1080.8</v>
      </c>
      <c r="G816" s="162">
        <v>1080.8</v>
      </c>
      <c r="H816" s="67">
        <v>57</v>
      </c>
    </row>
    <row r="817" spans="1:8" x14ac:dyDescent="0.25">
      <c r="A817" s="213" t="s">
        <v>418</v>
      </c>
      <c r="B817" s="214" t="s">
        <v>678</v>
      </c>
      <c r="C817" s="215" t="s">
        <v>418</v>
      </c>
      <c r="D817" s="215" t="s">
        <v>418</v>
      </c>
      <c r="E817" s="216"/>
      <c r="F817" s="216"/>
      <c r="G817" s="217">
        <v>36487.555</v>
      </c>
      <c r="H817" s="231" t="s">
        <v>418</v>
      </c>
    </row>
    <row r="818" spans="1:8" x14ac:dyDescent="0.25">
      <c r="A818" s="212" t="s">
        <v>418</v>
      </c>
      <c r="B818" s="160" t="s">
        <v>418</v>
      </c>
      <c r="C818" t="s">
        <v>418</v>
      </c>
      <c r="D818" t="s">
        <v>418</v>
      </c>
      <c r="E818" s="161"/>
      <c r="F818" s="161"/>
      <c r="G818" s="162"/>
      <c r="H818" s="67" t="s">
        <v>418</v>
      </c>
    </row>
    <row r="819" spans="1:8" x14ac:dyDescent="0.25">
      <c r="A819" s="209" t="s">
        <v>418</v>
      </c>
      <c r="B819" s="159" t="s">
        <v>1240</v>
      </c>
      <c r="C819" s="35" t="s">
        <v>418</v>
      </c>
      <c r="D819" s="35" t="s">
        <v>418</v>
      </c>
      <c r="E819" s="210"/>
      <c r="F819" s="210"/>
      <c r="G819" s="211"/>
      <c r="H819" s="229" t="s">
        <v>418</v>
      </c>
    </row>
    <row r="820" spans="1:8" x14ac:dyDescent="0.25">
      <c r="A820" s="212">
        <v>41919</v>
      </c>
      <c r="B820" s="160" t="s">
        <v>624</v>
      </c>
      <c r="C820" t="s">
        <v>625</v>
      </c>
      <c r="D820" t="s">
        <v>54</v>
      </c>
      <c r="E820" s="161">
        <v>1</v>
      </c>
      <c r="F820" s="161">
        <v>1800</v>
      </c>
      <c r="G820" s="162">
        <v>1800</v>
      </c>
      <c r="H820" s="67">
        <v>61</v>
      </c>
    </row>
    <row r="821" spans="1:8" x14ac:dyDescent="0.25">
      <c r="A821" s="212">
        <v>41926</v>
      </c>
      <c r="B821" s="160" t="s">
        <v>623</v>
      </c>
      <c r="C821" t="s">
        <v>7</v>
      </c>
      <c r="D821" t="s">
        <v>27</v>
      </c>
      <c r="E821" s="161">
        <v>9</v>
      </c>
      <c r="F821" s="161">
        <v>42.6</v>
      </c>
      <c r="G821" s="162">
        <v>383.4</v>
      </c>
      <c r="H821" s="67">
        <v>61</v>
      </c>
    </row>
    <row r="822" spans="1:8" x14ac:dyDescent="0.25">
      <c r="A822" s="212">
        <v>41927</v>
      </c>
      <c r="B822" s="160" t="s">
        <v>623</v>
      </c>
      <c r="C822" t="s">
        <v>7</v>
      </c>
      <c r="D822" t="s">
        <v>27</v>
      </c>
      <c r="E822" s="161">
        <v>2</v>
      </c>
      <c r="F822" s="161">
        <v>42.6</v>
      </c>
      <c r="G822" s="162">
        <v>85.2</v>
      </c>
      <c r="H822" s="67">
        <v>61</v>
      </c>
    </row>
    <row r="823" spans="1:8" x14ac:dyDescent="0.25">
      <c r="A823" s="212">
        <v>41928</v>
      </c>
      <c r="B823" s="160" t="s">
        <v>623</v>
      </c>
      <c r="C823" t="s">
        <v>7</v>
      </c>
      <c r="D823" t="s">
        <v>27</v>
      </c>
      <c r="E823" s="161">
        <v>2</v>
      </c>
      <c r="F823" s="161">
        <v>42.6</v>
      </c>
      <c r="G823" s="162">
        <v>85.2</v>
      </c>
      <c r="H823" s="67">
        <v>61</v>
      </c>
    </row>
    <row r="824" spans="1:8" x14ac:dyDescent="0.25">
      <c r="A824" s="212">
        <v>41930</v>
      </c>
      <c r="B824" s="160" t="s">
        <v>679</v>
      </c>
      <c r="C824" t="s">
        <v>680</v>
      </c>
      <c r="D824" t="s">
        <v>527</v>
      </c>
      <c r="E824" s="161">
        <v>20.6</v>
      </c>
      <c r="F824" s="161">
        <v>7.5</v>
      </c>
      <c r="G824" s="162">
        <v>154.5</v>
      </c>
      <c r="H824" s="67">
        <v>61</v>
      </c>
    </row>
    <row r="825" spans="1:8" x14ac:dyDescent="0.25">
      <c r="A825" s="212">
        <v>41949</v>
      </c>
      <c r="B825" s="160" t="s">
        <v>1211</v>
      </c>
      <c r="C825" t="s">
        <v>1233</v>
      </c>
      <c r="D825" t="s">
        <v>27</v>
      </c>
      <c r="E825" s="161">
        <v>5.5</v>
      </c>
      <c r="F825" s="161">
        <v>54.58</v>
      </c>
      <c r="G825" s="162">
        <v>300.19</v>
      </c>
      <c r="H825" s="67">
        <v>61</v>
      </c>
    </row>
    <row r="826" spans="1:8" x14ac:dyDescent="0.25">
      <c r="A826" s="212">
        <v>41949</v>
      </c>
      <c r="B826" s="160" t="s">
        <v>1209</v>
      </c>
      <c r="C826" t="s">
        <v>1210</v>
      </c>
      <c r="D826" t="s">
        <v>27</v>
      </c>
      <c r="E826" s="161">
        <v>10</v>
      </c>
      <c r="F826" s="161">
        <v>42.79</v>
      </c>
      <c r="G826" s="162">
        <v>427.9</v>
      </c>
      <c r="H826" s="67">
        <v>61</v>
      </c>
    </row>
    <row r="827" spans="1:8" x14ac:dyDescent="0.25">
      <c r="A827" s="212">
        <v>42012</v>
      </c>
      <c r="B827" s="160" t="s">
        <v>623</v>
      </c>
      <c r="C827" t="s">
        <v>7</v>
      </c>
      <c r="D827" t="s">
        <v>27</v>
      </c>
      <c r="E827" s="161">
        <v>3</v>
      </c>
      <c r="F827" s="161">
        <v>46.85</v>
      </c>
      <c r="G827" s="162">
        <v>140.55000000000001</v>
      </c>
      <c r="H827" s="67">
        <v>61</v>
      </c>
    </row>
    <row r="828" spans="1:8" x14ac:dyDescent="0.25">
      <c r="A828" s="212">
        <v>42012</v>
      </c>
      <c r="B828" s="160" t="s">
        <v>1209</v>
      </c>
      <c r="C828" t="s">
        <v>1210</v>
      </c>
      <c r="D828" t="s">
        <v>27</v>
      </c>
      <c r="E828" s="161">
        <v>2.5</v>
      </c>
      <c r="F828" s="161">
        <v>42.79</v>
      </c>
      <c r="G828" s="162">
        <v>106.97499999999999</v>
      </c>
      <c r="H828" s="67">
        <v>61</v>
      </c>
    </row>
    <row r="829" spans="1:8" x14ac:dyDescent="0.25">
      <c r="A829" s="213" t="s">
        <v>418</v>
      </c>
      <c r="B829" s="214" t="s">
        <v>681</v>
      </c>
      <c r="C829" s="215" t="s">
        <v>418</v>
      </c>
      <c r="D829" s="215" t="s">
        <v>418</v>
      </c>
      <c r="E829" s="216"/>
      <c r="F829" s="216"/>
      <c r="G829" s="217">
        <v>3483.915</v>
      </c>
      <c r="H829" s="231" t="s">
        <v>418</v>
      </c>
    </row>
    <row r="830" spans="1:8" x14ac:dyDescent="0.25">
      <c r="A830" s="212" t="s">
        <v>418</v>
      </c>
      <c r="B830" s="160" t="s">
        <v>418</v>
      </c>
      <c r="C830" t="s">
        <v>418</v>
      </c>
      <c r="D830" t="s">
        <v>418</v>
      </c>
      <c r="E830" s="161"/>
      <c r="F830" s="161"/>
      <c r="G830" s="162"/>
      <c r="H830" s="67" t="s">
        <v>418</v>
      </c>
    </row>
    <row r="831" spans="1:8" x14ac:dyDescent="0.25">
      <c r="A831" s="209" t="s">
        <v>418</v>
      </c>
      <c r="B831" s="159" t="s">
        <v>1241</v>
      </c>
      <c r="C831" s="35" t="s">
        <v>418</v>
      </c>
      <c r="D831" s="35" t="s">
        <v>418</v>
      </c>
      <c r="E831" s="210"/>
      <c r="F831" s="210"/>
      <c r="G831" s="211"/>
      <c r="H831" s="229" t="s">
        <v>418</v>
      </c>
    </row>
    <row r="832" spans="1:8" x14ac:dyDescent="0.25">
      <c r="A832" s="212">
        <v>41883</v>
      </c>
      <c r="B832" s="160" t="s">
        <v>626</v>
      </c>
      <c r="C832" t="s">
        <v>627</v>
      </c>
      <c r="D832" t="s">
        <v>27</v>
      </c>
      <c r="E832" s="161">
        <v>0.5</v>
      </c>
      <c r="F832" s="161">
        <v>80</v>
      </c>
      <c r="G832" s="162">
        <v>40</v>
      </c>
      <c r="H832" s="67">
        <v>613</v>
      </c>
    </row>
    <row r="833" spans="1:8" x14ac:dyDescent="0.25">
      <c r="A833" s="212">
        <v>41892</v>
      </c>
      <c r="B833" s="160" t="s">
        <v>1222</v>
      </c>
      <c r="C833" t="s">
        <v>680</v>
      </c>
      <c r="D833" t="s">
        <v>527</v>
      </c>
      <c r="E833" s="161">
        <v>80.14</v>
      </c>
      <c r="F833" s="161">
        <v>7.5</v>
      </c>
      <c r="G833" s="162">
        <v>601.04999999999995</v>
      </c>
      <c r="H833" s="67">
        <v>613</v>
      </c>
    </row>
    <row r="834" spans="1:8" x14ac:dyDescent="0.25">
      <c r="A834" s="212">
        <v>41909</v>
      </c>
      <c r="B834" s="160" t="s">
        <v>631</v>
      </c>
      <c r="C834" t="s">
        <v>632</v>
      </c>
      <c r="D834" t="s">
        <v>27</v>
      </c>
      <c r="E834" s="161">
        <v>6.25</v>
      </c>
      <c r="F834" s="161">
        <v>80</v>
      </c>
      <c r="G834" s="162">
        <v>500</v>
      </c>
      <c r="H834" s="67">
        <v>613</v>
      </c>
    </row>
    <row r="835" spans="1:8" x14ac:dyDescent="0.25">
      <c r="A835" s="212">
        <v>41909</v>
      </c>
      <c r="B835" s="160" t="s">
        <v>631</v>
      </c>
      <c r="C835" t="s">
        <v>632</v>
      </c>
      <c r="D835" t="s">
        <v>27</v>
      </c>
      <c r="E835" s="161">
        <v>6.5</v>
      </c>
      <c r="F835" s="161">
        <v>80</v>
      </c>
      <c r="G835" s="162">
        <v>520</v>
      </c>
      <c r="H835" s="67">
        <v>613</v>
      </c>
    </row>
    <row r="836" spans="1:8" x14ac:dyDescent="0.25">
      <c r="A836" s="212">
        <v>41909</v>
      </c>
      <c r="B836" s="160" t="s">
        <v>286</v>
      </c>
      <c r="C836" t="s">
        <v>633</v>
      </c>
      <c r="D836" t="s">
        <v>27</v>
      </c>
      <c r="E836" s="161">
        <v>7.5</v>
      </c>
      <c r="F836" s="161">
        <v>90</v>
      </c>
      <c r="G836" s="162">
        <v>675</v>
      </c>
      <c r="H836" s="67">
        <v>613</v>
      </c>
    </row>
    <row r="837" spans="1:8" x14ac:dyDescent="0.25">
      <c r="A837" s="212">
        <v>41909</v>
      </c>
      <c r="B837" s="160" t="s">
        <v>626</v>
      </c>
      <c r="C837" t="s">
        <v>627</v>
      </c>
      <c r="D837" t="s">
        <v>27</v>
      </c>
      <c r="E837" s="161">
        <v>6.5</v>
      </c>
      <c r="F837" s="161">
        <v>80</v>
      </c>
      <c r="G837" s="162">
        <v>520</v>
      </c>
      <c r="H837" s="67">
        <v>613</v>
      </c>
    </row>
    <row r="838" spans="1:8" x14ac:dyDescent="0.25">
      <c r="A838" s="212">
        <v>41911</v>
      </c>
      <c r="B838" s="160" t="s">
        <v>689</v>
      </c>
      <c r="C838" t="s">
        <v>655</v>
      </c>
      <c r="D838" t="s">
        <v>27</v>
      </c>
      <c r="E838" s="161">
        <v>2</v>
      </c>
      <c r="F838" s="161">
        <v>120</v>
      </c>
      <c r="G838" s="162">
        <v>240</v>
      </c>
      <c r="H838" s="67">
        <v>613</v>
      </c>
    </row>
    <row r="839" spans="1:8" ht="30" x14ac:dyDescent="0.25">
      <c r="A839" s="212">
        <v>41911</v>
      </c>
      <c r="B839" s="160" t="s">
        <v>688</v>
      </c>
      <c r="C839" t="s">
        <v>633</v>
      </c>
      <c r="D839" t="s">
        <v>27</v>
      </c>
      <c r="E839" s="161">
        <v>10</v>
      </c>
      <c r="F839" s="161">
        <v>90</v>
      </c>
      <c r="G839" s="162">
        <v>900</v>
      </c>
      <c r="H839" s="67">
        <v>613</v>
      </c>
    </row>
    <row r="840" spans="1:8" x14ac:dyDescent="0.25">
      <c r="A840" s="212">
        <v>41912</v>
      </c>
      <c r="B840" s="160" t="s">
        <v>624</v>
      </c>
      <c r="C840" t="s">
        <v>625</v>
      </c>
      <c r="D840" t="s">
        <v>54</v>
      </c>
      <c r="E840" s="161">
        <v>1</v>
      </c>
      <c r="F840" s="161">
        <v>1800</v>
      </c>
      <c r="G840" s="162">
        <v>1800</v>
      </c>
      <c r="H840" s="67">
        <v>613</v>
      </c>
    </row>
    <row r="841" spans="1:8" x14ac:dyDescent="0.25">
      <c r="A841" s="212">
        <v>41912</v>
      </c>
      <c r="B841" s="160" t="s">
        <v>1211</v>
      </c>
      <c r="C841" t="s">
        <v>1233</v>
      </c>
      <c r="D841" t="s">
        <v>27</v>
      </c>
      <c r="E841" s="161">
        <v>6</v>
      </c>
      <c r="F841" s="161">
        <v>54.58</v>
      </c>
      <c r="G841" s="162">
        <v>327.48</v>
      </c>
      <c r="H841" s="67">
        <v>613</v>
      </c>
    </row>
    <row r="842" spans="1:8" x14ac:dyDescent="0.25">
      <c r="A842" s="212">
        <v>41912</v>
      </c>
      <c r="B842" s="160" t="s">
        <v>631</v>
      </c>
      <c r="C842" t="s">
        <v>632</v>
      </c>
      <c r="D842" t="s">
        <v>27</v>
      </c>
      <c r="E842" s="161">
        <v>4.75</v>
      </c>
      <c r="F842" s="161">
        <v>80</v>
      </c>
      <c r="G842" s="162">
        <v>380</v>
      </c>
      <c r="H842" s="67">
        <v>613</v>
      </c>
    </row>
    <row r="843" spans="1:8" x14ac:dyDescent="0.25">
      <c r="A843" s="212">
        <v>41912</v>
      </c>
      <c r="B843" s="160" t="s">
        <v>1109</v>
      </c>
      <c r="C843" t="s">
        <v>7</v>
      </c>
      <c r="D843" t="s">
        <v>27</v>
      </c>
      <c r="E843" s="161">
        <v>5.5</v>
      </c>
      <c r="F843" s="161">
        <v>42.72</v>
      </c>
      <c r="G843" s="162">
        <v>234.96</v>
      </c>
      <c r="H843" s="67">
        <v>613</v>
      </c>
    </row>
    <row r="844" spans="1:8" x14ac:dyDescent="0.25">
      <c r="A844" s="212">
        <v>41912</v>
      </c>
      <c r="B844" s="160" t="s">
        <v>631</v>
      </c>
      <c r="C844" t="s">
        <v>632</v>
      </c>
      <c r="D844" t="s">
        <v>27</v>
      </c>
      <c r="E844" s="161">
        <v>4.75</v>
      </c>
      <c r="F844" s="161">
        <v>80</v>
      </c>
      <c r="G844" s="162">
        <v>380</v>
      </c>
      <c r="H844" s="67">
        <v>613</v>
      </c>
    </row>
    <row r="845" spans="1:8" x14ac:dyDescent="0.25">
      <c r="A845" s="212">
        <v>41912</v>
      </c>
      <c r="B845" s="160" t="s">
        <v>626</v>
      </c>
      <c r="C845" t="s">
        <v>627</v>
      </c>
      <c r="D845" t="s">
        <v>27</v>
      </c>
      <c r="E845" s="161">
        <v>10</v>
      </c>
      <c r="F845" s="161">
        <v>80</v>
      </c>
      <c r="G845" s="162">
        <v>800</v>
      </c>
      <c r="H845" s="67">
        <v>613</v>
      </c>
    </row>
    <row r="846" spans="1:8" x14ac:dyDescent="0.25">
      <c r="A846" s="212">
        <v>41912</v>
      </c>
      <c r="B846" s="160" t="s">
        <v>1209</v>
      </c>
      <c r="C846" t="s">
        <v>1210</v>
      </c>
      <c r="D846" t="s">
        <v>27</v>
      </c>
      <c r="E846" s="161">
        <v>4.5</v>
      </c>
      <c r="F846" s="161">
        <v>42.79</v>
      </c>
      <c r="G846" s="162">
        <v>192.55500000000001</v>
      </c>
      <c r="H846" s="67">
        <v>613</v>
      </c>
    </row>
    <row r="847" spans="1:8" x14ac:dyDescent="0.25">
      <c r="A847" s="212">
        <v>41913</v>
      </c>
      <c r="B847" s="160" t="s">
        <v>626</v>
      </c>
      <c r="C847" t="s">
        <v>627</v>
      </c>
      <c r="D847" t="s">
        <v>27</v>
      </c>
      <c r="E847" s="161">
        <v>9.5</v>
      </c>
      <c r="F847" s="161">
        <v>80</v>
      </c>
      <c r="G847" s="162">
        <v>760</v>
      </c>
      <c r="H847" s="67">
        <v>613</v>
      </c>
    </row>
    <row r="848" spans="1:8" x14ac:dyDescent="0.25">
      <c r="A848" s="212">
        <v>41913</v>
      </c>
      <c r="B848" s="160" t="s">
        <v>1217</v>
      </c>
      <c r="C848" t="s">
        <v>1210</v>
      </c>
      <c r="D848" t="s">
        <v>27</v>
      </c>
      <c r="E848" s="161">
        <v>3</v>
      </c>
      <c r="F848" s="161">
        <v>42.79</v>
      </c>
      <c r="G848" s="162">
        <v>128.37</v>
      </c>
      <c r="H848" s="67">
        <v>613</v>
      </c>
    </row>
    <row r="849" spans="1:8" x14ac:dyDescent="0.25">
      <c r="A849" s="212">
        <v>41913</v>
      </c>
      <c r="B849" s="160" t="s">
        <v>626</v>
      </c>
      <c r="C849" t="s">
        <v>627</v>
      </c>
      <c r="D849" t="s">
        <v>27</v>
      </c>
      <c r="E849" s="161">
        <v>0.5</v>
      </c>
      <c r="F849" s="161">
        <v>80</v>
      </c>
      <c r="G849" s="162">
        <v>40</v>
      </c>
      <c r="H849" s="67">
        <v>613</v>
      </c>
    </row>
    <row r="850" spans="1:8" x14ac:dyDescent="0.25">
      <c r="A850" s="212">
        <v>41913</v>
      </c>
      <c r="B850" s="160" t="s">
        <v>1211</v>
      </c>
      <c r="C850" t="s">
        <v>1233</v>
      </c>
      <c r="D850" t="s">
        <v>27</v>
      </c>
      <c r="E850" s="161">
        <v>3</v>
      </c>
      <c r="F850" s="161">
        <v>54.58</v>
      </c>
      <c r="G850" s="162">
        <v>163.74</v>
      </c>
      <c r="H850" s="67">
        <v>613</v>
      </c>
    </row>
    <row r="851" spans="1:8" x14ac:dyDescent="0.25">
      <c r="A851" s="212">
        <v>41913</v>
      </c>
      <c r="B851" s="160" t="s">
        <v>689</v>
      </c>
      <c r="C851" t="s">
        <v>655</v>
      </c>
      <c r="D851" t="s">
        <v>27</v>
      </c>
      <c r="E851" s="161">
        <v>2</v>
      </c>
      <c r="F851" s="161">
        <v>120</v>
      </c>
      <c r="G851" s="162">
        <v>240</v>
      </c>
      <c r="H851" s="67">
        <v>613</v>
      </c>
    </row>
    <row r="852" spans="1:8" x14ac:dyDescent="0.25">
      <c r="A852" s="212">
        <v>41916</v>
      </c>
      <c r="B852" s="160" t="s">
        <v>286</v>
      </c>
      <c r="C852" t="s">
        <v>633</v>
      </c>
      <c r="D852" t="s">
        <v>27</v>
      </c>
      <c r="E852" s="161">
        <v>6</v>
      </c>
      <c r="F852" s="161">
        <v>90</v>
      </c>
      <c r="G852" s="162">
        <v>540</v>
      </c>
      <c r="H852" s="67">
        <v>613</v>
      </c>
    </row>
    <row r="853" spans="1:8" x14ac:dyDescent="0.25">
      <c r="A853" s="212">
        <v>41917</v>
      </c>
      <c r="B853" s="160" t="s">
        <v>286</v>
      </c>
      <c r="C853" t="s">
        <v>633</v>
      </c>
      <c r="D853" t="s">
        <v>27</v>
      </c>
      <c r="E853" s="161">
        <v>6</v>
      </c>
      <c r="F853" s="161">
        <v>90</v>
      </c>
      <c r="G853" s="162">
        <v>540</v>
      </c>
      <c r="H853" s="67">
        <v>613</v>
      </c>
    </row>
    <row r="854" spans="1:8" x14ac:dyDescent="0.25">
      <c r="A854" s="212">
        <v>41918</v>
      </c>
      <c r="B854" s="160" t="s">
        <v>286</v>
      </c>
      <c r="C854" t="s">
        <v>633</v>
      </c>
      <c r="D854" t="s">
        <v>27</v>
      </c>
      <c r="E854" s="161">
        <v>6</v>
      </c>
      <c r="F854" s="161">
        <v>90</v>
      </c>
      <c r="G854" s="162">
        <v>540</v>
      </c>
      <c r="H854" s="67">
        <v>613</v>
      </c>
    </row>
    <row r="855" spans="1:8" x14ac:dyDescent="0.25">
      <c r="A855" s="212">
        <v>41919</v>
      </c>
      <c r="B855" s="160" t="s">
        <v>1211</v>
      </c>
      <c r="C855" t="s">
        <v>1233</v>
      </c>
      <c r="D855" t="s">
        <v>27</v>
      </c>
      <c r="E855" s="161">
        <v>10</v>
      </c>
      <c r="F855" s="161">
        <v>54.58</v>
      </c>
      <c r="G855" s="162">
        <v>545.79999999999995</v>
      </c>
      <c r="H855" s="67">
        <v>613</v>
      </c>
    </row>
    <row r="856" spans="1:8" x14ac:dyDescent="0.25">
      <c r="A856" s="212">
        <v>41919</v>
      </c>
      <c r="B856" s="160" t="s">
        <v>626</v>
      </c>
      <c r="C856" t="s">
        <v>627</v>
      </c>
      <c r="D856" t="s">
        <v>27</v>
      </c>
      <c r="E856" s="161">
        <v>8</v>
      </c>
      <c r="F856" s="161">
        <v>80</v>
      </c>
      <c r="G856" s="162">
        <v>640</v>
      </c>
      <c r="H856" s="67">
        <v>613</v>
      </c>
    </row>
    <row r="857" spans="1:8" x14ac:dyDescent="0.25">
      <c r="A857" s="212">
        <v>41919</v>
      </c>
      <c r="B857" s="160" t="s">
        <v>631</v>
      </c>
      <c r="C857" t="s">
        <v>632</v>
      </c>
      <c r="D857" t="s">
        <v>27</v>
      </c>
      <c r="E857" s="161">
        <v>4</v>
      </c>
      <c r="F857" s="161">
        <v>80</v>
      </c>
      <c r="G857" s="162">
        <v>320</v>
      </c>
      <c r="H857" s="67">
        <v>613</v>
      </c>
    </row>
    <row r="858" spans="1:8" x14ac:dyDescent="0.25">
      <c r="A858" s="212">
        <v>41919</v>
      </c>
      <c r="B858" s="160" t="s">
        <v>626</v>
      </c>
      <c r="C858" t="s">
        <v>627</v>
      </c>
      <c r="D858" t="s">
        <v>27</v>
      </c>
      <c r="E858" s="161">
        <v>7.5</v>
      </c>
      <c r="F858" s="161">
        <v>80</v>
      </c>
      <c r="G858" s="162">
        <v>600</v>
      </c>
      <c r="H858" s="67">
        <v>613</v>
      </c>
    </row>
    <row r="859" spans="1:8" x14ac:dyDescent="0.25">
      <c r="A859" s="212">
        <v>41919</v>
      </c>
      <c r="B859" s="160" t="s">
        <v>1217</v>
      </c>
      <c r="C859" t="s">
        <v>1210</v>
      </c>
      <c r="D859" t="s">
        <v>27</v>
      </c>
      <c r="E859" s="161">
        <v>9.5</v>
      </c>
      <c r="F859" s="161">
        <v>42.79</v>
      </c>
      <c r="G859" s="162">
        <v>406.505</v>
      </c>
      <c r="H859" s="67">
        <v>613</v>
      </c>
    </row>
    <row r="860" spans="1:8" x14ac:dyDescent="0.25">
      <c r="A860" s="212">
        <v>41920</v>
      </c>
      <c r="B860" s="160" t="s">
        <v>631</v>
      </c>
      <c r="C860" t="s">
        <v>632</v>
      </c>
      <c r="D860" t="s">
        <v>27</v>
      </c>
      <c r="E860" s="161">
        <v>9</v>
      </c>
      <c r="F860" s="161">
        <v>80</v>
      </c>
      <c r="G860" s="162">
        <v>720</v>
      </c>
      <c r="H860" s="67">
        <v>613</v>
      </c>
    </row>
    <row r="861" spans="1:8" x14ac:dyDescent="0.25">
      <c r="A861" s="212">
        <v>41920</v>
      </c>
      <c r="B861" s="160" t="s">
        <v>1217</v>
      </c>
      <c r="C861" t="s">
        <v>1210</v>
      </c>
      <c r="D861" t="s">
        <v>27</v>
      </c>
      <c r="E861" s="161">
        <v>9.5</v>
      </c>
      <c r="F861" s="161">
        <v>42.79</v>
      </c>
      <c r="G861" s="162">
        <v>406.505</v>
      </c>
      <c r="H861" s="67">
        <v>613</v>
      </c>
    </row>
    <row r="862" spans="1:8" x14ac:dyDescent="0.25">
      <c r="A862" s="212">
        <v>41920</v>
      </c>
      <c r="B862" s="160" t="s">
        <v>1211</v>
      </c>
      <c r="C862" t="s">
        <v>1233</v>
      </c>
      <c r="D862" t="s">
        <v>27</v>
      </c>
      <c r="E862" s="161">
        <v>10</v>
      </c>
      <c r="F862" s="161">
        <v>54.58</v>
      </c>
      <c r="G862" s="162">
        <v>545.79999999999995</v>
      </c>
      <c r="H862" s="67">
        <v>613</v>
      </c>
    </row>
    <row r="863" spans="1:8" x14ac:dyDescent="0.25">
      <c r="A863" s="212">
        <v>41920</v>
      </c>
      <c r="B863" s="160" t="s">
        <v>679</v>
      </c>
      <c r="C863" t="s">
        <v>680</v>
      </c>
      <c r="D863" t="s">
        <v>527</v>
      </c>
      <c r="E863" s="161">
        <v>130.1</v>
      </c>
      <c r="F863" s="161">
        <v>7.5</v>
      </c>
      <c r="G863" s="162">
        <v>975.75</v>
      </c>
      <c r="H863" s="67">
        <v>613</v>
      </c>
    </row>
    <row r="864" spans="1:8" x14ac:dyDescent="0.25">
      <c r="A864" s="212">
        <v>41920</v>
      </c>
      <c r="B864" s="160" t="s">
        <v>690</v>
      </c>
      <c r="C864" t="s">
        <v>680</v>
      </c>
      <c r="D864" t="s">
        <v>527</v>
      </c>
      <c r="E864" s="161">
        <v>106.74</v>
      </c>
      <c r="F864" s="161">
        <v>7.5</v>
      </c>
      <c r="G864" s="162">
        <v>800.55</v>
      </c>
      <c r="H864" s="67">
        <v>613</v>
      </c>
    </row>
    <row r="865" spans="1:8" x14ac:dyDescent="0.25">
      <c r="A865" s="212">
        <v>41920</v>
      </c>
      <c r="B865" s="160" t="s">
        <v>697</v>
      </c>
      <c r="C865" t="s">
        <v>680</v>
      </c>
      <c r="D865" t="s">
        <v>527</v>
      </c>
      <c r="E865" s="161">
        <v>106.18</v>
      </c>
      <c r="F865" s="161">
        <v>7.5</v>
      </c>
      <c r="G865" s="162">
        <v>796.35</v>
      </c>
      <c r="H865" s="67">
        <v>613</v>
      </c>
    </row>
    <row r="866" spans="1:8" x14ac:dyDescent="0.25">
      <c r="A866" s="212">
        <v>41920</v>
      </c>
      <c r="B866" s="160" t="s">
        <v>679</v>
      </c>
      <c r="C866" t="s">
        <v>680</v>
      </c>
      <c r="D866" t="s">
        <v>527</v>
      </c>
      <c r="E866" s="161">
        <v>164.23</v>
      </c>
      <c r="F866" s="161">
        <v>7.5</v>
      </c>
      <c r="G866" s="162">
        <v>1231.7249999999999</v>
      </c>
      <c r="H866" s="67">
        <v>613</v>
      </c>
    </row>
    <row r="867" spans="1:8" x14ac:dyDescent="0.25">
      <c r="A867" s="212">
        <v>41920</v>
      </c>
      <c r="B867" s="160" t="s">
        <v>698</v>
      </c>
      <c r="C867" t="s">
        <v>680</v>
      </c>
      <c r="D867" t="s">
        <v>527</v>
      </c>
      <c r="E867" s="161">
        <v>89.74</v>
      </c>
      <c r="F867" s="161">
        <v>7.5</v>
      </c>
      <c r="G867" s="162">
        <v>673.05</v>
      </c>
      <c r="H867" s="67">
        <v>613</v>
      </c>
    </row>
    <row r="868" spans="1:8" x14ac:dyDescent="0.25">
      <c r="A868" s="212">
        <v>41920</v>
      </c>
      <c r="B868" s="160" t="s">
        <v>699</v>
      </c>
      <c r="C868" t="s">
        <v>680</v>
      </c>
      <c r="D868" t="s">
        <v>527</v>
      </c>
      <c r="E868" s="161">
        <v>90.3</v>
      </c>
      <c r="F868" s="161">
        <v>7.5</v>
      </c>
      <c r="G868" s="162">
        <v>677.26</v>
      </c>
      <c r="H868" s="67">
        <v>613</v>
      </c>
    </row>
    <row r="869" spans="1:8" x14ac:dyDescent="0.25">
      <c r="A869" s="212">
        <v>41920</v>
      </c>
      <c r="B869" s="160" t="s">
        <v>679</v>
      </c>
      <c r="C869" t="s">
        <v>680</v>
      </c>
      <c r="D869" t="s">
        <v>527</v>
      </c>
      <c r="E869" s="161">
        <v>59.73</v>
      </c>
      <c r="F869" s="161">
        <v>7.5</v>
      </c>
      <c r="G869" s="162">
        <v>447.97500000000002</v>
      </c>
      <c r="H869" s="67">
        <v>613</v>
      </c>
    </row>
    <row r="870" spans="1:8" x14ac:dyDescent="0.25">
      <c r="A870" s="212">
        <v>41921</v>
      </c>
      <c r="B870" s="160" t="s">
        <v>626</v>
      </c>
      <c r="C870" t="s">
        <v>627</v>
      </c>
      <c r="D870" t="s">
        <v>27</v>
      </c>
      <c r="E870" s="161">
        <v>4.5</v>
      </c>
      <c r="F870" s="161">
        <v>80</v>
      </c>
      <c r="G870" s="162">
        <v>360</v>
      </c>
      <c r="H870" s="67">
        <v>613</v>
      </c>
    </row>
    <row r="871" spans="1:8" x14ac:dyDescent="0.25">
      <c r="A871" s="212">
        <v>41921</v>
      </c>
      <c r="B871" s="160" t="s">
        <v>631</v>
      </c>
      <c r="C871" t="s">
        <v>632</v>
      </c>
      <c r="D871" t="s">
        <v>27</v>
      </c>
      <c r="E871" s="161">
        <v>4</v>
      </c>
      <c r="F871" s="161">
        <v>80</v>
      </c>
      <c r="G871" s="162">
        <v>320</v>
      </c>
      <c r="H871" s="67">
        <v>613</v>
      </c>
    </row>
    <row r="872" spans="1:8" x14ac:dyDescent="0.25">
      <c r="A872" s="212">
        <v>41921</v>
      </c>
      <c r="B872" s="160" t="s">
        <v>631</v>
      </c>
      <c r="C872" t="s">
        <v>632</v>
      </c>
      <c r="D872" t="s">
        <v>27</v>
      </c>
      <c r="E872" s="161">
        <v>4</v>
      </c>
      <c r="F872" s="161">
        <v>80</v>
      </c>
      <c r="G872" s="162">
        <v>320</v>
      </c>
      <c r="H872" s="67">
        <v>613</v>
      </c>
    </row>
    <row r="873" spans="1:8" x14ac:dyDescent="0.25">
      <c r="A873" s="212">
        <v>41922</v>
      </c>
      <c r="B873" s="160" t="s">
        <v>700</v>
      </c>
      <c r="C873" t="s">
        <v>680</v>
      </c>
      <c r="D873" t="s">
        <v>527</v>
      </c>
      <c r="E873" s="161">
        <v>90.74</v>
      </c>
      <c r="F873" s="161">
        <v>7.5</v>
      </c>
      <c r="G873" s="162">
        <v>680.55</v>
      </c>
      <c r="H873" s="67">
        <v>613</v>
      </c>
    </row>
    <row r="874" spans="1:8" x14ac:dyDescent="0.25">
      <c r="A874" s="212">
        <v>41922</v>
      </c>
      <c r="B874" s="160" t="s">
        <v>699</v>
      </c>
      <c r="C874" t="s">
        <v>680</v>
      </c>
      <c r="D874" t="s">
        <v>527</v>
      </c>
      <c r="E874" s="161">
        <v>121.17</v>
      </c>
      <c r="F874" s="161">
        <v>7.5</v>
      </c>
      <c r="G874" s="162">
        <v>908.77499999999998</v>
      </c>
      <c r="H874" s="67">
        <v>613</v>
      </c>
    </row>
    <row r="875" spans="1:8" x14ac:dyDescent="0.25">
      <c r="A875" s="212">
        <v>41922</v>
      </c>
      <c r="B875" s="160" t="s">
        <v>690</v>
      </c>
      <c r="C875" t="s">
        <v>680</v>
      </c>
      <c r="D875" t="s">
        <v>527</v>
      </c>
      <c r="E875" s="161">
        <v>80.14</v>
      </c>
      <c r="F875" s="161">
        <v>7.5</v>
      </c>
      <c r="G875" s="162">
        <v>601.04999999999995</v>
      </c>
      <c r="H875" s="67">
        <v>613</v>
      </c>
    </row>
    <row r="876" spans="1:8" x14ac:dyDescent="0.25">
      <c r="A876" s="212">
        <v>41922</v>
      </c>
      <c r="B876" s="160" t="s">
        <v>701</v>
      </c>
      <c r="C876" t="s">
        <v>702</v>
      </c>
      <c r="D876" t="s">
        <v>27</v>
      </c>
      <c r="E876" s="161">
        <v>10.5</v>
      </c>
      <c r="F876" s="161">
        <v>140</v>
      </c>
      <c r="G876" s="162">
        <v>1470</v>
      </c>
      <c r="H876" s="67">
        <v>613</v>
      </c>
    </row>
    <row r="877" spans="1:8" x14ac:dyDescent="0.25">
      <c r="A877" s="212">
        <v>41922</v>
      </c>
      <c r="B877" s="160" t="s">
        <v>697</v>
      </c>
      <c r="C877" t="s">
        <v>680</v>
      </c>
      <c r="D877" t="s">
        <v>527</v>
      </c>
      <c r="E877" s="161">
        <v>78.66</v>
      </c>
      <c r="F877" s="161">
        <v>7.5</v>
      </c>
      <c r="G877" s="162">
        <v>589.95000000000005</v>
      </c>
      <c r="H877" s="67">
        <v>613</v>
      </c>
    </row>
    <row r="878" spans="1:8" x14ac:dyDescent="0.25">
      <c r="A878" s="212">
        <v>41922</v>
      </c>
      <c r="B878" s="160" t="s">
        <v>704</v>
      </c>
      <c r="C878" t="s">
        <v>680</v>
      </c>
      <c r="D878" t="s">
        <v>527</v>
      </c>
      <c r="E878" s="161">
        <v>99.24</v>
      </c>
      <c r="F878" s="161">
        <v>7.5</v>
      </c>
      <c r="G878" s="162">
        <v>744.3</v>
      </c>
      <c r="H878" s="67">
        <v>613</v>
      </c>
    </row>
    <row r="879" spans="1:8" x14ac:dyDescent="0.25">
      <c r="A879" s="212">
        <v>41922</v>
      </c>
      <c r="B879" s="160" t="s">
        <v>703</v>
      </c>
      <c r="C879" t="s">
        <v>680</v>
      </c>
      <c r="D879" t="s">
        <v>527</v>
      </c>
      <c r="E879" s="161">
        <v>105.68</v>
      </c>
      <c r="F879" s="161">
        <v>7.5</v>
      </c>
      <c r="G879" s="162">
        <v>792.6</v>
      </c>
      <c r="H879" s="67">
        <v>613</v>
      </c>
    </row>
    <row r="880" spans="1:8" x14ac:dyDescent="0.25">
      <c r="A880" s="212">
        <v>41925</v>
      </c>
      <c r="B880" s="160" t="s">
        <v>631</v>
      </c>
      <c r="C880" t="s">
        <v>632</v>
      </c>
      <c r="D880" t="s">
        <v>27</v>
      </c>
      <c r="E880" s="161">
        <v>8.5</v>
      </c>
      <c r="F880" s="161">
        <v>80</v>
      </c>
      <c r="G880" s="162">
        <v>680</v>
      </c>
      <c r="H880" s="67">
        <v>613</v>
      </c>
    </row>
    <row r="881" spans="1:8" x14ac:dyDescent="0.25">
      <c r="A881" s="212">
        <v>41925</v>
      </c>
      <c r="B881" s="160" t="s">
        <v>631</v>
      </c>
      <c r="C881" t="s">
        <v>632</v>
      </c>
      <c r="D881" t="s">
        <v>27</v>
      </c>
      <c r="E881" s="161">
        <v>8.5</v>
      </c>
      <c r="F881" s="161">
        <v>80</v>
      </c>
      <c r="G881" s="162">
        <v>680</v>
      </c>
      <c r="H881" s="67">
        <v>613</v>
      </c>
    </row>
    <row r="882" spans="1:8" x14ac:dyDescent="0.25">
      <c r="A882" s="212">
        <v>41925</v>
      </c>
      <c r="B882" s="160" t="s">
        <v>631</v>
      </c>
      <c r="C882" t="s">
        <v>632</v>
      </c>
      <c r="D882" t="s">
        <v>27</v>
      </c>
      <c r="E882" s="161">
        <v>8</v>
      </c>
      <c r="F882" s="161">
        <v>80</v>
      </c>
      <c r="G882" s="162">
        <v>640</v>
      </c>
      <c r="H882" s="67">
        <v>613</v>
      </c>
    </row>
    <row r="883" spans="1:8" x14ac:dyDescent="0.25">
      <c r="A883" s="212">
        <v>41925</v>
      </c>
      <c r="B883" s="160" t="s">
        <v>626</v>
      </c>
      <c r="C883" t="s">
        <v>627</v>
      </c>
      <c r="D883" t="s">
        <v>27</v>
      </c>
      <c r="E883" s="161">
        <v>7.5</v>
      </c>
      <c r="F883" s="161">
        <v>80</v>
      </c>
      <c r="G883" s="162">
        <v>600</v>
      </c>
      <c r="H883" s="67">
        <v>613</v>
      </c>
    </row>
    <row r="884" spans="1:8" x14ac:dyDescent="0.25">
      <c r="A884" s="212">
        <v>41925</v>
      </c>
      <c r="B884" s="160" t="s">
        <v>1211</v>
      </c>
      <c r="C884" t="s">
        <v>1233</v>
      </c>
      <c r="D884" t="s">
        <v>27</v>
      </c>
      <c r="E884" s="161">
        <v>6.5</v>
      </c>
      <c r="F884" s="161">
        <v>54.58</v>
      </c>
      <c r="G884" s="162">
        <v>354.77</v>
      </c>
      <c r="H884" s="67">
        <v>613</v>
      </c>
    </row>
    <row r="885" spans="1:8" x14ac:dyDescent="0.25">
      <c r="A885" s="212">
        <v>41925</v>
      </c>
      <c r="B885" s="160" t="s">
        <v>1217</v>
      </c>
      <c r="C885" t="s">
        <v>1210</v>
      </c>
      <c r="D885" t="s">
        <v>27</v>
      </c>
      <c r="E885" s="161">
        <v>6.5</v>
      </c>
      <c r="F885" s="161">
        <v>42.79</v>
      </c>
      <c r="G885" s="162">
        <v>278.13499999999999</v>
      </c>
      <c r="H885" s="67">
        <v>613</v>
      </c>
    </row>
    <row r="886" spans="1:8" x14ac:dyDescent="0.25">
      <c r="A886" s="212">
        <v>41926</v>
      </c>
      <c r="B886" s="160" t="s">
        <v>631</v>
      </c>
      <c r="C886" t="s">
        <v>632</v>
      </c>
      <c r="D886" t="s">
        <v>27</v>
      </c>
      <c r="E886" s="161">
        <v>0.5</v>
      </c>
      <c r="F886" s="161">
        <v>80</v>
      </c>
      <c r="G886" s="162">
        <v>40</v>
      </c>
      <c r="H886" s="67">
        <v>613</v>
      </c>
    </row>
    <row r="887" spans="1:8" x14ac:dyDescent="0.25">
      <c r="A887" s="212">
        <v>41926</v>
      </c>
      <c r="B887" s="160" t="s">
        <v>1211</v>
      </c>
      <c r="C887" t="s">
        <v>1233</v>
      </c>
      <c r="D887" t="s">
        <v>27</v>
      </c>
      <c r="E887" s="161">
        <v>0.5</v>
      </c>
      <c r="F887" s="161">
        <v>54.58</v>
      </c>
      <c r="G887" s="162">
        <v>27.29</v>
      </c>
      <c r="H887" s="67">
        <v>613</v>
      </c>
    </row>
    <row r="888" spans="1:8" x14ac:dyDescent="0.25">
      <c r="A888" s="212">
        <v>41929</v>
      </c>
      <c r="B888" s="160" t="s">
        <v>631</v>
      </c>
      <c r="C888" t="s">
        <v>655</v>
      </c>
      <c r="D888" t="s">
        <v>27</v>
      </c>
      <c r="E888" s="161">
        <v>9.5</v>
      </c>
      <c r="F888" s="161">
        <v>120</v>
      </c>
      <c r="G888" s="162">
        <v>1140</v>
      </c>
      <c r="H888" s="67">
        <v>613</v>
      </c>
    </row>
    <row r="889" spans="1:8" x14ac:dyDescent="0.25">
      <c r="A889" s="212">
        <v>41929</v>
      </c>
      <c r="B889" s="160" t="s">
        <v>631</v>
      </c>
      <c r="C889" t="s">
        <v>655</v>
      </c>
      <c r="D889" t="s">
        <v>27</v>
      </c>
      <c r="E889" s="161">
        <v>9.5</v>
      </c>
      <c r="F889" s="161">
        <v>120</v>
      </c>
      <c r="G889" s="162">
        <v>1140</v>
      </c>
      <c r="H889" s="67">
        <v>613</v>
      </c>
    </row>
    <row r="890" spans="1:8" x14ac:dyDescent="0.25">
      <c r="A890" s="212">
        <v>41929</v>
      </c>
      <c r="B890" s="160" t="s">
        <v>626</v>
      </c>
      <c r="C890" t="s">
        <v>627</v>
      </c>
      <c r="D890" t="s">
        <v>27</v>
      </c>
      <c r="E890" s="161">
        <v>9.5</v>
      </c>
      <c r="F890" s="161">
        <v>80</v>
      </c>
      <c r="G890" s="162">
        <v>760</v>
      </c>
      <c r="H890" s="67">
        <v>613</v>
      </c>
    </row>
    <row r="891" spans="1:8" x14ac:dyDescent="0.25">
      <c r="A891" s="212">
        <v>41929</v>
      </c>
      <c r="B891" s="160" t="s">
        <v>626</v>
      </c>
      <c r="C891" t="s">
        <v>627</v>
      </c>
      <c r="D891" t="s">
        <v>27</v>
      </c>
      <c r="E891" s="161">
        <v>8</v>
      </c>
      <c r="F891" s="161">
        <v>80</v>
      </c>
      <c r="G891" s="162">
        <v>640</v>
      </c>
      <c r="H891" s="67">
        <v>613</v>
      </c>
    </row>
    <row r="892" spans="1:8" x14ac:dyDescent="0.25">
      <c r="A892" s="212">
        <v>41929</v>
      </c>
      <c r="B892" s="160" t="s">
        <v>631</v>
      </c>
      <c r="C892" t="s">
        <v>632</v>
      </c>
      <c r="D892" t="s">
        <v>27</v>
      </c>
      <c r="E892" s="161">
        <v>2</v>
      </c>
      <c r="F892" s="161">
        <v>80</v>
      </c>
      <c r="G892" s="162">
        <v>160</v>
      </c>
      <c r="H892" s="67">
        <v>613</v>
      </c>
    </row>
    <row r="893" spans="1:8" x14ac:dyDescent="0.25">
      <c r="A893" s="212">
        <v>41930</v>
      </c>
      <c r="B893" s="160" t="s">
        <v>631</v>
      </c>
      <c r="C893" t="s">
        <v>655</v>
      </c>
      <c r="D893" t="s">
        <v>27</v>
      </c>
      <c r="E893" s="161">
        <v>5</v>
      </c>
      <c r="F893" s="161">
        <v>120</v>
      </c>
      <c r="G893" s="162">
        <v>600</v>
      </c>
      <c r="H893" s="67">
        <v>613</v>
      </c>
    </row>
    <row r="894" spans="1:8" x14ac:dyDescent="0.25">
      <c r="A894" s="212">
        <v>41930</v>
      </c>
      <c r="B894" s="160" t="s">
        <v>631</v>
      </c>
      <c r="C894" t="s">
        <v>655</v>
      </c>
      <c r="D894" t="s">
        <v>27</v>
      </c>
      <c r="E894" s="161">
        <v>2.75</v>
      </c>
      <c r="F894" s="161">
        <v>120</v>
      </c>
      <c r="G894" s="162">
        <v>330</v>
      </c>
      <c r="H894" s="67">
        <v>613</v>
      </c>
    </row>
    <row r="895" spans="1:8" x14ac:dyDescent="0.25">
      <c r="A895" s="212">
        <v>41930</v>
      </c>
      <c r="B895" s="160" t="s">
        <v>1211</v>
      </c>
      <c r="C895" t="s">
        <v>1233</v>
      </c>
      <c r="D895" t="s">
        <v>27</v>
      </c>
      <c r="E895" s="161">
        <v>2</v>
      </c>
      <c r="F895" s="161">
        <v>54.58</v>
      </c>
      <c r="G895" s="162">
        <v>109.16</v>
      </c>
      <c r="H895" s="67">
        <v>613</v>
      </c>
    </row>
    <row r="896" spans="1:8" x14ac:dyDescent="0.25">
      <c r="A896" s="212">
        <v>41930</v>
      </c>
      <c r="B896" s="160" t="s">
        <v>626</v>
      </c>
      <c r="C896" t="s">
        <v>627</v>
      </c>
      <c r="D896" t="s">
        <v>27</v>
      </c>
      <c r="E896" s="161">
        <v>3.5</v>
      </c>
      <c r="F896" s="161">
        <v>80</v>
      </c>
      <c r="G896" s="162">
        <v>280</v>
      </c>
      <c r="H896" s="67">
        <v>613</v>
      </c>
    </row>
    <row r="897" spans="1:8" x14ac:dyDescent="0.25">
      <c r="A897" s="212">
        <v>41930</v>
      </c>
      <c r="B897" s="160" t="s">
        <v>1213</v>
      </c>
      <c r="C897" t="s">
        <v>1214</v>
      </c>
      <c r="D897" t="s">
        <v>27</v>
      </c>
      <c r="E897" s="161">
        <v>2</v>
      </c>
      <c r="F897" s="161">
        <v>35</v>
      </c>
      <c r="G897" s="162">
        <v>70</v>
      </c>
      <c r="H897" s="67">
        <v>613</v>
      </c>
    </row>
    <row r="898" spans="1:8" x14ac:dyDescent="0.25">
      <c r="A898" s="212">
        <v>41930</v>
      </c>
      <c r="B898" s="160" t="s">
        <v>1217</v>
      </c>
      <c r="C898" t="s">
        <v>1210</v>
      </c>
      <c r="D898" t="s">
        <v>27</v>
      </c>
      <c r="E898" s="161">
        <v>4</v>
      </c>
      <c r="F898" s="161">
        <v>42.79</v>
      </c>
      <c r="G898" s="162">
        <v>171.16</v>
      </c>
      <c r="H898" s="67">
        <v>613</v>
      </c>
    </row>
    <row r="899" spans="1:8" x14ac:dyDescent="0.25">
      <c r="A899" s="212">
        <v>41933</v>
      </c>
      <c r="B899" s="160" t="s">
        <v>631</v>
      </c>
      <c r="C899" t="s">
        <v>632</v>
      </c>
      <c r="D899" t="s">
        <v>27</v>
      </c>
      <c r="E899" s="161">
        <v>4.5</v>
      </c>
      <c r="F899" s="161">
        <v>80</v>
      </c>
      <c r="G899" s="162">
        <v>360</v>
      </c>
      <c r="H899" s="67">
        <v>613</v>
      </c>
    </row>
    <row r="900" spans="1:8" x14ac:dyDescent="0.25">
      <c r="A900" s="212">
        <v>41933</v>
      </c>
      <c r="B900" s="160" t="s">
        <v>285</v>
      </c>
      <c r="C900" t="s">
        <v>621</v>
      </c>
      <c r="D900" t="s">
        <v>27</v>
      </c>
      <c r="E900" s="161">
        <v>5</v>
      </c>
      <c r="F900" s="161">
        <v>80</v>
      </c>
      <c r="G900" s="162">
        <v>400</v>
      </c>
      <c r="H900" s="67">
        <v>613</v>
      </c>
    </row>
    <row r="901" spans="1:8" x14ac:dyDescent="0.25">
      <c r="A901" s="212">
        <v>41933</v>
      </c>
      <c r="B901" s="160" t="s">
        <v>631</v>
      </c>
      <c r="C901" t="s">
        <v>632</v>
      </c>
      <c r="D901" t="s">
        <v>27</v>
      </c>
      <c r="E901" s="161">
        <v>4.5</v>
      </c>
      <c r="F901" s="161">
        <v>80</v>
      </c>
      <c r="G901" s="162">
        <v>360</v>
      </c>
      <c r="H901" s="67">
        <v>613</v>
      </c>
    </row>
    <row r="902" spans="1:8" x14ac:dyDescent="0.25">
      <c r="A902" s="212">
        <v>41933</v>
      </c>
      <c r="B902" s="160" t="s">
        <v>631</v>
      </c>
      <c r="C902" t="s">
        <v>632</v>
      </c>
      <c r="D902" t="s">
        <v>27</v>
      </c>
      <c r="E902" s="161">
        <v>4</v>
      </c>
      <c r="F902" s="161">
        <v>80</v>
      </c>
      <c r="G902" s="162">
        <v>320</v>
      </c>
      <c r="H902" s="67">
        <v>613</v>
      </c>
    </row>
    <row r="903" spans="1:8" x14ac:dyDescent="0.25">
      <c r="A903" s="212">
        <v>41934</v>
      </c>
      <c r="B903" s="160" t="s">
        <v>285</v>
      </c>
      <c r="C903" t="s">
        <v>621</v>
      </c>
      <c r="D903" t="s">
        <v>27</v>
      </c>
      <c r="E903" s="161">
        <v>4.25</v>
      </c>
      <c r="F903" s="161">
        <v>80</v>
      </c>
      <c r="G903" s="162">
        <v>340</v>
      </c>
      <c r="H903" s="67">
        <v>613</v>
      </c>
    </row>
    <row r="904" spans="1:8" x14ac:dyDescent="0.25">
      <c r="A904" s="212">
        <v>41934</v>
      </c>
      <c r="B904" s="160" t="s">
        <v>631</v>
      </c>
      <c r="C904" t="s">
        <v>632</v>
      </c>
      <c r="D904" t="s">
        <v>27</v>
      </c>
      <c r="E904" s="161">
        <v>3</v>
      </c>
      <c r="F904" s="161">
        <v>80</v>
      </c>
      <c r="G904" s="162">
        <v>240</v>
      </c>
      <c r="H904" s="67">
        <v>613</v>
      </c>
    </row>
    <row r="905" spans="1:8" x14ac:dyDescent="0.25">
      <c r="A905" s="212">
        <v>41934</v>
      </c>
      <c r="B905" s="160" t="s">
        <v>631</v>
      </c>
      <c r="C905" t="s">
        <v>632</v>
      </c>
      <c r="D905" t="s">
        <v>27</v>
      </c>
      <c r="E905" s="161">
        <v>4</v>
      </c>
      <c r="F905" s="161">
        <v>80</v>
      </c>
      <c r="G905" s="162">
        <v>320</v>
      </c>
      <c r="H905" s="67">
        <v>613</v>
      </c>
    </row>
    <row r="906" spans="1:8" x14ac:dyDescent="0.25">
      <c r="A906" s="212">
        <v>41934</v>
      </c>
      <c r="B906" s="160" t="s">
        <v>692</v>
      </c>
      <c r="C906" t="s">
        <v>680</v>
      </c>
      <c r="D906" t="s">
        <v>527</v>
      </c>
      <c r="E906" s="161">
        <v>22.08</v>
      </c>
      <c r="F906" s="161">
        <v>7.5</v>
      </c>
      <c r="G906" s="162">
        <v>165.6</v>
      </c>
      <c r="H906" s="67">
        <v>613</v>
      </c>
    </row>
    <row r="907" spans="1:8" x14ac:dyDescent="0.25">
      <c r="A907" s="212">
        <v>41936</v>
      </c>
      <c r="B907" s="160" t="s">
        <v>631</v>
      </c>
      <c r="C907" t="s">
        <v>632</v>
      </c>
      <c r="D907" t="s">
        <v>27</v>
      </c>
      <c r="E907" s="161">
        <v>7.5</v>
      </c>
      <c r="F907" s="161">
        <v>80</v>
      </c>
      <c r="G907" s="162">
        <v>600</v>
      </c>
      <c r="H907" s="67">
        <v>613</v>
      </c>
    </row>
    <row r="908" spans="1:8" x14ac:dyDescent="0.25">
      <c r="A908" s="212">
        <v>41939</v>
      </c>
      <c r="B908" s="160" t="s">
        <v>285</v>
      </c>
      <c r="C908" t="s">
        <v>621</v>
      </c>
      <c r="D908" t="s">
        <v>27</v>
      </c>
      <c r="E908" s="161">
        <v>8</v>
      </c>
      <c r="F908" s="161">
        <v>80</v>
      </c>
      <c r="G908" s="162">
        <v>640</v>
      </c>
      <c r="H908" s="67">
        <v>613</v>
      </c>
    </row>
    <row r="909" spans="1:8" x14ac:dyDescent="0.25">
      <c r="A909" s="212">
        <v>41939</v>
      </c>
      <c r="B909" s="160" t="s">
        <v>631</v>
      </c>
      <c r="C909" t="s">
        <v>632</v>
      </c>
      <c r="D909" t="s">
        <v>27</v>
      </c>
      <c r="E909" s="161">
        <v>8</v>
      </c>
      <c r="F909" s="161">
        <v>80</v>
      </c>
      <c r="G909" s="162">
        <v>640</v>
      </c>
      <c r="H909" s="67">
        <v>613</v>
      </c>
    </row>
    <row r="910" spans="1:8" x14ac:dyDescent="0.25">
      <c r="A910" s="212">
        <v>41940</v>
      </c>
      <c r="B910" s="160" t="s">
        <v>631</v>
      </c>
      <c r="C910" t="s">
        <v>632</v>
      </c>
      <c r="D910" t="s">
        <v>27</v>
      </c>
      <c r="E910" s="161">
        <v>5.5</v>
      </c>
      <c r="F910" s="161">
        <v>80</v>
      </c>
      <c r="G910" s="162">
        <v>440</v>
      </c>
      <c r="H910" s="67">
        <v>613</v>
      </c>
    </row>
    <row r="911" spans="1:8" x14ac:dyDescent="0.25">
      <c r="A911" s="212">
        <v>41940</v>
      </c>
      <c r="B911" s="160" t="s">
        <v>631</v>
      </c>
      <c r="C911" t="s">
        <v>632</v>
      </c>
      <c r="D911" t="s">
        <v>27</v>
      </c>
      <c r="E911" s="161">
        <v>5</v>
      </c>
      <c r="F911" s="161">
        <v>80</v>
      </c>
      <c r="G911" s="162">
        <v>400</v>
      </c>
      <c r="H911" s="67">
        <v>613</v>
      </c>
    </row>
    <row r="912" spans="1:8" x14ac:dyDescent="0.25">
      <c r="A912" s="212">
        <v>41940</v>
      </c>
      <c r="B912" s="160" t="s">
        <v>1211</v>
      </c>
      <c r="C912" t="s">
        <v>1233</v>
      </c>
      <c r="D912" t="s">
        <v>27</v>
      </c>
      <c r="E912" s="161">
        <v>4</v>
      </c>
      <c r="F912" s="161">
        <v>54.58</v>
      </c>
      <c r="G912" s="162">
        <v>218.32</v>
      </c>
      <c r="H912" s="67">
        <v>613</v>
      </c>
    </row>
    <row r="913" spans="1:8" x14ac:dyDescent="0.25">
      <c r="A913" s="212">
        <v>41940</v>
      </c>
      <c r="B913" s="160" t="s">
        <v>1209</v>
      </c>
      <c r="C913" t="s">
        <v>1210</v>
      </c>
      <c r="D913" t="s">
        <v>27</v>
      </c>
      <c r="E913" s="161">
        <v>4</v>
      </c>
      <c r="F913" s="161">
        <v>42.79</v>
      </c>
      <c r="G913" s="162">
        <v>171.16</v>
      </c>
      <c r="H913" s="67">
        <v>613</v>
      </c>
    </row>
    <row r="914" spans="1:8" x14ac:dyDescent="0.25">
      <c r="A914" s="212">
        <v>41940</v>
      </c>
      <c r="B914" s="160" t="s">
        <v>285</v>
      </c>
      <c r="C914" t="s">
        <v>621</v>
      </c>
      <c r="D914" t="s">
        <v>27</v>
      </c>
      <c r="E914" s="161">
        <v>5</v>
      </c>
      <c r="F914" s="161">
        <v>80</v>
      </c>
      <c r="G914" s="162">
        <v>400</v>
      </c>
      <c r="H914" s="67">
        <v>613</v>
      </c>
    </row>
    <row r="915" spans="1:8" x14ac:dyDescent="0.25">
      <c r="A915" s="212">
        <v>41941</v>
      </c>
      <c r="B915" s="160" t="s">
        <v>285</v>
      </c>
      <c r="C915" t="s">
        <v>621</v>
      </c>
      <c r="D915" t="s">
        <v>27</v>
      </c>
      <c r="E915" s="161">
        <v>1</v>
      </c>
      <c r="F915" s="161">
        <v>80</v>
      </c>
      <c r="G915" s="162">
        <v>80</v>
      </c>
      <c r="H915" s="67">
        <v>613</v>
      </c>
    </row>
    <row r="916" spans="1:8" x14ac:dyDescent="0.25">
      <c r="A916" s="212">
        <v>41941</v>
      </c>
      <c r="B916" s="160" t="s">
        <v>1209</v>
      </c>
      <c r="C916" t="s">
        <v>1210</v>
      </c>
      <c r="D916" t="s">
        <v>27</v>
      </c>
      <c r="E916" s="161">
        <v>4</v>
      </c>
      <c r="F916" s="161">
        <v>42.79</v>
      </c>
      <c r="G916" s="162">
        <v>171.16</v>
      </c>
      <c r="H916" s="67">
        <v>613</v>
      </c>
    </row>
    <row r="917" spans="1:8" x14ac:dyDescent="0.25">
      <c r="A917" s="212">
        <v>41941</v>
      </c>
      <c r="B917" s="160" t="s">
        <v>691</v>
      </c>
      <c r="C917" t="s">
        <v>680</v>
      </c>
      <c r="D917" t="s">
        <v>527</v>
      </c>
      <c r="E917" s="161">
        <v>50.93</v>
      </c>
      <c r="F917" s="161">
        <v>7.5</v>
      </c>
      <c r="G917" s="162">
        <v>381.97500000000002</v>
      </c>
      <c r="H917" s="67">
        <v>613</v>
      </c>
    </row>
    <row r="918" spans="1:8" x14ac:dyDescent="0.25">
      <c r="A918" s="212">
        <v>41941</v>
      </c>
      <c r="B918" s="160" t="s">
        <v>285</v>
      </c>
      <c r="C918" t="s">
        <v>621</v>
      </c>
      <c r="D918" t="s">
        <v>27</v>
      </c>
      <c r="E918" s="161">
        <v>1</v>
      </c>
      <c r="F918" s="161">
        <v>80</v>
      </c>
      <c r="G918" s="162">
        <v>80</v>
      </c>
      <c r="H918" s="67">
        <v>613</v>
      </c>
    </row>
    <row r="919" spans="1:8" x14ac:dyDescent="0.25">
      <c r="A919" s="212">
        <v>41941</v>
      </c>
      <c r="B919" s="160" t="s">
        <v>683</v>
      </c>
      <c r="C919" t="s">
        <v>680</v>
      </c>
      <c r="D919" t="s">
        <v>527</v>
      </c>
      <c r="E919" s="161">
        <v>173.74</v>
      </c>
      <c r="F919" s="161">
        <v>7.5</v>
      </c>
      <c r="G919" s="162">
        <v>1303.05</v>
      </c>
      <c r="H919" s="67">
        <v>613</v>
      </c>
    </row>
    <row r="920" spans="1:8" x14ac:dyDescent="0.25">
      <c r="A920" s="212">
        <v>41941</v>
      </c>
      <c r="B920" s="160" t="s">
        <v>682</v>
      </c>
      <c r="C920" t="s">
        <v>680</v>
      </c>
      <c r="D920" t="s">
        <v>527</v>
      </c>
      <c r="E920" s="161">
        <v>73.42</v>
      </c>
      <c r="F920" s="161">
        <v>7.5</v>
      </c>
      <c r="G920" s="162">
        <v>550.65</v>
      </c>
      <c r="H920" s="67">
        <v>613</v>
      </c>
    </row>
    <row r="921" spans="1:8" x14ac:dyDescent="0.25">
      <c r="A921" s="212">
        <v>41941</v>
      </c>
      <c r="B921" s="160" t="s">
        <v>683</v>
      </c>
      <c r="C921" t="s">
        <v>680</v>
      </c>
      <c r="D921" t="s">
        <v>527</v>
      </c>
      <c r="E921" s="161">
        <v>53.84</v>
      </c>
      <c r="F921" s="161">
        <v>7.5</v>
      </c>
      <c r="G921" s="162">
        <v>403.8</v>
      </c>
      <c r="H921" s="67">
        <v>613</v>
      </c>
    </row>
    <row r="922" spans="1:8" x14ac:dyDescent="0.25">
      <c r="A922" s="212">
        <v>41942</v>
      </c>
      <c r="B922" s="160" t="s">
        <v>631</v>
      </c>
      <c r="C922" t="s">
        <v>632</v>
      </c>
      <c r="D922" t="s">
        <v>27</v>
      </c>
      <c r="E922" s="161">
        <v>3</v>
      </c>
      <c r="F922" s="161">
        <v>80</v>
      </c>
      <c r="G922" s="162">
        <v>240</v>
      </c>
      <c r="H922" s="67">
        <v>613</v>
      </c>
    </row>
    <row r="923" spans="1:8" x14ac:dyDescent="0.25">
      <c r="A923" s="212">
        <v>41942</v>
      </c>
      <c r="B923" s="160" t="s">
        <v>631</v>
      </c>
      <c r="C923" t="s">
        <v>632</v>
      </c>
      <c r="D923" t="s">
        <v>27</v>
      </c>
      <c r="E923" s="161">
        <v>5</v>
      </c>
      <c r="F923" s="161">
        <v>80</v>
      </c>
      <c r="G923" s="162">
        <v>400</v>
      </c>
      <c r="H923" s="67">
        <v>613</v>
      </c>
    </row>
    <row r="924" spans="1:8" x14ac:dyDescent="0.25">
      <c r="A924" s="212">
        <v>41942</v>
      </c>
      <c r="B924" s="160" t="s">
        <v>682</v>
      </c>
      <c r="C924" t="s">
        <v>680</v>
      </c>
      <c r="D924" t="s">
        <v>527</v>
      </c>
      <c r="E924" s="161">
        <v>221.03</v>
      </c>
      <c r="F924" s="161">
        <v>7.5</v>
      </c>
      <c r="G924" s="162">
        <v>1657.7249999999999</v>
      </c>
      <c r="H924" s="67">
        <v>613</v>
      </c>
    </row>
    <row r="925" spans="1:8" x14ac:dyDescent="0.25">
      <c r="A925" s="212">
        <v>41942</v>
      </c>
      <c r="B925" s="160" t="s">
        <v>690</v>
      </c>
      <c r="C925" t="s">
        <v>680</v>
      </c>
      <c r="D925" t="s">
        <v>527</v>
      </c>
      <c r="E925" s="161">
        <v>162.96</v>
      </c>
      <c r="F925" s="161">
        <v>7.5</v>
      </c>
      <c r="G925" s="162">
        <v>1222.2</v>
      </c>
      <c r="H925" s="67">
        <v>613</v>
      </c>
    </row>
    <row r="926" spans="1:8" x14ac:dyDescent="0.25">
      <c r="A926" s="212">
        <v>41942</v>
      </c>
      <c r="B926" s="160" t="s">
        <v>684</v>
      </c>
      <c r="C926" t="s">
        <v>655</v>
      </c>
      <c r="D926" t="s">
        <v>527</v>
      </c>
      <c r="E926" s="161">
        <v>8.5</v>
      </c>
      <c r="F926" s="161">
        <v>120</v>
      </c>
      <c r="G926" s="162">
        <v>1020</v>
      </c>
      <c r="H926" s="67">
        <v>613</v>
      </c>
    </row>
    <row r="927" spans="1:8" x14ac:dyDescent="0.25">
      <c r="A927" s="212">
        <v>41942</v>
      </c>
      <c r="B927" s="160" t="s">
        <v>691</v>
      </c>
      <c r="C927" t="s">
        <v>680</v>
      </c>
      <c r="D927" t="s">
        <v>527</v>
      </c>
      <c r="E927" s="161">
        <v>155.76</v>
      </c>
      <c r="F927" s="161">
        <v>7.5</v>
      </c>
      <c r="G927" s="162">
        <v>1168.2</v>
      </c>
      <c r="H927" s="67">
        <v>613</v>
      </c>
    </row>
    <row r="928" spans="1:8" x14ac:dyDescent="0.25">
      <c r="A928" s="212">
        <v>41943</v>
      </c>
      <c r="B928" s="160" t="s">
        <v>1209</v>
      </c>
      <c r="C928" t="s">
        <v>1210</v>
      </c>
      <c r="D928" t="s">
        <v>27</v>
      </c>
      <c r="E928" s="161">
        <v>4</v>
      </c>
      <c r="F928" s="161">
        <v>42.79</v>
      </c>
      <c r="G928" s="162">
        <v>171.16</v>
      </c>
      <c r="H928" s="67">
        <v>613</v>
      </c>
    </row>
    <row r="929" spans="1:8" x14ac:dyDescent="0.25">
      <c r="A929" s="212">
        <v>41943</v>
      </c>
      <c r="B929" s="160" t="s">
        <v>691</v>
      </c>
      <c r="C929" t="s">
        <v>680</v>
      </c>
      <c r="D929" t="s">
        <v>527</v>
      </c>
      <c r="E929" s="161">
        <v>155.59</v>
      </c>
      <c r="F929" s="161">
        <v>7.5</v>
      </c>
      <c r="G929" s="162">
        <v>1166.925</v>
      </c>
      <c r="H929" s="67">
        <v>613</v>
      </c>
    </row>
    <row r="930" spans="1:8" x14ac:dyDescent="0.25">
      <c r="A930" s="212">
        <v>41943</v>
      </c>
      <c r="B930" s="160" t="s">
        <v>692</v>
      </c>
      <c r="C930" t="s">
        <v>680</v>
      </c>
      <c r="D930" t="s">
        <v>527</v>
      </c>
      <c r="E930" s="161">
        <v>181.69</v>
      </c>
      <c r="F930" s="161">
        <v>7.5</v>
      </c>
      <c r="G930" s="162">
        <v>1362.675</v>
      </c>
      <c r="H930" s="67">
        <v>613</v>
      </c>
    </row>
    <row r="931" spans="1:8" x14ac:dyDescent="0.25">
      <c r="A931" s="212">
        <v>41943</v>
      </c>
      <c r="B931" s="160" t="s">
        <v>682</v>
      </c>
      <c r="C931" t="s">
        <v>680</v>
      </c>
      <c r="D931" t="s">
        <v>527</v>
      </c>
      <c r="E931" s="161">
        <v>183.21</v>
      </c>
      <c r="F931" s="161">
        <v>7.5</v>
      </c>
      <c r="G931" s="162">
        <v>1374.075</v>
      </c>
      <c r="H931" s="67">
        <v>613</v>
      </c>
    </row>
    <row r="932" spans="1:8" x14ac:dyDescent="0.25">
      <c r="A932" s="212">
        <v>41943</v>
      </c>
      <c r="B932" s="160" t="s">
        <v>697</v>
      </c>
      <c r="C932" t="s">
        <v>680</v>
      </c>
      <c r="D932" t="s">
        <v>527</v>
      </c>
      <c r="E932" s="161">
        <v>159.66999999999999</v>
      </c>
      <c r="F932" s="161">
        <v>7.5</v>
      </c>
      <c r="G932" s="162">
        <v>1197.5250000000001</v>
      </c>
      <c r="H932" s="67">
        <v>613</v>
      </c>
    </row>
    <row r="933" spans="1:8" x14ac:dyDescent="0.25">
      <c r="A933" s="212">
        <v>41943</v>
      </c>
      <c r="B933" s="160" t="s">
        <v>705</v>
      </c>
      <c r="C933" t="s">
        <v>680</v>
      </c>
      <c r="D933" t="s">
        <v>527</v>
      </c>
      <c r="E933" s="161">
        <v>6</v>
      </c>
      <c r="F933" s="161">
        <v>120</v>
      </c>
      <c r="G933" s="162">
        <v>720</v>
      </c>
      <c r="H933" s="67">
        <v>613</v>
      </c>
    </row>
    <row r="934" spans="1:8" x14ac:dyDescent="0.25">
      <c r="A934" s="212">
        <v>41943</v>
      </c>
      <c r="B934" s="160" t="s">
        <v>697</v>
      </c>
      <c r="C934" t="s">
        <v>680</v>
      </c>
      <c r="D934" t="s">
        <v>527</v>
      </c>
      <c r="E934" s="161">
        <v>162.29</v>
      </c>
      <c r="F934" s="161">
        <v>7.5</v>
      </c>
      <c r="G934" s="162">
        <v>1217.175</v>
      </c>
      <c r="H934" s="67">
        <v>613</v>
      </c>
    </row>
    <row r="935" spans="1:8" x14ac:dyDescent="0.25">
      <c r="A935" s="212">
        <v>41943</v>
      </c>
      <c r="B935" s="160" t="s">
        <v>683</v>
      </c>
      <c r="C935" t="s">
        <v>680</v>
      </c>
      <c r="D935" t="s">
        <v>527</v>
      </c>
      <c r="E935" s="161">
        <v>175.74</v>
      </c>
      <c r="F935" s="161">
        <v>7.5</v>
      </c>
      <c r="G935" s="162">
        <v>1318.05</v>
      </c>
      <c r="H935" s="67">
        <v>613</v>
      </c>
    </row>
    <row r="936" spans="1:8" x14ac:dyDescent="0.25">
      <c r="A936" s="212">
        <v>41944</v>
      </c>
      <c r="B936" s="160" t="s">
        <v>631</v>
      </c>
      <c r="C936" t="s">
        <v>632</v>
      </c>
      <c r="D936" t="s">
        <v>527</v>
      </c>
      <c r="E936" s="161">
        <v>2.5</v>
      </c>
      <c r="F936" s="161">
        <v>120</v>
      </c>
      <c r="G936" s="162">
        <v>300</v>
      </c>
      <c r="H936" s="67">
        <v>613</v>
      </c>
    </row>
    <row r="937" spans="1:8" x14ac:dyDescent="0.25">
      <c r="A937" s="212">
        <v>41944</v>
      </c>
      <c r="B937" s="160" t="s">
        <v>703</v>
      </c>
      <c r="C937" t="s">
        <v>680</v>
      </c>
      <c r="D937" t="s">
        <v>527</v>
      </c>
      <c r="E937" s="161">
        <v>81.180000000000007</v>
      </c>
      <c r="F937" s="161">
        <v>7.5</v>
      </c>
      <c r="G937" s="162">
        <v>608.85</v>
      </c>
      <c r="H937" s="67">
        <v>613</v>
      </c>
    </row>
    <row r="938" spans="1:8" x14ac:dyDescent="0.25">
      <c r="A938" s="212">
        <v>41944</v>
      </c>
      <c r="B938" s="160" t="s">
        <v>690</v>
      </c>
      <c r="C938" t="s">
        <v>680</v>
      </c>
      <c r="D938" t="s">
        <v>527</v>
      </c>
      <c r="E938" s="161">
        <v>81.64</v>
      </c>
      <c r="F938" s="161">
        <v>7.5</v>
      </c>
      <c r="G938" s="162">
        <v>612.29999999999995</v>
      </c>
      <c r="H938" s="67">
        <v>613</v>
      </c>
    </row>
    <row r="939" spans="1:8" x14ac:dyDescent="0.25">
      <c r="A939" s="212">
        <v>41944</v>
      </c>
      <c r="B939" s="160" t="s">
        <v>692</v>
      </c>
      <c r="C939" t="s">
        <v>680</v>
      </c>
      <c r="D939" t="s">
        <v>527</v>
      </c>
      <c r="E939" s="161">
        <v>90.63</v>
      </c>
      <c r="F939" s="161">
        <v>7.5</v>
      </c>
      <c r="G939" s="162">
        <v>679.72500000000002</v>
      </c>
      <c r="H939" s="67">
        <v>613</v>
      </c>
    </row>
    <row r="940" spans="1:8" x14ac:dyDescent="0.25">
      <c r="A940" s="212">
        <v>41944</v>
      </c>
      <c r="B940" s="160" t="s">
        <v>697</v>
      </c>
      <c r="C940" t="s">
        <v>680</v>
      </c>
      <c r="D940" t="s">
        <v>527</v>
      </c>
      <c r="E940" s="161">
        <v>80.989999999999995</v>
      </c>
      <c r="F940" s="161">
        <v>7.5</v>
      </c>
      <c r="G940" s="162">
        <v>607.42499999999995</v>
      </c>
      <c r="H940" s="67">
        <v>613</v>
      </c>
    </row>
    <row r="941" spans="1:8" x14ac:dyDescent="0.25">
      <c r="A941" s="212">
        <v>41944</v>
      </c>
      <c r="B941" s="160" t="s">
        <v>1211</v>
      </c>
      <c r="C941" t="s">
        <v>1233</v>
      </c>
      <c r="D941" t="s">
        <v>27</v>
      </c>
      <c r="E941" s="161">
        <v>5.5</v>
      </c>
      <c r="F941" s="161">
        <v>54.58</v>
      </c>
      <c r="G941" s="162">
        <v>300.19</v>
      </c>
      <c r="H941" s="67">
        <v>613</v>
      </c>
    </row>
    <row r="942" spans="1:8" x14ac:dyDescent="0.25">
      <c r="A942" s="212">
        <v>41944</v>
      </c>
      <c r="B942" s="160" t="s">
        <v>682</v>
      </c>
      <c r="C942" t="s">
        <v>680</v>
      </c>
      <c r="D942" t="s">
        <v>527</v>
      </c>
      <c r="E942" s="161">
        <v>110.64</v>
      </c>
      <c r="F942" s="161">
        <v>7.5</v>
      </c>
      <c r="G942" s="162">
        <v>829.8</v>
      </c>
      <c r="H942" s="67">
        <v>613</v>
      </c>
    </row>
    <row r="943" spans="1:8" x14ac:dyDescent="0.25">
      <c r="A943" s="212">
        <v>41944</v>
      </c>
      <c r="B943" s="160" t="s">
        <v>691</v>
      </c>
      <c r="C943" t="s">
        <v>680</v>
      </c>
      <c r="D943" t="s">
        <v>527</v>
      </c>
      <c r="E943" s="161">
        <v>77.97</v>
      </c>
      <c r="F943" s="161">
        <v>7.5</v>
      </c>
      <c r="G943" s="162">
        <v>584.77499999999998</v>
      </c>
      <c r="H943" s="67">
        <v>613</v>
      </c>
    </row>
    <row r="944" spans="1:8" x14ac:dyDescent="0.25">
      <c r="A944" s="212">
        <v>41944</v>
      </c>
      <c r="B944" s="160" t="s">
        <v>1209</v>
      </c>
      <c r="C944" t="s">
        <v>1210</v>
      </c>
      <c r="D944" t="s">
        <v>27</v>
      </c>
      <c r="E944" s="161">
        <v>3.5</v>
      </c>
      <c r="F944" s="161">
        <v>42.79</v>
      </c>
      <c r="G944" s="162">
        <v>149.76499999999999</v>
      </c>
      <c r="H944" s="67">
        <v>613</v>
      </c>
    </row>
    <row r="945" spans="1:8" x14ac:dyDescent="0.25">
      <c r="A945" s="212">
        <v>41944</v>
      </c>
      <c r="B945" s="160" t="s">
        <v>706</v>
      </c>
      <c r="C945" t="s">
        <v>680</v>
      </c>
      <c r="D945" t="s">
        <v>527</v>
      </c>
      <c r="E945" s="161">
        <v>90.77</v>
      </c>
      <c r="F945" s="161">
        <v>7.5</v>
      </c>
      <c r="G945" s="162">
        <v>680.77499999999998</v>
      </c>
      <c r="H945" s="67">
        <v>613</v>
      </c>
    </row>
    <row r="946" spans="1:8" x14ac:dyDescent="0.25">
      <c r="A946" s="212">
        <v>41944</v>
      </c>
      <c r="B946" s="160" t="s">
        <v>693</v>
      </c>
      <c r="C946" t="s">
        <v>680</v>
      </c>
      <c r="D946" t="s">
        <v>527</v>
      </c>
      <c r="E946" s="161">
        <v>100.05</v>
      </c>
      <c r="F946" s="161">
        <v>7.5</v>
      </c>
      <c r="G946" s="162">
        <v>750.375</v>
      </c>
      <c r="H946" s="67">
        <v>613</v>
      </c>
    </row>
    <row r="947" spans="1:8" x14ac:dyDescent="0.25">
      <c r="A947" s="212">
        <v>41944</v>
      </c>
      <c r="B947" s="160" t="s">
        <v>683</v>
      </c>
      <c r="C947" t="s">
        <v>680</v>
      </c>
      <c r="D947" t="s">
        <v>527</v>
      </c>
      <c r="E947" s="161">
        <v>87.25</v>
      </c>
      <c r="F947" s="161">
        <v>7.5</v>
      </c>
      <c r="G947" s="162">
        <v>654.375</v>
      </c>
      <c r="H947" s="67">
        <v>613</v>
      </c>
    </row>
    <row r="948" spans="1:8" x14ac:dyDescent="0.25">
      <c r="A948" s="212">
        <v>41946</v>
      </c>
      <c r="B948" s="160" t="s">
        <v>693</v>
      </c>
      <c r="C948" t="s">
        <v>680</v>
      </c>
      <c r="D948" t="s">
        <v>527</v>
      </c>
      <c r="E948" s="161">
        <v>171.18</v>
      </c>
      <c r="F948" s="161">
        <v>7.5</v>
      </c>
      <c r="G948" s="162">
        <v>1283.8499999999999</v>
      </c>
      <c r="H948" s="67">
        <v>613</v>
      </c>
    </row>
    <row r="949" spans="1:8" x14ac:dyDescent="0.25">
      <c r="A949" s="212">
        <v>41946</v>
      </c>
      <c r="B949" s="160" t="s">
        <v>707</v>
      </c>
      <c r="C949" t="s">
        <v>680</v>
      </c>
      <c r="D949" t="s">
        <v>527</v>
      </c>
      <c r="E949" s="161">
        <v>124.21</v>
      </c>
      <c r="F949" s="161">
        <v>7.5</v>
      </c>
      <c r="G949" s="162">
        <v>931.56500000000005</v>
      </c>
      <c r="H949" s="67">
        <v>613</v>
      </c>
    </row>
    <row r="950" spans="1:8" x14ac:dyDescent="0.25">
      <c r="A950" s="212">
        <v>41947</v>
      </c>
      <c r="B950" s="160" t="s">
        <v>631</v>
      </c>
      <c r="C950" t="s">
        <v>632</v>
      </c>
      <c r="D950" t="s">
        <v>27</v>
      </c>
      <c r="E950" s="161">
        <v>4</v>
      </c>
      <c r="F950" s="161">
        <v>80</v>
      </c>
      <c r="G950" s="162">
        <v>320</v>
      </c>
      <c r="H950" s="67">
        <v>613</v>
      </c>
    </row>
    <row r="951" spans="1:8" x14ac:dyDescent="0.25">
      <c r="A951" s="212">
        <v>41947</v>
      </c>
      <c r="B951" s="160" t="s">
        <v>1209</v>
      </c>
      <c r="C951" t="s">
        <v>1210</v>
      </c>
      <c r="D951" t="s">
        <v>27</v>
      </c>
      <c r="E951" s="161">
        <v>3</v>
      </c>
      <c r="F951" s="161">
        <v>42.79</v>
      </c>
      <c r="G951" s="162">
        <v>128.37</v>
      </c>
      <c r="H951" s="67">
        <v>613</v>
      </c>
    </row>
    <row r="952" spans="1:8" x14ac:dyDescent="0.25">
      <c r="A952" s="212">
        <v>41947</v>
      </c>
      <c r="B952" s="160" t="s">
        <v>631</v>
      </c>
      <c r="C952" t="s">
        <v>632</v>
      </c>
      <c r="D952" t="s">
        <v>27</v>
      </c>
      <c r="E952" s="161">
        <v>4</v>
      </c>
      <c r="F952" s="161">
        <v>80</v>
      </c>
      <c r="G952" s="162">
        <v>320</v>
      </c>
      <c r="H952" s="67">
        <v>613</v>
      </c>
    </row>
    <row r="953" spans="1:8" x14ac:dyDescent="0.25">
      <c r="A953" s="212">
        <v>41947</v>
      </c>
      <c r="B953" s="160" t="s">
        <v>631</v>
      </c>
      <c r="C953" t="s">
        <v>632</v>
      </c>
      <c r="D953" t="s">
        <v>27</v>
      </c>
      <c r="E953" s="161">
        <v>4</v>
      </c>
      <c r="F953" s="161">
        <v>80</v>
      </c>
      <c r="G953" s="162">
        <v>320</v>
      </c>
      <c r="H953" s="67">
        <v>613</v>
      </c>
    </row>
    <row r="954" spans="1:8" x14ac:dyDescent="0.25">
      <c r="A954" s="212">
        <v>41947</v>
      </c>
      <c r="B954" s="160" t="s">
        <v>285</v>
      </c>
      <c r="C954" t="s">
        <v>621</v>
      </c>
      <c r="D954" t="s">
        <v>27</v>
      </c>
      <c r="E954" s="161">
        <v>4</v>
      </c>
      <c r="F954" s="161">
        <v>80</v>
      </c>
      <c r="G954" s="162">
        <v>320</v>
      </c>
      <c r="H954" s="67">
        <v>613</v>
      </c>
    </row>
    <row r="955" spans="1:8" x14ac:dyDescent="0.25">
      <c r="A955" s="212">
        <v>41947</v>
      </c>
      <c r="B955" s="160" t="s">
        <v>690</v>
      </c>
      <c r="C955" t="s">
        <v>680</v>
      </c>
      <c r="D955" t="s">
        <v>527</v>
      </c>
      <c r="E955" s="161">
        <v>79.8</v>
      </c>
      <c r="F955" s="161">
        <v>7.5</v>
      </c>
      <c r="G955" s="162">
        <v>598.5</v>
      </c>
      <c r="H955" s="67">
        <v>613</v>
      </c>
    </row>
    <row r="956" spans="1:8" x14ac:dyDescent="0.25">
      <c r="A956" s="212">
        <v>41947</v>
      </c>
      <c r="B956" s="160" t="s">
        <v>1211</v>
      </c>
      <c r="C956" t="s">
        <v>1233</v>
      </c>
      <c r="D956" t="s">
        <v>27</v>
      </c>
      <c r="E956" s="161">
        <v>3.5</v>
      </c>
      <c r="F956" s="161">
        <v>54.58</v>
      </c>
      <c r="G956" s="162">
        <v>191.03</v>
      </c>
      <c r="H956" s="67">
        <v>613</v>
      </c>
    </row>
    <row r="957" spans="1:8" x14ac:dyDescent="0.25">
      <c r="A957" s="212">
        <v>41948</v>
      </c>
      <c r="B957" s="160" t="s">
        <v>285</v>
      </c>
      <c r="C957" t="s">
        <v>621</v>
      </c>
      <c r="D957" t="s">
        <v>27</v>
      </c>
      <c r="E957" s="161">
        <v>3.5</v>
      </c>
      <c r="F957" s="161">
        <v>80</v>
      </c>
      <c r="G957" s="162">
        <v>280</v>
      </c>
      <c r="H957" s="67">
        <v>613</v>
      </c>
    </row>
    <row r="958" spans="1:8" x14ac:dyDescent="0.25">
      <c r="A958" s="212">
        <v>41948</v>
      </c>
      <c r="B958" s="160" t="s">
        <v>631</v>
      </c>
      <c r="C958" t="s">
        <v>632</v>
      </c>
      <c r="D958" t="s">
        <v>27</v>
      </c>
      <c r="E958" s="161">
        <v>3.5</v>
      </c>
      <c r="F958" s="161">
        <v>80</v>
      </c>
      <c r="G958" s="162">
        <v>280</v>
      </c>
      <c r="H958" s="67">
        <v>613</v>
      </c>
    </row>
    <row r="959" spans="1:8" x14ac:dyDescent="0.25">
      <c r="A959" s="212">
        <v>41948</v>
      </c>
      <c r="B959" s="160" t="s">
        <v>631</v>
      </c>
      <c r="C959" t="s">
        <v>632</v>
      </c>
      <c r="D959" t="s">
        <v>27</v>
      </c>
      <c r="E959" s="161">
        <v>3</v>
      </c>
      <c r="F959" s="161">
        <v>80</v>
      </c>
      <c r="G959" s="162">
        <v>240</v>
      </c>
      <c r="H959" s="67">
        <v>613</v>
      </c>
    </row>
    <row r="960" spans="1:8" x14ac:dyDescent="0.25">
      <c r="A960" s="212">
        <v>41948</v>
      </c>
      <c r="B960" s="160" t="s">
        <v>1211</v>
      </c>
      <c r="C960" t="s">
        <v>1233</v>
      </c>
      <c r="D960" t="s">
        <v>27</v>
      </c>
      <c r="E960" s="161">
        <v>3.5</v>
      </c>
      <c r="F960" s="161">
        <v>54.58</v>
      </c>
      <c r="G960" s="162">
        <v>191.03</v>
      </c>
      <c r="H960" s="67">
        <v>613</v>
      </c>
    </row>
    <row r="961" spans="1:8" x14ac:dyDescent="0.25">
      <c r="A961" s="212">
        <v>41948</v>
      </c>
      <c r="B961" s="160" t="s">
        <v>631</v>
      </c>
      <c r="C961" t="s">
        <v>632</v>
      </c>
      <c r="D961" t="s">
        <v>27</v>
      </c>
      <c r="E961" s="161">
        <v>3</v>
      </c>
      <c r="F961" s="161">
        <v>80</v>
      </c>
      <c r="G961" s="162">
        <v>240</v>
      </c>
      <c r="H961" s="67">
        <v>613</v>
      </c>
    </row>
    <row r="962" spans="1:8" x14ac:dyDescent="0.25">
      <c r="A962" s="212">
        <v>41948</v>
      </c>
      <c r="B962" s="160" t="s">
        <v>708</v>
      </c>
      <c r="C962" t="s">
        <v>680</v>
      </c>
      <c r="D962" t="s">
        <v>527</v>
      </c>
      <c r="E962" s="161">
        <v>58.68</v>
      </c>
      <c r="F962" s="161">
        <v>7.5</v>
      </c>
      <c r="G962" s="162">
        <v>440.1</v>
      </c>
      <c r="H962" s="67">
        <v>613</v>
      </c>
    </row>
    <row r="963" spans="1:8" x14ac:dyDescent="0.25">
      <c r="A963" s="212">
        <v>41950</v>
      </c>
      <c r="B963" s="160" t="s">
        <v>631</v>
      </c>
      <c r="C963" t="s">
        <v>632</v>
      </c>
      <c r="D963" t="s">
        <v>27</v>
      </c>
      <c r="E963" s="161">
        <v>4.5</v>
      </c>
      <c r="F963" s="161">
        <v>80</v>
      </c>
      <c r="G963" s="162">
        <v>360</v>
      </c>
      <c r="H963" s="67">
        <v>613</v>
      </c>
    </row>
    <row r="964" spans="1:8" x14ac:dyDescent="0.25">
      <c r="A964" s="212">
        <v>41950</v>
      </c>
      <c r="B964" s="160" t="s">
        <v>631</v>
      </c>
      <c r="C964" t="s">
        <v>632</v>
      </c>
      <c r="D964" t="s">
        <v>27</v>
      </c>
      <c r="E964" s="161">
        <v>4</v>
      </c>
      <c r="F964" s="161">
        <v>80</v>
      </c>
      <c r="G964" s="162">
        <v>320</v>
      </c>
      <c r="H964" s="67">
        <v>613</v>
      </c>
    </row>
    <row r="965" spans="1:8" x14ac:dyDescent="0.25">
      <c r="A965" s="212">
        <v>41950</v>
      </c>
      <c r="B965" s="160" t="s">
        <v>285</v>
      </c>
      <c r="C965" t="s">
        <v>621</v>
      </c>
      <c r="D965" t="s">
        <v>27</v>
      </c>
      <c r="E965" s="161">
        <v>4.25</v>
      </c>
      <c r="F965" s="161">
        <v>80</v>
      </c>
      <c r="G965" s="162">
        <v>340</v>
      </c>
      <c r="H965" s="67">
        <v>613</v>
      </c>
    </row>
    <row r="966" spans="1:8" x14ac:dyDescent="0.25">
      <c r="A966" s="212">
        <v>41950</v>
      </c>
      <c r="B966" s="160" t="s">
        <v>644</v>
      </c>
      <c r="C966" t="s">
        <v>645</v>
      </c>
      <c r="D966" t="s">
        <v>27</v>
      </c>
      <c r="E966" s="161">
        <v>4</v>
      </c>
      <c r="F966" s="161">
        <v>80</v>
      </c>
      <c r="G966" s="162">
        <v>320</v>
      </c>
      <c r="H966" s="67">
        <v>613</v>
      </c>
    </row>
    <row r="967" spans="1:8" x14ac:dyDescent="0.25">
      <c r="A967" s="212">
        <v>41951</v>
      </c>
      <c r="B967" s="160" t="s">
        <v>285</v>
      </c>
      <c r="C967" t="s">
        <v>621</v>
      </c>
      <c r="D967" t="s">
        <v>27</v>
      </c>
      <c r="E967" s="161">
        <v>6</v>
      </c>
      <c r="F967" s="161">
        <v>80</v>
      </c>
      <c r="G967" s="162">
        <v>480</v>
      </c>
      <c r="H967" s="67">
        <v>613</v>
      </c>
    </row>
    <row r="968" spans="1:8" x14ac:dyDescent="0.25">
      <c r="A968" s="212">
        <v>41951</v>
      </c>
      <c r="B968" s="160" t="s">
        <v>631</v>
      </c>
      <c r="C968" t="s">
        <v>632</v>
      </c>
      <c r="D968" t="s">
        <v>27</v>
      </c>
      <c r="E968" s="161">
        <v>6</v>
      </c>
      <c r="F968" s="161">
        <v>80</v>
      </c>
      <c r="G968" s="162">
        <v>480</v>
      </c>
      <c r="H968" s="67">
        <v>613</v>
      </c>
    </row>
    <row r="969" spans="1:8" x14ac:dyDescent="0.25">
      <c r="A969" s="212">
        <v>41951</v>
      </c>
      <c r="B969" s="160" t="s">
        <v>631</v>
      </c>
      <c r="C969" t="s">
        <v>632</v>
      </c>
      <c r="D969" t="s">
        <v>27</v>
      </c>
      <c r="E969" s="161">
        <v>6</v>
      </c>
      <c r="F969" s="161">
        <v>80</v>
      </c>
      <c r="G969" s="162">
        <v>480</v>
      </c>
      <c r="H969" s="67">
        <v>613</v>
      </c>
    </row>
    <row r="970" spans="1:8" x14ac:dyDescent="0.25">
      <c r="A970" s="212">
        <v>41951</v>
      </c>
      <c r="B970" s="160" t="s">
        <v>1109</v>
      </c>
      <c r="C970" t="s">
        <v>7</v>
      </c>
      <c r="D970" t="s">
        <v>27</v>
      </c>
      <c r="E970" s="161">
        <v>3</v>
      </c>
      <c r="F970" s="161">
        <v>42.72</v>
      </c>
      <c r="G970" s="162">
        <v>128.16</v>
      </c>
      <c r="H970" s="67">
        <v>613</v>
      </c>
    </row>
    <row r="971" spans="1:8" x14ac:dyDescent="0.25">
      <c r="A971" s="212">
        <v>41951</v>
      </c>
      <c r="B971" s="160" t="s">
        <v>1211</v>
      </c>
      <c r="C971" t="s">
        <v>1233</v>
      </c>
      <c r="D971" t="s">
        <v>27</v>
      </c>
      <c r="E971" s="161">
        <v>3.5</v>
      </c>
      <c r="F971" s="161">
        <v>54.58</v>
      </c>
      <c r="G971" s="162">
        <v>191.03</v>
      </c>
      <c r="H971" s="67">
        <v>613</v>
      </c>
    </row>
    <row r="972" spans="1:8" x14ac:dyDescent="0.25">
      <c r="A972" s="212">
        <v>41951</v>
      </c>
      <c r="B972" s="160" t="s">
        <v>1209</v>
      </c>
      <c r="C972" t="s">
        <v>1210</v>
      </c>
      <c r="D972" t="s">
        <v>27</v>
      </c>
      <c r="E972" s="161">
        <v>3</v>
      </c>
      <c r="F972" s="161">
        <v>42.79</v>
      </c>
      <c r="G972" s="162">
        <v>128.37</v>
      </c>
      <c r="H972" s="67">
        <v>613</v>
      </c>
    </row>
    <row r="973" spans="1:8" x14ac:dyDescent="0.25">
      <c r="A973" s="212">
        <v>41953</v>
      </c>
      <c r="B973" s="160" t="s">
        <v>1211</v>
      </c>
      <c r="C973" t="s">
        <v>1233</v>
      </c>
      <c r="D973" t="s">
        <v>27</v>
      </c>
      <c r="E973" s="161">
        <v>4</v>
      </c>
      <c r="F973" s="161">
        <v>54.58</v>
      </c>
      <c r="G973" s="162">
        <v>218.32</v>
      </c>
      <c r="H973" s="67">
        <v>613</v>
      </c>
    </row>
    <row r="974" spans="1:8" x14ac:dyDescent="0.25">
      <c r="A974" s="212">
        <v>41953</v>
      </c>
      <c r="B974" s="160" t="s">
        <v>286</v>
      </c>
      <c r="C974" t="s">
        <v>633</v>
      </c>
      <c r="D974" t="s">
        <v>27</v>
      </c>
      <c r="E974" s="161">
        <v>8.5</v>
      </c>
      <c r="F974" s="161">
        <v>90</v>
      </c>
      <c r="G974" s="162">
        <v>765</v>
      </c>
      <c r="H974" s="67">
        <v>613</v>
      </c>
    </row>
    <row r="975" spans="1:8" x14ac:dyDescent="0.25">
      <c r="A975" s="212">
        <v>41953</v>
      </c>
      <c r="B975" s="160" t="s">
        <v>285</v>
      </c>
      <c r="C975" t="s">
        <v>621</v>
      </c>
      <c r="D975" t="s">
        <v>27</v>
      </c>
      <c r="E975" s="161">
        <v>3</v>
      </c>
      <c r="F975" s="161">
        <v>80</v>
      </c>
      <c r="G975" s="162">
        <v>240</v>
      </c>
      <c r="H975" s="67">
        <v>613</v>
      </c>
    </row>
    <row r="976" spans="1:8" x14ac:dyDescent="0.25">
      <c r="A976" s="212">
        <v>41953</v>
      </c>
      <c r="B976" s="160" t="s">
        <v>631</v>
      </c>
      <c r="C976" t="s">
        <v>632</v>
      </c>
      <c r="D976" t="s">
        <v>27</v>
      </c>
      <c r="E976" s="161">
        <v>9</v>
      </c>
      <c r="F976" s="161">
        <v>80</v>
      </c>
      <c r="G976" s="162">
        <v>720</v>
      </c>
      <c r="H976" s="67">
        <v>613</v>
      </c>
    </row>
    <row r="977" spans="1:8" x14ac:dyDescent="0.25">
      <c r="A977" s="212">
        <v>41953</v>
      </c>
      <c r="B977" s="160" t="s">
        <v>631</v>
      </c>
      <c r="C977" t="s">
        <v>632</v>
      </c>
      <c r="D977" t="s">
        <v>27</v>
      </c>
      <c r="E977" s="161">
        <v>8</v>
      </c>
      <c r="F977" s="161">
        <v>80</v>
      </c>
      <c r="G977" s="162">
        <v>640</v>
      </c>
      <c r="H977" s="67">
        <v>613</v>
      </c>
    </row>
    <row r="978" spans="1:8" x14ac:dyDescent="0.25">
      <c r="A978" s="212">
        <v>41954</v>
      </c>
      <c r="B978" s="160" t="s">
        <v>285</v>
      </c>
      <c r="C978" t="s">
        <v>621</v>
      </c>
      <c r="D978" t="s">
        <v>27</v>
      </c>
      <c r="E978" s="161">
        <v>6</v>
      </c>
      <c r="F978" s="161">
        <v>80</v>
      </c>
      <c r="G978" s="162">
        <v>480</v>
      </c>
      <c r="H978" s="67">
        <v>613</v>
      </c>
    </row>
    <row r="979" spans="1:8" x14ac:dyDescent="0.25">
      <c r="A979" s="212">
        <v>41954</v>
      </c>
      <c r="B979" s="160" t="s">
        <v>631</v>
      </c>
      <c r="C979" t="s">
        <v>632</v>
      </c>
      <c r="D979" t="s">
        <v>27</v>
      </c>
      <c r="E979" s="161">
        <v>3.5</v>
      </c>
      <c r="F979" s="161">
        <v>80</v>
      </c>
      <c r="G979" s="162">
        <v>280</v>
      </c>
      <c r="H979" s="67">
        <v>613</v>
      </c>
    </row>
    <row r="980" spans="1:8" x14ac:dyDescent="0.25">
      <c r="A980" s="212">
        <v>41955</v>
      </c>
      <c r="B980" s="160" t="s">
        <v>644</v>
      </c>
      <c r="C980" t="s">
        <v>645</v>
      </c>
      <c r="D980" t="s">
        <v>27</v>
      </c>
      <c r="E980" s="161">
        <v>5</v>
      </c>
      <c r="F980" s="161">
        <v>80</v>
      </c>
      <c r="G980" s="162">
        <v>400</v>
      </c>
      <c r="H980" s="67">
        <v>613</v>
      </c>
    </row>
    <row r="981" spans="1:8" x14ac:dyDescent="0.25">
      <c r="A981" s="212">
        <v>41955</v>
      </c>
      <c r="B981" s="160" t="s">
        <v>644</v>
      </c>
      <c r="C981" t="s">
        <v>645</v>
      </c>
      <c r="D981" t="s">
        <v>27</v>
      </c>
      <c r="E981" s="161">
        <v>3</v>
      </c>
      <c r="F981" s="161">
        <v>80</v>
      </c>
      <c r="G981" s="162">
        <v>240</v>
      </c>
      <c r="H981" s="67">
        <v>613</v>
      </c>
    </row>
    <row r="982" spans="1:8" x14ac:dyDescent="0.25">
      <c r="A982" s="212">
        <v>41955</v>
      </c>
      <c r="B982" s="160" t="s">
        <v>683</v>
      </c>
      <c r="C982" t="s">
        <v>680</v>
      </c>
      <c r="D982" t="s">
        <v>527</v>
      </c>
      <c r="E982" s="161">
        <v>24.88</v>
      </c>
      <c r="F982" s="161">
        <v>7.5</v>
      </c>
      <c r="G982" s="162">
        <v>186.6</v>
      </c>
      <c r="H982" s="67">
        <v>613</v>
      </c>
    </row>
    <row r="983" spans="1:8" x14ac:dyDescent="0.25">
      <c r="A983" s="212">
        <v>41955</v>
      </c>
      <c r="B983" s="160" t="s">
        <v>626</v>
      </c>
      <c r="C983" t="s">
        <v>627</v>
      </c>
      <c r="D983" t="s">
        <v>27</v>
      </c>
      <c r="E983" s="161">
        <v>8</v>
      </c>
      <c r="F983" s="161">
        <v>80</v>
      </c>
      <c r="G983" s="162">
        <v>640</v>
      </c>
      <c r="H983" s="67">
        <v>613</v>
      </c>
    </row>
    <row r="984" spans="1:8" x14ac:dyDescent="0.25">
      <c r="A984" s="212">
        <v>41955</v>
      </c>
      <c r="B984" s="160" t="s">
        <v>683</v>
      </c>
      <c r="C984" t="s">
        <v>680</v>
      </c>
      <c r="D984" t="s">
        <v>527</v>
      </c>
      <c r="E984" s="161">
        <v>50.56</v>
      </c>
      <c r="F984" s="161">
        <v>7.5</v>
      </c>
      <c r="G984" s="162">
        <v>379.2</v>
      </c>
      <c r="H984" s="67">
        <v>613</v>
      </c>
    </row>
    <row r="985" spans="1:8" x14ac:dyDescent="0.25">
      <c r="A985" s="212">
        <v>41955</v>
      </c>
      <c r="B985" s="160" t="s">
        <v>634</v>
      </c>
      <c r="C985" t="s">
        <v>635</v>
      </c>
      <c r="D985" t="s">
        <v>27</v>
      </c>
      <c r="E985" s="161">
        <v>3</v>
      </c>
      <c r="F985" s="161">
        <v>92.5</v>
      </c>
      <c r="G985" s="162">
        <v>277.5</v>
      </c>
      <c r="H985" s="67">
        <v>613</v>
      </c>
    </row>
    <row r="986" spans="1:8" x14ac:dyDescent="0.25">
      <c r="A986" s="212">
        <v>41955</v>
      </c>
      <c r="B986" s="160" t="s">
        <v>1211</v>
      </c>
      <c r="C986" t="s">
        <v>1233</v>
      </c>
      <c r="D986" t="s">
        <v>27</v>
      </c>
      <c r="E986" s="161">
        <v>3.5</v>
      </c>
      <c r="F986" s="161">
        <v>54.58</v>
      </c>
      <c r="G986" s="162">
        <v>191.03</v>
      </c>
      <c r="H986" s="67">
        <v>613</v>
      </c>
    </row>
    <row r="987" spans="1:8" x14ac:dyDescent="0.25">
      <c r="A987" s="212">
        <v>41956</v>
      </c>
      <c r="B987" s="160" t="s">
        <v>1209</v>
      </c>
      <c r="C987" t="s">
        <v>1210</v>
      </c>
      <c r="D987" t="s">
        <v>27</v>
      </c>
      <c r="E987" s="161">
        <v>4</v>
      </c>
      <c r="F987" s="161">
        <v>42.79</v>
      </c>
      <c r="G987" s="162">
        <v>171.16</v>
      </c>
      <c r="H987" s="67">
        <v>613</v>
      </c>
    </row>
    <row r="988" spans="1:8" x14ac:dyDescent="0.25">
      <c r="A988" s="212">
        <v>41956</v>
      </c>
      <c r="B988" s="160" t="s">
        <v>1211</v>
      </c>
      <c r="C988" t="s">
        <v>1233</v>
      </c>
      <c r="D988" t="s">
        <v>27</v>
      </c>
      <c r="E988" s="161">
        <v>4.5</v>
      </c>
      <c r="F988" s="161">
        <v>54.58</v>
      </c>
      <c r="G988" s="162">
        <v>245.61</v>
      </c>
      <c r="H988" s="67">
        <v>613</v>
      </c>
    </row>
    <row r="989" spans="1:8" x14ac:dyDescent="0.25">
      <c r="A989" s="212">
        <v>41956</v>
      </c>
      <c r="B989" s="160" t="s">
        <v>644</v>
      </c>
      <c r="C989" t="s">
        <v>645</v>
      </c>
      <c r="D989" t="s">
        <v>27</v>
      </c>
      <c r="E989" s="161">
        <v>3.5</v>
      </c>
      <c r="F989" s="161">
        <v>80</v>
      </c>
      <c r="G989" s="162">
        <v>280</v>
      </c>
      <c r="H989" s="67">
        <v>613</v>
      </c>
    </row>
    <row r="990" spans="1:8" x14ac:dyDescent="0.25">
      <c r="A990" s="212">
        <v>41957</v>
      </c>
      <c r="B990" s="160" t="s">
        <v>683</v>
      </c>
      <c r="C990" t="s">
        <v>680</v>
      </c>
      <c r="D990" t="s">
        <v>527</v>
      </c>
      <c r="E990" s="161">
        <v>29.34</v>
      </c>
      <c r="F990" s="161">
        <v>7.5</v>
      </c>
      <c r="G990" s="162">
        <v>220.05</v>
      </c>
      <c r="H990" s="67">
        <v>613</v>
      </c>
    </row>
    <row r="991" spans="1:8" x14ac:dyDescent="0.25">
      <c r="A991" s="212">
        <v>41957</v>
      </c>
      <c r="B991" s="160" t="s">
        <v>1211</v>
      </c>
      <c r="C991" t="s">
        <v>1233</v>
      </c>
      <c r="D991" t="s">
        <v>27</v>
      </c>
      <c r="E991" s="161">
        <v>3</v>
      </c>
      <c r="F991" s="161">
        <v>54.58</v>
      </c>
      <c r="G991" s="162">
        <v>163.74</v>
      </c>
      <c r="H991" s="67">
        <v>613</v>
      </c>
    </row>
    <row r="992" spans="1:8" x14ac:dyDescent="0.25">
      <c r="A992" s="212">
        <v>41957</v>
      </c>
      <c r="B992" s="160" t="s">
        <v>1209</v>
      </c>
      <c r="C992" t="s">
        <v>1210</v>
      </c>
      <c r="D992" t="s">
        <v>27</v>
      </c>
      <c r="E992" s="161">
        <v>3</v>
      </c>
      <c r="F992" s="161">
        <v>42.79</v>
      </c>
      <c r="G992" s="162">
        <v>128.37</v>
      </c>
      <c r="H992" s="67">
        <v>613</v>
      </c>
    </row>
    <row r="993" spans="1:8" x14ac:dyDescent="0.25">
      <c r="A993" s="212">
        <v>41957</v>
      </c>
      <c r="B993" s="160" t="s">
        <v>644</v>
      </c>
      <c r="C993" t="s">
        <v>645</v>
      </c>
      <c r="D993" t="s">
        <v>27</v>
      </c>
      <c r="E993" s="161">
        <v>3</v>
      </c>
      <c r="F993" s="161">
        <v>80</v>
      </c>
      <c r="G993" s="162">
        <v>240</v>
      </c>
      <c r="H993" s="67">
        <v>613</v>
      </c>
    </row>
    <row r="994" spans="1:8" x14ac:dyDescent="0.25">
      <c r="A994" s="212">
        <v>41958</v>
      </c>
      <c r="B994" s="160" t="s">
        <v>692</v>
      </c>
      <c r="C994" t="s">
        <v>680</v>
      </c>
      <c r="D994" t="s">
        <v>527</v>
      </c>
      <c r="E994" s="161">
        <v>149.85</v>
      </c>
      <c r="F994" s="161">
        <v>7.5</v>
      </c>
      <c r="G994" s="162">
        <v>1123.875</v>
      </c>
      <c r="H994" s="67">
        <v>613</v>
      </c>
    </row>
    <row r="995" spans="1:8" x14ac:dyDescent="0.25">
      <c r="A995" s="212">
        <v>41958</v>
      </c>
      <c r="B995" s="160" t="s">
        <v>631</v>
      </c>
      <c r="C995" t="s">
        <v>632</v>
      </c>
      <c r="D995" t="s">
        <v>27</v>
      </c>
      <c r="E995" s="161">
        <v>8.5</v>
      </c>
      <c r="F995" s="161">
        <v>80</v>
      </c>
      <c r="G995" s="162">
        <v>680</v>
      </c>
      <c r="H995" s="67">
        <v>613</v>
      </c>
    </row>
    <row r="996" spans="1:8" x14ac:dyDescent="0.25">
      <c r="A996" s="212">
        <v>41958</v>
      </c>
      <c r="B996" s="160" t="s">
        <v>693</v>
      </c>
      <c r="C996" t="s">
        <v>680</v>
      </c>
      <c r="D996" t="s">
        <v>527</v>
      </c>
      <c r="E996" s="161">
        <v>160.15</v>
      </c>
      <c r="F996" s="161">
        <v>7.5</v>
      </c>
      <c r="G996" s="162">
        <v>1201.125</v>
      </c>
      <c r="H996" s="67">
        <v>613</v>
      </c>
    </row>
    <row r="997" spans="1:8" x14ac:dyDescent="0.25">
      <c r="A997" s="212">
        <v>41958</v>
      </c>
      <c r="B997" s="160" t="s">
        <v>1209</v>
      </c>
      <c r="C997" t="s">
        <v>1210</v>
      </c>
      <c r="D997" t="s">
        <v>27</v>
      </c>
      <c r="E997" s="161">
        <v>3</v>
      </c>
      <c r="F997" s="161">
        <v>42.79</v>
      </c>
      <c r="G997" s="162">
        <v>128.37</v>
      </c>
      <c r="H997" s="67">
        <v>613</v>
      </c>
    </row>
    <row r="998" spans="1:8" x14ac:dyDescent="0.25">
      <c r="A998" s="212">
        <v>41958</v>
      </c>
      <c r="B998" s="160" t="s">
        <v>691</v>
      </c>
      <c r="C998" t="s">
        <v>680</v>
      </c>
      <c r="D998" t="s">
        <v>527</v>
      </c>
      <c r="E998" s="161">
        <v>102.27</v>
      </c>
      <c r="F998" s="161">
        <v>7.5</v>
      </c>
      <c r="G998" s="162">
        <v>767.02499999999998</v>
      </c>
      <c r="H998" s="67">
        <v>613</v>
      </c>
    </row>
    <row r="999" spans="1:8" x14ac:dyDescent="0.25">
      <c r="A999" s="212">
        <v>41958</v>
      </c>
      <c r="B999" s="160" t="s">
        <v>683</v>
      </c>
      <c r="C999" t="s">
        <v>680</v>
      </c>
      <c r="D999" t="s">
        <v>527</v>
      </c>
      <c r="E999" s="161">
        <v>145.59</v>
      </c>
      <c r="F999" s="161">
        <v>7.5</v>
      </c>
      <c r="G999" s="162">
        <v>1091.925</v>
      </c>
      <c r="H999" s="67">
        <v>613</v>
      </c>
    </row>
    <row r="1000" spans="1:8" x14ac:dyDescent="0.25">
      <c r="A1000" s="212">
        <v>41958</v>
      </c>
      <c r="B1000" s="160" t="s">
        <v>623</v>
      </c>
      <c r="C1000" t="s">
        <v>7</v>
      </c>
      <c r="D1000" t="s">
        <v>27</v>
      </c>
      <c r="E1000" s="161">
        <v>10</v>
      </c>
      <c r="F1000" s="161">
        <v>42.6</v>
      </c>
      <c r="G1000" s="162">
        <v>426</v>
      </c>
      <c r="H1000" s="67">
        <v>613</v>
      </c>
    </row>
    <row r="1001" spans="1:8" x14ac:dyDescent="0.25">
      <c r="A1001" s="212">
        <v>41960</v>
      </c>
      <c r="B1001" s="160" t="s">
        <v>644</v>
      </c>
      <c r="C1001" t="s">
        <v>645</v>
      </c>
      <c r="D1001" t="s">
        <v>27</v>
      </c>
      <c r="E1001" s="161">
        <v>6</v>
      </c>
      <c r="F1001" s="161">
        <v>80</v>
      </c>
      <c r="G1001" s="162">
        <v>480</v>
      </c>
      <c r="H1001" s="67">
        <v>613</v>
      </c>
    </row>
    <row r="1002" spans="1:8" x14ac:dyDescent="0.25">
      <c r="A1002" s="212">
        <v>41960</v>
      </c>
      <c r="B1002" s="160" t="s">
        <v>285</v>
      </c>
      <c r="C1002" t="s">
        <v>621</v>
      </c>
      <c r="D1002" t="s">
        <v>27</v>
      </c>
      <c r="E1002" s="161">
        <v>4</v>
      </c>
      <c r="F1002" s="161">
        <v>80</v>
      </c>
      <c r="G1002" s="162">
        <v>320</v>
      </c>
      <c r="H1002" s="67">
        <v>613</v>
      </c>
    </row>
    <row r="1003" spans="1:8" x14ac:dyDescent="0.25">
      <c r="A1003" s="212">
        <v>41960</v>
      </c>
      <c r="B1003" s="160" t="s">
        <v>644</v>
      </c>
      <c r="C1003" t="s">
        <v>645</v>
      </c>
      <c r="D1003" t="s">
        <v>27</v>
      </c>
      <c r="E1003" s="161">
        <v>5</v>
      </c>
      <c r="F1003" s="161">
        <v>80</v>
      </c>
      <c r="G1003" s="162">
        <v>400</v>
      </c>
      <c r="H1003" s="67">
        <v>613</v>
      </c>
    </row>
    <row r="1004" spans="1:8" x14ac:dyDescent="0.25">
      <c r="A1004" s="212">
        <v>41960</v>
      </c>
      <c r="B1004" s="160" t="s">
        <v>631</v>
      </c>
      <c r="C1004" t="s">
        <v>632</v>
      </c>
      <c r="D1004" t="s">
        <v>27</v>
      </c>
      <c r="E1004" s="161">
        <v>3</v>
      </c>
      <c r="F1004" s="161">
        <v>80</v>
      </c>
      <c r="G1004" s="162">
        <v>240</v>
      </c>
      <c r="H1004" s="67">
        <v>613</v>
      </c>
    </row>
    <row r="1005" spans="1:8" x14ac:dyDescent="0.25">
      <c r="A1005" s="212">
        <v>41960</v>
      </c>
      <c r="B1005" s="160" t="s">
        <v>631</v>
      </c>
      <c r="C1005" t="s">
        <v>632</v>
      </c>
      <c r="D1005" t="s">
        <v>27</v>
      </c>
      <c r="E1005" s="161">
        <v>5</v>
      </c>
      <c r="F1005" s="161">
        <v>80</v>
      </c>
      <c r="G1005" s="162">
        <v>400</v>
      </c>
      <c r="H1005" s="67">
        <v>613</v>
      </c>
    </row>
    <row r="1006" spans="1:8" x14ac:dyDescent="0.25">
      <c r="A1006" s="212">
        <v>41961</v>
      </c>
      <c r="B1006" s="160" t="s">
        <v>682</v>
      </c>
      <c r="C1006" t="s">
        <v>680</v>
      </c>
      <c r="D1006" t="s">
        <v>527</v>
      </c>
      <c r="E1006" s="161">
        <v>135.1</v>
      </c>
      <c r="F1006" s="161">
        <v>7.5</v>
      </c>
      <c r="G1006" s="162">
        <v>1013.25</v>
      </c>
      <c r="H1006" s="67">
        <v>613</v>
      </c>
    </row>
    <row r="1007" spans="1:8" x14ac:dyDescent="0.25">
      <c r="A1007" s="212">
        <v>41962</v>
      </c>
      <c r="B1007" s="160" t="s">
        <v>1209</v>
      </c>
      <c r="C1007" t="s">
        <v>1210</v>
      </c>
      <c r="D1007" t="s">
        <v>27</v>
      </c>
      <c r="E1007" s="161">
        <v>4</v>
      </c>
      <c r="F1007" s="161">
        <v>42.79</v>
      </c>
      <c r="G1007" s="162">
        <v>171.16</v>
      </c>
      <c r="H1007" s="67">
        <v>613</v>
      </c>
    </row>
    <row r="1008" spans="1:8" x14ac:dyDescent="0.25">
      <c r="A1008" s="212">
        <v>41962</v>
      </c>
      <c r="B1008" s="160" t="s">
        <v>1211</v>
      </c>
      <c r="C1008" t="s">
        <v>1233</v>
      </c>
      <c r="D1008" t="s">
        <v>27</v>
      </c>
      <c r="E1008" s="161">
        <v>5</v>
      </c>
      <c r="F1008" s="161">
        <v>54.58</v>
      </c>
      <c r="G1008" s="162">
        <v>272.89999999999998</v>
      </c>
      <c r="H1008" s="67">
        <v>613</v>
      </c>
    </row>
    <row r="1009" spans="1:8" x14ac:dyDescent="0.25">
      <c r="A1009" s="212">
        <v>41962</v>
      </c>
      <c r="B1009" s="160" t="s">
        <v>1109</v>
      </c>
      <c r="C1009" t="s">
        <v>7</v>
      </c>
      <c r="D1009" t="s">
        <v>27</v>
      </c>
      <c r="E1009" s="161">
        <v>3</v>
      </c>
      <c r="F1009" s="161">
        <v>42.72</v>
      </c>
      <c r="G1009" s="162">
        <v>128.16</v>
      </c>
      <c r="H1009" s="67">
        <v>613</v>
      </c>
    </row>
    <row r="1010" spans="1:8" x14ac:dyDescent="0.25">
      <c r="A1010" s="212">
        <v>41962</v>
      </c>
      <c r="B1010" s="160" t="s">
        <v>631</v>
      </c>
      <c r="C1010" t="s">
        <v>632</v>
      </c>
      <c r="D1010" t="s">
        <v>27</v>
      </c>
      <c r="E1010" s="161">
        <v>3</v>
      </c>
      <c r="F1010" s="161">
        <v>80</v>
      </c>
      <c r="G1010" s="162">
        <v>240</v>
      </c>
      <c r="H1010" s="67">
        <v>613</v>
      </c>
    </row>
    <row r="1011" spans="1:8" x14ac:dyDescent="0.25">
      <c r="A1011" s="212">
        <v>41962</v>
      </c>
      <c r="B1011" s="160" t="s">
        <v>285</v>
      </c>
      <c r="C1011" t="s">
        <v>621</v>
      </c>
      <c r="D1011" t="s">
        <v>27</v>
      </c>
      <c r="E1011" s="161">
        <v>2</v>
      </c>
      <c r="F1011" s="161">
        <v>90</v>
      </c>
      <c r="G1011" s="162">
        <v>180</v>
      </c>
      <c r="H1011" s="67">
        <v>613</v>
      </c>
    </row>
    <row r="1012" spans="1:8" x14ac:dyDescent="0.25">
      <c r="A1012" s="212">
        <v>41962</v>
      </c>
      <c r="B1012" s="160" t="s">
        <v>631</v>
      </c>
      <c r="C1012" t="s">
        <v>632</v>
      </c>
      <c r="D1012" t="s">
        <v>27</v>
      </c>
      <c r="E1012" s="161">
        <v>3</v>
      </c>
      <c r="F1012" s="161">
        <v>80</v>
      </c>
      <c r="G1012" s="162">
        <v>240</v>
      </c>
      <c r="H1012" s="67">
        <v>613</v>
      </c>
    </row>
    <row r="1013" spans="1:8" x14ac:dyDescent="0.25">
      <c r="A1013" s="212">
        <v>41962</v>
      </c>
      <c r="B1013" s="160" t="s">
        <v>691</v>
      </c>
      <c r="C1013" t="s">
        <v>680</v>
      </c>
      <c r="D1013" t="s">
        <v>527</v>
      </c>
      <c r="E1013" s="161">
        <v>129.28</v>
      </c>
      <c r="F1013" s="161">
        <v>7.5</v>
      </c>
      <c r="G1013" s="162">
        <v>969.6</v>
      </c>
      <c r="H1013" s="67">
        <v>613</v>
      </c>
    </row>
    <row r="1014" spans="1:8" x14ac:dyDescent="0.25">
      <c r="A1014" s="212">
        <v>41962</v>
      </c>
      <c r="B1014" s="160" t="s">
        <v>631</v>
      </c>
      <c r="C1014" t="s">
        <v>632</v>
      </c>
      <c r="D1014" t="s">
        <v>27</v>
      </c>
      <c r="E1014" s="161">
        <v>3.5</v>
      </c>
      <c r="F1014" s="161">
        <v>80</v>
      </c>
      <c r="G1014" s="162">
        <v>280</v>
      </c>
      <c r="H1014" s="67">
        <v>613</v>
      </c>
    </row>
    <row r="1015" spans="1:8" x14ac:dyDescent="0.25">
      <c r="A1015" s="212">
        <v>41962</v>
      </c>
      <c r="B1015" s="160" t="s">
        <v>631</v>
      </c>
      <c r="C1015" t="s">
        <v>632</v>
      </c>
      <c r="D1015" t="s">
        <v>27</v>
      </c>
      <c r="E1015" s="161">
        <v>3</v>
      </c>
      <c r="F1015" s="161">
        <v>80</v>
      </c>
      <c r="G1015" s="162">
        <v>240</v>
      </c>
      <c r="H1015" s="67">
        <v>613</v>
      </c>
    </row>
    <row r="1016" spans="1:8" x14ac:dyDescent="0.25">
      <c r="A1016" s="212">
        <v>41962</v>
      </c>
      <c r="B1016" s="160" t="s">
        <v>682</v>
      </c>
      <c r="C1016" t="s">
        <v>680</v>
      </c>
      <c r="D1016" t="s">
        <v>527</v>
      </c>
      <c r="E1016" s="161">
        <v>210.34</v>
      </c>
      <c r="F1016" s="161">
        <v>7.5</v>
      </c>
      <c r="G1016" s="162">
        <v>1577.55</v>
      </c>
      <c r="H1016" s="67">
        <v>613</v>
      </c>
    </row>
    <row r="1017" spans="1:8" x14ac:dyDescent="0.25">
      <c r="A1017" s="212">
        <v>41962</v>
      </c>
      <c r="B1017" s="160" t="s">
        <v>1109</v>
      </c>
      <c r="C1017" t="s">
        <v>7</v>
      </c>
      <c r="D1017" t="s">
        <v>27</v>
      </c>
      <c r="E1017" s="161">
        <v>2.5</v>
      </c>
      <c r="F1017" s="161">
        <v>42.72</v>
      </c>
      <c r="G1017" s="162">
        <v>106.8</v>
      </c>
      <c r="H1017" s="67">
        <v>613</v>
      </c>
    </row>
    <row r="1018" spans="1:8" x14ac:dyDescent="0.25">
      <c r="A1018" s="212">
        <v>41962</v>
      </c>
      <c r="B1018" s="160" t="s">
        <v>1211</v>
      </c>
      <c r="C1018" t="s">
        <v>1233</v>
      </c>
      <c r="D1018" t="s">
        <v>27</v>
      </c>
      <c r="E1018" s="161">
        <v>3</v>
      </c>
      <c r="F1018" s="161">
        <v>54.58</v>
      </c>
      <c r="G1018" s="162">
        <v>163.74</v>
      </c>
      <c r="H1018" s="67">
        <v>613</v>
      </c>
    </row>
    <row r="1019" spans="1:8" x14ac:dyDescent="0.25">
      <c r="A1019" s="212">
        <v>41962</v>
      </c>
      <c r="B1019" s="160" t="s">
        <v>1209</v>
      </c>
      <c r="C1019" t="s">
        <v>1210</v>
      </c>
      <c r="D1019" t="s">
        <v>27</v>
      </c>
      <c r="E1019" s="161">
        <v>4</v>
      </c>
      <c r="F1019" s="161">
        <v>42.79</v>
      </c>
      <c r="G1019" s="162">
        <v>171.16</v>
      </c>
      <c r="H1019" s="67">
        <v>613</v>
      </c>
    </row>
    <row r="1020" spans="1:8" x14ac:dyDescent="0.25">
      <c r="A1020" s="212">
        <v>41962</v>
      </c>
      <c r="B1020" s="160" t="s">
        <v>693</v>
      </c>
      <c r="C1020" t="s">
        <v>680</v>
      </c>
      <c r="D1020" t="s">
        <v>527</v>
      </c>
      <c r="E1020" s="161">
        <v>192.07</v>
      </c>
      <c r="F1020" s="161">
        <v>7.5</v>
      </c>
      <c r="G1020" s="162">
        <v>1440.5250000000001</v>
      </c>
      <c r="H1020" s="67">
        <v>613</v>
      </c>
    </row>
    <row r="1021" spans="1:8" x14ac:dyDescent="0.25">
      <c r="A1021" s="212">
        <v>41962</v>
      </c>
      <c r="B1021" s="160" t="s">
        <v>683</v>
      </c>
      <c r="C1021" t="s">
        <v>680</v>
      </c>
      <c r="D1021" t="s">
        <v>527</v>
      </c>
      <c r="E1021" s="161">
        <v>174.18</v>
      </c>
      <c r="F1021" s="161">
        <v>7.5</v>
      </c>
      <c r="G1021" s="162">
        <v>1306.3499999999999</v>
      </c>
      <c r="H1021" s="67">
        <v>613</v>
      </c>
    </row>
    <row r="1022" spans="1:8" x14ac:dyDescent="0.25">
      <c r="A1022" s="212">
        <v>41963</v>
      </c>
      <c r="B1022" s="160" t="s">
        <v>631</v>
      </c>
      <c r="C1022" t="s">
        <v>632</v>
      </c>
      <c r="D1022" t="s">
        <v>27</v>
      </c>
      <c r="E1022" s="161">
        <v>4</v>
      </c>
      <c r="F1022" s="161">
        <v>80</v>
      </c>
      <c r="G1022" s="162">
        <v>320</v>
      </c>
      <c r="H1022" s="67">
        <v>613</v>
      </c>
    </row>
    <row r="1023" spans="1:8" x14ac:dyDescent="0.25">
      <c r="A1023" s="212">
        <v>41963</v>
      </c>
      <c r="B1023" s="160" t="s">
        <v>690</v>
      </c>
      <c r="C1023" t="s">
        <v>680</v>
      </c>
      <c r="D1023" t="s">
        <v>527</v>
      </c>
      <c r="E1023" s="161">
        <v>162.69999999999999</v>
      </c>
      <c r="F1023" s="161">
        <v>7.5</v>
      </c>
      <c r="G1023" s="162">
        <v>1220.25</v>
      </c>
      <c r="H1023" s="67">
        <v>613</v>
      </c>
    </row>
    <row r="1024" spans="1:8" x14ac:dyDescent="0.25">
      <c r="A1024" s="212">
        <v>41963</v>
      </c>
      <c r="B1024" s="160" t="s">
        <v>693</v>
      </c>
      <c r="C1024" t="s">
        <v>680</v>
      </c>
      <c r="D1024" t="s">
        <v>527</v>
      </c>
      <c r="E1024" s="161">
        <v>165.36</v>
      </c>
      <c r="F1024" s="161">
        <v>7.5</v>
      </c>
      <c r="G1024" s="162">
        <v>1240.2</v>
      </c>
      <c r="H1024" s="67">
        <v>613</v>
      </c>
    </row>
    <row r="1025" spans="1:8" x14ac:dyDescent="0.25">
      <c r="A1025" s="212">
        <v>41963</v>
      </c>
      <c r="B1025" s="160" t="s">
        <v>682</v>
      </c>
      <c r="C1025" t="s">
        <v>680</v>
      </c>
      <c r="D1025" t="s">
        <v>527</v>
      </c>
      <c r="E1025" s="161">
        <v>219.9</v>
      </c>
      <c r="F1025" s="161">
        <v>7.5</v>
      </c>
      <c r="G1025" s="162">
        <v>1649.25</v>
      </c>
      <c r="H1025" s="67">
        <v>613</v>
      </c>
    </row>
    <row r="1026" spans="1:8" x14ac:dyDescent="0.25">
      <c r="A1026" s="212">
        <v>41963</v>
      </c>
      <c r="B1026" s="160" t="s">
        <v>691</v>
      </c>
      <c r="C1026" t="s">
        <v>680</v>
      </c>
      <c r="D1026" t="s">
        <v>527</v>
      </c>
      <c r="E1026" s="161">
        <v>129.9</v>
      </c>
      <c r="F1026" s="161">
        <v>7.5</v>
      </c>
      <c r="G1026" s="162">
        <v>974.25</v>
      </c>
      <c r="H1026" s="67">
        <v>613</v>
      </c>
    </row>
    <row r="1027" spans="1:8" x14ac:dyDescent="0.25">
      <c r="A1027" s="212">
        <v>41963</v>
      </c>
      <c r="B1027" s="160" t="s">
        <v>683</v>
      </c>
      <c r="C1027" t="s">
        <v>680</v>
      </c>
      <c r="D1027" t="s">
        <v>527</v>
      </c>
      <c r="E1027" s="161">
        <v>146.34</v>
      </c>
      <c r="F1027" s="161">
        <v>7.5</v>
      </c>
      <c r="G1027" s="162">
        <v>1097.55</v>
      </c>
      <c r="H1027" s="67">
        <v>613</v>
      </c>
    </row>
    <row r="1028" spans="1:8" x14ac:dyDescent="0.25">
      <c r="A1028" s="212">
        <v>41964</v>
      </c>
      <c r="B1028" s="160" t="s">
        <v>1209</v>
      </c>
      <c r="C1028" t="s">
        <v>1210</v>
      </c>
      <c r="D1028" t="s">
        <v>27</v>
      </c>
      <c r="E1028" s="161">
        <v>6</v>
      </c>
      <c r="F1028" s="161">
        <v>42.79</v>
      </c>
      <c r="G1028" s="162">
        <v>256.74</v>
      </c>
      <c r="H1028" s="67">
        <v>613</v>
      </c>
    </row>
    <row r="1029" spans="1:8" x14ac:dyDescent="0.25">
      <c r="A1029" s="212">
        <v>41964</v>
      </c>
      <c r="B1029" s="160" t="s">
        <v>1211</v>
      </c>
      <c r="C1029" t="s">
        <v>1233</v>
      </c>
      <c r="D1029" t="s">
        <v>27</v>
      </c>
      <c r="E1029" s="161">
        <v>6</v>
      </c>
      <c r="F1029" s="161">
        <v>54.58</v>
      </c>
      <c r="G1029" s="162">
        <v>327.48</v>
      </c>
      <c r="H1029" s="67">
        <v>613</v>
      </c>
    </row>
    <row r="1030" spans="1:8" x14ac:dyDescent="0.25">
      <c r="A1030" s="212">
        <v>41964</v>
      </c>
      <c r="B1030" s="160" t="s">
        <v>631</v>
      </c>
      <c r="C1030" t="s">
        <v>632</v>
      </c>
      <c r="D1030" t="s">
        <v>27</v>
      </c>
      <c r="E1030" s="161">
        <v>4</v>
      </c>
      <c r="F1030" s="161">
        <v>80</v>
      </c>
      <c r="G1030" s="162">
        <v>320</v>
      </c>
      <c r="H1030" s="67">
        <v>613</v>
      </c>
    </row>
    <row r="1031" spans="1:8" x14ac:dyDescent="0.25">
      <c r="A1031" s="212">
        <v>41964</v>
      </c>
      <c r="B1031" s="160" t="s">
        <v>631</v>
      </c>
      <c r="C1031" t="s">
        <v>632</v>
      </c>
      <c r="D1031" t="s">
        <v>27</v>
      </c>
      <c r="E1031" s="161">
        <v>4</v>
      </c>
      <c r="F1031" s="161">
        <v>80</v>
      </c>
      <c r="G1031" s="162">
        <v>320</v>
      </c>
      <c r="H1031" s="67">
        <v>613</v>
      </c>
    </row>
    <row r="1032" spans="1:8" x14ac:dyDescent="0.25">
      <c r="A1032" s="212">
        <v>41964</v>
      </c>
      <c r="B1032" s="160" t="s">
        <v>690</v>
      </c>
      <c r="C1032" t="s">
        <v>680</v>
      </c>
      <c r="D1032" t="s">
        <v>527</v>
      </c>
      <c r="E1032" s="161">
        <v>54.37</v>
      </c>
      <c r="F1032" s="161">
        <v>7.5</v>
      </c>
      <c r="G1032" s="162">
        <v>407.77499999999998</v>
      </c>
      <c r="H1032" s="67">
        <v>613</v>
      </c>
    </row>
    <row r="1033" spans="1:8" x14ac:dyDescent="0.25">
      <c r="A1033" s="212">
        <v>41964</v>
      </c>
      <c r="B1033" s="160" t="s">
        <v>683</v>
      </c>
      <c r="C1033" t="s">
        <v>680</v>
      </c>
      <c r="D1033" t="s">
        <v>527</v>
      </c>
      <c r="E1033" s="161">
        <v>58.57</v>
      </c>
      <c r="F1033" s="161">
        <v>7.5</v>
      </c>
      <c r="G1033" s="162">
        <v>439.27499999999998</v>
      </c>
      <c r="H1033" s="67">
        <v>613</v>
      </c>
    </row>
    <row r="1034" spans="1:8" x14ac:dyDescent="0.25">
      <c r="A1034" s="212">
        <v>41964</v>
      </c>
      <c r="B1034" s="160" t="s">
        <v>1109</v>
      </c>
      <c r="C1034" t="s">
        <v>7</v>
      </c>
      <c r="D1034" t="s">
        <v>27</v>
      </c>
      <c r="E1034" s="161">
        <v>3</v>
      </c>
      <c r="F1034" s="161">
        <v>42.72</v>
      </c>
      <c r="G1034" s="162">
        <v>128.16</v>
      </c>
      <c r="H1034" s="67">
        <v>613</v>
      </c>
    </row>
    <row r="1035" spans="1:8" x14ac:dyDescent="0.25">
      <c r="A1035" s="212">
        <v>41964</v>
      </c>
      <c r="B1035" s="160" t="s">
        <v>691</v>
      </c>
      <c r="C1035" t="s">
        <v>680</v>
      </c>
      <c r="D1035" t="s">
        <v>527</v>
      </c>
      <c r="E1035" s="161">
        <v>51.93</v>
      </c>
      <c r="F1035" s="161">
        <v>7.5</v>
      </c>
      <c r="G1035" s="162">
        <v>389.47500000000002</v>
      </c>
      <c r="H1035" s="67">
        <v>613</v>
      </c>
    </row>
    <row r="1036" spans="1:8" x14ac:dyDescent="0.25">
      <c r="A1036" s="212">
        <v>41964</v>
      </c>
      <c r="B1036" s="160" t="s">
        <v>623</v>
      </c>
      <c r="C1036" t="s">
        <v>7</v>
      </c>
      <c r="D1036" t="s">
        <v>27</v>
      </c>
      <c r="E1036" s="161">
        <v>5</v>
      </c>
      <c r="F1036" s="161">
        <v>42.6</v>
      </c>
      <c r="G1036" s="162">
        <v>213</v>
      </c>
      <c r="H1036" s="67">
        <v>613</v>
      </c>
    </row>
    <row r="1037" spans="1:8" x14ac:dyDescent="0.25">
      <c r="A1037" s="212">
        <v>41964</v>
      </c>
      <c r="B1037" s="160" t="s">
        <v>682</v>
      </c>
      <c r="C1037" t="s">
        <v>680</v>
      </c>
      <c r="D1037" t="s">
        <v>527</v>
      </c>
      <c r="E1037" s="161">
        <v>110.94</v>
      </c>
      <c r="F1037" s="161">
        <v>7.5</v>
      </c>
      <c r="G1037" s="162">
        <v>832.05</v>
      </c>
      <c r="H1037" s="67">
        <v>613</v>
      </c>
    </row>
    <row r="1038" spans="1:8" x14ac:dyDescent="0.25">
      <c r="A1038" s="212">
        <v>41964</v>
      </c>
      <c r="B1038" s="160" t="s">
        <v>693</v>
      </c>
      <c r="C1038" t="s">
        <v>680</v>
      </c>
      <c r="D1038" t="s">
        <v>527</v>
      </c>
      <c r="E1038" s="161">
        <v>66.8</v>
      </c>
      <c r="F1038" s="161">
        <v>7.5</v>
      </c>
      <c r="G1038" s="162">
        <v>501</v>
      </c>
      <c r="H1038" s="67">
        <v>613</v>
      </c>
    </row>
    <row r="1039" spans="1:8" x14ac:dyDescent="0.25">
      <c r="A1039" s="212">
        <v>41967</v>
      </c>
      <c r="B1039" s="160" t="s">
        <v>1209</v>
      </c>
      <c r="C1039" t="s">
        <v>1210</v>
      </c>
      <c r="D1039" t="s">
        <v>27</v>
      </c>
      <c r="E1039" s="161">
        <v>3</v>
      </c>
      <c r="F1039" s="161">
        <v>42.79</v>
      </c>
      <c r="G1039" s="162">
        <v>128.37</v>
      </c>
      <c r="H1039" s="67">
        <v>613</v>
      </c>
    </row>
    <row r="1040" spans="1:8" x14ac:dyDescent="0.25">
      <c r="A1040" s="212">
        <v>41967</v>
      </c>
      <c r="B1040" s="160" t="s">
        <v>285</v>
      </c>
      <c r="C1040" t="s">
        <v>621</v>
      </c>
      <c r="D1040" t="s">
        <v>27</v>
      </c>
      <c r="E1040" s="161">
        <v>2</v>
      </c>
      <c r="F1040" s="161">
        <v>90</v>
      </c>
      <c r="G1040" s="162">
        <v>180</v>
      </c>
      <c r="H1040" s="67">
        <v>613</v>
      </c>
    </row>
    <row r="1041" spans="1:8" x14ac:dyDescent="0.25">
      <c r="A1041" s="212">
        <v>41967</v>
      </c>
      <c r="B1041" s="160" t="s">
        <v>1211</v>
      </c>
      <c r="C1041" t="s">
        <v>1233</v>
      </c>
      <c r="D1041" t="s">
        <v>27</v>
      </c>
      <c r="E1041" s="161">
        <v>3</v>
      </c>
      <c r="F1041" s="161">
        <v>54.58</v>
      </c>
      <c r="G1041" s="162">
        <v>163.74</v>
      </c>
      <c r="H1041" s="67">
        <v>613</v>
      </c>
    </row>
    <row r="1042" spans="1:8" x14ac:dyDescent="0.25">
      <c r="A1042" s="212">
        <v>41967</v>
      </c>
      <c r="B1042" s="160" t="s">
        <v>631</v>
      </c>
      <c r="C1042" t="s">
        <v>632</v>
      </c>
      <c r="D1042" t="s">
        <v>27</v>
      </c>
      <c r="E1042" s="161">
        <v>5</v>
      </c>
      <c r="F1042" s="161">
        <v>80</v>
      </c>
      <c r="G1042" s="162">
        <v>400</v>
      </c>
      <c r="H1042" s="67">
        <v>613</v>
      </c>
    </row>
    <row r="1043" spans="1:8" x14ac:dyDescent="0.25">
      <c r="A1043" s="212">
        <v>41967</v>
      </c>
      <c r="B1043" s="160" t="s">
        <v>690</v>
      </c>
      <c r="C1043" t="s">
        <v>680</v>
      </c>
      <c r="D1043" t="s">
        <v>527</v>
      </c>
      <c r="E1043" s="161">
        <v>81.06</v>
      </c>
      <c r="F1043" s="161">
        <v>7.5</v>
      </c>
      <c r="G1043" s="162">
        <v>607.95000000000005</v>
      </c>
      <c r="H1043" s="67">
        <v>613</v>
      </c>
    </row>
    <row r="1044" spans="1:8" x14ac:dyDescent="0.25">
      <c r="A1044" s="212">
        <v>41967</v>
      </c>
      <c r="B1044" s="160" t="s">
        <v>631</v>
      </c>
      <c r="C1044" t="s">
        <v>632</v>
      </c>
      <c r="D1044" t="s">
        <v>27</v>
      </c>
      <c r="E1044" s="161">
        <v>5</v>
      </c>
      <c r="F1044" s="161">
        <v>80</v>
      </c>
      <c r="G1044" s="162">
        <v>400</v>
      </c>
      <c r="H1044" s="67">
        <v>613</v>
      </c>
    </row>
    <row r="1045" spans="1:8" x14ac:dyDescent="0.25">
      <c r="A1045" s="212">
        <v>41967</v>
      </c>
      <c r="B1045" s="160" t="s">
        <v>691</v>
      </c>
      <c r="C1045" t="s">
        <v>680</v>
      </c>
      <c r="D1045" t="s">
        <v>527</v>
      </c>
      <c r="E1045" s="161">
        <v>77.260000000000005</v>
      </c>
      <c r="F1045" s="161">
        <v>7.5</v>
      </c>
      <c r="G1045" s="162">
        <v>579.45000000000005</v>
      </c>
      <c r="H1045" s="67">
        <v>613</v>
      </c>
    </row>
    <row r="1046" spans="1:8" x14ac:dyDescent="0.25">
      <c r="A1046" s="212">
        <v>41967</v>
      </c>
      <c r="B1046" s="160" t="s">
        <v>697</v>
      </c>
      <c r="C1046" t="s">
        <v>680</v>
      </c>
      <c r="D1046" t="s">
        <v>527</v>
      </c>
      <c r="E1046" s="161">
        <v>80.62</v>
      </c>
      <c r="F1046" s="161">
        <v>7.5</v>
      </c>
      <c r="G1046" s="162">
        <v>604.65</v>
      </c>
      <c r="H1046" s="67">
        <v>613</v>
      </c>
    </row>
    <row r="1047" spans="1:8" x14ac:dyDescent="0.25">
      <c r="A1047" s="212">
        <v>41967</v>
      </c>
      <c r="B1047" s="160" t="s">
        <v>682</v>
      </c>
      <c r="C1047" t="s">
        <v>680</v>
      </c>
      <c r="D1047" t="s">
        <v>527</v>
      </c>
      <c r="E1047" s="161">
        <v>205.85</v>
      </c>
      <c r="F1047" s="161">
        <v>7.5</v>
      </c>
      <c r="G1047" s="162">
        <v>1543.875</v>
      </c>
      <c r="H1047" s="67">
        <v>613</v>
      </c>
    </row>
    <row r="1048" spans="1:8" x14ac:dyDescent="0.25">
      <c r="A1048" s="212">
        <v>41967</v>
      </c>
      <c r="B1048" s="160" t="s">
        <v>683</v>
      </c>
      <c r="C1048" t="s">
        <v>680</v>
      </c>
      <c r="D1048" t="s">
        <v>527</v>
      </c>
      <c r="E1048" s="161">
        <v>87.42</v>
      </c>
      <c r="F1048" s="161">
        <v>7.5</v>
      </c>
      <c r="G1048" s="162">
        <v>655.65</v>
      </c>
      <c r="H1048" s="67">
        <v>613</v>
      </c>
    </row>
    <row r="1049" spans="1:8" x14ac:dyDescent="0.25">
      <c r="A1049" s="212">
        <v>41968</v>
      </c>
      <c r="B1049" s="160" t="s">
        <v>1211</v>
      </c>
      <c r="C1049" t="s">
        <v>1233</v>
      </c>
      <c r="D1049" t="s">
        <v>27</v>
      </c>
      <c r="E1049" s="161">
        <v>3</v>
      </c>
      <c r="F1049" s="161">
        <v>54.58</v>
      </c>
      <c r="G1049" s="162">
        <v>163.74</v>
      </c>
      <c r="H1049" s="67">
        <v>613</v>
      </c>
    </row>
    <row r="1050" spans="1:8" x14ac:dyDescent="0.25">
      <c r="A1050" s="212">
        <v>41968</v>
      </c>
      <c r="B1050" s="160" t="s">
        <v>690</v>
      </c>
      <c r="C1050" t="s">
        <v>680</v>
      </c>
      <c r="D1050" t="s">
        <v>527</v>
      </c>
      <c r="E1050" s="161">
        <v>135.32</v>
      </c>
      <c r="F1050" s="161">
        <v>7.5</v>
      </c>
      <c r="G1050" s="162">
        <v>1014.9</v>
      </c>
      <c r="H1050" s="67">
        <v>613</v>
      </c>
    </row>
    <row r="1051" spans="1:8" x14ac:dyDescent="0.25">
      <c r="A1051" s="212">
        <v>41968</v>
      </c>
      <c r="B1051" s="160" t="s">
        <v>682</v>
      </c>
      <c r="C1051" t="s">
        <v>680</v>
      </c>
      <c r="D1051" t="s">
        <v>527</v>
      </c>
      <c r="E1051" s="161">
        <v>204.62</v>
      </c>
      <c r="F1051" s="161">
        <v>7.5</v>
      </c>
      <c r="G1051" s="162">
        <v>1534.65</v>
      </c>
      <c r="H1051" s="67">
        <v>613</v>
      </c>
    </row>
    <row r="1052" spans="1:8" x14ac:dyDescent="0.25">
      <c r="A1052" s="212">
        <v>41968</v>
      </c>
      <c r="B1052" s="160" t="s">
        <v>683</v>
      </c>
      <c r="C1052" t="s">
        <v>680</v>
      </c>
      <c r="D1052" t="s">
        <v>527</v>
      </c>
      <c r="E1052" s="161">
        <v>172.94</v>
      </c>
      <c r="F1052" s="161">
        <v>7.5</v>
      </c>
      <c r="G1052" s="162">
        <v>1297.05</v>
      </c>
      <c r="H1052" s="67">
        <v>613</v>
      </c>
    </row>
    <row r="1053" spans="1:8" x14ac:dyDescent="0.25">
      <c r="A1053" s="212">
        <v>41968</v>
      </c>
      <c r="B1053" s="160" t="s">
        <v>691</v>
      </c>
      <c r="C1053" t="s">
        <v>680</v>
      </c>
      <c r="D1053" t="s">
        <v>527</v>
      </c>
      <c r="E1053" s="161">
        <v>154.4</v>
      </c>
      <c r="F1053" s="161">
        <v>7.5</v>
      </c>
      <c r="G1053" s="162">
        <v>1158</v>
      </c>
      <c r="H1053" s="67">
        <v>613</v>
      </c>
    </row>
    <row r="1054" spans="1:8" x14ac:dyDescent="0.25">
      <c r="A1054" s="212">
        <v>41968</v>
      </c>
      <c r="B1054" s="160" t="s">
        <v>697</v>
      </c>
      <c r="C1054" t="s">
        <v>680</v>
      </c>
      <c r="D1054" t="s">
        <v>527</v>
      </c>
      <c r="E1054" s="161">
        <v>132</v>
      </c>
      <c r="F1054" s="161">
        <v>7.5</v>
      </c>
      <c r="G1054" s="162">
        <v>990</v>
      </c>
      <c r="H1054" s="67">
        <v>613</v>
      </c>
    </row>
    <row r="1055" spans="1:8" x14ac:dyDescent="0.25">
      <c r="A1055" s="212">
        <v>41969</v>
      </c>
      <c r="B1055" s="160" t="s">
        <v>631</v>
      </c>
      <c r="C1055" t="s">
        <v>632</v>
      </c>
      <c r="D1055" t="s">
        <v>27</v>
      </c>
      <c r="E1055" s="161">
        <v>10</v>
      </c>
      <c r="F1055" s="161">
        <v>80</v>
      </c>
      <c r="G1055" s="162">
        <v>800</v>
      </c>
      <c r="H1055" s="67">
        <v>613</v>
      </c>
    </row>
    <row r="1056" spans="1:8" x14ac:dyDescent="0.25">
      <c r="A1056" s="212">
        <v>41969</v>
      </c>
      <c r="B1056" s="160" t="s">
        <v>634</v>
      </c>
      <c r="C1056" t="s">
        <v>635</v>
      </c>
      <c r="D1056" t="s">
        <v>27</v>
      </c>
      <c r="E1056" s="161">
        <v>1</v>
      </c>
      <c r="F1056" s="161">
        <v>92.5</v>
      </c>
      <c r="G1056" s="162">
        <v>92.5</v>
      </c>
      <c r="H1056" s="67">
        <v>613</v>
      </c>
    </row>
    <row r="1057" spans="1:8" x14ac:dyDescent="0.25">
      <c r="A1057" s="212">
        <v>41969</v>
      </c>
      <c r="B1057" s="160" t="s">
        <v>631</v>
      </c>
      <c r="C1057" t="s">
        <v>632</v>
      </c>
      <c r="D1057" t="s">
        <v>27</v>
      </c>
      <c r="E1057" s="161">
        <v>10</v>
      </c>
      <c r="F1057" s="161">
        <v>80</v>
      </c>
      <c r="G1057" s="162">
        <v>800</v>
      </c>
      <c r="H1057" s="67">
        <v>613</v>
      </c>
    </row>
    <row r="1058" spans="1:8" x14ac:dyDescent="0.25">
      <c r="A1058" s="212">
        <v>41969</v>
      </c>
      <c r="B1058" s="160" t="s">
        <v>634</v>
      </c>
      <c r="C1058" t="s">
        <v>635</v>
      </c>
      <c r="D1058" t="s">
        <v>27</v>
      </c>
      <c r="E1058" s="161">
        <v>0.5</v>
      </c>
      <c r="F1058" s="161">
        <v>92.5</v>
      </c>
      <c r="G1058" s="162">
        <v>46.25</v>
      </c>
      <c r="H1058" s="67">
        <v>613</v>
      </c>
    </row>
    <row r="1059" spans="1:8" x14ac:dyDescent="0.25">
      <c r="A1059" s="212">
        <v>41969</v>
      </c>
      <c r="B1059" s="160" t="s">
        <v>682</v>
      </c>
      <c r="C1059" t="s">
        <v>680</v>
      </c>
      <c r="D1059" t="s">
        <v>527</v>
      </c>
      <c r="E1059" s="161">
        <v>219.38</v>
      </c>
      <c r="F1059" s="161">
        <v>7.5</v>
      </c>
      <c r="G1059" s="162">
        <v>1645.35</v>
      </c>
      <c r="H1059" s="67">
        <v>613</v>
      </c>
    </row>
    <row r="1060" spans="1:8" x14ac:dyDescent="0.25">
      <c r="A1060" s="212">
        <v>41969</v>
      </c>
      <c r="B1060" s="160" t="s">
        <v>697</v>
      </c>
      <c r="C1060" t="s">
        <v>680</v>
      </c>
      <c r="D1060" t="s">
        <v>527</v>
      </c>
      <c r="E1060" s="161">
        <v>133.29</v>
      </c>
      <c r="F1060" s="161">
        <v>7.5</v>
      </c>
      <c r="G1060" s="162">
        <v>999.67499999999995</v>
      </c>
      <c r="H1060" s="67">
        <v>613</v>
      </c>
    </row>
    <row r="1061" spans="1:8" x14ac:dyDescent="0.25">
      <c r="A1061" s="212">
        <v>41969</v>
      </c>
      <c r="B1061" s="160" t="s">
        <v>691</v>
      </c>
      <c r="C1061" t="s">
        <v>680</v>
      </c>
      <c r="D1061" t="s">
        <v>527</v>
      </c>
      <c r="E1061" s="161">
        <v>154.19999999999999</v>
      </c>
      <c r="F1061" s="161">
        <v>7.5</v>
      </c>
      <c r="G1061" s="162">
        <v>1156.5</v>
      </c>
      <c r="H1061" s="67">
        <v>613</v>
      </c>
    </row>
    <row r="1062" spans="1:8" x14ac:dyDescent="0.25">
      <c r="A1062" s="212">
        <v>41969</v>
      </c>
      <c r="B1062" s="160" t="s">
        <v>690</v>
      </c>
      <c r="C1062" t="s">
        <v>680</v>
      </c>
      <c r="D1062" t="s">
        <v>527</v>
      </c>
      <c r="E1062" s="161">
        <v>161.5</v>
      </c>
      <c r="F1062" s="161">
        <v>7.5</v>
      </c>
      <c r="G1062" s="162">
        <v>1211.25</v>
      </c>
      <c r="H1062" s="67">
        <v>613</v>
      </c>
    </row>
    <row r="1063" spans="1:8" x14ac:dyDescent="0.25">
      <c r="A1063" s="212">
        <v>41969</v>
      </c>
      <c r="B1063" s="160" t="s">
        <v>683</v>
      </c>
      <c r="C1063" t="s">
        <v>680</v>
      </c>
      <c r="D1063" t="s">
        <v>527</v>
      </c>
      <c r="E1063" s="161">
        <v>144.78</v>
      </c>
      <c r="F1063" s="161">
        <v>7.5</v>
      </c>
      <c r="G1063" s="162">
        <v>1085.8499999999999</v>
      </c>
      <c r="H1063" s="67">
        <v>613</v>
      </c>
    </row>
    <row r="1064" spans="1:8" x14ac:dyDescent="0.25">
      <c r="A1064" s="212">
        <v>41970</v>
      </c>
      <c r="B1064" s="160" t="s">
        <v>631</v>
      </c>
      <c r="C1064" t="s">
        <v>632</v>
      </c>
      <c r="D1064" t="s">
        <v>27</v>
      </c>
      <c r="E1064" s="161">
        <v>9.5</v>
      </c>
      <c r="F1064" s="161">
        <v>80</v>
      </c>
      <c r="G1064" s="162">
        <v>760</v>
      </c>
      <c r="H1064" s="67">
        <v>613</v>
      </c>
    </row>
    <row r="1065" spans="1:8" x14ac:dyDescent="0.25">
      <c r="A1065" s="212">
        <v>41970</v>
      </c>
      <c r="B1065" s="160" t="s">
        <v>631</v>
      </c>
      <c r="C1065" t="s">
        <v>632</v>
      </c>
      <c r="D1065" t="s">
        <v>27</v>
      </c>
      <c r="E1065" s="161">
        <v>9.5</v>
      </c>
      <c r="F1065" s="161">
        <v>80</v>
      </c>
      <c r="G1065" s="162">
        <v>760</v>
      </c>
      <c r="H1065" s="67">
        <v>613</v>
      </c>
    </row>
    <row r="1066" spans="1:8" x14ac:dyDescent="0.25">
      <c r="A1066" s="212">
        <v>41970</v>
      </c>
      <c r="B1066" s="160" t="s">
        <v>690</v>
      </c>
      <c r="C1066" t="s">
        <v>680</v>
      </c>
      <c r="D1066" t="s">
        <v>527</v>
      </c>
      <c r="E1066" s="161">
        <v>161.24</v>
      </c>
      <c r="F1066" s="161">
        <v>7.5</v>
      </c>
      <c r="G1066" s="162">
        <v>1209.3</v>
      </c>
      <c r="H1066" s="67">
        <v>613</v>
      </c>
    </row>
    <row r="1067" spans="1:8" x14ac:dyDescent="0.25">
      <c r="A1067" s="212">
        <v>41970</v>
      </c>
      <c r="B1067" s="160" t="s">
        <v>683</v>
      </c>
      <c r="C1067" t="s">
        <v>680</v>
      </c>
      <c r="D1067" t="s">
        <v>527</v>
      </c>
      <c r="E1067" s="161">
        <v>58.16</v>
      </c>
      <c r="F1067" s="161">
        <v>7.5</v>
      </c>
      <c r="G1067" s="162">
        <v>436.2</v>
      </c>
      <c r="H1067" s="67">
        <v>613</v>
      </c>
    </row>
    <row r="1068" spans="1:8" x14ac:dyDescent="0.25">
      <c r="A1068" s="212">
        <v>41970</v>
      </c>
      <c r="B1068" s="160" t="s">
        <v>691</v>
      </c>
      <c r="C1068" t="s">
        <v>680</v>
      </c>
      <c r="D1068" t="s">
        <v>527</v>
      </c>
      <c r="E1068" s="161">
        <v>155.41999999999999</v>
      </c>
      <c r="F1068" s="161">
        <v>7.5</v>
      </c>
      <c r="G1068" s="162">
        <v>1165.6500000000001</v>
      </c>
      <c r="H1068" s="67">
        <v>613</v>
      </c>
    </row>
    <row r="1069" spans="1:8" x14ac:dyDescent="0.25">
      <c r="A1069" s="212">
        <v>41971</v>
      </c>
      <c r="B1069" s="160" t="s">
        <v>286</v>
      </c>
      <c r="C1069" t="s">
        <v>633</v>
      </c>
      <c r="D1069" t="s">
        <v>27</v>
      </c>
      <c r="E1069" s="161">
        <v>10</v>
      </c>
      <c r="F1069" s="161">
        <v>90</v>
      </c>
      <c r="G1069" s="162">
        <v>900</v>
      </c>
      <c r="H1069" s="67">
        <v>613</v>
      </c>
    </row>
    <row r="1070" spans="1:8" x14ac:dyDescent="0.25">
      <c r="A1070" s="212">
        <v>41971</v>
      </c>
      <c r="B1070" s="160" t="s">
        <v>692</v>
      </c>
      <c r="C1070" t="s">
        <v>680</v>
      </c>
      <c r="D1070" t="s">
        <v>527</v>
      </c>
      <c r="E1070" s="161">
        <v>150.63999999999999</v>
      </c>
      <c r="F1070" s="161">
        <v>7.5</v>
      </c>
      <c r="G1070" s="162">
        <v>1129.8</v>
      </c>
      <c r="H1070" s="67">
        <v>613</v>
      </c>
    </row>
    <row r="1071" spans="1:8" x14ac:dyDescent="0.25">
      <c r="A1071" s="212">
        <v>41971</v>
      </c>
      <c r="B1071" s="160" t="s">
        <v>682</v>
      </c>
      <c r="C1071" t="s">
        <v>680</v>
      </c>
      <c r="D1071" t="s">
        <v>527</v>
      </c>
      <c r="E1071" s="161">
        <v>182.62</v>
      </c>
      <c r="F1071" s="161">
        <v>7.5</v>
      </c>
      <c r="G1071" s="162">
        <v>1369.65</v>
      </c>
      <c r="H1071" s="67">
        <v>613</v>
      </c>
    </row>
    <row r="1072" spans="1:8" x14ac:dyDescent="0.25">
      <c r="A1072" s="212">
        <v>41971</v>
      </c>
      <c r="B1072" s="160" t="s">
        <v>697</v>
      </c>
      <c r="C1072" t="s">
        <v>680</v>
      </c>
      <c r="D1072" t="s">
        <v>527</v>
      </c>
      <c r="E1072" s="161">
        <v>108.5</v>
      </c>
      <c r="F1072" s="161">
        <v>7.5</v>
      </c>
      <c r="G1072" s="162">
        <v>813.75</v>
      </c>
      <c r="H1072" s="67">
        <v>613</v>
      </c>
    </row>
    <row r="1073" spans="1:8" x14ac:dyDescent="0.25">
      <c r="A1073" s="212">
        <v>41971</v>
      </c>
      <c r="B1073" s="160" t="s">
        <v>691</v>
      </c>
      <c r="C1073" t="s">
        <v>680</v>
      </c>
      <c r="D1073" t="s">
        <v>527</v>
      </c>
      <c r="E1073" s="161">
        <v>103.26</v>
      </c>
      <c r="F1073" s="161">
        <v>7.5</v>
      </c>
      <c r="G1073" s="162">
        <v>774.45</v>
      </c>
      <c r="H1073" s="67">
        <v>613</v>
      </c>
    </row>
    <row r="1074" spans="1:8" x14ac:dyDescent="0.25">
      <c r="A1074" s="212">
        <v>41971</v>
      </c>
      <c r="B1074" s="160" t="s">
        <v>683</v>
      </c>
      <c r="C1074" t="s">
        <v>680</v>
      </c>
      <c r="D1074" t="s">
        <v>527</v>
      </c>
      <c r="E1074" s="161">
        <v>116.24</v>
      </c>
      <c r="F1074" s="161">
        <v>7.5</v>
      </c>
      <c r="G1074" s="162">
        <v>871.8</v>
      </c>
      <c r="H1074" s="67">
        <v>613</v>
      </c>
    </row>
    <row r="1075" spans="1:8" x14ac:dyDescent="0.25">
      <c r="A1075" s="212">
        <v>41972</v>
      </c>
      <c r="B1075" s="160" t="s">
        <v>634</v>
      </c>
      <c r="C1075" t="s">
        <v>635</v>
      </c>
      <c r="D1075" t="s">
        <v>27</v>
      </c>
      <c r="E1075" s="161">
        <v>6.5</v>
      </c>
      <c r="F1075" s="161">
        <v>92.5</v>
      </c>
      <c r="G1075" s="162">
        <v>601.25</v>
      </c>
      <c r="H1075" s="67">
        <v>613</v>
      </c>
    </row>
    <row r="1076" spans="1:8" x14ac:dyDescent="0.25">
      <c r="A1076" s="212">
        <v>41972</v>
      </c>
      <c r="B1076" s="160" t="s">
        <v>286</v>
      </c>
      <c r="C1076" t="s">
        <v>633</v>
      </c>
      <c r="D1076" t="s">
        <v>27</v>
      </c>
      <c r="E1076" s="161">
        <v>4</v>
      </c>
      <c r="F1076" s="161">
        <v>80</v>
      </c>
      <c r="G1076" s="162">
        <v>320</v>
      </c>
      <c r="H1076" s="67">
        <v>613</v>
      </c>
    </row>
    <row r="1077" spans="1:8" x14ac:dyDescent="0.25">
      <c r="A1077" s="212">
        <v>41972</v>
      </c>
      <c r="B1077" s="160" t="s">
        <v>631</v>
      </c>
      <c r="C1077" t="s">
        <v>632</v>
      </c>
      <c r="D1077" t="s">
        <v>27</v>
      </c>
      <c r="E1077" s="161">
        <v>4</v>
      </c>
      <c r="F1077" s="161">
        <v>80</v>
      </c>
      <c r="G1077" s="162">
        <v>320</v>
      </c>
      <c r="H1077" s="67">
        <v>613</v>
      </c>
    </row>
    <row r="1078" spans="1:8" x14ac:dyDescent="0.25">
      <c r="A1078" s="212">
        <v>41973</v>
      </c>
      <c r="B1078" s="160" t="s">
        <v>694</v>
      </c>
      <c r="C1078" t="s">
        <v>677</v>
      </c>
      <c r="D1078" t="s">
        <v>527</v>
      </c>
      <c r="E1078" s="161">
        <v>1</v>
      </c>
      <c r="F1078" s="161">
        <v>659.63</v>
      </c>
      <c r="G1078" s="162">
        <v>659.63</v>
      </c>
      <c r="H1078" s="67">
        <v>613</v>
      </c>
    </row>
    <row r="1079" spans="1:8" x14ac:dyDescent="0.25">
      <c r="A1079" s="212">
        <v>41973</v>
      </c>
      <c r="B1079" s="160" t="s">
        <v>648</v>
      </c>
      <c r="C1079" t="s">
        <v>649</v>
      </c>
      <c r="D1079" t="s">
        <v>527</v>
      </c>
      <c r="E1079" s="161">
        <v>1</v>
      </c>
      <c r="F1079" s="161">
        <v>1218</v>
      </c>
      <c r="G1079" s="162">
        <v>1218</v>
      </c>
      <c r="H1079" s="67">
        <v>613</v>
      </c>
    </row>
    <row r="1080" spans="1:8" x14ac:dyDescent="0.25">
      <c r="A1080" s="212">
        <v>41974</v>
      </c>
      <c r="B1080" s="160" t="s">
        <v>693</v>
      </c>
      <c r="C1080" t="s">
        <v>680</v>
      </c>
      <c r="D1080" t="s">
        <v>527</v>
      </c>
      <c r="E1080" s="161">
        <v>66.2</v>
      </c>
      <c r="F1080" s="161">
        <v>7.5</v>
      </c>
      <c r="G1080" s="162">
        <v>496.5</v>
      </c>
      <c r="H1080" s="67">
        <v>613</v>
      </c>
    </row>
    <row r="1081" spans="1:8" x14ac:dyDescent="0.25">
      <c r="A1081" s="212">
        <v>41974</v>
      </c>
      <c r="B1081" s="160" t="s">
        <v>697</v>
      </c>
      <c r="C1081" t="s">
        <v>680</v>
      </c>
      <c r="D1081" t="s">
        <v>527</v>
      </c>
      <c r="E1081" s="161">
        <v>54.16</v>
      </c>
      <c r="F1081" s="161">
        <v>7.5</v>
      </c>
      <c r="G1081" s="162">
        <v>406.2</v>
      </c>
      <c r="H1081" s="67">
        <v>613</v>
      </c>
    </row>
    <row r="1082" spans="1:8" x14ac:dyDescent="0.25">
      <c r="A1082" s="212">
        <v>41974</v>
      </c>
      <c r="B1082" s="160" t="s">
        <v>683</v>
      </c>
      <c r="C1082" t="s">
        <v>680</v>
      </c>
      <c r="D1082" t="s">
        <v>527</v>
      </c>
      <c r="E1082" s="161">
        <v>86.8</v>
      </c>
      <c r="F1082" s="161">
        <v>7.5</v>
      </c>
      <c r="G1082" s="162">
        <v>651</v>
      </c>
      <c r="H1082" s="67">
        <v>613</v>
      </c>
    </row>
    <row r="1083" spans="1:8" x14ac:dyDescent="0.25">
      <c r="A1083" s="212">
        <v>41974</v>
      </c>
      <c r="B1083" s="160" t="s">
        <v>691</v>
      </c>
      <c r="C1083" t="s">
        <v>680</v>
      </c>
      <c r="D1083" t="s">
        <v>527</v>
      </c>
      <c r="E1083" s="161">
        <v>77.78</v>
      </c>
      <c r="F1083" s="161">
        <v>7.5</v>
      </c>
      <c r="G1083" s="162">
        <v>583.35</v>
      </c>
      <c r="H1083" s="67">
        <v>613</v>
      </c>
    </row>
    <row r="1084" spans="1:8" x14ac:dyDescent="0.25">
      <c r="A1084" s="212">
        <v>41974</v>
      </c>
      <c r="B1084" s="160" t="s">
        <v>682</v>
      </c>
      <c r="C1084" t="s">
        <v>680</v>
      </c>
      <c r="D1084" t="s">
        <v>527</v>
      </c>
      <c r="E1084" s="161">
        <v>108.92</v>
      </c>
      <c r="F1084" s="161">
        <v>7.5</v>
      </c>
      <c r="G1084" s="162">
        <v>816.9</v>
      </c>
      <c r="H1084" s="67">
        <v>613</v>
      </c>
    </row>
    <row r="1085" spans="1:8" x14ac:dyDescent="0.25">
      <c r="A1085" s="212">
        <v>41974</v>
      </c>
      <c r="B1085" s="160" t="s">
        <v>651</v>
      </c>
      <c r="C1085" t="s">
        <v>632</v>
      </c>
      <c r="D1085" t="s">
        <v>527</v>
      </c>
      <c r="E1085" s="161">
        <v>4</v>
      </c>
      <c r="F1085" s="161">
        <v>80</v>
      </c>
      <c r="G1085" s="162">
        <v>320</v>
      </c>
      <c r="H1085" s="67">
        <v>613</v>
      </c>
    </row>
    <row r="1086" spans="1:8" x14ac:dyDescent="0.25">
      <c r="A1086" s="212">
        <v>41974</v>
      </c>
      <c r="B1086" s="160" t="s">
        <v>631</v>
      </c>
      <c r="C1086" t="s">
        <v>632</v>
      </c>
      <c r="D1086" t="s">
        <v>27</v>
      </c>
      <c r="E1086" s="161">
        <v>8.5</v>
      </c>
      <c r="F1086" s="161">
        <v>80</v>
      </c>
      <c r="G1086" s="162">
        <v>680</v>
      </c>
      <c r="H1086" s="67">
        <v>613</v>
      </c>
    </row>
    <row r="1087" spans="1:8" x14ac:dyDescent="0.25">
      <c r="A1087" s="212">
        <v>41974</v>
      </c>
      <c r="B1087" s="160" t="s">
        <v>631</v>
      </c>
      <c r="C1087" t="s">
        <v>632</v>
      </c>
      <c r="D1087" t="s">
        <v>27</v>
      </c>
      <c r="E1087" s="161">
        <v>6.5</v>
      </c>
      <c r="F1087" s="161">
        <v>80</v>
      </c>
      <c r="G1087" s="162">
        <v>520</v>
      </c>
      <c r="H1087" s="67">
        <v>613</v>
      </c>
    </row>
    <row r="1088" spans="1:8" x14ac:dyDescent="0.25">
      <c r="A1088" s="212">
        <v>41977</v>
      </c>
      <c r="B1088" s="160" t="s">
        <v>709</v>
      </c>
      <c r="C1088" t="s">
        <v>680</v>
      </c>
      <c r="D1088" t="s">
        <v>527</v>
      </c>
      <c r="E1088" s="161">
        <v>4</v>
      </c>
      <c r="F1088" s="161">
        <v>120</v>
      </c>
      <c r="G1088" s="162">
        <v>480</v>
      </c>
      <c r="H1088" s="67">
        <v>613</v>
      </c>
    </row>
    <row r="1089" spans="1:8" x14ac:dyDescent="0.25">
      <c r="A1089" s="212">
        <v>41977</v>
      </c>
      <c r="B1089" s="160" t="s">
        <v>679</v>
      </c>
      <c r="C1089" t="s">
        <v>680</v>
      </c>
      <c r="D1089" t="s">
        <v>527</v>
      </c>
      <c r="E1089" s="161">
        <v>4</v>
      </c>
      <c r="F1089" s="161">
        <v>120</v>
      </c>
      <c r="G1089" s="162">
        <v>480</v>
      </c>
      <c r="H1089" s="67">
        <v>613</v>
      </c>
    </row>
    <row r="1090" spans="1:8" x14ac:dyDescent="0.25">
      <c r="A1090" s="212">
        <v>41977</v>
      </c>
      <c r="B1090" s="160" t="s">
        <v>631</v>
      </c>
      <c r="C1090" t="s">
        <v>632</v>
      </c>
      <c r="D1090" t="s">
        <v>27</v>
      </c>
      <c r="E1090" s="161">
        <v>3.5</v>
      </c>
      <c r="F1090" s="161">
        <v>80</v>
      </c>
      <c r="G1090" s="162">
        <v>280</v>
      </c>
      <c r="H1090" s="67">
        <v>613</v>
      </c>
    </row>
    <row r="1091" spans="1:8" x14ac:dyDescent="0.25">
      <c r="A1091" s="212">
        <v>41978</v>
      </c>
      <c r="B1091" s="160" t="s">
        <v>631</v>
      </c>
      <c r="C1091" t="s">
        <v>632</v>
      </c>
      <c r="D1091" t="s">
        <v>27</v>
      </c>
      <c r="E1091" s="161">
        <v>3.5</v>
      </c>
      <c r="F1091" s="161">
        <v>80</v>
      </c>
      <c r="G1091" s="162">
        <v>280</v>
      </c>
      <c r="H1091" s="67">
        <v>613</v>
      </c>
    </row>
    <row r="1092" spans="1:8" x14ac:dyDescent="0.25">
      <c r="A1092" s="212">
        <v>41978</v>
      </c>
      <c r="B1092" s="160" t="s">
        <v>631</v>
      </c>
      <c r="C1092" t="s">
        <v>632</v>
      </c>
      <c r="D1092" t="s">
        <v>27</v>
      </c>
      <c r="E1092" s="161">
        <v>3</v>
      </c>
      <c r="F1092" s="161">
        <v>80</v>
      </c>
      <c r="G1092" s="162">
        <v>240</v>
      </c>
      <c r="H1092" s="67">
        <v>613</v>
      </c>
    </row>
    <row r="1093" spans="1:8" x14ac:dyDescent="0.25">
      <c r="A1093" s="212">
        <v>41978</v>
      </c>
      <c r="B1093" s="160" t="s">
        <v>653</v>
      </c>
      <c r="C1093" t="s">
        <v>645</v>
      </c>
      <c r="D1093" t="s">
        <v>27</v>
      </c>
      <c r="E1093" s="161">
        <v>6</v>
      </c>
      <c r="F1093" s="161">
        <v>120</v>
      </c>
      <c r="G1093" s="162">
        <v>720</v>
      </c>
      <c r="H1093" s="67">
        <v>613</v>
      </c>
    </row>
    <row r="1094" spans="1:8" x14ac:dyDescent="0.25">
      <c r="A1094" s="212">
        <v>41983</v>
      </c>
      <c r="B1094" s="160" t="s">
        <v>1212</v>
      </c>
      <c r="C1094" t="s">
        <v>7</v>
      </c>
      <c r="D1094" t="s">
        <v>27</v>
      </c>
      <c r="E1094" s="161">
        <v>5</v>
      </c>
      <c r="F1094" s="161">
        <v>42.72</v>
      </c>
      <c r="G1094" s="162">
        <v>213.6</v>
      </c>
      <c r="H1094" s="67">
        <v>613</v>
      </c>
    </row>
    <row r="1095" spans="1:8" x14ac:dyDescent="0.25">
      <c r="A1095" s="212">
        <v>41984</v>
      </c>
      <c r="B1095" s="160" t="s">
        <v>1218</v>
      </c>
      <c r="C1095" t="s">
        <v>1219</v>
      </c>
      <c r="D1095" t="s">
        <v>27</v>
      </c>
      <c r="E1095" s="161">
        <v>8</v>
      </c>
      <c r="F1095" s="161">
        <v>135</v>
      </c>
      <c r="G1095" s="162">
        <v>1080</v>
      </c>
      <c r="H1095" s="67">
        <v>613</v>
      </c>
    </row>
    <row r="1096" spans="1:8" x14ac:dyDescent="0.25">
      <c r="A1096" s="212">
        <v>41984</v>
      </c>
      <c r="B1096" s="160" t="s">
        <v>1209</v>
      </c>
      <c r="C1096" t="s">
        <v>1210</v>
      </c>
      <c r="D1096" t="s">
        <v>27</v>
      </c>
      <c r="E1096" s="161">
        <v>4</v>
      </c>
      <c r="F1096" s="161">
        <v>42.79</v>
      </c>
      <c r="G1096" s="162">
        <v>171.16</v>
      </c>
      <c r="H1096" s="67">
        <v>613</v>
      </c>
    </row>
    <row r="1097" spans="1:8" x14ac:dyDescent="0.25">
      <c r="A1097" s="212">
        <v>41984</v>
      </c>
      <c r="B1097" s="160" t="s">
        <v>651</v>
      </c>
      <c r="C1097" t="s">
        <v>632</v>
      </c>
      <c r="D1097" t="s">
        <v>527</v>
      </c>
      <c r="E1097" s="161">
        <v>10</v>
      </c>
      <c r="F1097" s="161">
        <v>120</v>
      </c>
      <c r="G1097" s="162">
        <v>1200</v>
      </c>
      <c r="H1097" s="67">
        <v>613</v>
      </c>
    </row>
    <row r="1098" spans="1:8" x14ac:dyDescent="0.25">
      <c r="A1098" s="212">
        <v>41984</v>
      </c>
      <c r="B1098" s="160" t="s">
        <v>710</v>
      </c>
      <c r="C1098" t="s">
        <v>655</v>
      </c>
      <c r="D1098" t="s">
        <v>527</v>
      </c>
      <c r="E1098" s="161">
        <v>4.5</v>
      </c>
      <c r="F1098" s="161">
        <v>120</v>
      </c>
      <c r="G1098" s="162">
        <v>540</v>
      </c>
      <c r="H1098" s="67">
        <v>613</v>
      </c>
    </row>
    <row r="1099" spans="1:8" x14ac:dyDescent="0.25">
      <c r="A1099" s="212">
        <v>41988</v>
      </c>
      <c r="B1099" s="160" t="s">
        <v>695</v>
      </c>
      <c r="C1099" t="s">
        <v>656</v>
      </c>
      <c r="D1099" t="s">
        <v>27</v>
      </c>
      <c r="E1099" s="161">
        <v>8.5</v>
      </c>
      <c r="F1099" s="161">
        <v>80</v>
      </c>
      <c r="G1099" s="162">
        <v>680</v>
      </c>
      <c r="H1099" s="67">
        <v>613</v>
      </c>
    </row>
    <row r="1100" spans="1:8" x14ac:dyDescent="0.25">
      <c r="A1100" s="212">
        <v>41988</v>
      </c>
      <c r="B1100" s="160" t="s">
        <v>653</v>
      </c>
      <c r="C1100" t="s">
        <v>645</v>
      </c>
      <c r="D1100" t="s">
        <v>27</v>
      </c>
      <c r="E1100" s="161">
        <v>3.5</v>
      </c>
      <c r="F1100" s="161">
        <v>120</v>
      </c>
      <c r="G1100" s="162">
        <v>420</v>
      </c>
      <c r="H1100" s="67">
        <v>613</v>
      </c>
    </row>
    <row r="1101" spans="1:8" x14ac:dyDescent="0.25">
      <c r="A1101" s="212">
        <v>41988</v>
      </c>
      <c r="B1101" s="160" t="s">
        <v>653</v>
      </c>
      <c r="C1101" t="s">
        <v>656</v>
      </c>
      <c r="D1101" t="s">
        <v>27</v>
      </c>
      <c r="E1101" s="161">
        <v>4.5</v>
      </c>
      <c r="F1101" s="161">
        <v>120</v>
      </c>
      <c r="G1101" s="162">
        <v>540</v>
      </c>
      <c r="H1101" s="67">
        <v>613</v>
      </c>
    </row>
    <row r="1102" spans="1:8" x14ac:dyDescent="0.25">
      <c r="A1102" s="212">
        <v>41989</v>
      </c>
      <c r="B1102" s="160" t="s">
        <v>623</v>
      </c>
      <c r="C1102" t="s">
        <v>7</v>
      </c>
      <c r="D1102" t="s">
        <v>27</v>
      </c>
      <c r="E1102" s="161">
        <v>6.5</v>
      </c>
      <c r="F1102" s="161">
        <v>46.85</v>
      </c>
      <c r="G1102" s="162">
        <v>304.52499999999998</v>
      </c>
      <c r="H1102" s="67">
        <v>613</v>
      </c>
    </row>
    <row r="1103" spans="1:8" x14ac:dyDescent="0.25">
      <c r="A1103" s="212">
        <v>41989</v>
      </c>
      <c r="B1103" s="160" t="s">
        <v>653</v>
      </c>
      <c r="C1103" t="s">
        <v>645</v>
      </c>
      <c r="D1103" t="s">
        <v>27</v>
      </c>
      <c r="E1103" s="161">
        <v>7</v>
      </c>
      <c r="F1103" s="161">
        <v>120</v>
      </c>
      <c r="G1103" s="162">
        <v>840</v>
      </c>
      <c r="H1103" s="67">
        <v>613</v>
      </c>
    </row>
    <row r="1104" spans="1:8" x14ac:dyDescent="0.25">
      <c r="A1104" s="212">
        <v>41989</v>
      </c>
      <c r="B1104" s="160" t="s">
        <v>653</v>
      </c>
      <c r="C1104" t="s">
        <v>656</v>
      </c>
      <c r="D1104" t="s">
        <v>27</v>
      </c>
      <c r="E1104" s="161">
        <v>7.5</v>
      </c>
      <c r="F1104" s="161">
        <v>120</v>
      </c>
      <c r="G1104" s="162">
        <v>900</v>
      </c>
      <c r="H1104" s="67">
        <v>613</v>
      </c>
    </row>
    <row r="1105" spans="1:8" x14ac:dyDescent="0.25">
      <c r="A1105" s="212">
        <v>41989</v>
      </c>
      <c r="B1105" s="160" t="s">
        <v>631</v>
      </c>
      <c r="C1105" t="s">
        <v>632</v>
      </c>
      <c r="D1105" t="s">
        <v>27</v>
      </c>
      <c r="E1105" s="161">
        <v>4</v>
      </c>
      <c r="F1105" s="161">
        <v>80</v>
      </c>
      <c r="G1105" s="162">
        <v>320</v>
      </c>
      <c r="H1105" s="67">
        <v>613</v>
      </c>
    </row>
    <row r="1106" spans="1:8" x14ac:dyDescent="0.25">
      <c r="A1106" s="212">
        <v>41989</v>
      </c>
      <c r="B1106" s="160" t="s">
        <v>631</v>
      </c>
      <c r="C1106" t="s">
        <v>632</v>
      </c>
      <c r="D1106" t="s">
        <v>27</v>
      </c>
      <c r="E1106" s="161">
        <v>4</v>
      </c>
      <c r="F1106" s="161">
        <v>80</v>
      </c>
      <c r="G1106" s="162">
        <v>320</v>
      </c>
      <c r="H1106" s="67">
        <v>613</v>
      </c>
    </row>
    <row r="1107" spans="1:8" x14ac:dyDescent="0.25">
      <c r="A1107" s="212">
        <v>41989</v>
      </c>
      <c r="B1107" s="160" t="s">
        <v>1209</v>
      </c>
      <c r="C1107" t="s">
        <v>1210</v>
      </c>
      <c r="D1107" t="s">
        <v>27</v>
      </c>
      <c r="E1107" s="161">
        <v>6</v>
      </c>
      <c r="F1107" s="161">
        <v>42.79</v>
      </c>
      <c r="G1107" s="162">
        <v>256.74</v>
      </c>
      <c r="H1107" s="67">
        <v>613</v>
      </c>
    </row>
    <row r="1108" spans="1:8" x14ac:dyDescent="0.25">
      <c r="A1108" s="212">
        <v>41989</v>
      </c>
      <c r="B1108" s="160" t="s">
        <v>631</v>
      </c>
      <c r="C1108" t="s">
        <v>632</v>
      </c>
      <c r="D1108" t="s">
        <v>27</v>
      </c>
      <c r="E1108" s="161">
        <v>4</v>
      </c>
      <c r="F1108" s="161">
        <v>80</v>
      </c>
      <c r="G1108" s="162">
        <v>320</v>
      </c>
      <c r="H1108" s="67">
        <v>613</v>
      </c>
    </row>
    <row r="1109" spans="1:8" x14ac:dyDescent="0.25">
      <c r="A1109" s="212">
        <v>42009</v>
      </c>
      <c r="B1109" s="160" t="s">
        <v>1209</v>
      </c>
      <c r="C1109" t="s">
        <v>1210</v>
      </c>
      <c r="D1109" t="s">
        <v>27</v>
      </c>
      <c r="E1109" s="161">
        <v>5</v>
      </c>
      <c r="F1109" s="161">
        <v>42.79</v>
      </c>
      <c r="G1109" s="162">
        <v>213.95</v>
      </c>
      <c r="H1109" s="67">
        <v>613</v>
      </c>
    </row>
    <row r="1110" spans="1:8" x14ac:dyDescent="0.25">
      <c r="A1110" s="212">
        <v>42009</v>
      </c>
      <c r="B1110" s="160" t="s">
        <v>696</v>
      </c>
      <c r="C1110" t="s">
        <v>621</v>
      </c>
      <c r="D1110" t="s">
        <v>27</v>
      </c>
      <c r="E1110" s="161">
        <v>2.5</v>
      </c>
      <c r="F1110" s="161">
        <v>120</v>
      </c>
      <c r="G1110" s="162">
        <v>300</v>
      </c>
      <c r="H1110" s="67">
        <v>613</v>
      </c>
    </row>
    <row r="1111" spans="1:8" x14ac:dyDescent="0.25">
      <c r="A1111" s="212">
        <v>42009</v>
      </c>
      <c r="B1111" s="160" t="s">
        <v>623</v>
      </c>
      <c r="C1111" t="s">
        <v>7</v>
      </c>
      <c r="D1111" t="s">
        <v>27</v>
      </c>
      <c r="E1111" s="161">
        <v>5.5</v>
      </c>
      <c r="F1111" s="161">
        <v>46.85</v>
      </c>
      <c r="G1111" s="162">
        <v>257.67500000000001</v>
      </c>
      <c r="H1111" s="67">
        <v>613</v>
      </c>
    </row>
    <row r="1112" spans="1:8" x14ac:dyDescent="0.25">
      <c r="A1112" s="212">
        <v>42010</v>
      </c>
      <c r="B1112" s="160" t="s">
        <v>631</v>
      </c>
      <c r="C1112" t="s">
        <v>632</v>
      </c>
      <c r="D1112" t="s">
        <v>27</v>
      </c>
      <c r="E1112" s="161">
        <v>8</v>
      </c>
      <c r="F1112" s="161">
        <v>80</v>
      </c>
      <c r="G1112" s="162">
        <v>640</v>
      </c>
      <c r="H1112" s="67">
        <v>613</v>
      </c>
    </row>
    <row r="1113" spans="1:8" x14ac:dyDescent="0.25">
      <c r="A1113" s="212">
        <v>42012</v>
      </c>
      <c r="B1113" s="160" t="s">
        <v>653</v>
      </c>
      <c r="C1113" t="s">
        <v>656</v>
      </c>
      <c r="D1113" t="s">
        <v>27</v>
      </c>
      <c r="E1113" s="161">
        <v>3</v>
      </c>
      <c r="F1113" s="161">
        <v>120</v>
      </c>
      <c r="G1113" s="162">
        <v>360</v>
      </c>
      <c r="H1113" s="67">
        <v>613</v>
      </c>
    </row>
    <row r="1114" spans="1:8" x14ac:dyDescent="0.25">
      <c r="A1114" s="212">
        <v>42012</v>
      </c>
      <c r="B1114" s="160" t="s">
        <v>631</v>
      </c>
      <c r="C1114" t="s">
        <v>632</v>
      </c>
      <c r="D1114" t="s">
        <v>27</v>
      </c>
      <c r="E1114" s="161">
        <v>3</v>
      </c>
      <c r="F1114" s="161">
        <v>80</v>
      </c>
      <c r="G1114" s="162">
        <v>240</v>
      </c>
      <c r="H1114" s="67">
        <v>613</v>
      </c>
    </row>
    <row r="1115" spans="1:8" x14ac:dyDescent="0.25">
      <c r="A1115" s="212">
        <v>42012</v>
      </c>
      <c r="B1115" s="160" t="s">
        <v>1209</v>
      </c>
      <c r="C1115" t="s">
        <v>1210</v>
      </c>
      <c r="D1115" t="s">
        <v>27</v>
      </c>
      <c r="E1115" s="161">
        <v>4</v>
      </c>
      <c r="F1115" s="161">
        <v>42.79</v>
      </c>
      <c r="G1115" s="162">
        <v>171.16</v>
      </c>
      <c r="H1115" s="67">
        <v>613</v>
      </c>
    </row>
    <row r="1116" spans="1:8" x14ac:dyDescent="0.25">
      <c r="A1116" s="212">
        <v>42012</v>
      </c>
      <c r="B1116" s="160" t="s">
        <v>623</v>
      </c>
      <c r="C1116" t="s">
        <v>7</v>
      </c>
      <c r="D1116" t="s">
        <v>27</v>
      </c>
      <c r="E1116" s="161">
        <v>4</v>
      </c>
      <c r="F1116" s="161">
        <v>46.85</v>
      </c>
      <c r="G1116" s="162">
        <v>187.4</v>
      </c>
      <c r="H1116" s="67">
        <v>613</v>
      </c>
    </row>
    <row r="1117" spans="1:8" x14ac:dyDescent="0.25">
      <c r="A1117" s="212">
        <v>42013</v>
      </c>
      <c r="B1117" s="160" t="s">
        <v>1209</v>
      </c>
      <c r="C1117" t="s">
        <v>1210</v>
      </c>
      <c r="D1117" t="s">
        <v>27</v>
      </c>
      <c r="E1117" s="161">
        <v>5</v>
      </c>
      <c r="F1117" s="161">
        <v>42.79</v>
      </c>
      <c r="G1117" s="162">
        <v>213.95</v>
      </c>
      <c r="H1117" s="67">
        <v>613</v>
      </c>
    </row>
    <row r="1118" spans="1:8" x14ac:dyDescent="0.25">
      <c r="A1118" s="212">
        <v>42013</v>
      </c>
      <c r="B1118" s="160" t="s">
        <v>1211</v>
      </c>
      <c r="C1118" t="s">
        <v>1233</v>
      </c>
      <c r="D1118" t="s">
        <v>27</v>
      </c>
      <c r="E1118" s="161">
        <v>5</v>
      </c>
      <c r="F1118" s="161">
        <v>54.58</v>
      </c>
      <c r="G1118" s="162">
        <v>272.89999999999998</v>
      </c>
      <c r="H1118" s="67">
        <v>613</v>
      </c>
    </row>
    <row r="1119" spans="1:8" x14ac:dyDescent="0.25">
      <c r="A1119" s="212">
        <v>42013</v>
      </c>
      <c r="B1119" s="160" t="s">
        <v>285</v>
      </c>
      <c r="C1119" t="s">
        <v>621</v>
      </c>
      <c r="D1119" t="s">
        <v>27</v>
      </c>
      <c r="E1119" s="161">
        <v>2.5</v>
      </c>
      <c r="F1119" s="161">
        <v>90</v>
      </c>
      <c r="G1119" s="162">
        <v>225</v>
      </c>
      <c r="H1119" s="67">
        <v>613</v>
      </c>
    </row>
    <row r="1120" spans="1:8" x14ac:dyDescent="0.25">
      <c r="A1120" s="212">
        <v>42013</v>
      </c>
      <c r="B1120" s="160" t="s">
        <v>653</v>
      </c>
      <c r="C1120" t="s">
        <v>656</v>
      </c>
      <c r="D1120" t="s">
        <v>27</v>
      </c>
      <c r="E1120" s="161">
        <v>4.5</v>
      </c>
      <c r="F1120" s="161">
        <v>120</v>
      </c>
      <c r="G1120" s="162">
        <v>540</v>
      </c>
      <c r="H1120" s="67">
        <v>613</v>
      </c>
    </row>
    <row r="1121" spans="1:8" x14ac:dyDescent="0.25">
      <c r="A1121" s="212">
        <v>42013</v>
      </c>
      <c r="B1121" s="160" t="s">
        <v>631</v>
      </c>
      <c r="C1121" t="s">
        <v>632</v>
      </c>
      <c r="D1121" t="s">
        <v>27</v>
      </c>
      <c r="E1121" s="161">
        <v>3</v>
      </c>
      <c r="F1121" s="161">
        <v>80</v>
      </c>
      <c r="G1121" s="162">
        <v>240</v>
      </c>
      <c r="H1121" s="67">
        <v>613</v>
      </c>
    </row>
    <row r="1122" spans="1:8" x14ac:dyDescent="0.25">
      <c r="A1122" s="212">
        <v>42014</v>
      </c>
      <c r="B1122" s="160" t="s">
        <v>631</v>
      </c>
      <c r="C1122" t="s">
        <v>632</v>
      </c>
      <c r="D1122" t="s">
        <v>27</v>
      </c>
      <c r="E1122" s="161">
        <v>5</v>
      </c>
      <c r="F1122" s="161">
        <v>80</v>
      </c>
      <c r="G1122" s="162">
        <v>400</v>
      </c>
      <c r="H1122" s="67">
        <v>613</v>
      </c>
    </row>
    <row r="1123" spans="1:8" x14ac:dyDescent="0.25">
      <c r="A1123" s="212">
        <v>42016</v>
      </c>
      <c r="B1123" s="160" t="s">
        <v>285</v>
      </c>
      <c r="C1123" t="s">
        <v>621</v>
      </c>
      <c r="D1123" t="s">
        <v>27</v>
      </c>
      <c r="E1123" s="161">
        <v>3</v>
      </c>
      <c r="F1123" s="161">
        <v>90</v>
      </c>
      <c r="G1123" s="162">
        <v>270</v>
      </c>
      <c r="H1123" s="67">
        <v>613</v>
      </c>
    </row>
    <row r="1124" spans="1:8" x14ac:dyDescent="0.25">
      <c r="A1124" s="212">
        <v>42017</v>
      </c>
      <c r="B1124" s="160" t="s">
        <v>623</v>
      </c>
      <c r="C1124" t="s">
        <v>7</v>
      </c>
      <c r="D1124" t="s">
        <v>27</v>
      </c>
      <c r="E1124" s="161">
        <v>5</v>
      </c>
      <c r="F1124" s="161">
        <v>46.85</v>
      </c>
      <c r="G1124" s="162">
        <v>234.25</v>
      </c>
      <c r="H1124" s="67">
        <v>613</v>
      </c>
    </row>
    <row r="1125" spans="1:8" x14ac:dyDescent="0.25">
      <c r="A1125" s="212">
        <v>42017</v>
      </c>
      <c r="B1125" s="160" t="s">
        <v>285</v>
      </c>
      <c r="C1125" t="s">
        <v>621</v>
      </c>
      <c r="D1125" t="s">
        <v>27</v>
      </c>
      <c r="E1125" s="161">
        <v>4</v>
      </c>
      <c r="F1125" s="161">
        <v>90</v>
      </c>
      <c r="G1125" s="162">
        <v>360</v>
      </c>
      <c r="H1125" s="67">
        <v>613</v>
      </c>
    </row>
    <row r="1126" spans="1:8" x14ac:dyDescent="0.25">
      <c r="A1126" s="212">
        <v>42018</v>
      </c>
      <c r="B1126" s="160" t="s">
        <v>285</v>
      </c>
      <c r="C1126" t="s">
        <v>621</v>
      </c>
      <c r="D1126" t="s">
        <v>27</v>
      </c>
      <c r="E1126" s="161">
        <v>2</v>
      </c>
      <c r="F1126" s="161">
        <v>90</v>
      </c>
      <c r="G1126" s="162">
        <v>180</v>
      </c>
      <c r="H1126" s="67">
        <v>613</v>
      </c>
    </row>
    <row r="1127" spans="1:8" x14ac:dyDescent="0.25">
      <c r="A1127" s="212">
        <v>42018</v>
      </c>
      <c r="B1127" s="160" t="s">
        <v>623</v>
      </c>
      <c r="C1127" t="s">
        <v>7</v>
      </c>
      <c r="D1127" t="s">
        <v>27</v>
      </c>
      <c r="E1127" s="161">
        <v>5</v>
      </c>
      <c r="F1127" s="161">
        <v>46.85</v>
      </c>
      <c r="G1127" s="162">
        <v>234.25</v>
      </c>
      <c r="H1127" s="67">
        <v>613</v>
      </c>
    </row>
    <row r="1128" spans="1:8" x14ac:dyDescent="0.25">
      <c r="A1128" s="212">
        <v>42018</v>
      </c>
      <c r="B1128" s="160" t="s">
        <v>285</v>
      </c>
      <c r="C1128" t="s">
        <v>621</v>
      </c>
      <c r="D1128" t="s">
        <v>27</v>
      </c>
      <c r="E1128" s="161">
        <v>8</v>
      </c>
      <c r="F1128" s="161">
        <v>90</v>
      </c>
      <c r="G1128" s="162">
        <v>720</v>
      </c>
      <c r="H1128" s="67">
        <v>613</v>
      </c>
    </row>
    <row r="1129" spans="1:8" x14ac:dyDescent="0.25">
      <c r="A1129" s="212">
        <v>42019</v>
      </c>
      <c r="B1129" s="160" t="s">
        <v>285</v>
      </c>
      <c r="C1129" t="s">
        <v>621</v>
      </c>
      <c r="D1129" t="s">
        <v>27</v>
      </c>
      <c r="E1129" s="161">
        <v>7</v>
      </c>
      <c r="F1129" s="161">
        <v>90</v>
      </c>
      <c r="G1129" s="162">
        <v>630</v>
      </c>
      <c r="H1129" s="67">
        <v>613</v>
      </c>
    </row>
    <row r="1130" spans="1:8" x14ac:dyDescent="0.25">
      <c r="A1130" s="212">
        <v>42019</v>
      </c>
      <c r="B1130" s="160" t="s">
        <v>623</v>
      </c>
      <c r="C1130" t="s">
        <v>7</v>
      </c>
      <c r="D1130" t="s">
        <v>27</v>
      </c>
      <c r="E1130" s="161">
        <v>4.25</v>
      </c>
      <c r="F1130" s="161">
        <v>46.85</v>
      </c>
      <c r="G1130" s="162">
        <v>199.11250000000001</v>
      </c>
      <c r="H1130" s="67">
        <v>613</v>
      </c>
    </row>
    <row r="1131" spans="1:8" x14ac:dyDescent="0.25">
      <c r="A1131" s="212">
        <v>42019</v>
      </c>
      <c r="B1131" s="160" t="s">
        <v>653</v>
      </c>
      <c r="C1131" t="s">
        <v>656</v>
      </c>
      <c r="D1131" t="s">
        <v>27</v>
      </c>
      <c r="E1131" s="161">
        <v>4</v>
      </c>
      <c r="F1131" s="161">
        <v>120</v>
      </c>
      <c r="G1131" s="162">
        <v>480</v>
      </c>
      <c r="H1131" s="67">
        <v>613</v>
      </c>
    </row>
    <row r="1132" spans="1:8" x14ac:dyDescent="0.25">
      <c r="A1132" s="212">
        <v>42019</v>
      </c>
      <c r="B1132" s="160" t="s">
        <v>1209</v>
      </c>
      <c r="C1132" t="s">
        <v>1210</v>
      </c>
      <c r="D1132" t="s">
        <v>27</v>
      </c>
      <c r="E1132" s="161">
        <v>4</v>
      </c>
      <c r="F1132" s="161">
        <v>42.79</v>
      </c>
      <c r="G1132" s="162">
        <v>171.16</v>
      </c>
      <c r="H1132" s="67">
        <v>613</v>
      </c>
    </row>
    <row r="1133" spans="1:8" x14ac:dyDescent="0.25">
      <c r="A1133" s="212">
        <v>42019</v>
      </c>
      <c r="B1133" s="160" t="s">
        <v>285</v>
      </c>
      <c r="C1133" t="s">
        <v>621</v>
      </c>
      <c r="D1133" t="s">
        <v>27</v>
      </c>
      <c r="E1133" s="161">
        <v>2</v>
      </c>
      <c r="F1133" s="161">
        <v>90</v>
      </c>
      <c r="G1133" s="162">
        <v>180</v>
      </c>
      <c r="H1133" s="67">
        <v>613</v>
      </c>
    </row>
    <row r="1134" spans="1:8" x14ac:dyDescent="0.25">
      <c r="A1134" s="212">
        <v>42019</v>
      </c>
      <c r="B1134" s="160" t="s">
        <v>653</v>
      </c>
      <c r="C1134" t="s">
        <v>656</v>
      </c>
      <c r="D1134" t="s">
        <v>27</v>
      </c>
      <c r="E1134" s="161">
        <v>3</v>
      </c>
      <c r="F1134" s="161">
        <v>80</v>
      </c>
      <c r="G1134" s="162">
        <v>240</v>
      </c>
      <c r="H1134" s="67">
        <v>613</v>
      </c>
    </row>
    <row r="1135" spans="1:8" x14ac:dyDescent="0.25">
      <c r="A1135" s="212">
        <v>42020</v>
      </c>
      <c r="B1135" s="160" t="s">
        <v>1209</v>
      </c>
      <c r="C1135" t="s">
        <v>1210</v>
      </c>
      <c r="D1135" t="s">
        <v>27</v>
      </c>
      <c r="E1135" s="161">
        <v>2.5</v>
      </c>
      <c r="F1135" s="161">
        <v>42.79</v>
      </c>
      <c r="G1135" s="162">
        <v>106.97499999999999</v>
      </c>
      <c r="H1135" s="67">
        <v>613</v>
      </c>
    </row>
    <row r="1136" spans="1:8" x14ac:dyDescent="0.25">
      <c r="A1136" s="212">
        <v>42020</v>
      </c>
      <c r="B1136" s="160" t="s">
        <v>623</v>
      </c>
      <c r="C1136" t="s">
        <v>7</v>
      </c>
      <c r="D1136" t="s">
        <v>27</v>
      </c>
      <c r="E1136" s="161">
        <v>4.75</v>
      </c>
      <c r="F1136" s="161">
        <v>46.85</v>
      </c>
      <c r="G1136" s="162">
        <v>222.53749999999999</v>
      </c>
      <c r="H1136" s="67">
        <v>613</v>
      </c>
    </row>
    <row r="1137" spans="1:8" x14ac:dyDescent="0.25">
      <c r="A1137" s="212">
        <v>42020</v>
      </c>
      <c r="B1137" s="160" t="s">
        <v>285</v>
      </c>
      <c r="C1137" t="s">
        <v>621</v>
      </c>
      <c r="D1137" t="s">
        <v>27</v>
      </c>
      <c r="E1137" s="161">
        <v>3.5</v>
      </c>
      <c r="F1137" s="161">
        <v>90</v>
      </c>
      <c r="G1137" s="162">
        <v>315</v>
      </c>
      <c r="H1137" s="67">
        <v>613</v>
      </c>
    </row>
    <row r="1138" spans="1:8" x14ac:dyDescent="0.25">
      <c r="A1138" s="212">
        <v>42020</v>
      </c>
      <c r="B1138" s="160" t="s">
        <v>1209</v>
      </c>
      <c r="C1138" t="s">
        <v>1210</v>
      </c>
      <c r="D1138" t="s">
        <v>27</v>
      </c>
      <c r="E1138" s="161">
        <v>2</v>
      </c>
      <c r="F1138" s="161">
        <v>42.79</v>
      </c>
      <c r="G1138" s="162">
        <v>85.58</v>
      </c>
      <c r="H1138" s="67">
        <v>613</v>
      </c>
    </row>
    <row r="1139" spans="1:8" x14ac:dyDescent="0.25">
      <c r="A1139" s="212">
        <v>42020</v>
      </c>
      <c r="B1139" s="160" t="s">
        <v>285</v>
      </c>
      <c r="C1139" t="s">
        <v>621</v>
      </c>
      <c r="D1139" t="s">
        <v>27</v>
      </c>
      <c r="E1139" s="161">
        <v>2</v>
      </c>
      <c r="F1139" s="161">
        <v>90</v>
      </c>
      <c r="G1139" s="162">
        <v>180</v>
      </c>
      <c r="H1139" s="67">
        <v>613</v>
      </c>
    </row>
    <row r="1140" spans="1:8" x14ac:dyDescent="0.25">
      <c r="A1140" s="212">
        <v>42023</v>
      </c>
      <c r="B1140" s="160" t="s">
        <v>285</v>
      </c>
      <c r="C1140" t="s">
        <v>621</v>
      </c>
      <c r="D1140" t="s">
        <v>27</v>
      </c>
      <c r="E1140" s="161">
        <v>2</v>
      </c>
      <c r="F1140" s="161">
        <v>90</v>
      </c>
      <c r="G1140" s="162">
        <v>180</v>
      </c>
      <c r="H1140" s="67">
        <v>613</v>
      </c>
    </row>
    <row r="1141" spans="1:8" x14ac:dyDescent="0.25">
      <c r="A1141" s="212">
        <v>42024</v>
      </c>
      <c r="B1141" s="160" t="s">
        <v>631</v>
      </c>
      <c r="C1141" t="s">
        <v>632</v>
      </c>
      <c r="D1141" t="s">
        <v>27</v>
      </c>
      <c r="E1141" s="161">
        <v>4</v>
      </c>
      <c r="F1141" s="161">
        <v>80</v>
      </c>
      <c r="G1141" s="162">
        <v>320</v>
      </c>
      <c r="H1141" s="67">
        <v>613</v>
      </c>
    </row>
    <row r="1142" spans="1:8" x14ac:dyDescent="0.25">
      <c r="A1142" s="212">
        <v>42024</v>
      </c>
      <c r="B1142" s="160" t="s">
        <v>631</v>
      </c>
      <c r="C1142" t="s">
        <v>632</v>
      </c>
      <c r="D1142" t="s">
        <v>27</v>
      </c>
      <c r="E1142" s="161">
        <v>5</v>
      </c>
      <c r="F1142" s="161">
        <v>80</v>
      </c>
      <c r="G1142" s="162">
        <v>400</v>
      </c>
      <c r="H1142" s="67">
        <v>613</v>
      </c>
    </row>
    <row r="1143" spans="1:8" x14ac:dyDescent="0.25">
      <c r="A1143" s="212">
        <v>42024</v>
      </c>
      <c r="B1143" s="160" t="s">
        <v>1209</v>
      </c>
      <c r="C1143" t="s">
        <v>1210</v>
      </c>
      <c r="D1143" t="s">
        <v>27</v>
      </c>
      <c r="E1143" s="161">
        <v>5</v>
      </c>
      <c r="F1143" s="161">
        <v>42.79</v>
      </c>
      <c r="G1143" s="162">
        <v>213.95</v>
      </c>
      <c r="H1143" s="67">
        <v>613</v>
      </c>
    </row>
    <row r="1144" spans="1:8" x14ac:dyDescent="0.25">
      <c r="A1144" s="212">
        <v>42024</v>
      </c>
      <c r="B1144" s="160" t="s">
        <v>623</v>
      </c>
      <c r="C1144" t="s">
        <v>7</v>
      </c>
      <c r="D1144" t="s">
        <v>27</v>
      </c>
      <c r="E1144" s="161">
        <v>5</v>
      </c>
      <c r="F1144" s="161">
        <v>42.6</v>
      </c>
      <c r="G1144" s="162">
        <v>213</v>
      </c>
      <c r="H1144" s="67">
        <v>613</v>
      </c>
    </row>
    <row r="1145" spans="1:8" x14ac:dyDescent="0.25">
      <c r="A1145" s="212">
        <v>42024</v>
      </c>
      <c r="B1145" s="160" t="s">
        <v>1221</v>
      </c>
      <c r="C1145" t="s">
        <v>632</v>
      </c>
      <c r="D1145" t="s">
        <v>27</v>
      </c>
      <c r="E1145" s="161">
        <v>5</v>
      </c>
      <c r="F1145" s="161">
        <v>80</v>
      </c>
      <c r="G1145" s="162">
        <v>400</v>
      </c>
      <c r="H1145" s="67">
        <v>613</v>
      </c>
    </row>
    <row r="1146" spans="1:8" x14ac:dyDescent="0.25">
      <c r="A1146" s="212">
        <v>42024</v>
      </c>
      <c r="B1146" s="160" t="s">
        <v>285</v>
      </c>
      <c r="C1146" t="s">
        <v>621</v>
      </c>
      <c r="D1146" t="s">
        <v>27</v>
      </c>
      <c r="E1146" s="161">
        <v>2</v>
      </c>
      <c r="F1146" s="161">
        <v>90</v>
      </c>
      <c r="G1146" s="162">
        <v>180</v>
      </c>
      <c r="H1146" s="67">
        <v>613</v>
      </c>
    </row>
    <row r="1147" spans="1:8" x14ac:dyDescent="0.25">
      <c r="A1147" s="212">
        <v>42024</v>
      </c>
      <c r="B1147" s="160" t="s">
        <v>631</v>
      </c>
      <c r="C1147" t="s">
        <v>632</v>
      </c>
      <c r="D1147" t="s">
        <v>27</v>
      </c>
      <c r="E1147" s="161">
        <v>4.5</v>
      </c>
      <c r="F1147" s="161">
        <v>80</v>
      </c>
      <c r="G1147" s="162">
        <v>360</v>
      </c>
      <c r="H1147" s="67">
        <v>613</v>
      </c>
    </row>
    <row r="1148" spans="1:8" x14ac:dyDescent="0.25">
      <c r="A1148" s="212">
        <v>42024</v>
      </c>
      <c r="B1148" s="160" t="s">
        <v>623</v>
      </c>
      <c r="C1148" t="s">
        <v>7</v>
      </c>
      <c r="D1148" t="s">
        <v>27</v>
      </c>
      <c r="E1148" s="161">
        <v>5</v>
      </c>
      <c r="F1148" s="161">
        <v>42.6</v>
      </c>
      <c r="G1148" s="162">
        <v>213</v>
      </c>
      <c r="H1148" s="67">
        <v>613</v>
      </c>
    </row>
    <row r="1149" spans="1:8" x14ac:dyDescent="0.25">
      <c r="A1149" s="212">
        <v>42024</v>
      </c>
      <c r="B1149" s="160" t="s">
        <v>1209</v>
      </c>
      <c r="C1149" t="s">
        <v>1210</v>
      </c>
      <c r="D1149" t="s">
        <v>27</v>
      </c>
      <c r="E1149" s="161">
        <v>5</v>
      </c>
      <c r="F1149" s="161">
        <v>42.79</v>
      </c>
      <c r="G1149" s="162">
        <v>213.95</v>
      </c>
      <c r="H1149" s="67">
        <v>613</v>
      </c>
    </row>
    <row r="1150" spans="1:8" x14ac:dyDescent="0.25">
      <c r="A1150" s="212">
        <v>42024</v>
      </c>
      <c r="B1150" s="160" t="s">
        <v>1211</v>
      </c>
      <c r="C1150" t="s">
        <v>1233</v>
      </c>
      <c r="D1150" t="s">
        <v>27</v>
      </c>
      <c r="E1150" s="161">
        <v>5</v>
      </c>
      <c r="F1150" s="161">
        <v>54.58</v>
      </c>
      <c r="G1150" s="162">
        <v>272.89999999999998</v>
      </c>
      <c r="H1150" s="67">
        <v>613</v>
      </c>
    </row>
    <row r="1151" spans="1:8" x14ac:dyDescent="0.25">
      <c r="A1151" s="212">
        <v>42024</v>
      </c>
      <c r="B1151" s="160" t="s">
        <v>285</v>
      </c>
      <c r="C1151" t="s">
        <v>621</v>
      </c>
      <c r="D1151" t="s">
        <v>27</v>
      </c>
      <c r="E1151" s="161">
        <v>8</v>
      </c>
      <c r="F1151" s="161">
        <v>90</v>
      </c>
      <c r="G1151" s="162">
        <v>720</v>
      </c>
      <c r="H1151" s="67">
        <v>613</v>
      </c>
    </row>
    <row r="1152" spans="1:8" x14ac:dyDescent="0.25">
      <c r="A1152" s="212">
        <v>42025</v>
      </c>
      <c r="B1152" s="160" t="s">
        <v>1211</v>
      </c>
      <c r="C1152" t="s">
        <v>1233</v>
      </c>
      <c r="D1152" t="s">
        <v>27</v>
      </c>
      <c r="E1152" s="161">
        <v>5</v>
      </c>
      <c r="F1152" s="161">
        <v>54.58</v>
      </c>
      <c r="G1152" s="162">
        <v>272.89999999999998</v>
      </c>
      <c r="H1152" s="67">
        <v>613</v>
      </c>
    </row>
    <row r="1153" spans="1:8" x14ac:dyDescent="0.25">
      <c r="A1153" s="212">
        <v>42025</v>
      </c>
      <c r="B1153" s="160" t="s">
        <v>1209</v>
      </c>
      <c r="C1153" t="s">
        <v>1210</v>
      </c>
      <c r="D1153" t="s">
        <v>27</v>
      </c>
      <c r="E1153" s="161">
        <v>5</v>
      </c>
      <c r="F1153" s="161">
        <v>42.79</v>
      </c>
      <c r="G1153" s="162">
        <v>213.95</v>
      </c>
      <c r="H1153" s="67">
        <v>613</v>
      </c>
    </row>
    <row r="1154" spans="1:8" x14ac:dyDescent="0.25">
      <c r="A1154" s="212">
        <v>42025</v>
      </c>
      <c r="B1154" s="160" t="s">
        <v>285</v>
      </c>
      <c r="C1154" t="s">
        <v>621</v>
      </c>
      <c r="D1154" t="s">
        <v>27</v>
      </c>
      <c r="E1154" s="161">
        <v>2</v>
      </c>
      <c r="F1154" s="161">
        <v>90</v>
      </c>
      <c r="G1154" s="162">
        <v>180</v>
      </c>
      <c r="H1154" s="67">
        <v>613</v>
      </c>
    </row>
    <row r="1155" spans="1:8" x14ac:dyDescent="0.25">
      <c r="A1155" s="212">
        <v>42025</v>
      </c>
      <c r="B1155" s="160" t="s">
        <v>285</v>
      </c>
      <c r="C1155" t="s">
        <v>621</v>
      </c>
      <c r="D1155" t="s">
        <v>27</v>
      </c>
      <c r="E1155" s="161">
        <v>5</v>
      </c>
      <c r="F1155" s="161">
        <v>90</v>
      </c>
      <c r="G1155" s="162">
        <v>450</v>
      </c>
      <c r="H1155" s="67">
        <v>613</v>
      </c>
    </row>
    <row r="1156" spans="1:8" x14ac:dyDescent="0.25">
      <c r="A1156" s="212">
        <v>42031</v>
      </c>
      <c r="B1156" s="160" t="s">
        <v>653</v>
      </c>
      <c r="C1156" t="s">
        <v>656</v>
      </c>
      <c r="D1156" t="s">
        <v>27</v>
      </c>
      <c r="E1156" s="161">
        <v>2</v>
      </c>
      <c r="F1156" s="161">
        <v>80</v>
      </c>
      <c r="G1156" s="162">
        <v>160</v>
      </c>
      <c r="H1156" s="67">
        <v>613</v>
      </c>
    </row>
    <row r="1157" spans="1:8" x14ac:dyDescent="0.25">
      <c r="A1157" s="212">
        <v>42031</v>
      </c>
      <c r="B1157" s="160" t="s">
        <v>285</v>
      </c>
      <c r="C1157" t="s">
        <v>621</v>
      </c>
      <c r="D1157" t="s">
        <v>27</v>
      </c>
      <c r="E1157" s="161">
        <v>2</v>
      </c>
      <c r="F1157" s="161">
        <v>90</v>
      </c>
      <c r="G1157" s="162">
        <v>180</v>
      </c>
      <c r="H1157" s="67">
        <v>613</v>
      </c>
    </row>
    <row r="1158" spans="1:8" x14ac:dyDescent="0.25">
      <c r="A1158" s="212">
        <v>42032</v>
      </c>
      <c r="B1158" s="160" t="s">
        <v>285</v>
      </c>
      <c r="C1158" t="s">
        <v>621</v>
      </c>
      <c r="D1158" t="s">
        <v>27</v>
      </c>
      <c r="E1158" s="161">
        <v>6</v>
      </c>
      <c r="F1158" s="161">
        <v>90</v>
      </c>
      <c r="G1158" s="162">
        <v>540</v>
      </c>
      <c r="H1158" s="67">
        <v>613</v>
      </c>
    </row>
    <row r="1159" spans="1:8" x14ac:dyDescent="0.25">
      <c r="A1159" s="212">
        <v>42032</v>
      </c>
      <c r="B1159" s="160" t="s">
        <v>653</v>
      </c>
      <c r="C1159" t="s">
        <v>656</v>
      </c>
      <c r="D1159" t="s">
        <v>27</v>
      </c>
      <c r="E1159" s="161">
        <v>2</v>
      </c>
      <c r="F1159" s="161">
        <v>80</v>
      </c>
      <c r="G1159" s="162">
        <v>160</v>
      </c>
      <c r="H1159" s="67">
        <v>613</v>
      </c>
    </row>
    <row r="1160" spans="1:8" x14ac:dyDescent="0.25">
      <c r="A1160" s="212">
        <v>42032</v>
      </c>
      <c r="B1160" s="160" t="s">
        <v>1209</v>
      </c>
      <c r="C1160" t="s">
        <v>1210</v>
      </c>
      <c r="D1160" t="s">
        <v>27</v>
      </c>
      <c r="E1160" s="161">
        <v>5</v>
      </c>
      <c r="F1160" s="161">
        <v>42.79</v>
      </c>
      <c r="G1160" s="162">
        <v>213.95</v>
      </c>
      <c r="H1160" s="67">
        <v>613</v>
      </c>
    </row>
    <row r="1161" spans="1:8" x14ac:dyDescent="0.25">
      <c r="A1161" s="212">
        <v>42032</v>
      </c>
      <c r="B1161" s="160" t="s">
        <v>1211</v>
      </c>
      <c r="C1161" t="s">
        <v>1233</v>
      </c>
      <c r="D1161" t="s">
        <v>27</v>
      </c>
      <c r="E1161" s="161">
        <v>10</v>
      </c>
      <c r="F1161" s="161">
        <v>54.58</v>
      </c>
      <c r="G1161" s="162">
        <v>545.79999999999995</v>
      </c>
      <c r="H1161" s="67">
        <v>613</v>
      </c>
    </row>
    <row r="1162" spans="1:8" x14ac:dyDescent="0.25">
      <c r="A1162" s="212">
        <v>42032</v>
      </c>
      <c r="B1162" s="160" t="s">
        <v>285</v>
      </c>
      <c r="C1162" t="s">
        <v>621</v>
      </c>
      <c r="D1162" t="s">
        <v>27</v>
      </c>
      <c r="E1162" s="161">
        <v>4</v>
      </c>
      <c r="F1162" s="161">
        <v>90</v>
      </c>
      <c r="G1162" s="162">
        <v>360</v>
      </c>
      <c r="H1162" s="67">
        <v>613</v>
      </c>
    </row>
    <row r="1163" spans="1:8" x14ac:dyDescent="0.25">
      <c r="A1163" s="212">
        <v>42033</v>
      </c>
      <c r="B1163" s="160" t="s">
        <v>1209</v>
      </c>
      <c r="C1163" t="s">
        <v>1210</v>
      </c>
      <c r="D1163" t="s">
        <v>27</v>
      </c>
      <c r="E1163" s="161">
        <v>5</v>
      </c>
      <c r="F1163" s="161">
        <v>42.79</v>
      </c>
      <c r="G1163" s="162">
        <v>213.95</v>
      </c>
      <c r="H1163" s="67">
        <v>613</v>
      </c>
    </row>
    <row r="1164" spans="1:8" x14ac:dyDescent="0.25">
      <c r="A1164" s="212">
        <v>42033</v>
      </c>
      <c r="B1164" s="160" t="s">
        <v>1211</v>
      </c>
      <c r="C1164" t="s">
        <v>1233</v>
      </c>
      <c r="D1164" t="s">
        <v>27</v>
      </c>
      <c r="E1164" s="161">
        <v>5.5</v>
      </c>
      <c r="F1164" s="161">
        <v>54.58</v>
      </c>
      <c r="G1164" s="162">
        <v>300.19</v>
      </c>
      <c r="H1164" s="67">
        <v>613</v>
      </c>
    </row>
    <row r="1165" spans="1:8" x14ac:dyDescent="0.25">
      <c r="A1165" s="212">
        <v>42037</v>
      </c>
      <c r="B1165" s="160" t="s">
        <v>285</v>
      </c>
      <c r="C1165" t="s">
        <v>621</v>
      </c>
      <c r="D1165" t="s">
        <v>27</v>
      </c>
      <c r="E1165" s="161">
        <v>2</v>
      </c>
      <c r="F1165" s="161">
        <v>90</v>
      </c>
      <c r="G1165" s="162">
        <v>180</v>
      </c>
      <c r="H1165" s="67">
        <v>613</v>
      </c>
    </row>
    <row r="1166" spans="1:8" x14ac:dyDescent="0.25">
      <c r="A1166" s="212">
        <v>42038</v>
      </c>
      <c r="B1166" s="160" t="s">
        <v>285</v>
      </c>
      <c r="C1166" t="s">
        <v>621</v>
      </c>
      <c r="D1166" t="s">
        <v>27</v>
      </c>
      <c r="E1166" s="161">
        <v>3</v>
      </c>
      <c r="F1166" s="161">
        <v>90</v>
      </c>
      <c r="G1166" s="162">
        <v>270</v>
      </c>
      <c r="H1166" s="67">
        <v>613</v>
      </c>
    </row>
    <row r="1167" spans="1:8" x14ac:dyDescent="0.25">
      <c r="A1167" s="212">
        <v>42038</v>
      </c>
      <c r="B1167" s="160" t="s">
        <v>631</v>
      </c>
      <c r="C1167" t="s">
        <v>632</v>
      </c>
      <c r="D1167" t="s">
        <v>27</v>
      </c>
      <c r="E1167" s="161">
        <v>5</v>
      </c>
      <c r="F1167" s="161">
        <v>80</v>
      </c>
      <c r="G1167" s="162">
        <v>400</v>
      </c>
      <c r="H1167" s="67">
        <v>613</v>
      </c>
    </row>
    <row r="1168" spans="1:8" x14ac:dyDescent="0.25">
      <c r="A1168" s="212">
        <v>42038</v>
      </c>
      <c r="B1168" s="160" t="s">
        <v>653</v>
      </c>
      <c r="C1168" t="s">
        <v>656</v>
      </c>
      <c r="D1168" t="s">
        <v>27</v>
      </c>
      <c r="E1168" s="161">
        <v>3</v>
      </c>
      <c r="F1168" s="161">
        <v>120</v>
      </c>
      <c r="G1168" s="162">
        <v>360</v>
      </c>
      <c r="H1168" s="67">
        <v>613</v>
      </c>
    </row>
    <row r="1169" spans="1:8" x14ac:dyDescent="0.25">
      <c r="A1169" s="212">
        <v>42038</v>
      </c>
      <c r="B1169" s="160" t="s">
        <v>285</v>
      </c>
      <c r="C1169" t="s">
        <v>621</v>
      </c>
      <c r="D1169" t="s">
        <v>27</v>
      </c>
      <c r="E1169" s="161">
        <v>2</v>
      </c>
      <c r="F1169" s="161">
        <v>90</v>
      </c>
      <c r="G1169" s="162">
        <v>180</v>
      </c>
      <c r="H1169" s="67">
        <v>613</v>
      </c>
    </row>
    <row r="1170" spans="1:8" x14ac:dyDescent="0.25">
      <c r="A1170" s="212">
        <v>42039</v>
      </c>
      <c r="B1170" s="160" t="s">
        <v>285</v>
      </c>
      <c r="C1170" t="s">
        <v>621</v>
      </c>
      <c r="D1170" t="s">
        <v>27</v>
      </c>
      <c r="E1170" s="161">
        <v>10</v>
      </c>
      <c r="F1170" s="161">
        <v>90</v>
      </c>
      <c r="G1170" s="162">
        <v>900</v>
      </c>
      <c r="H1170" s="67">
        <v>613</v>
      </c>
    </row>
    <row r="1171" spans="1:8" x14ac:dyDescent="0.25">
      <c r="A1171" s="212">
        <v>42039</v>
      </c>
      <c r="B1171" s="160" t="s">
        <v>631</v>
      </c>
      <c r="C1171" t="s">
        <v>632</v>
      </c>
      <c r="D1171" t="s">
        <v>27</v>
      </c>
      <c r="E1171" s="161">
        <v>1</v>
      </c>
      <c r="F1171" s="161">
        <v>80</v>
      </c>
      <c r="G1171" s="162">
        <v>80</v>
      </c>
      <c r="H1171" s="67">
        <v>613</v>
      </c>
    </row>
    <row r="1172" spans="1:8" x14ac:dyDescent="0.25">
      <c r="A1172" s="212">
        <v>42040</v>
      </c>
      <c r="B1172" s="160" t="s">
        <v>711</v>
      </c>
      <c r="C1172" t="s">
        <v>677</v>
      </c>
      <c r="D1172" t="s">
        <v>527</v>
      </c>
      <c r="E1172" s="161">
        <v>11</v>
      </c>
      <c r="F1172" s="161">
        <v>317.8</v>
      </c>
      <c r="G1172" s="162">
        <v>3495.8</v>
      </c>
      <c r="H1172" s="67">
        <v>613</v>
      </c>
    </row>
    <row r="1173" spans="1:8" x14ac:dyDescent="0.25">
      <c r="A1173" s="212">
        <v>42040</v>
      </c>
      <c r="B1173" s="160" t="s">
        <v>285</v>
      </c>
      <c r="C1173" t="s">
        <v>621</v>
      </c>
      <c r="D1173" t="s">
        <v>27</v>
      </c>
      <c r="E1173" s="161">
        <v>7.5</v>
      </c>
      <c r="F1173" s="161">
        <v>90</v>
      </c>
      <c r="G1173" s="162">
        <v>675</v>
      </c>
      <c r="H1173" s="67">
        <v>613</v>
      </c>
    </row>
    <row r="1174" spans="1:8" x14ac:dyDescent="0.25">
      <c r="A1174" s="212">
        <v>42040</v>
      </c>
      <c r="B1174" s="160" t="s">
        <v>634</v>
      </c>
      <c r="C1174" t="s">
        <v>635</v>
      </c>
      <c r="D1174" t="s">
        <v>27</v>
      </c>
      <c r="E1174" s="161">
        <v>6</v>
      </c>
      <c r="F1174" s="161">
        <v>92.5</v>
      </c>
      <c r="G1174" s="162">
        <v>555</v>
      </c>
      <c r="H1174" s="67">
        <v>613</v>
      </c>
    </row>
    <row r="1175" spans="1:8" x14ac:dyDescent="0.25">
      <c r="A1175" s="212">
        <v>42044</v>
      </c>
      <c r="B1175" s="160" t="s">
        <v>653</v>
      </c>
      <c r="C1175" t="s">
        <v>656</v>
      </c>
      <c r="D1175" t="s">
        <v>27</v>
      </c>
      <c r="E1175" s="161">
        <v>2</v>
      </c>
      <c r="F1175" s="161">
        <v>80</v>
      </c>
      <c r="G1175" s="162">
        <v>160</v>
      </c>
      <c r="H1175" s="67">
        <v>613</v>
      </c>
    </row>
    <row r="1176" spans="1:8" x14ac:dyDescent="0.25">
      <c r="A1176" s="212">
        <v>42045</v>
      </c>
      <c r="B1176" s="160" t="s">
        <v>1211</v>
      </c>
      <c r="C1176" t="s">
        <v>1233</v>
      </c>
      <c r="D1176" t="s">
        <v>27</v>
      </c>
      <c r="E1176" s="161">
        <v>6</v>
      </c>
      <c r="F1176" s="161">
        <v>54.58</v>
      </c>
      <c r="G1176" s="162">
        <v>327.48</v>
      </c>
      <c r="H1176" s="67">
        <v>613</v>
      </c>
    </row>
    <row r="1177" spans="1:8" x14ac:dyDescent="0.25">
      <c r="A1177" s="212">
        <v>42045</v>
      </c>
      <c r="B1177" s="160" t="s">
        <v>1209</v>
      </c>
      <c r="C1177" t="s">
        <v>1210</v>
      </c>
      <c r="D1177" t="s">
        <v>27</v>
      </c>
      <c r="E1177" s="161">
        <v>6</v>
      </c>
      <c r="F1177" s="161">
        <v>42.79</v>
      </c>
      <c r="G1177" s="162">
        <v>256.74</v>
      </c>
      <c r="H1177" s="67">
        <v>613</v>
      </c>
    </row>
    <row r="1178" spans="1:8" x14ac:dyDescent="0.25">
      <c r="A1178" s="212">
        <v>42046</v>
      </c>
      <c r="B1178" s="160" t="s">
        <v>1209</v>
      </c>
      <c r="C1178" t="s">
        <v>1210</v>
      </c>
      <c r="D1178" t="s">
        <v>27</v>
      </c>
      <c r="E1178" s="161">
        <v>4</v>
      </c>
      <c r="F1178" s="161">
        <v>42.79</v>
      </c>
      <c r="G1178" s="162">
        <v>171.16</v>
      </c>
      <c r="H1178" s="67">
        <v>613</v>
      </c>
    </row>
    <row r="1179" spans="1:8" x14ac:dyDescent="0.25">
      <c r="A1179" s="212">
        <v>42046</v>
      </c>
      <c r="B1179" s="160" t="s">
        <v>1211</v>
      </c>
      <c r="C1179" t="s">
        <v>1233</v>
      </c>
      <c r="D1179" t="s">
        <v>27</v>
      </c>
      <c r="E1179" s="161">
        <v>4.5</v>
      </c>
      <c r="F1179" s="161">
        <v>54.58</v>
      </c>
      <c r="G1179" s="162">
        <v>245.61</v>
      </c>
      <c r="H1179" s="67">
        <v>613</v>
      </c>
    </row>
    <row r="1180" spans="1:8" x14ac:dyDescent="0.25">
      <c r="A1180" s="212">
        <v>42052</v>
      </c>
      <c r="B1180" s="160" t="s">
        <v>653</v>
      </c>
      <c r="C1180" t="s">
        <v>656</v>
      </c>
      <c r="D1180" t="s">
        <v>27</v>
      </c>
      <c r="E1180" s="161">
        <v>4</v>
      </c>
      <c r="F1180" s="161">
        <v>120</v>
      </c>
      <c r="G1180" s="162">
        <v>480</v>
      </c>
      <c r="H1180" s="67">
        <v>613</v>
      </c>
    </row>
    <row r="1181" spans="1:8" x14ac:dyDescent="0.25">
      <c r="A1181" s="212">
        <v>42052</v>
      </c>
      <c r="B1181" s="160" t="s">
        <v>631</v>
      </c>
      <c r="C1181" t="s">
        <v>632</v>
      </c>
      <c r="D1181" t="s">
        <v>27</v>
      </c>
      <c r="E1181" s="161">
        <v>4</v>
      </c>
      <c r="F1181" s="161">
        <v>80</v>
      </c>
      <c r="G1181" s="162">
        <v>320</v>
      </c>
      <c r="H1181" s="67">
        <v>613</v>
      </c>
    </row>
    <row r="1182" spans="1:8" x14ac:dyDescent="0.25">
      <c r="A1182" s="212">
        <v>42052</v>
      </c>
      <c r="B1182" s="160" t="s">
        <v>684</v>
      </c>
      <c r="C1182" t="s">
        <v>655</v>
      </c>
      <c r="D1182" t="s">
        <v>27</v>
      </c>
      <c r="E1182" s="161">
        <v>3.5</v>
      </c>
      <c r="F1182" s="161">
        <v>120</v>
      </c>
      <c r="G1182" s="162">
        <v>420</v>
      </c>
      <c r="H1182" s="67">
        <v>613</v>
      </c>
    </row>
    <row r="1183" spans="1:8" x14ac:dyDescent="0.25">
      <c r="A1183" s="212">
        <v>42052</v>
      </c>
      <c r="B1183" s="160" t="s">
        <v>631</v>
      </c>
      <c r="C1183" t="s">
        <v>632</v>
      </c>
      <c r="D1183" t="s">
        <v>27</v>
      </c>
      <c r="E1183" s="161">
        <v>4</v>
      </c>
      <c r="F1183" s="161">
        <v>80</v>
      </c>
      <c r="G1183" s="162">
        <v>320</v>
      </c>
      <c r="H1183" s="67">
        <v>613</v>
      </c>
    </row>
    <row r="1184" spans="1:8" x14ac:dyDescent="0.25">
      <c r="A1184" s="212">
        <v>42053</v>
      </c>
      <c r="B1184" s="160" t="s">
        <v>631</v>
      </c>
      <c r="C1184" t="s">
        <v>632</v>
      </c>
      <c r="D1184" t="s">
        <v>27</v>
      </c>
      <c r="E1184" s="161">
        <v>4.5</v>
      </c>
      <c r="F1184" s="161">
        <v>80</v>
      </c>
      <c r="G1184" s="162">
        <v>360</v>
      </c>
      <c r="H1184" s="67">
        <v>613</v>
      </c>
    </row>
    <row r="1185" spans="1:8" x14ac:dyDescent="0.25">
      <c r="A1185" s="212">
        <v>42053</v>
      </c>
      <c r="B1185" s="160" t="s">
        <v>631</v>
      </c>
      <c r="C1185" t="s">
        <v>632</v>
      </c>
      <c r="D1185" t="s">
        <v>27</v>
      </c>
      <c r="E1185" s="161">
        <v>4.5</v>
      </c>
      <c r="F1185" s="161">
        <v>80</v>
      </c>
      <c r="G1185" s="162">
        <v>360</v>
      </c>
      <c r="H1185" s="67">
        <v>613</v>
      </c>
    </row>
    <row r="1186" spans="1:8" x14ac:dyDescent="0.25">
      <c r="A1186" s="212">
        <v>42055</v>
      </c>
      <c r="B1186" s="160" t="s">
        <v>631</v>
      </c>
      <c r="C1186" t="s">
        <v>632</v>
      </c>
      <c r="D1186" t="s">
        <v>27</v>
      </c>
      <c r="E1186" s="161">
        <v>3.5</v>
      </c>
      <c r="F1186" s="161">
        <v>80</v>
      </c>
      <c r="G1186" s="162">
        <v>280</v>
      </c>
      <c r="H1186" s="67">
        <v>613</v>
      </c>
    </row>
    <row r="1187" spans="1:8" x14ac:dyDescent="0.25">
      <c r="A1187" s="212">
        <v>42055</v>
      </c>
      <c r="B1187" s="160" t="s">
        <v>623</v>
      </c>
      <c r="C1187" t="s">
        <v>7</v>
      </c>
      <c r="D1187" t="s">
        <v>27</v>
      </c>
      <c r="E1187" s="161">
        <v>2.5</v>
      </c>
      <c r="F1187" s="161">
        <v>46.85</v>
      </c>
      <c r="G1187" s="162">
        <v>117.125</v>
      </c>
      <c r="H1187" s="67">
        <v>613</v>
      </c>
    </row>
    <row r="1188" spans="1:8" x14ac:dyDescent="0.25">
      <c r="A1188" s="212">
        <v>42055</v>
      </c>
      <c r="B1188" s="160" t="s">
        <v>631</v>
      </c>
      <c r="C1188" t="s">
        <v>632</v>
      </c>
      <c r="D1188" t="s">
        <v>27</v>
      </c>
      <c r="E1188" s="161">
        <v>3</v>
      </c>
      <c r="F1188" s="161">
        <v>80</v>
      </c>
      <c r="G1188" s="162">
        <v>240</v>
      </c>
      <c r="H1188" s="67">
        <v>613</v>
      </c>
    </row>
    <row r="1189" spans="1:8" x14ac:dyDescent="0.25">
      <c r="A1189" s="212">
        <v>42058</v>
      </c>
      <c r="B1189" s="160" t="s">
        <v>631</v>
      </c>
      <c r="C1189" t="s">
        <v>632</v>
      </c>
      <c r="D1189" t="s">
        <v>27</v>
      </c>
      <c r="E1189" s="161">
        <v>2</v>
      </c>
      <c r="F1189" s="161">
        <v>80</v>
      </c>
      <c r="G1189" s="162">
        <v>160</v>
      </c>
      <c r="H1189" s="67">
        <v>613</v>
      </c>
    </row>
    <row r="1190" spans="1:8" x14ac:dyDescent="0.25">
      <c r="A1190" s="212">
        <v>42058</v>
      </c>
      <c r="B1190" s="160" t="s">
        <v>631</v>
      </c>
      <c r="C1190" t="s">
        <v>632</v>
      </c>
      <c r="D1190" t="s">
        <v>27</v>
      </c>
      <c r="E1190" s="161">
        <v>2</v>
      </c>
      <c r="F1190" s="161">
        <v>80</v>
      </c>
      <c r="G1190" s="162">
        <v>160</v>
      </c>
      <c r="H1190" s="67">
        <v>613</v>
      </c>
    </row>
    <row r="1191" spans="1:8" x14ac:dyDescent="0.25">
      <c r="A1191" s="212">
        <v>42058</v>
      </c>
      <c r="B1191" s="160" t="s">
        <v>664</v>
      </c>
      <c r="C1191" t="s">
        <v>665</v>
      </c>
      <c r="D1191" t="s">
        <v>527</v>
      </c>
      <c r="E1191" s="161">
        <v>3.5</v>
      </c>
      <c r="F1191" s="161">
        <v>35</v>
      </c>
      <c r="G1191" s="162">
        <v>122.5</v>
      </c>
      <c r="H1191" s="67">
        <v>613</v>
      </c>
    </row>
    <row r="1192" spans="1:8" x14ac:dyDescent="0.25">
      <c r="A1192" s="212">
        <v>42058</v>
      </c>
      <c r="B1192" s="160" t="s">
        <v>631</v>
      </c>
      <c r="C1192" t="s">
        <v>632</v>
      </c>
      <c r="D1192" t="s">
        <v>27</v>
      </c>
      <c r="E1192" s="161">
        <v>2</v>
      </c>
      <c r="F1192" s="161">
        <v>80</v>
      </c>
      <c r="G1192" s="162">
        <v>160</v>
      </c>
      <c r="H1192" s="67">
        <v>613</v>
      </c>
    </row>
    <row r="1193" spans="1:8" x14ac:dyDescent="0.25">
      <c r="A1193" s="212">
        <v>42058</v>
      </c>
      <c r="B1193" s="160" t="s">
        <v>631</v>
      </c>
      <c r="C1193" t="s">
        <v>632</v>
      </c>
      <c r="D1193" t="s">
        <v>27</v>
      </c>
      <c r="E1193" s="161">
        <v>2</v>
      </c>
      <c r="F1193" s="161">
        <v>80</v>
      </c>
      <c r="G1193" s="162">
        <v>160</v>
      </c>
      <c r="H1193" s="67">
        <v>613</v>
      </c>
    </row>
    <row r="1194" spans="1:8" x14ac:dyDescent="0.25">
      <c r="A1194" s="212">
        <v>42059</v>
      </c>
      <c r="B1194" s="160" t="s">
        <v>1209</v>
      </c>
      <c r="C1194" t="s">
        <v>1210</v>
      </c>
      <c r="D1194" t="s">
        <v>27</v>
      </c>
      <c r="E1194" s="161">
        <v>2.5</v>
      </c>
      <c r="F1194" s="161">
        <v>42.79</v>
      </c>
      <c r="G1194" s="162">
        <v>106.97499999999999</v>
      </c>
      <c r="H1194" s="67">
        <v>613</v>
      </c>
    </row>
    <row r="1195" spans="1:8" x14ac:dyDescent="0.25">
      <c r="A1195" s="212">
        <v>42059</v>
      </c>
      <c r="B1195" s="160" t="s">
        <v>664</v>
      </c>
      <c r="C1195" t="s">
        <v>665</v>
      </c>
      <c r="D1195" t="s">
        <v>527</v>
      </c>
      <c r="E1195" s="161">
        <v>2.5</v>
      </c>
      <c r="F1195" s="161">
        <v>35</v>
      </c>
      <c r="G1195" s="162">
        <v>87.5</v>
      </c>
      <c r="H1195" s="67">
        <v>613</v>
      </c>
    </row>
    <row r="1196" spans="1:8" x14ac:dyDescent="0.25">
      <c r="A1196" s="212">
        <v>42059</v>
      </c>
      <c r="B1196" s="160" t="s">
        <v>653</v>
      </c>
      <c r="C1196" t="s">
        <v>656</v>
      </c>
      <c r="D1196" t="s">
        <v>27</v>
      </c>
      <c r="E1196" s="161">
        <v>2</v>
      </c>
      <c r="F1196" s="161">
        <v>120</v>
      </c>
      <c r="G1196" s="162">
        <v>240</v>
      </c>
      <c r="H1196" s="67">
        <v>613</v>
      </c>
    </row>
    <row r="1197" spans="1:8" x14ac:dyDescent="0.25">
      <c r="A1197" s="212">
        <v>42059</v>
      </c>
      <c r="B1197" s="160" t="s">
        <v>631</v>
      </c>
      <c r="C1197" t="s">
        <v>632</v>
      </c>
      <c r="D1197" t="s">
        <v>27</v>
      </c>
      <c r="E1197" s="161">
        <v>2</v>
      </c>
      <c r="F1197" s="161">
        <v>80</v>
      </c>
      <c r="G1197" s="162">
        <v>160</v>
      </c>
      <c r="H1197" s="67">
        <v>613</v>
      </c>
    </row>
    <row r="1198" spans="1:8" x14ac:dyDescent="0.25">
      <c r="A1198" s="212">
        <v>42059</v>
      </c>
      <c r="B1198" s="160" t="s">
        <v>631</v>
      </c>
      <c r="C1198" t="s">
        <v>632</v>
      </c>
      <c r="D1198" t="s">
        <v>27</v>
      </c>
      <c r="E1198" s="161">
        <v>2</v>
      </c>
      <c r="F1198" s="161">
        <v>80</v>
      </c>
      <c r="G1198" s="162">
        <v>160</v>
      </c>
      <c r="H1198" s="67">
        <v>613</v>
      </c>
    </row>
    <row r="1199" spans="1:8" x14ac:dyDescent="0.25">
      <c r="A1199" s="212">
        <v>42060</v>
      </c>
      <c r="B1199" s="160" t="s">
        <v>631</v>
      </c>
      <c r="C1199" t="s">
        <v>632</v>
      </c>
      <c r="D1199" t="s">
        <v>27</v>
      </c>
      <c r="E1199" s="161">
        <v>3</v>
      </c>
      <c r="F1199" s="161">
        <v>80</v>
      </c>
      <c r="G1199" s="162">
        <v>240</v>
      </c>
      <c r="H1199" s="67">
        <v>613</v>
      </c>
    </row>
    <row r="1200" spans="1:8" x14ac:dyDescent="0.25">
      <c r="A1200" s="212">
        <v>42060</v>
      </c>
      <c r="B1200" s="160" t="s">
        <v>664</v>
      </c>
      <c r="C1200" t="s">
        <v>665</v>
      </c>
      <c r="D1200" t="s">
        <v>527</v>
      </c>
      <c r="E1200" s="161">
        <v>4</v>
      </c>
      <c r="F1200" s="161">
        <v>35</v>
      </c>
      <c r="G1200" s="162">
        <v>140</v>
      </c>
      <c r="H1200" s="67">
        <v>613</v>
      </c>
    </row>
    <row r="1201" spans="1:8" x14ac:dyDescent="0.25">
      <c r="A1201" s="212">
        <v>42060</v>
      </c>
      <c r="B1201" s="160" t="s">
        <v>1209</v>
      </c>
      <c r="C1201" t="s">
        <v>1210</v>
      </c>
      <c r="D1201" t="s">
        <v>27</v>
      </c>
      <c r="E1201" s="161">
        <v>4</v>
      </c>
      <c r="F1201" s="161">
        <v>42.79</v>
      </c>
      <c r="G1201" s="162">
        <v>171.16</v>
      </c>
      <c r="H1201" s="67">
        <v>613</v>
      </c>
    </row>
    <row r="1202" spans="1:8" x14ac:dyDescent="0.25">
      <c r="A1202" s="212">
        <v>42060</v>
      </c>
      <c r="B1202" s="160" t="s">
        <v>631</v>
      </c>
      <c r="C1202" t="s">
        <v>632</v>
      </c>
      <c r="D1202" t="s">
        <v>27</v>
      </c>
      <c r="E1202" s="161">
        <v>3</v>
      </c>
      <c r="F1202" s="161">
        <v>80</v>
      </c>
      <c r="G1202" s="162">
        <v>240</v>
      </c>
      <c r="H1202" s="67">
        <v>613</v>
      </c>
    </row>
    <row r="1203" spans="1:8" x14ac:dyDescent="0.25">
      <c r="A1203" s="212">
        <v>42061</v>
      </c>
      <c r="B1203" s="160" t="s">
        <v>1209</v>
      </c>
      <c r="C1203" t="s">
        <v>1210</v>
      </c>
      <c r="D1203" t="s">
        <v>27</v>
      </c>
      <c r="E1203" s="161">
        <v>5</v>
      </c>
      <c r="F1203" s="161">
        <v>42.79</v>
      </c>
      <c r="G1203" s="162">
        <v>213.95</v>
      </c>
      <c r="H1203" s="67">
        <v>613</v>
      </c>
    </row>
    <row r="1204" spans="1:8" x14ac:dyDescent="0.25">
      <c r="A1204" s="212">
        <v>42061</v>
      </c>
      <c r="B1204" s="160" t="s">
        <v>664</v>
      </c>
      <c r="C1204" t="s">
        <v>665</v>
      </c>
      <c r="D1204" t="s">
        <v>527</v>
      </c>
      <c r="E1204" s="161">
        <v>5</v>
      </c>
      <c r="F1204" s="161">
        <v>35</v>
      </c>
      <c r="G1204" s="162">
        <v>175</v>
      </c>
      <c r="H1204" s="67">
        <v>613</v>
      </c>
    </row>
    <row r="1205" spans="1:8" x14ac:dyDescent="0.25">
      <c r="A1205" s="213" t="s">
        <v>418</v>
      </c>
      <c r="B1205" s="214" t="s">
        <v>712</v>
      </c>
      <c r="C1205" s="215" t="s">
        <v>418</v>
      </c>
      <c r="D1205" s="215" t="s">
        <v>418</v>
      </c>
      <c r="E1205" s="216"/>
      <c r="F1205" s="216"/>
      <c r="G1205" s="217">
        <v>187160.79500000007</v>
      </c>
      <c r="H1205" s="231" t="s">
        <v>418</v>
      </c>
    </row>
    <row r="1206" spans="1:8" x14ac:dyDescent="0.25">
      <c r="A1206" s="212" t="s">
        <v>418</v>
      </c>
      <c r="B1206" s="160" t="s">
        <v>418</v>
      </c>
      <c r="C1206" t="s">
        <v>418</v>
      </c>
      <c r="D1206" t="s">
        <v>418</v>
      </c>
      <c r="E1206" s="161"/>
      <c r="F1206" s="161"/>
      <c r="G1206" s="162"/>
      <c r="H1206" s="67" t="s">
        <v>418</v>
      </c>
    </row>
    <row r="1207" spans="1:8" x14ac:dyDescent="0.25">
      <c r="A1207" s="209" t="s">
        <v>418</v>
      </c>
      <c r="B1207" s="159" t="s">
        <v>1242</v>
      </c>
      <c r="C1207" s="35" t="s">
        <v>418</v>
      </c>
      <c r="D1207" s="35" t="s">
        <v>418</v>
      </c>
      <c r="E1207" s="210"/>
      <c r="F1207" s="210"/>
      <c r="G1207" s="211"/>
      <c r="H1207" s="229" t="s">
        <v>418</v>
      </c>
    </row>
    <row r="1208" spans="1:8" x14ac:dyDescent="0.25">
      <c r="A1208" s="212">
        <v>41920</v>
      </c>
      <c r="B1208" s="160" t="s">
        <v>286</v>
      </c>
      <c r="C1208" t="s">
        <v>633</v>
      </c>
      <c r="D1208" t="s">
        <v>27</v>
      </c>
      <c r="E1208" s="161">
        <v>8</v>
      </c>
      <c r="F1208" s="161">
        <v>90</v>
      </c>
      <c r="G1208" s="162">
        <v>720</v>
      </c>
      <c r="H1208" s="67">
        <v>62</v>
      </c>
    </row>
    <row r="1209" spans="1:8" x14ac:dyDescent="0.25">
      <c r="A1209" s="212">
        <v>41920</v>
      </c>
      <c r="B1209" s="160" t="s">
        <v>701</v>
      </c>
      <c r="C1209" t="s">
        <v>702</v>
      </c>
      <c r="D1209" t="s">
        <v>27</v>
      </c>
      <c r="E1209" s="161">
        <v>9</v>
      </c>
      <c r="F1209" s="161">
        <v>140</v>
      </c>
      <c r="G1209" s="162">
        <v>1260</v>
      </c>
      <c r="H1209" s="67">
        <v>62</v>
      </c>
    </row>
    <row r="1210" spans="1:8" x14ac:dyDescent="0.25">
      <c r="A1210" s="212">
        <v>41920</v>
      </c>
      <c r="B1210" s="160" t="s">
        <v>623</v>
      </c>
      <c r="C1210" t="s">
        <v>7</v>
      </c>
      <c r="D1210" t="s">
        <v>27</v>
      </c>
      <c r="E1210" s="161">
        <v>10</v>
      </c>
      <c r="F1210" s="161">
        <v>42.6</v>
      </c>
      <c r="G1210" s="162">
        <v>426</v>
      </c>
      <c r="H1210" s="67">
        <v>62</v>
      </c>
    </row>
    <row r="1211" spans="1:8" x14ac:dyDescent="0.25">
      <c r="A1211" s="212">
        <v>41922</v>
      </c>
      <c r="B1211" s="160" t="s">
        <v>623</v>
      </c>
      <c r="C1211" t="s">
        <v>7</v>
      </c>
      <c r="D1211" t="s">
        <v>27</v>
      </c>
      <c r="E1211" s="161">
        <v>8</v>
      </c>
      <c r="F1211" s="161">
        <v>42.6</v>
      </c>
      <c r="G1211" s="162">
        <v>340.8</v>
      </c>
      <c r="H1211" s="67">
        <v>62</v>
      </c>
    </row>
    <row r="1212" spans="1:8" x14ac:dyDescent="0.25">
      <c r="A1212" s="212">
        <v>41922</v>
      </c>
      <c r="B1212" s="160" t="s">
        <v>286</v>
      </c>
      <c r="C1212" t="s">
        <v>633</v>
      </c>
      <c r="D1212" t="s">
        <v>27</v>
      </c>
      <c r="E1212" s="161">
        <v>9</v>
      </c>
      <c r="F1212" s="161">
        <v>90</v>
      </c>
      <c r="G1212" s="162">
        <v>810</v>
      </c>
      <c r="H1212" s="67">
        <v>62</v>
      </c>
    </row>
    <row r="1213" spans="1:8" x14ac:dyDescent="0.25">
      <c r="A1213" s="212">
        <v>41923</v>
      </c>
      <c r="B1213" s="160" t="s">
        <v>286</v>
      </c>
      <c r="C1213" t="s">
        <v>633</v>
      </c>
      <c r="D1213" t="s">
        <v>27</v>
      </c>
      <c r="E1213" s="161">
        <v>3</v>
      </c>
      <c r="F1213" s="161">
        <v>90</v>
      </c>
      <c r="G1213" s="162">
        <v>270</v>
      </c>
      <c r="H1213" s="67">
        <v>62</v>
      </c>
    </row>
    <row r="1214" spans="1:8" x14ac:dyDescent="0.25">
      <c r="A1214" s="212">
        <v>41925</v>
      </c>
      <c r="B1214" s="160" t="s">
        <v>701</v>
      </c>
      <c r="C1214" t="s">
        <v>702</v>
      </c>
      <c r="D1214" t="s">
        <v>27</v>
      </c>
      <c r="E1214" s="161">
        <v>6.5</v>
      </c>
      <c r="F1214" s="161">
        <v>140</v>
      </c>
      <c r="G1214" s="162">
        <v>910</v>
      </c>
      <c r="H1214" s="67">
        <v>62</v>
      </c>
    </row>
    <row r="1215" spans="1:8" x14ac:dyDescent="0.25">
      <c r="A1215" s="212">
        <v>41925</v>
      </c>
      <c r="B1215" s="160" t="s">
        <v>286</v>
      </c>
      <c r="C1215" t="s">
        <v>633</v>
      </c>
      <c r="D1215" t="s">
        <v>27</v>
      </c>
      <c r="E1215" s="161">
        <v>5</v>
      </c>
      <c r="F1215" s="161">
        <v>90</v>
      </c>
      <c r="G1215" s="162">
        <v>450</v>
      </c>
      <c r="H1215" s="67">
        <v>62</v>
      </c>
    </row>
    <row r="1216" spans="1:8" x14ac:dyDescent="0.25">
      <c r="A1216" s="212">
        <v>41925</v>
      </c>
      <c r="B1216" s="160" t="s">
        <v>634</v>
      </c>
      <c r="C1216" t="s">
        <v>635</v>
      </c>
      <c r="D1216" t="s">
        <v>27</v>
      </c>
      <c r="E1216" s="161">
        <v>2</v>
      </c>
      <c r="F1216" s="161">
        <v>92.5</v>
      </c>
      <c r="G1216" s="162">
        <v>185</v>
      </c>
      <c r="H1216" s="67">
        <v>62</v>
      </c>
    </row>
    <row r="1217" spans="1:8" x14ac:dyDescent="0.25">
      <c r="A1217" s="212">
        <v>41925</v>
      </c>
      <c r="B1217" s="160" t="s">
        <v>623</v>
      </c>
      <c r="C1217" t="s">
        <v>7</v>
      </c>
      <c r="D1217" t="s">
        <v>27</v>
      </c>
      <c r="E1217" s="161">
        <v>7</v>
      </c>
      <c r="F1217" s="161">
        <v>42.6</v>
      </c>
      <c r="G1217" s="162">
        <v>298.2</v>
      </c>
      <c r="H1217" s="67">
        <v>62</v>
      </c>
    </row>
    <row r="1218" spans="1:8" x14ac:dyDescent="0.25">
      <c r="A1218" s="212">
        <v>41926</v>
      </c>
      <c r="B1218" s="160" t="s">
        <v>286</v>
      </c>
      <c r="C1218" t="s">
        <v>633</v>
      </c>
      <c r="D1218" t="s">
        <v>27</v>
      </c>
      <c r="E1218" s="161">
        <v>3</v>
      </c>
      <c r="F1218" s="161">
        <v>90</v>
      </c>
      <c r="G1218" s="162">
        <v>270</v>
      </c>
      <c r="H1218" s="67">
        <v>62</v>
      </c>
    </row>
    <row r="1219" spans="1:8" x14ac:dyDescent="0.25">
      <c r="A1219" s="212">
        <v>41927</v>
      </c>
      <c r="B1219" s="160" t="s">
        <v>286</v>
      </c>
      <c r="C1219" t="s">
        <v>633</v>
      </c>
      <c r="D1219" t="s">
        <v>27</v>
      </c>
      <c r="E1219" s="161">
        <v>5</v>
      </c>
      <c r="F1219" s="161">
        <v>90</v>
      </c>
      <c r="G1219" s="162">
        <v>450</v>
      </c>
      <c r="H1219" s="67">
        <v>62</v>
      </c>
    </row>
    <row r="1220" spans="1:8" x14ac:dyDescent="0.25">
      <c r="A1220" s="212">
        <v>41928</v>
      </c>
      <c r="B1220" s="160" t="s">
        <v>286</v>
      </c>
      <c r="C1220" t="s">
        <v>633</v>
      </c>
      <c r="D1220" t="s">
        <v>27</v>
      </c>
      <c r="E1220" s="161">
        <v>5</v>
      </c>
      <c r="F1220" s="161">
        <v>90</v>
      </c>
      <c r="G1220" s="162">
        <v>450</v>
      </c>
      <c r="H1220" s="67">
        <v>62</v>
      </c>
    </row>
    <row r="1221" spans="1:8" x14ac:dyDescent="0.25">
      <c r="A1221" s="212">
        <v>41929</v>
      </c>
      <c r="B1221" s="160" t="s">
        <v>701</v>
      </c>
      <c r="C1221" t="s">
        <v>702</v>
      </c>
      <c r="D1221" t="s">
        <v>27</v>
      </c>
      <c r="E1221" s="161">
        <v>10</v>
      </c>
      <c r="F1221" s="161">
        <v>140</v>
      </c>
      <c r="G1221" s="162">
        <v>1400</v>
      </c>
      <c r="H1221" s="67">
        <v>62</v>
      </c>
    </row>
    <row r="1222" spans="1:8" x14ac:dyDescent="0.25">
      <c r="A1222" s="212">
        <v>41941</v>
      </c>
      <c r="B1222" s="160" t="s">
        <v>623</v>
      </c>
      <c r="C1222" t="s">
        <v>7</v>
      </c>
      <c r="D1222" t="s">
        <v>27</v>
      </c>
      <c r="E1222" s="161">
        <v>11.5</v>
      </c>
      <c r="F1222" s="161">
        <v>42.6</v>
      </c>
      <c r="G1222" s="162">
        <v>489.9</v>
      </c>
      <c r="H1222" s="67">
        <v>62</v>
      </c>
    </row>
    <row r="1223" spans="1:8" x14ac:dyDescent="0.25">
      <c r="A1223" s="212">
        <v>41942</v>
      </c>
      <c r="B1223" s="160" t="s">
        <v>634</v>
      </c>
      <c r="C1223" t="s">
        <v>635</v>
      </c>
      <c r="D1223" t="s">
        <v>27</v>
      </c>
      <c r="E1223" s="161">
        <v>6</v>
      </c>
      <c r="F1223" s="161">
        <v>92.5</v>
      </c>
      <c r="G1223" s="162">
        <v>555</v>
      </c>
      <c r="H1223" s="67">
        <v>62</v>
      </c>
    </row>
    <row r="1224" spans="1:8" x14ac:dyDescent="0.25">
      <c r="A1224" s="212">
        <v>41942</v>
      </c>
      <c r="B1224" s="160" t="s">
        <v>286</v>
      </c>
      <c r="C1224" t="s">
        <v>633</v>
      </c>
      <c r="D1224" t="s">
        <v>27</v>
      </c>
      <c r="E1224" s="161">
        <v>4.5</v>
      </c>
      <c r="F1224" s="161">
        <v>90</v>
      </c>
      <c r="G1224" s="162">
        <v>405</v>
      </c>
      <c r="H1224" s="67">
        <v>62</v>
      </c>
    </row>
    <row r="1225" spans="1:8" x14ac:dyDescent="0.25">
      <c r="A1225" s="212">
        <v>41942</v>
      </c>
      <c r="B1225" s="160" t="s">
        <v>701</v>
      </c>
      <c r="C1225" t="s">
        <v>702</v>
      </c>
      <c r="D1225" t="s">
        <v>27</v>
      </c>
      <c r="E1225" s="161">
        <v>10.5</v>
      </c>
      <c r="F1225" s="161">
        <v>140</v>
      </c>
      <c r="G1225" s="162">
        <v>1470</v>
      </c>
      <c r="H1225" s="67">
        <v>62</v>
      </c>
    </row>
    <row r="1226" spans="1:8" x14ac:dyDescent="0.25">
      <c r="A1226" s="212">
        <v>41942</v>
      </c>
      <c r="B1226" s="160" t="s">
        <v>623</v>
      </c>
      <c r="C1226" t="s">
        <v>7</v>
      </c>
      <c r="D1226" t="s">
        <v>27</v>
      </c>
      <c r="E1226" s="161">
        <v>10.5</v>
      </c>
      <c r="F1226" s="161">
        <v>42.6</v>
      </c>
      <c r="G1226" s="162">
        <v>447.3</v>
      </c>
      <c r="H1226" s="67">
        <v>62</v>
      </c>
    </row>
    <row r="1227" spans="1:8" x14ac:dyDescent="0.25">
      <c r="A1227" s="212">
        <v>41942</v>
      </c>
      <c r="B1227" s="160" t="s">
        <v>1211</v>
      </c>
      <c r="C1227" t="s">
        <v>1233</v>
      </c>
      <c r="D1227" t="s">
        <v>27</v>
      </c>
      <c r="E1227" s="161">
        <v>1.5</v>
      </c>
      <c r="F1227" s="161">
        <v>54.58</v>
      </c>
      <c r="G1227" s="162">
        <v>81.87</v>
      </c>
      <c r="H1227" s="67">
        <v>62</v>
      </c>
    </row>
    <row r="1228" spans="1:8" x14ac:dyDescent="0.25">
      <c r="A1228" s="212">
        <v>41943</v>
      </c>
      <c r="B1228" s="160" t="s">
        <v>286</v>
      </c>
      <c r="C1228" t="s">
        <v>633</v>
      </c>
      <c r="D1228" t="s">
        <v>27</v>
      </c>
      <c r="E1228" s="161">
        <v>5.5</v>
      </c>
      <c r="F1228" s="161">
        <v>90</v>
      </c>
      <c r="G1228" s="162">
        <v>495</v>
      </c>
      <c r="H1228" s="67">
        <v>62</v>
      </c>
    </row>
    <row r="1229" spans="1:8" x14ac:dyDescent="0.25">
      <c r="A1229" s="212">
        <v>41943</v>
      </c>
      <c r="B1229" s="160" t="s">
        <v>634</v>
      </c>
      <c r="C1229" t="s">
        <v>635</v>
      </c>
      <c r="D1229" t="s">
        <v>27</v>
      </c>
      <c r="E1229" s="161">
        <v>4.5</v>
      </c>
      <c r="F1229" s="161">
        <v>92.5</v>
      </c>
      <c r="G1229" s="162">
        <v>416.25</v>
      </c>
      <c r="H1229" s="67">
        <v>62</v>
      </c>
    </row>
    <row r="1230" spans="1:8" x14ac:dyDescent="0.25">
      <c r="A1230" s="212">
        <v>41943</v>
      </c>
      <c r="B1230" s="160" t="s">
        <v>623</v>
      </c>
      <c r="C1230" t="s">
        <v>7</v>
      </c>
      <c r="D1230" t="s">
        <v>27</v>
      </c>
      <c r="E1230" s="161">
        <v>11</v>
      </c>
      <c r="F1230" s="161">
        <v>42.6</v>
      </c>
      <c r="G1230" s="162">
        <v>468.6</v>
      </c>
      <c r="H1230" s="67">
        <v>62</v>
      </c>
    </row>
    <row r="1231" spans="1:8" x14ac:dyDescent="0.25">
      <c r="A1231" s="212">
        <v>41943</v>
      </c>
      <c r="B1231" s="160" t="s">
        <v>286</v>
      </c>
      <c r="C1231" t="s">
        <v>633</v>
      </c>
      <c r="D1231" t="s">
        <v>27</v>
      </c>
      <c r="E1231" s="161">
        <v>10.5</v>
      </c>
      <c r="F1231" s="161">
        <v>80</v>
      </c>
      <c r="G1231" s="162">
        <v>840</v>
      </c>
      <c r="H1231" s="67">
        <v>62</v>
      </c>
    </row>
    <row r="1232" spans="1:8" x14ac:dyDescent="0.25">
      <c r="A1232" s="212">
        <v>41943</v>
      </c>
      <c r="B1232" s="160" t="s">
        <v>701</v>
      </c>
      <c r="C1232" t="s">
        <v>702</v>
      </c>
      <c r="D1232" t="s">
        <v>27</v>
      </c>
      <c r="E1232" s="161">
        <v>11</v>
      </c>
      <c r="F1232" s="161">
        <v>140</v>
      </c>
      <c r="G1232" s="162">
        <v>1540</v>
      </c>
      <c r="H1232" s="67">
        <v>62</v>
      </c>
    </row>
    <row r="1233" spans="1:8" ht="30" x14ac:dyDescent="0.25">
      <c r="A1233" s="212">
        <v>41943</v>
      </c>
      <c r="B1233" s="160" t="s">
        <v>713</v>
      </c>
      <c r="C1233" t="s">
        <v>714</v>
      </c>
      <c r="D1233" t="s">
        <v>27</v>
      </c>
      <c r="E1233" s="161">
        <v>10</v>
      </c>
      <c r="F1233" s="161">
        <v>150</v>
      </c>
      <c r="G1233" s="162">
        <v>1500</v>
      </c>
      <c r="H1233" s="67">
        <v>62</v>
      </c>
    </row>
    <row r="1234" spans="1:8" ht="30" x14ac:dyDescent="0.25">
      <c r="A1234" s="212">
        <v>41944</v>
      </c>
      <c r="B1234" s="160" t="s">
        <v>713</v>
      </c>
      <c r="C1234" t="s">
        <v>714</v>
      </c>
      <c r="D1234" t="s">
        <v>27</v>
      </c>
      <c r="E1234" s="161">
        <v>9.5</v>
      </c>
      <c r="F1234" s="161">
        <v>150</v>
      </c>
      <c r="G1234" s="162">
        <v>1425</v>
      </c>
      <c r="H1234" s="67">
        <v>62</v>
      </c>
    </row>
    <row r="1235" spans="1:8" x14ac:dyDescent="0.25">
      <c r="A1235" s="212">
        <v>41944</v>
      </c>
      <c r="B1235" s="160" t="s">
        <v>701</v>
      </c>
      <c r="C1235" t="s">
        <v>702</v>
      </c>
      <c r="D1235" t="s">
        <v>27</v>
      </c>
      <c r="E1235" s="161">
        <v>8</v>
      </c>
      <c r="F1235" s="161">
        <v>140</v>
      </c>
      <c r="G1235" s="162">
        <v>1120</v>
      </c>
      <c r="H1235" s="67">
        <v>62</v>
      </c>
    </row>
    <row r="1236" spans="1:8" x14ac:dyDescent="0.25">
      <c r="A1236" s="212">
        <v>41944</v>
      </c>
      <c r="B1236" s="160" t="s">
        <v>286</v>
      </c>
      <c r="C1236" t="s">
        <v>633</v>
      </c>
      <c r="D1236" t="s">
        <v>27</v>
      </c>
      <c r="E1236" s="161">
        <v>10.5</v>
      </c>
      <c r="F1236" s="161">
        <v>80</v>
      </c>
      <c r="G1236" s="162">
        <v>840</v>
      </c>
      <c r="H1236" s="67">
        <v>62</v>
      </c>
    </row>
    <row r="1237" spans="1:8" x14ac:dyDescent="0.25">
      <c r="A1237" s="212">
        <v>41944</v>
      </c>
      <c r="B1237" s="160" t="s">
        <v>619</v>
      </c>
      <c r="C1237" t="s">
        <v>620</v>
      </c>
      <c r="D1237" t="s">
        <v>27</v>
      </c>
      <c r="E1237" s="161">
        <v>2.5</v>
      </c>
      <c r="F1237" s="161">
        <v>80</v>
      </c>
      <c r="G1237" s="162">
        <v>200</v>
      </c>
      <c r="H1237" s="67">
        <v>62</v>
      </c>
    </row>
    <row r="1238" spans="1:8" x14ac:dyDescent="0.25">
      <c r="A1238" s="212">
        <v>41944</v>
      </c>
      <c r="B1238" s="160" t="s">
        <v>623</v>
      </c>
      <c r="C1238" t="s">
        <v>7</v>
      </c>
      <c r="D1238" t="s">
        <v>27</v>
      </c>
      <c r="E1238" s="161">
        <v>10.5</v>
      </c>
      <c r="F1238" s="161">
        <v>42.6</v>
      </c>
      <c r="G1238" s="162">
        <v>447.3</v>
      </c>
      <c r="H1238" s="67">
        <v>62</v>
      </c>
    </row>
    <row r="1239" spans="1:8" x14ac:dyDescent="0.25">
      <c r="A1239" s="212">
        <v>41944</v>
      </c>
      <c r="B1239" s="160" t="s">
        <v>286</v>
      </c>
      <c r="C1239" t="s">
        <v>633</v>
      </c>
      <c r="D1239" t="s">
        <v>27</v>
      </c>
      <c r="E1239" s="161">
        <v>1.5</v>
      </c>
      <c r="F1239" s="161">
        <v>90</v>
      </c>
      <c r="G1239" s="162">
        <v>135</v>
      </c>
      <c r="H1239" s="67">
        <v>62</v>
      </c>
    </row>
    <row r="1240" spans="1:8" x14ac:dyDescent="0.25">
      <c r="A1240" s="212">
        <v>41944</v>
      </c>
      <c r="B1240" s="160" t="s">
        <v>634</v>
      </c>
      <c r="C1240" t="s">
        <v>635</v>
      </c>
      <c r="D1240" t="s">
        <v>27</v>
      </c>
      <c r="E1240" s="161">
        <v>8.5</v>
      </c>
      <c r="F1240" s="161">
        <v>92.5</v>
      </c>
      <c r="G1240" s="162">
        <v>786.25</v>
      </c>
      <c r="H1240" s="67">
        <v>62</v>
      </c>
    </row>
    <row r="1241" spans="1:8" x14ac:dyDescent="0.25">
      <c r="A1241" s="212">
        <v>41944</v>
      </c>
      <c r="B1241" s="160" t="s">
        <v>1209</v>
      </c>
      <c r="C1241" t="s">
        <v>1210</v>
      </c>
      <c r="D1241" t="s">
        <v>27</v>
      </c>
      <c r="E1241" s="161">
        <v>3.5</v>
      </c>
      <c r="F1241" s="161">
        <v>42.79</v>
      </c>
      <c r="G1241" s="162">
        <v>149.76499999999999</v>
      </c>
      <c r="H1241" s="67">
        <v>62</v>
      </c>
    </row>
    <row r="1242" spans="1:8" x14ac:dyDescent="0.25">
      <c r="A1242" s="212">
        <v>41944</v>
      </c>
      <c r="B1242" s="160" t="s">
        <v>1211</v>
      </c>
      <c r="C1242" t="s">
        <v>1233</v>
      </c>
      <c r="D1242" t="s">
        <v>27</v>
      </c>
      <c r="E1242" s="161">
        <v>3.5</v>
      </c>
      <c r="F1242" s="161">
        <v>54.58</v>
      </c>
      <c r="G1242" s="162">
        <v>191.03</v>
      </c>
      <c r="H1242" s="67">
        <v>62</v>
      </c>
    </row>
    <row r="1243" spans="1:8" x14ac:dyDescent="0.25">
      <c r="A1243" s="212">
        <v>41944</v>
      </c>
      <c r="B1243" s="160" t="s">
        <v>1212</v>
      </c>
      <c r="C1243" t="s">
        <v>7</v>
      </c>
      <c r="D1243" t="s">
        <v>27</v>
      </c>
      <c r="E1243" s="161">
        <v>10.5</v>
      </c>
      <c r="F1243" s="161">
        <v>42.72</v>
      </c>
      <c r="G1243" s="162">
        <v>448.56</v>
      </c>
      <c r="H1243" s="67">
        <v>62</v>
      </c>
    </row>
    <row r="1244" spans="1:8" x14ac:dyDescent="0.25">
      <c r="A1244" s="212">
        <v>41945</v>
      </c>
      <c r="B1244" s="160" t="s">
        <v>286</v>
      </c>
      <c r="C1244" t="s">
        <v>633</v>
      </c>
      <c r="D1244" t="s">
        <v>27</v>
      </c>
      <c r="E1244" s="161">
        <v>7</v>
      </c>
      <c r="F1244" s="161">
        <v>80</v>
      </c>
      <c r="G1244" s="162">
        <v>560</v>
      </c>
      <c r="H1244" s="67">
        <v>62</v>
      </c>
    </row>
    <row r="1245" spans="1:8" x14ac:dyDescent="0.25">
      <c r="A1245" s="212">
        <v>41946</v>
      </c>
      <c r="B1245" s="160" t="s">
        <v>286</v>
      </c>
      <c r="C1245" t="s">
        <v>633</v>
      </c>
      <c r="D1245" t="s">
        <v>27</v>
      </c>
      <c r="E1245" s="161">
        <v>10.5</v>
      </c>
      <c r="F1245" s="161">
        <v>80</v>
      </c>
      <c r="G1245" s="162">
        <v>840</v>
      </c>
      <c r="H1245" s="67">
        <v>62</v>
      </c>
    </row>
    <row r="1246" spans="1:8" x14ac:dyDescent="0.25">
      <c r="A1246" s="212">
        <v>41946</v>
      </c>
      <c r="B1246" s="160" t="s">
        <v>631</v>
      </c>
      <c r="C1246" t="s">
        <v>632</v>
      </c>
      <c r="D1246" t="s">
        <v>27</v>
      </c>
      <c r="E1246" s="161">
        <v>8.5</v>
      </c>
      <c r="F1246" s="161">
        <v>80</v>
      </c>
      <c r="G1246" s="162">
        <v>680</v>
      </c>
      <c r="H1246" s="67">
        <v>62</v>
      </c>
    </row>
    <row r="1247" spans="1:8" x14ac:dyDescent="0.25">
      <c r="A1247" s="212">
        <v>41946</v>
      </c>
      <c r="B1247" s="160" t="s">
        <v>631</v>
      </c>
      <c r="C1247" t="s">
        <v>632</v>
      </c>
      <c r="D1247" t="s">
        <v>27</v>
      </c>
      <c r="E1247" s="161">
        <v>8</v>
      </c>
      <c r="F1247" s="161">
        <v>80</v>
      </c>
      <c r="G1247" s="162">
        <v>640</v>
      </c>
      <c r="H1247" s="67">
        <v>62</v>
      </c>
    </row>
    <row r="1248" spans="1:8" x14ac:dyDescent="0.25">
      <c r="A1248" s="212">
        <v>41946</v>
      </c>
      <c r="B1248" s="160" t="s">
        <v>286</v>
      </c>
      <c r="C1248" t="s">
        <v>633</v>
      </c>
      <c r="D1248" t="s">
        <v>27</v>
      </c>
      <c r="E1248" s="161">
        <v>1.5</v>
      </c>
      <c r="F1248" s="161">
        <v>90</v>
      </c>
      <c r="G1248" s="162">
        <v>135</v>
      </c>
      <c r="H1248" s="67">
        <v>62</v>
      </c>
    </row>
    <row r="1249" spans="1:8" x14ac:dyDescent="0.25">
      <c r="A1249" s="212">
        <v>41946</v>
      </c>
      <c r="B1249" s="160" t="s">
        <v>623</v>
      </c>
      <c r="C1249" t="s">
        <v>7</v>
      </c>
      <c r="D1249" t="s">
        <v>27</v>
      </c>
      <c r="E1249" s="161">
        <v>10.5</v>
      </c>
      <c r="F1249" s="161">
        <v>42.6</v>
      </c>
      <c r="G1249" s="162">
        <v>447.3</v>
      </c>
      <c r="H1249" s="67">
        <v>62</v>
      </c>
    </row>
    <row r="1250" spans="1:8" x14ac:dyDescent="0.25">
      <c r="A1250" s="212">
        <v>41946</v>
      </c>
      <c r="B1250" s="160" t="s">
        <v>634</v>
      </c>
      <c r="C1250" t="s">
        <v>635</v>
      </c>
      <c r="D1250" t="s">
        <v>27</v>
      </c>
      <c r="E1250" s="161">
        <v>8.5</v>
      </c>
      <c r="F1250" s="161">
        <v>92.5</v>
      </c>
      <c r="G1250" s="162">
        <v>786.25</v>
      </c>
      <c r="H1250" s="67">
        <v>62</v>
      </c>
    </row>
    <row r="1251" spans="1:8" x14ac:dyDescent="0.25">
      <c r="A1251" s="212">
        <v>41946</v>
      </c>
      <c r="B1251" s="160" t="s">
        <v>1109</v>
      </c>
      <c r="C1251" t="s">
        <v>7</v>
      </c>
      <c r="D1251" t="s">
        <v>27</v>
      </c>
      <c r="E1251" s="161">
        <v>6</v>
      </c>
      <c r="F1251" s="161">
        <v>42.72</v>
      </c>
      <c r="G1251" s="162">
        <v>256.32</v>
      </c>
      <c r="H1251" s="67">
        <v>62</v>
      </c>
    </row>
    <row r="1252" spans="1:8" x14ac:dyDescent="0.25">
      <c r="A1252" s="212">
        <v>41946</v>
      </c>
      <c r="B1252" s="160" t="s">
        <v>1211</v>
      </c>
      <c r="C1252" t="s">
        <v>1233</v>
      </c>
      <c r="D1252" t="s">
        <v>27</v>
      </c>
      <c r="E1252" s="161">
        <v>10.5</v>
      </c>
      <c r="F1252" s="161">
        <v>54.58</v>
      </c>
      <c r="G1252" s="162">
        <v>573.09</v>
      </c>
      <c r="H1252" s="67">
        <v>62</v>
      </c>
    </row>
    <row r="1253" spans="1:8" x14ac:dyDescent="0.25">
      <c r="A1253" s="212">
        <v>41947</v>
      </c>
      <c r="B1253" s="160" t="s">
        <v>286</v>
      </c>
      <c r="C1253" t="s">
        <v>633</v>
      </c>
      <c r="D1253" t="s">
        <v>27</v>
      </c>
      <c r="E1253" s="161">
        <v>3</v>
      </c>
      <c r="F1253" s="161">
        <v>90</v>
      </c>
      <c r="G1253" s="162">
        <v>270</v>
      </c>
      <c r="H1253" s="67">
        <v>62</v>
      </c>
    </row>
    <row r="1254" spans="1:8" x14ac:dyDescent="0.25">
      <c r="A1254" s="212">
        <v>41947</v>
      </c>
      <c r="B1254" s="160" t="s">
        <v>634</v>
      </c>
      <c r="C1254" t="s">
        <v>635</v>
      </c>
      <c r="D1254" t="s">
        <v>27</v>
      </c>
      <c r="E1254" s="161">
        <v>7</v>
      </c>
      <c r="F1254" s="161">
        <v>92.5</v>
      </c>
      <c r="G1254" s="162">
        <v>647.5</v>
      </c>
      <c r="H1254" s="67">
        <v>62</v>
      </c>
    </row>
    <row r="1255" spans="1:8" x14ac:dyDescent="0.25">
      <c r="A1255" s="212">
        <v>41947</v>
      </c>
      <c r="B1255" s="160" t="s">
        <v>701</v>
      </c>
      <c r="C1255" t="s">
        <v>702</v>
      </c>
      <c r="D1255" t="s">
        <v>27</v>
      </c>
      <c r="E1255" s="161">
        <v>8.5</v>
      </c>
      <c r="F1255" s="161">
        <v>140</v>
      </c>
      <c r="G1255" s="162">
        <v>1190</v>
      </c>
      <c r="H1255" s="67">
        <v>62</v>
      </c>
    </row>
    <row r="1256" spans="1:8" x14ac:dyDescent="0.25">
      <c r="A1256" s="212">
        <v>41947</v>
      </c>
      <c r="B1256" s="160" t="s">
        <v>286</v>
      </c>
      <c r="C1256" t="s">
        <v>633</v>
      </c>
      <c r="D1256" t="s">
        <v>27</v>
      </c>
      <c r="E1256" s="161">
        <v>5.5</v>
      </c>
      <c r="F1256" s="161">
        <v>80</v>
      </c>
      <c r="G1256" s="162">
        <v>440</v>
      </c>
      <c r="H1256" s="67">
        <v>62</v>
      </c>
    </row>
    <row r="1257" spans="1:8" x14ac:dyDescent="0.25">
      <c r="A1257" s="212">
        <v>41947</v>
      </c>
      <c r="B1257" s="160" t="s">
        <v>1212</v>
      </c>
      <c r="C1257" t="s">
        <v>7</v>
      </c>
      <c r="D1257" t="s">
        <v>27</v>
      </c>
      <c r="E1257" s="161">
        <v>10.5</v>
      </c>
      <c r="F1257" s="161">
        <v>42.72</v>
      </c>
      <c r="G1257" s="162">
        <v>448.56</v>
      </c>
      <c r="H1257" s="67">
        <v>62</v>
      </c>
    </row>
    <row r="1258" spans="1:8" x14ac:dyDescent="0.25">
      <c r="A1258" s="212">
        <v>41947</v>
      </c>
      <c r="B1258" s="160" t="s">
        <v>1109</v>
      </c>
      <c r="C1258" t="s">
        <v>7</v>
      </c>
      <c r="D1258" t="s">
        <v>27</v>
      </c>
      <c r="E1258" s="161">
        <v>12</v>
      </c>
      <c r="F1258" s="161">
        <v>42.72</v>
      </c>
      <c r="G1258" s="162">
        <v>512.64</v>
      </c>
      <c r="H1258" s="67">
        <v>62</v>
      </c>
    </row>
    <row r="1259" spans="1:8" x14ac:dyDescent="0.25">
      <c r="A1259" s="212">
        <v>41948</v>
      </c>
      <c r="B1259" s="160" t="s">
        <v>634</v>
      </c>
      <c r="C1259" t="s">
        <v>635</v>
      </c>
      <c r="D1259" t="s">
        <v>27</v>
      </c>
      <c r="E1259" s="161">
        <v>8.5</v>
      </c>
      <c r="F1259" s="161">
        <v>92.5</v>
      </c>
      <c r="G1259" s="162">
        <v>786.25</v>
      </c>
      <c r="H1259" s="67">
        <v>62</v>
      </c>
    </row>
    <row r="1260" spans="1:8" x14ac:dyDescent="0.25">
      <c r="A1260" s="212">
        <v>41948</v>
      </c>
      <c r="B1260" s="160" t="s">
        <v>1212</v>
      </c>
      <c r="C1260" t="s">
        <v>7</v>
      </c>
      <c r="D1260" t="s">
        <v>27</v>
      </c>
      <c r="E1260" s="161">
        <v>10</v>
      </c>
      <c r="F1260" s="161">
        <v>42.72</v>
      </c>
      <c r="G1260" s="162">
        <v>427.2</v>
      </c>
      <c r="H1260" s="67">
        <v>62</v>
      </c>
    </row>
    <row r="1261" spans="1:8" x14ac:dyDescent="0.25">
      <c r="A1261" s="212">
        <v>41948</v>
      </c>
      <c r="B1261" s="160" t="s">
        <v>623</v>
      </c>
      <c r="C1261" t="s">
        <v>7</v>
      </c>
      <c r="D1261" t="s">
        <v>27</v>
      </c>
      <c r="E1261" s="161">
        <v>10</v>
      </c>
      <c r="F1261" s="161">
        <v>42.6</v>
      </c>
      <c r="G1261" s="162">
        <v>426</v>
      </c>
      <c r="H1261" s="67">
        <v>62</v>
      </c>
    </row>
    <row r="1262" spans="1:8" x14ac:dyDescent="0.25">
      <c r="A1262" s="212">
        <v>41948</v>
      </c>
      <c r="B1262" s="160" t="s">
        <v>1209</v>
      </c>
      <c r="C1262" t="s">
        <v>1210</v>
      </c>
      <c r="D1262" t="s">
        <v>27</v>
      </c>
      <c r="E1262" s="161">
        <v>10</v>
      </c>
      <c r="F1262" s="161">
        <v>42.79</v>
      </c>
      <c r="G1262" s="162">
        <v>427.9</v>
      </c>
      <c r="H1262" s="67">
        <v>62</v>
      </c>
    </row>
    <row r="1263" spans="1:8" x14ac:dyDescent="0.25">
      <c r="A1263" s="212">
        <v>41948</v>
      </c>
      <c r="B1263" s="160" t="s">
        <v>1211</v>
      </c>
      <c r="C1263" t="s">
        <v>1233</v>
      </c>
      <c r="D1263" t="s">
        <v>27</v>
      </c>
      <c r="E1263" s="161">
        <v>10</v>
      </c>
      <c r="F1263" s="161">
        <v>54.58</v>
      </c>
      <c r="G1263" s="162">
        <v>545.79999999999995</v>
      </c>
      <c r="H1263" s="67">
        <v>62</v>
      </c>
    </row>
    <row r="1264" spans="1:8" x14ac:dyDescent="0.25">
      <c r="A1264" s="212">
        <v>41948</v>
      </c>
      <c r="B1264" s="160" t="s">
        <v>286</v>
      </c>
      <c r="C1264" t="s">
        <v>633</v>
      </c>
      <c r="D1264" t="s">
        <v>27</v>
      </c>
      <c r="E1264" s="161">
        <v>3.5</v>
      </c>
      <c r="F1264" s="161">
        <v>80</v>
      </c>
      <c r="G1264" s="162">
        <v>280</v>
      </c>
      <c r="H1264" s="67">
        <v>62</v>
      </c>
    </row>
    <row r="1265" spans="1:8" x14ac:dyDescent="0.25">
      <c r="A1265" s="212">
        <v>41948</v>
      </c>
      <c r="B1265" s="160" t="s">
        <v>1109</v>
      </c>
      <c r="C1265" t="s">
        <v>7</v>
      </c>
      <c r="D1265" t="s">
        <v>27</v>
      </c>
      <c r="E1265" s="161">
        <v>12</v>
      </c>
      <c r="F1265" s="161">
        <v>42.72</v>
      </c>
      <c r="G1265" s="162">
        <v>512.64</v>
      </c>
      <c r="H1265" s="67">
        <v>62</v>
      </c>
    </row>
    <row r="1266" spans="1:8" x14ac:dyDescent="0.25">
      <c r="A1266" s="212">
        <v>41948</v>
      </c>
      <c r="B1266" s="160" t="s">
        <v>701</v>
      </c>
      <c r="C1266" t="s">
        <v>702</v>
      </c>
      <c r="D1266" t="s">
        <v>27</v>
      </c>
      <c r="E1266" s="161">
        <v>5.5</v>
      </c>
      <c r="F1266" s="161">
        <v>140</v>
      </c>
      <c r="G1266" s="162">
        <v>770</v>
      </c>
      <c r="H1266" s="67">
        <v>62</v>
      </c>
    </row>
    <row r="1267" spans="1:8" x14ac:dyDescent="0.25">
      <c r="A1267" s="212">
        <v>41949</v>
      </c>
      <c r="B1267" s="160" t="s">
        <v>1212</v>
      </c>
      <c r="C1267" t="s">
        <v>7</v>
      </c>
      <c r="D1267" t="s">
        <v>27</v>
      </c>
      <c r="E1267" s="161">
        <v>10.5</v>
      </c>
      <c r="F1267" s="161">
        <v>42.72</v>
      </c>
      <c r="G1267" s="162">
        <v>448.56</v>
      </c>
      <c r="H1267" s="67">
        <v>62</v>
      </c>
    </row>
    <row r="1268" spans="1:8" x14ac:dyDescent="0.25">
      <c r="A1268" s="212">
        <v>41949</v>
      </c>
      <c r="B1268" s="160" t="s">
        <v>286</v>
      </c>
      <c r="C1268" t="s">
        <v>633</v>
      </c>
      <c r="D1268" t="s">
        <v>27</v>
      </c>
      <c r="E1268" s="161">
        <v>5</v>
      </c>
      <c r="F1268" s="161">
        <v>90</v>
      </c>
      <c r="G1268" s="162">
        <v>450</v>
      </c>
      <c r="H1268" s="67">
        <v>62</v>
      </c>
    </row>
    <row r="1269" spans="1:8" x14ac:dyDescent="0.25">
      <c r="A1269" s="212">
        <v>41949</v>
      </c>
      <c r="B1269" s="160" t="s">
        <v>634</v>
      </c>
      <c r="C1269" t="s">
        <v>635</v>
      </c>
      <c r="D1269" t="s">
        <v>27</v>
      </c>
      <c r="E1269" s="161">
        <v>5</v>
      </c>
      <c r="F1269" s="161">
        <v>92.5</v>
      </c>
      <c r="G1269" s="162">
        <v>462.5</v>
      </c>
      <c r="H1269" s="67">
        <v>62</v>
      </c>
    </row>
    <row r="1270" spans="1:8" x14ac:dyDescent="0.25">
      <c r="A1270" s="212">
        <v>41949</v>
      </c>
      <c r="B1270" s="160" t="s">
        <v>1109</v>
      </c>
      <c r="C1270" t="s">
        <v>7</v>
      </c>
      <c r="D1270" t="s">
        <v>27</v>
      </c>
      <c r="E1270" s="161">
        <v>7</v>
      </c>
      <c r="F1270" s="161">
        <v>42.72</v>
      </c>
      <c r="G1270" s="162">
        <v>299.04000000000002</v>
      </c>
      <c r="H1270" s="67">
        <v>62</v>
      </c>
    </row>
    <row r="1271" spans="1:8" x14ac:dyDescent="0.25">
      <c r="A1271" s="212">
        <v>41957</v>
      </c>
      <c r="B1271" s="160" t="s">
        <v>623</v>
      </c>
      <c r="C1271" t="s">
        <v>7</v>
      </c>
      <c r="D1271" t="s">
        <v>527</v>
      </c>
      <c r="E1271" s="161">
        <v>10</v>
      </c>
      <c r="F1271" s="161">
        <v>49.7</v>
      </c>
      <c r="G1271" s="162">
        <v>497</v>
      </c>
      <c r="H1271" s="67">
        <v>62</v>
      </c>
    </row>
    <row r="1272" spans="1:8" x14ac:dyDescent="0.25">
      <c r="A1272" s="212">
        <v>41957</v>
      </c>
      <c r="B1272" s="160" t="s">
        <v>286</v>
      </c>
      <c r="C1272" t="s">
        <v>633</v>
      </c>
      <c r="D1272" t="s">
        <v>27</v>
      </c>
      <c r="E1272" s="161">
        <v>6.5</v>
      </c>
      <c r="F1272" s="161">
        <v>90</v>
      </c>
      <c r="G1272" s="162">
        <v>585</v>
      </c>
      <c r="H1272" s="67">
        <v>62</v>
      </c>
    </row>
    <row r="1273" spans="1:8" x14ac:dyDescent="0.25">
      <c r="A1273" s="212">
        <v>41958</v>
      </c>
      <c r="B1273" s="160" t="s">
        <v>701</v>
      </c>
      <c r="C1273" t="s">
        <v>702</v>
      </c>
      <c r="D1273" t="s">
        <v>27</v>
      </c>
      <c r="E1273" s="161">
        <v>9.5</v>
      </c>
      <c r="F1273" s="161">
        <v>140</v>
      </c>
      <c r="G1273" s="162">
        <v>1330</v>
      </c>
      <c r="H1273" s="67">
        <v>62</v>
      </c>
    </row>
    <row r="1274" spans="1:8" x14ac:dyDescent="0.25">
      <c r="A1274" s="212">
        <v>41958</v>
      </c>
      <c r="B1274" s="160" t="s">
        <v>286</v>
      </c>
      <c r="C1274" t="s">
        <v>633</v>
      </c>
      <c r="D1274" t="s">
        <v>27</v>
      </c>
      <c r="E1274" s="161">
        <v>9.5</v>
      </c>
      <c r="F1274" s="161">
        <v>80</v>
      </c>
      <c r="G1274" s="162">
        <v>760</v>
      </c>
      <c r="H1274" s="67">
        <v>62</v>
      </c>
    </row>
    <row r="1275" spans="1:8" x14ac:dyDescent="0.25">
      <c r="A1275" s="212">
        <v>41958</v>
      </c>
      <c r="B1275" s="160" t="s">
        <v>286</v>
      </c>
      <c r="C1275" t="s">
        <v>633</v>
      </c>
      <c r="D1275" t="s">
        <v>27</v>
      </c>
      <c r="E1275" s="161">
        <v>9.5</v>
      </c>
      <c r="F1275" s="161">
        <v>90</v>
      </c>
      <c r="G1275" s="162">
        <v>855</v>
      </c>
      <c r="H1275" s="67">
        <v>62</v>
      </c>
    </row>
    <row r="1276" spans="1:8" x14ac:dyDescent="0.25">
      <c r="A1276" s="212">
        <v>41959</v>
      </c>
      <c r="B1276" s="160" t="s">
        <v>286</v>
      </c>
      <c r="C1276" t="s">
        <v>633</v>
      </c>
      <c r="D1276" t="s">
        <v>27</v>
      </c>
      <c r="E1276" s="161">
        <v>8.5</v>
      </c>
      <c r="F1276" s="161">
        <v>80</v>
      </c>
      <c r="G1276" s="162">
        <v>680</v>
      </c>
      <c r="H1276" s="67">
        <v>62</v>
      </c>
    </row>
    <row r="1277" spans="1:8" x14ac:dyDescent="0.25">
      <c r="A1277" s="212">
        <v>41962</v>
      </c>
      <c r="B1277" s="160" t="s">
        <v>623</v>
      </c>
      <c r="C1277" t="s">
        <v>7</v>
      </c>
      <c r="D1277" t="s">
        <v>27</v>
      </c>
      <c r="E1277" s="161">
        <v>11</v>
      </c>
      <c r="F1277" s="161">
        <v>42.6</v>
      </c>
      <c r="G1277" s="162">
        <v>468.6</v>
      </c>
      <c r="H1277" s="67">
        <v>62</v>
      </c>
    </row>
    <row r="1278" spans="1:8" x14ac:dyDescent="0.25">
      <c r="A1278" s="212">
        <v>41963</v>
      </c>
      <c r="B1278" s="160" t="s">
        <v>623</v>
      </c>
      <c r="C1278" t="s">
        <v>7</v>
      </c>
      <c r="D1278" t="s">
        <v>27</v>
      </c>
      <c r="E1278" s="161">
        <v>9</v>
      </c>
      <c r="F1278" s="161">
        <v>42.6</v>
      </c>
      <c r="G1278" s="162">
        <v>383.4</v>
      </c>
      <c r="H1278" s="67">
        <v>62</v>
      </c>
    </row>
    <row r="1279" spans="1:8" x14ac:dyDescent="0.25">
      <c r="A1279" s="212">
        <v>41963</v>
      </c>
      <c r="B1279" s="160" t="s">
        <v>715</v>
      </c>
      <c r="C1279" t="s">
        <v>672</v>
      </c>
      <c r="D1279" t="s">
        <v>527</v>
      </c>
      <c r="E1279" s="161">
        <v>1</v>
      </c>
      <c r="F1279" s="161">
        <v>1500</v>
      </c>
      <c r="G1279" s="162">
        <v>1500</v>
      </c>
      <c r="H1279" s="67">
        <v>62</v>
      </c>
    </row>
    <row r="1280" spans="1:8" x14ac:dyDescent="0.25">
      <c r="A1280" s="212">
        <v>41967</v>
      </c>
      <c r="B1280" s="160" t="s">
        <v>623</v>
      </c>
      <c r="C1280" t="s">
        <v>7</v>
      </c>
      <c r="D1280" t="s">
        <v>27</v>
      </c>
      <c r="E1280" s="161">
        <v>10</v>
      </c>
      <c r="F1280" s="161">
        <v>42.6</v>
      </c>
      <c r="G1280" s="162">
        <v>426</v>
      </c>
      <c r="H1280" s="67">
        <v>62</v>
      </c>
    </row>
    <row r="1281" spans="1:8" x14ac:dyDescent="0.25">
      <c r="A1281" s="212">
        <v>41968</v>
      </c>
      <c r="B1281" s="160" t="s">
        <v>701</v>
      </c>
      <c r="C1281" t="s">
        <v>702</v>
      </c>
      <c r="D1281" t="s">
        <v>27</v>
      </c>
      <c r="E1281" s="161">
        <v>5</v>
      </c>
      <c r="F1281" s="161">
        <v>140</v>
      </c>
      <c r="G1281" s="162">
        <v>700</v>
      </c>
      <c r="H1281" s="67">
        <v>62</v>
      </c>
    </row>
    <row r="1282" spans="1:8" x14ac:dyDescent="0.25">
      <c r="A1282" s="212">
        <v>41968</v>
      </c>
      <c r="B1282" s="160" t="s">
        <v>623</v>
      </c>
      <c r="C1282" t="s">
        <v>7</v>
      </c>
      <c r="D1282" t="s">
        <v>27</v>
      </c>
      <c r="E1282" s="161">
        <v>10</v>
      </c>
      <c r="F1282" s="161">
        <v>42.6</v>
      </c>
      <c r="G1282" s="162">
        <v>426</v>
      </c>
      <c r="H1282" s="67">
        <v>62</v>
      </c>
    </row>
    <row r="1283" spans="1:8" x14ac:dyDescent="0.25">
      <c r="A1283" s="212">
        <v>41968</v>
      </c>
      <c r="B1283" s="160" t="s">
        <v>1218</v>
      </c>
      <c r="C1283" t="s">
        <v>1219</v>
      </c>
      <c r="D1283" t="s">
        <v>27</v>
      </c>
      <c r="E1283" s="161">
        <v>3.5</v>
      </c>
      <c r="F1283" s="161">
        <v>135</v>
      </c>
      <c r="G1283" s="162">
        <v>472.5</v>
      </c>
      <c r="H1283" s="67">
        <v>62</v>
      </c>
    </row>
    <row r="1284" spans="1:8" x14ac:dyDescent="0.25">
      <c r="A1284" s="212">
        <v>41968</v>
      </c>
      <c r="B1284" s="160" t="s">
        <v>286</v>
      </c>
      <c r="C1284" t="s">
        <v>633</v>
      </c>
      <c r="D1284" t="s">
        <v>27</v>
      </c>
      <c r="E1284" s="161">
        <v>10.5</v>
      </c>
      <c r="F1284" s="161">
        <v>80</v>
      </c>
      <c r="G1284" s="162">
        <v>840</v>
      </c>
      <c r="H1284" s="67">
        <v>62</v>
      </c>
    </row>
    <row r="1285" spans="1:8" x14ac:dyDescent="0.25">
      <c r="A1285" s="212">
        <v>41969</v>
      </c>
      <c r="B1285" s="160" t="s">
        <v>1212</v>
      </c>
      <c r="C1285" t="s">
        <v>7</v>
      </c>
      <c r="D1285" t="s">
        <v>27</v>
      </c>
      <c r="E1285" s="161">
        <v>11</v>
      </c>
      <c r="F1285" s="161">
        <v>42.72</v>
      </c>
      <c r="G1285" s="162">
        <v>469.92</v>
      </c>
      <c r="H1285" s="67">
        <v>62</v>
      </c>
    </row>
    <row r="1286" spans="1:8" x14ac:dyDescent="0.25">
      <c r="A1286" s="212">
        <v>41969</v>
      </c>
      <c r="B1286" s="160" t="s">
        <v>716</v>
      </c>
      <c r="C1286" t="s">
        <v>633</v>
      </c>
      <c r="D1286" t="s">
        <v>27</v>
      </c>
      <c r="E1286" s="161">
        <v>9</v>
      </c>
      <c r="F1286" s="161">
        <v>90</v>
      </c>
      <c r="G1286" s="162">
        <v>810</v>
      </c>
      <c r="H1286" s="67">
        <v>62</v>
      </c>
    </row>
    <row r="1287" spans="1:8" x14ac:dyDescent="0.25">
      <c r="A1287" s="212">
        <v>41969</v>
      </c>
      <c r="B1287" s="160" t="s">
        <v>1212</v>
      </c>
      <c r="C1287" t="s">
        <v>7</v>
      </c>
      <c r="D1287" t="s">
        <v>27</v>
      </c>
      <c r="E1287" s="161">
        <v>11</v>
      </c>
      <c r="F1287" s="161">
        <v>42.72</v>
      </c>
      <c r="G1287" s="162">
        <v>469.92</v>
      </c>
      <c r="H1287" s="67">
        <v>62</v>
      </c>
    </row>
    <row r="1288" spans="1:8" x14ac:dyDescent="0.25">
      <c r="A1288" s="212">
        <v>41970</v>
      </c>
      <c r="B1288" s="160" t="s">
        <v>701</v>
      </c>
      <c r="C1288" t="s">
        <v>702</v>
      </c>
      <c r="D1288" t="s">
        <v>27</v>
      </c>
      <c r="E1288" s="161">
        <v>10.5</v>
      </c>
      <c r="F1288" s="161">
        <v>140</v>
      </c>
      <c r="G1288" s="162">
        <v>1470</v>
      </c>
      <c r="H1288" s="67">
        <v>62</v>
      </c>
    </row>
    <row r="1289" spans="1:8" x14ac:dyDescent="0.25">
      <c r="A1289" s="212">
        <v>41970</v>
      </c>
      <c r="B1289" s="160" t="s">
        <v>697</v>
      </c>
      <c r="C1289" t="s">
        <v>680</v>
      </c>
      <c r="D1289" t="s">
        <v>527</v>
      </c>
      <c r="E1289" s="161">
        <v>160</v>
      </c>
      <c r="F1289" s="161">
        <v>7.5</v>
      </c>
      <c r="G1289" s="162">
        <v>1200</v>
      </c>
      <c r="H1289" s="67">
        <v>62</v>
      </c>
    </row>
    <row r="1290" spans="1:8" x14ac:dyDescent="0.25">
      <c r="A1290" s="212">
        <v>41970</v>
      </c>
      <c r="B1290" s="160" t="s">
        <v>286</v>
      </c>
      <c r="C1290" t="s">
        <v>633</v>
      </c>
      <c r="D1290" t="s">
        <v>27</v>
      </c>
      <c r="E1290" s="161">
        <v>10.5</v>
      </c>
      <c r="F1290" s="161">
        <v>80</v>
      </c>
      <c r="G1290" s="162">
        <v>840</v>
      </c>
      <c r="H1290" s="67">
        <v>62</v>
      </c>
    </row>
    <row r="1291" spans="1:8" x14ac:dyDescent="0.25">
      <c r="A1291" s="212">
        <v>41970</v>
      </c>
      <c r="B1291" s="160" t="s">
        <v>1109</v>
      </c>
      <c r="C1291" t="s">
        <v>7</v>
      </c>
      <c r="D1291" t="s">
        <v>27</v>
      </c>
      <c r="E1291" s="161">
        <v>11.5</v>
      </c>
      <c r="F1291" s="161">
        <v>42.72</v>
      </c>
      <c r="G1291" s="162">
        <v>491.28</v>
      </c>
      <c r="H1291" s="67">
        <v>62</v>
      </c>
    </row>
    <row r="1292" spans="1:8" x14ac:dyDescent="0.25">
      <c r="A1292" s="212">
        <v>41970</v>
      </c>
      <c r="B1292" s="160" t="s">
        <v>1211</v>
      </c>
      <c r="C1292" t="s">
        <v>1233</v>
      </c>
      <c r="D1292" t="s">
        <v>27</v>
      </c>
      <c r="E1292" s="161">
        <v>3.5</v>
      </c>
      <c r="F1292" s="161">
        <v>54.58</v>
      </c>
      <c r="G1292" s="162">
        <v>191.03</v>
      </c>
      <c r="H1292" s="67">
        <v>62</v>
      </c>
    </row>
    <row r="1293" spans="1:8" x14ac:dyDescent="0.25">
      <c r="A1293" s="212">
        <v>41971</v>
      </c>
      <c r="B1293" s="160" t="s">
        <v>1212</v>
      </c>
      <c r="C1293" t="s">
        <v>7</v>
      </c>
      <c r="D1293" t="s">
        <v>27</v>
      </c>
      <c r="E1293" s="161">
        <v>9.5</v>
      </c>
      <c r="F1293" s="161">
        <v>42.72</v>
      </c>
      <c r="G1293" s="162">
        <v>405.84</v>
      </c>
      <c r="H1293" s="67">
        <v>62</v>
      </c>
    </row>
    <row r="1294" spans="1:8" x14ac:dyDescent="0.25">
      <c r="A1294" s="212">
        <v>41972</v>
      </c>
      <c r="B1294" s="160" t="s">
        <v>1109</v>
      </c>
      <c r="C1294" t="s">
        <v>7</v>
      </c>
      <c r="D1294" t="s">
        <v>27</v>
      </c>
      <c r="E1294" s="161">
        <v>8</v>
      </c>
      <c r="F1294" s="161">
        <v>42.72</v>
      </c>
      <c r="G1294" s="162">
        <v>341.76</v>
      </c>
      <c r="H1294" s="67">
        <v>62</v>
      </c>
    </row>
    <row r="1295" spans="1:8" x14ac:dyDescent="0.25">
      <c r="A1295" s="212">
        <v>41972</v>
      </c>
      <c r="B1295" s="160" t="s">
        <v>623</v>
      </c>
      <c r="C1295" t="s">
        <v>7</v>
      </c>
      <c r="D1295" t="s">
        <v>27</v>
      </c>
      <c r="E1295" s="161">
        <v>7</v>
      </c>
      <c r="F1295" s="161">
        <v>42.6</v>
      </c>
      <c r="G1295" s="162">
        <v>298.2</v>
      </c>
      <c r="H1295" s="67">
        <v>62</v>
      </c>
    </row>
    <row r="1296" spans="1:8" x14ac:dyDescent="0.25">
      <c r="A1296" s="212">
        <v>41973</v>
      </c>
      <c r="B1296" s="160" t="s">
        <v>648</v>
      </c>
      <c r="C1296" t="s">
        <v>649</v>
      </c>
      <c r="D1296" t="s">
        <v>527</v>
      </c>
      <c r="E1296" s="161">
        <v>1</v>
      </c>
      <c r="F1296" s="161">
        <v>1218</v>
      </c>
      <c r="G1296" s="162">
        <v>1218</v>
      </c>
      <c r="H1296" s="67">
        <v>62</v>
      </c>
    </row>
    <row r="1297" spans="1:8" x14ac:dyDescent="0.25">
      <c r="A1297" s="212">
        <v>41973</v>
      </c>
      <c r="B1297" s="160" t="s">
        <v>717</v>
      </c>
      <c r="C1297" t="s">
        <v>677</v>
      </c>
      <c r="D1297" t="s">
        <v>527</v>
      </c>
      <c r="E1297" s="161">
        <v>1</v>
      </c>
      <c r="F1297" s="161">
        <v>1421</v>
      </c>
      <c r="G1297" s="162">
        <v>1421</v>
      </c>
      <c r="H1297" s="67">
        <v>62</v>
      </c>
    </row>
    <row r="1298" spans="1:8" x14ac:dyDescent="0.25">
      <c r="A1298" s="212">
        <v>41973</v>
      </c>
      <c r="B1298" s="160" t="s">
        <v>694</v>
      </c>
      <c r="C1298" t="s">
        <v>677</v>
      </c>
      <c r="D1298" t="s">
        <v>527</v>
      </c>
      <c r="E1298" s="161">
        <v>1</v>
      </c>
      <c r="F1298" s="161">
        <v>659.63</v>
      </c>
      <c r="G1298" s="162">
        <v>659.63</v>
      </c>
      <c r="H1298" s="67">
        <v>62</v>
      </c>
    </row>
    <row r="1299" spans="1:8" x14ac:dyDescent="0.25">
      <c r="A1299" s="212">
        <v>41974</v>
      </c>
      <c r="B1299" s="160" t="s">
        <v>1212</v>
      </c>
      <c r="C1299" t="s">
        <v>7</v>
      </c>
      <c r="D1299" t="s">
        <v>27</v>
      </c>
      <c r="E1299" s="161">
        <v>10</v>
      </c>
      <c r="F1299" s="161">
        <v>42.72</v>
      </c>
      <c r="G1299" s="162">
        <v>427.2</v>
      </c>
      <c r="H1299" s="67">
        <v>62</v>
      </c>
    </row>
    <row r="1300" spans="1:8" x14ac:dyDescent="0.25">
      <c r="A1300" s="212">
        <v>41974</v>
      </c>
      <c r="B1300" s="160" t="s">
        <v>286</v>
      </c>
      <c r="C1300" t="s">
        <v>633</v>
      </c>
      <c r="D1300" t="s">
        <v>27</v>
      </c>
      <c r="E1300" s="161">
        <v>8</v>
      </c>
      <c r="F1300" s="161">
        <v>90</v>
      </c>
      <c r="G1300" s="162">
        <v>720</v>
      </c>
      <c r="H1300" s="67">
        <v>62</v>
      </c>
    </row>
    <row r="1301" spans="1:8" x14ac:dyDescent="0.25">
      <c r="A1301" s="212">
        <v>41974</v>
      </c>
      <c r="B1301" s="160" t="s">
        <v>623</v>
      </c>
      <c r="C1301" t="s">
        <v>7</v>
      </c>
      <c r="D1301" t="s">
        <v>27</v>
      </c>
      <c r="E1301" s="161">
        <v>10</v>
      </c>
      <c r="F1301" s="161">
        <v>42.6</v>
      </c>
      <c r="G1301" s="162">
        <v>426</v>
      </c>
      <c r="H1301" s="67">
        <v>62</v>
      </c>
    </row>
    <row r="1302" spans="1:8" x14ac:dyDescent="0.25">
      <c r="A1302" s="212">
        <v>41974</v>
      </c>
      <c r="B1302" s="160" t="s">
        <v>623</v>
      </c>
      <c r="C1302" t="s">
        <v>7</v>
      </c>
      <c r="D1302" t="s">
        <v>527</v>
      </c>
      <c r="E1302" s="161">
        <v>10</v>
      </c>
      <c r="F1302" s="161">
        <v>49.7</v>
      </c>
      <c r="G1302" s="162">
        <v>497</v>
      </c>
      <c r="H1302" s="67">
        <v>62</v>
      </c>
    </row>
    <row r="1303" spans="1:8" x14ac:dyDescent="0.25">
      <c r="A1303" s="212">
        <v>41974</v>
      </c>
      <c r="B1303" s="160" t="s">
        <v>701</v>
      </c>
      <c r="C1303" t="s">
        <v>702</v>
      </c>
      <c r="D1303" t="s">
        <v>27</v>
      </c>
      <c r="E1303" s="161">
        <v>10.5</v>
      </c>
      <c r="F1303" s="161">
        <v>140</v>
      </c>
      <c r="G1303" s="162">
        <v>1470</v>
      </c>
      <c r="H1303" s="67">
        <v>62</v>
      </c>
    </row>
    <row r="1304" spans="1:8" x14ac:dyDescent="0.25">
      <c r="A1304" s="212">
        <v>41975</v>
      </c>
      <c r="B1304" s="160" t="s">
        <v>701</v>
      </c>
      <c r="C1304" t="s">
        <v>702</v>
      </c>
      <c r="D1304" t="s">
        <v>27</v>
      </c>
      <c r="E1304" s="161">
        <v>3.5</v>
      </c>
      <c r="F1304" s="161">
        <v>140</v>
      </c>
      <c r="G1304" s="162">
        <v>490</v>
      </c>
      <c r="H1304" s="67">
        <v>62</v>
      </c>
    </row>
    <row r="1305" spans="1:8" x14ac:dyDescent="0.25">
      <c r="A1305" s="212">
        <v>41975</v>
      </c>
      <c r="B1305" s="160" t="s">
        <v>286</v>
      </c>
      <c r="C1305" t="s">
        <v>633</v>
      </c>
      <c r="D1305" t="s">
        <v>27</v>
      </c>
      <c r="E1305" s="161">
        <v>4</v>
      </c>
      <c r="F1305" s="161">
        <v>90</v>
      </c>
      <c r="G1305" s="162">
        <v>360</v>
      </c>
      <c r="H1305" s="67">
        <v>62</v>
      </c>
    </row>
    <row r="1306" spans="1:8" x14ac:dyDescent="0.25">
      <c r="A1306" s="212">
        <v>41975</v>
      </c>
      <c r="B1306" s="160" t="s">
        <v>623</v>
      </c>
      <c r="C1306" t="s">
        <v>7</v>
      </c>
      <c r="D1306" t="s">
        <v>27</v>
      </c>
      <c r="E1306" s="161">
        <v>6</v>
      </c>
      <c r="F1306" s="161">
        <v>42.6</v>
      </c>
      <c r="G1306" s="162">
        <v>255.6</v>
      </c>
      <c r="H1306" s="67">
        <v>62</v>
      </c>
    </row>
    <row r="1307" spans="1:8" x14ac:dyDescent="0.25">
      <c r="A1307" s="212">
        <v>41975</v>
      </c>
      <c r="B1307" s="160" t="s">
        <v>1109</v>
      </c>
      <c r="C1307" t="s">
        <v>7</v>
      </c>
      <c r="D1307" t="s">
        <v>27</v>
      </c>
      <c r="E1307" s="161">
        <v>7</v>
      </c>
      <c r="F1307" s="161">
        <v>42.72</v>
      </c>
      <c r="G1307" s="162">
        <v>299.04000000000002</v>
      </c>
      <c r="H1307" s="67">
        <v>62</v>
      </c>
    </row>
    <row r="1308" spans="1:8" x14ac:dyDescent="0.25">
      <c r="A1308" s="212">
        <v>41975</v>
      </c>
      <c r="B1308" s="160" t="s">
        <v>1212</v>
      </c>
      <c r="C1308" t="s">
        <v>7</v>
      </c>
      <c r="D1308" t="s">
        <v>27</v>
      </c>
      <c r="E1308" s="161">
        <v>7.5</v>
      </c>
      <c r="F1308" s="161">
        <v>42.72</v>
      </c>
      <c r="G1308" s="162">
        <v>320.39999999999998</v>
      </c>
      <c r="H1308" s="67">
        <v>62</v>
      </c>
    </row>
    <row r="1309" spans="1:8" x14ac:dyDescent="0.25">
      <c r="A1309" s="212">
        <v>41976</v>
      </c>
      <c r="B1309" s="160" t="s">
        <v>1109</v>
      </c>
      <c r="C1309" t="s">
        <v>7</v>
      </c>
      <c r="D1309" t="s">
        <v>27</v>
      </c>
      <c r="E1309" s="161">
        <v>5</v>
      </c>
      <c r="F1309" s="161">
        <v>42.72</v>
      </c>
      <c r="G1309" s="162">
        <v>213.6</v>
      </c>
      <c r="H1309" s="67">
        <v>62</v>
      </c>
    </row>
    <row r="1310" spans="1:8" x14ac:dyDescent="0.25">
      <c r="A1310" s="212">
        <v>41976</v>
      </c>
      <c r="B1310" s="160" t="s">
        <v>623</v>
      </c>
      <c r="C1310" t="s">
        <v>7</v>
      </c>
      <c r="D1310" t="s">
        <v>27</v>
      </c>
      <c r="E1310" s="161">
        <v>5</v>
      </c>
      <c r="F1310" s="161">
        <v>42.6</v>
      </c>
      <c r="G1310" s="162">
        <v>213</v>
      </c>
      <c r="H1310" s="67">
        <v>62</v>
      </c>
    </row>
    <row r="1311" spans="1:8" x14ac:dyDescent="0.25">
      <c r="A1311" s="212">
        <v>41976</v>
      </c>
      <c r="B1311" s="160" t="s">
        <v>286</v>
      </c>
      <c r="C1311" t="s">
        <v>633</v>
      </c>
      <c r="D1311" t="s">
        <v>27</v>
      </c>
      <c r="E1311" s="161">
        <v>4.5</v>
      </c>
      <c r="F1311" s="161">
        <v>80</v>
      </c>
      <c r="G1311" s="162">
        <v>360</v>
      </c>
      <c r="H1311" s="67">
        <v>62</v>
      </c>
    </row>
    <row r="1312" spans="1:8" x14ac:dyDescent="0.25">
      <c r="A1312" s="212">
        <v>41977</v>
      </c>
      <c r="B1312" s="160" t="s">
        <v>718</v>
      </c>
      <c r="C1312" t="s">
        <v>649</v>
      </c>
      <c r="D1312" t="s">
        <v>527</v>
      </c>
      <c r="E1312" s="161">
        <v>1</v>
      </c>
      <c r="F1312" s="161">
        <v>1380.8</v>
      </c>
      <c r="G1312" s="162">
        <v>1380.8</v>
      </c>
      <c r="H1312" s="67">
        <v>62</v>
      </c>
    </row>
    <row r="1313" spans="1:8" x14ac:dyDescent="0.25">
      <c r="A1313" s="212">
        <v>41977</v>
      </c>
      <c r="B1313" s="160" t="s">
        <v>286</v>
      </c>
      <c r="C1313" t="s">
        <v>633</v>
      </c>
      <c r="D1313" t="s">
        <v>27</v>
      </c>
      <c r="E1313" s="161">
        <v>4</v>
      </c>
      <c r="F1313" s="161">
        <v>90</v>
      </c>
      <c r="G1313" s="162">
        <v>360</v>
      </c>
      <c r="H1313" s="67">
        <v>62</v>
      </c>
    </row>
    <row r="1314" spans="1:8" x14ac:dyDescent="0.25">
      <c r="A1314" s="212">
        <v>41977</v>
      </c>
      <c r="B1314" s="160" t="s">
        <v>1218</v>
      </c>
      <c r="C1314" t="s">
        <v>1219</v>
      </c>
      <c r="D1314" t="s">
        <v>27</v>
      </c>
      <c r="E1314" s="161">
        <v>4</v>
      </c>
      <c r="F1314" s="161">
        <v>135</v>
      </c>
      <c r="G1314" s="162">
        <v>540</v>
      </c>
      <c r="H1314" s="67">
        <v>62</v>
      </c>
    </row>
    <row r="1315" spans="1:8" x14ac:dyDescent="0.25">
      <c r="A1315" s="212">
        <v>41977</v>
      </c>
      <c r="B1315" s="160" t="s">
        <v>1109</v>
      </c>
      <c r="C1315" t="s">
        <v>7</v>
      </c>
      <c r="D1315" t="s">
        <v>27</v>
      </c>
      <c r="E1315" s="161">
        <v>6</v>
      </c>
      <c r="F1315" s="161">
        <v>42.72</v>
      </c>
      <c r="G1315" s="162">
        <v>256.32</v>
      </c>
      <c r="H1315" s="67">
        <v>62</v>
      </c>
    </row>
    <row r="1316" spans="1:8" x14ac:dyDescent="0.25">
      <c r="A1316" s="212">
        <v>41983</v>
      </c>
      <c r="B1316" s="160" t="s">
        <v>1218</v>
      </c>
      <c r="C1316" t="s">
        <v>1219</v>
      </c>
      <c r="D1316" t="s">
        <v>27</v>
      </c>
      <c r="E1316" s="161">
        <v>10</v>
      </c>
      <c r="F1316" s="161">
        <v>135</v>
      </c>
      <c r="G1316" s="162">
        <v>1350</v>
      </c>
      <c r="H1316" s="67">
        <v>62</v>
      </c>
    </row>
    <row r="1317" spans="1:8" x14ac:dyDescent="0.25">
      <c r="A1317" s="212">
        <v>41983</v>
      </c>
      <c r="B1317" s="160" t="s">
        <v>1109</v>
      </c>
      <c r="C1317" t="s">
        <v>7</v>
      </c>
      <c r="D1317" t="s">
        <v>27</v>
      </c>
      <c r="E1317" s="161">
        <v>6</v>
      </c>
      <c r="F1317" s="161">
        <v>42.72</v>
      </c>
      <c r="G1317" s="162">
        <v>256.32</v>
      </c>
      <c r="H1317" s="67">
        <v>62</v>
      </c>
    </row>
    <row r="1318" spans="1:8" x14ac:dyDescent="0.25">
      <c r="A1318" s="212">
        <v>41984</v>
      </c>
      <c r="B1318" s="160" t="s">
        <v>286</v>
      </c>
      <c r="C1318" t="s">
        <v>633</v>
      </c>
      <c r="D1318" t="s">
        <v>27</v>
      </c>
      <c r="E1318" s="161">
        <v>8</v>
      </c>
      <c r="F1318" s="161">
        <v>90</v>
      </c>
      <c r="G1318" s="162">
        <v>720</v>
      </c>
      <c r="H1318" s="67">
        <v>62</v>
      </c>
    </row>
    <row r="1319" spans="1:8" x14ac:dyDescent="0.25">
      <c r="A1319" s="212">
        <v>41985</v>
      </c>
      <c r="B1319" s="160" t="s">
        <v>286</v>
      </c>
      <c r="C1319" t="s">
        <v>633</v>
      </c>
      <c r="D1319" t="s">
        <v>27</v>
      </c>
      <c r="E1319" s="161">
        <v>7</v>
      </c>
      <c r="F1319" s="161">
        <v>80</v>
      </c>
      <c r="G1319" s="162">
        <v>560</v>
      </c>
      <c r="H1319" s="67">
        <v>62</v>
      </c>
    </row>
    <row r="1320" spans="1:8" x14ac:dyDescent="0.25">
      <c r="A1320" s="212">
        <v>41988</v>
      </c>
      <c r="B1320" s="160" t="s">
        <v>1218</v>
      </c>
      <c r="C1320" t="s">
        <v>1219</v>
      </c>
      <c r="D1320" t="s">
        <v>27</v>
      </c>
      <c r="E1320" s="161">
        <v>9</v>
      </c>
      <c r="F1320" s="161">
        <v>135</v>
      </c>
      <c r="G1320" s="162">
        <v>1215</v>
      </c>
      <c r="H1320" s="67">
        <v>62</v>
      </c>
    </row>
    <row r="1321" spans="1:8" x14ac:dyDescent="0.25">
      <c r="A1321" s="212">
        <v>41988</v>
      </c>
      <c r="B1321" s="160" t="s">
        <v>1109</v>
      </c>
      <c r="C1321" t="s">
        <v>7</v>
      </c>
      <c r="D1321" t="s">
        <v>27</v>
      </c>
      <c r="E1321" s="161">
        <v>6</v>
      </c>
      <c r="F1321" s="161">
        <v>42.72</v>
      </c>
      <c r="G1321" s="162">
        <v>256.32</v>
      </c>
      <c r="H1321" s="67">
        <v>62</v>
      </c>
    </row>
    <row r="1322" spans="1:8" x14ac:dyDescent="0.25">
      <c r="A1322" s="212">
        <v>41988</v>
      </c>
      <c r="B1322" s="160" t="s">
        <v>634</v>
      </c>
      <c r="C1322" t="s">
        <v>635</v>
      </c>
      <c r="D1322" t="s">
        <v>27</v>
      </c>
      <c r="E1322" s="161">
        <v>11.5</v>
      </c>
      <c r="F1322" s="161">
        <v>92.5</v>
      </c>
      <c r="G1322" s="162">
        <v>1063.75</v>
      </c>
      <c r="H1322" s="67">
        <v>62</v>
      </c>
    </row>
    <row r="1323" spans="1:8" x14ac:dyDescent="0.25">
      <c r="A1323" s="212">
        <v>41989</v>
      </c>
      <c r="B1323" s="160" t="s">
        <v>623</v>
      </c>
      <c r="C1323" t="s">
        <v>7</v>
      </c>
      <c r="D1323" t="s">
        <v>527</v>
      </c>
      <c r="E1323" s="161">
        <v>8.5</v>
      </c>
      <c r="F1323" s="161">
        <v>49.7</v>
      </c>
      <c r="G1323" s="162">
        <v>422.45</v>
      </c>
      <c r="H1323" s="67">
        <v>62</v>
      </c>
    </row>
    <row r="1324" spans="1:8" x14ac:dyDescent="0.25">
      <c r="A1324" s="212">
        <v>41989</v>
      </c>
      <c r="B1324" s="160" t="s">
        <v>619</v>
      </c>
      <c r="C1324" t="s">
        <v>620</v>
      </c>
      <c r="D1324" t="s">
        <v>27</v>
      </c>
      <c r="E1324" s="161">
        <v>6</v>
      </c>
      <c r="F1324" s="161">
        <v>80</v>
      </c>
      <c r="G1324" s="162">
        <v>480</v>
      </c>
      <c r="H1324" s="67">
        <v>62</v>
      </c>
    </row>
    <row r="1325" spans="1:8" x14ac:dyDescent="0.25">
      <c r="A1325" s="212">
        <v>42004</v>
      </c>
      <c r="B1325" s="160" t="s">
        <v>719</v>
      </c>
      <c r="C1325" t="s">
        <v>677</v>
      </c>
      <c r="D1325" t="s">
        <v>527</v>
      </c>
      <c r="E1325" s="161">
        <v>1</v>
      </c>
      <c r="F1325" s="161">
        <v>426.3</v>
      </c>
      <c r="G1325" s="162">
        <v>426.3</v>
      </c>
      <c r="H1325" s="67">
        <v>62</v>
      </c>
    </row>
    <row r="1326" spans="1:8" x14ac:dyDescent="0.25">
      <c r="A1326" s="212">
        <v>42019</v>
      </c>
      <c r="B1326" s="160" t="s">
        <v>1212</v>
      </c>
      <c r="C1326" t="s">
        <v>7</v>
      </c>
      <c r="D1326" t="s">
        <v>27</v>
      </c>
      <c r="E1326" s="161">
        <v>5</v>
      </c>
      <c r="F1326" s="161">
        <v>42.72</v>
      </c>
      <c r="G1326" s="162">
        <v>213.6</v>
      </c>
      <c r="H1326" s="67">
        <v>62</v>
      </c>
    </row>
    <row r="1327" spans="1:8" x14ac:dyDescent="0.25">
      <c r="A1327" s="212">
        <v>42019</v>
      </c>
      <c r="B1327" s="160" t="s">
        <v>1218</v>
      </c>
      <c r="C1327" t="s">
        <v>1219</v>
      </c>
      <c r="D1327" t="s">
        <v>27</v>
      </c>
      <c r="E1327" s="161">
        <v>3.5</v>
      </c>
      <c r="F1327" s="161">
        <v>135</v>
      </c>
      <c r="G1327" s="162">
        <v>472.5</v>
      </c>
      <c r="H1327" s="67">
        <v>62</v>
      </c>
    </row>
    <row r="1328" spans="1:8" x14ac:dyDescent="0.25">
      <c r="A1328" s="212">
        <v>42020</v>
      </c>
      <c r="B1328" s="160" t="s">
        <v>1218</v>
      </c>
      <c r="C1328" t="s">
        <v>1219</v>
      </c>
      <c r="D1328" t="s">
        <v>27</v>
      </c>
      <c r="E1328" s="161">
        <v>2</v>
      </c>
      <c r="F1328" s="161">
        <v>135</v>
      </c>
      <c r="G1328" s="162">
        <v>270</v>
      </c>
      <c r="H1328" s="67">
        <v>62</v>
      </c>
    </row>
    <row r="1329" spans="1:8" x14ac:dyDescent="0.25">
      <c r="A1329" s="212">
        <v>42023</v>
      </c>
      <c r="B1329" s="160" t="s">
        <v>623</v>
      </c>
      <c r="C1329" t="s">
        <v>7</v>
      </c>
      <c r="D1329" t="s">
        <v>27</v>
      </c>
      <c r="E1329" s="161">
        <v>10.5</v>
      </c>
      <c r="F1329" s="161">
        <v>42.6</v>
      </c>
      <c r="G1329" s="162">
        <v>447.3</v>
      </c>
      <c r="H1329" s="67">
        <v>62</v>
      </c>
    </row>
    <row r="1330" spans="1:8" x14ac:dyDescent="0.25">
      <c r="A1330" s="212">
        <v>42024</v>
      </c>
      <c r="B1330" s="160" t="s">
        <v>1109</v>
      </c>
      <c r="C1330" t="s">
        <v>7</v>
      </c>
      <c r="D1330" t="s">
        <v>27</v>
      </c>
      <c r="E1330" s="161">
        <v>3.5</v>
      </c>
      <c r="F1330" s="161">
        <v>42.72</v>
      </c>
      <c r="G1330" s="162">
        <v>149.52000000000001</v>
      </c>
      <c r="H1330" s="67">
        <v>62</v>
      </c>
    </row>
    <row r="1331" spans="1:8" x14ac:dyDescent="0.25">
      <c r="A1331" s="212">
        <v>42024</v>
      </c>
      <c r="B1331" s="160" t="s">
        <v>619</v>
      </c>
      <c r="C1331" t="s">
        <v>620</v>
      </c>
      <c r="D1331" t="s">
        <v>27</v>
      </c>
      <c r="E1331" s="161">
        <v>10</v>
      </c>
      <c r="F1331" s="161">
        <v>80</v>
      </c>
      <c r="G1331" s="162">
        <v>800</v>
      </c>
      <c r="H1331" s="67">
        <v>62</v>
      </c>
    </row>
    <row r="1332" spans="1:8" x14ac:dyDescent="0.25">
      <c r="A1332" s="212">
        <v>42024</v>
      </c>
      <c r="B1332" s="160" t="s">
        <v>1218</v>
      </c>
      <c r="C1332" t="s">
        <v>1219</v>
      </c>
      <c r="D1332" t="s">
        <v>27</v>
      </c>
      <c r="E1332" s="161">
        <v>11</v>
      </c>
      <c r="F1332" s="161">
        <v>135</v>
      </c>
      <c r="G1332" s="162">
        <v>1485</v>
      </c>
      <c r="H1332" s="67">
        <v>62</v>
      </c>
    </row>
    <row r="1333" spans="1:8" x14ac:dyDescent="0.25">
      <c r="A1333" s="212">
        <v>42025</v>
      </c>
      <c r="B1333" s="160" t="s">
        <v>1218</v>
      </c>
      <c r="C1333" t="s">
        <v>1219</v>
      </c>
      <c r="D1333" t="s">
        <v>27</v>
      </c>
      <c r="E1333" s="161">
        <v>4</v>
      </c>
      <c r="F1333" s="161">
        <v>135</v>
      </c>
      <c r="G1333" s="162">
        <v>540</v>
      </c>
      <c r="H1333" s="67">
        <v>62</v>
      </c>
    </row>
    <row r="1334" spans="1:8" x14ac:dyDescent="0.25">
      <c r="A1334" s="212">
        <v>42025</v>
      </c>
      <c r="B1334" s="160" t="s">
        <v>623</v>
      </c>
      <c r="C1334" t="s">
        <v>7</v>
      </c>
      <c r="D1334" t="s">
        <v>27</v>
      </c>
      <c r="E1334" s="161">
        <v>6</v>
      </c>
      <c r="F1334" s="161">
        <v>42.6</v>
      </c>
      <c r="G1334" s="162">
        <v>255.6</v>
      </c>
      <c r="H1334" s="67">
        <v>62</v>
      </c>
    </row>
    <row r="1335" spans="1:8" x14ac:dyDescent="0.25">
      <c r="A1335" s="212">
        <v>42026</v>
      </c>
      <c r="B1335" s="160" t="s">
        <v>634</v>
      </c>
      <c r="C1335" t="s">
        <v>635</v>
      </c>
      <c r="D1335" t="s">
        <v>27</v>
      </c>
      <c r="E1335" s="161">
        <v>3.5</v>
      </c>
      <c r="F1335" s="161">
        <v>92.5</v>
      </c>
      <c r="G1335" s="162">
        <v>323.75</v>
      </c>
      <c r="H1335" s="67">
        <v>62</v>
      </c>
    </row>
    <row r="1336" spans="1:8" x14ac:dyDescent="0.25">
      <c r="A1336" s="212">
        <v>42032</v>
      </c>
      <c r="B1336" s="160" t="s">
        <v>1223</v>
      </c>
      <c r="C1336" t="s">
        <v>1224</v>
      </c>
      <c r="D1336" t="s">
        <v>27</v>
      </c>
      <c r="E1336" s="161">
        <v>5</v>
      </c>
      <c r="F1336" s="161">
        <v>65</v>
      </c>
      <c r="G1336" s="162">
        <v>325</v>
      </c>
      <c r="H1336" s="67">
        <v>62</v>
      </c>
    </row>
    <row r="1337" spans="1:8" x14ac:dyDescent="0.25">
      <c r="A1337" s="212">
        <v>42032</v>
      </c>
      <c r="B1337" s="160" t="s">
        <v>1109</v>
      </c>
      <c r="C1337" t="s">
        <v>7</v>
      </c>
      <c r="D1337" t="s">
        <v>27</v>
      </c>
      <c r="E1337" s="161">
        <v>4.5</v>
      </c>
      <c r="F1337" s="161">
        <v>42.72</v>
      </c>
      <c r="G1337" s="162">
        <v>192.24</v>
      </c>
      <c r="H1337" s="67">
        <v>62</v>
      </c>
    </row>
    <row r="1338" spans="1:8" x14ac:dyDescent="0.25">
      <c r="A1338" s="212">
        <v>42033</v>
      </c>
      <c r="B1338" s="160" t="s">
        <v>634</v>
      </c>
      <c r="C1338" t="s">
        <v>635</v>
      </c>
      <c r="D1338" t="s">
        <v>27</v>
      </c>
      <c r="E1338" s="161">
        <v>5</v>
      </c>
      <c r="F1338" s="161">
        <v>92.5</v>
      </c>
      <c r="G1338" s="162">
        <v>462.5</v>
      </c>
      <c r="H1338" s="67">
        <v>62</v>
      </c>
    </row>
    <row r="1339" spans="1:8" x14ac:dyDescent="0.25">
      <c r="A1339" s="212">
        <v>42037</v>
      </c>
      <c r="B1339" s="160" t="s">
        <v>623</v>
      </c>
      <c r="C1339" t="s">
        <v>7</v>
      </c>
      <c r="D1339" t="s">
        <v>27</v>
      </c>
      <c r="E1339" s="161">
        <v>5.5</v>
      </c>
      <c r="F1339" s="161">
        <v>42.6</v>
      </c>
      <c r="G1339" s="162">
        <v>234.3</v>
      </c>
      <c r="H1339" s="67">
        <v>62</v>
      </c>
    </row>
    <row r="1340" spans="1:8" x14ac:dyDescent="0.25">
      <c r="A1340" s="212">
        <v>42037</v>
      </c>
      <c r="B1340" s="160" t="s">
        <v>276</v>
      </c>
      <c r="C1340" t="s">
        <v>1220</v>
      </c>
      <c r="D1340" t="s">
        <v>27</v>
      </c>
      <c r="E1340" s="161">
        <v>4</v>
      </c>
      <c r="F1340" s="161">
        <v>35</v>
      </c>
      <c r="G1340" s="162">
        <v>140</v>
      </c>
      <c r="H1340" s="67">
        <v>62</v>
      </c>
    </row>
    <row r="1341" spans="1:8" x14ac:dyDescent="0.25">
      <c r="A1341" s="212">
        <v>42037</v>
      </c>
      <c r="B1341" s="160" t="s">
        <v>634</v>
      </c>
      <c r="C1341" t="s">
        <v>635</v>
      </c>
      <c r="D1341" t="s">
        <v>27</v>
      </c>
      <c r="E1341" s="161">
        <v>5</v>
      </c>
      <c r="F1341" s="161">
        <v>92.5</v>
      </c>
      <c r="G1341" s="162">
        <v>462.5</v>
      </c>
      <c r="H1341" s="67">
        <v>62</v>
      </c>
    </row>
    <row r="1342" spans="1:8" x14ac:dyDescent="0.25">
      <c r="A1342" s="212">
        <v>42038</v>
      </c>
      <c r="B1342" s="160" t="s">
        <v>1218</v>
      </c>
      <c r="C1342" t="s">
        <v>1219</v>
      </c>
      <c r="D1342" t="s">
        <v>27</v>
      </c>
      <c r="E1342" s="161">
        <v>4</v>
      </c>
      <c r="F1342" s="161">
        <v>135</v>
      </c>
      <c r="G1342" s="162">
        <v>540</v>
      </c>
      <c r="H1342" s="67">
        <v>62</v>
      </c>
    </row>
    <row r="1343" spans="1:8" x14ac:dyDescent="0.25">
      <c r="A1343" s="212">
        <v>42038</v>
      </c>
      <c r="B1343" s="160" t="s">
        <v>1212</v>
      </c>
      <c r="C1343" t="s">
        <v>7</v>
      </c>
      <c r="D1343" t="s">
        <v>27</v>
      </c>
      <c r="E1343" s="161">
        <v>5.5</v>
      </c>
      <c r="F1343" s="161">
        <v>42.72</v>
      </c>
      <c r="G1343" s="162">
        <v>234.96</v>
      </c>
      <c r="H1343" s="67">
        <v>62</v>
      </c>
    </row>
    <row r="1344" spans="1:8" x14ac:dyDescent="0.25">
      <c r="A1344" s="212">
        <v>42038</v>
      </c>
      <c r="B1344" s="160" t="s">
        <v>623</v>
      </c>
      <c r="C1344" t="s">
        <v>7</v>
      </c>
      <c r="D1344" t="s">
        <v>27</v>
      </c>
      <c r="E1344" s="161">
        <v>4</v>
      </c>
      <c r="F1344" s="161">
        <v>42.6</v>
      </c>
      <c r="G1344" s="162">
        <v>170.4</v>
      </c>
      <c r="H1344" s="67">
        <v>62</v>
      </c>
    </row>
    <row r="1345" spans="1:8" x14ac:dyDescent="0.25">
      <c r="A1345" s="212">
        <v>42039</v>
      </c>
      <c r="B1345" s="160" t="s">
        <v>1109</v>
      </c>
      <c r="C1345" t="s">
        <v>7</v>
      </c>
      <c r="D1345" t="s">
        <v>27</v>
      </c>
      <c r="E1345" s="161">
        <v>11.5</v>
      </c>
      <c r="F1345" s="161">
        <v>42.72</v>
      </c>
      <c r="G1345" s="162">
        <v>491.28</v>
      </c>
      <c r="H1345" s="67">
        <v>62</v>
      </c>
    </row>
    <row r="1346" spans="1:8" x14ac:dyDescent="0.25">
      <c r="A1346" s="212">
        <v>42039</v>
      </c>
      <c r="B1346" s="160" t="s">
        <v>1212</v>
      </c>
      <c r="C1346" t="s">
        <v>7</v>
      </c>
      <c r="D1346" t="s">
        <v>27</v>
      </c>
      <c r="E1346" s="161">
        <v>9.5</v>
      </c>
      <c r="F1346" s="161">
        <v>42.72</v>
      </c>
      <c r="G1346" s="162">
        <v>405.84</v>
      </c>
      <c r="H1346" s="67">
        <v>62</v>
      </c>
    </row>
    <row r="1347" spans="1:8" x14ac:dyDescent="0.25">
      <c r="A1347" s="212">
        <v>42039</v>
      </c>
      <c r="B1347" s="160" t="s">
        <v>1211</v>
      </c>
      <c r="C1347" t="s">
        <v>1233</v>
      </c>
      <c r="D1347" t="s">
        <v>27</v>
      </c>
      <c r="E1347" s="161">
        <v>6.5</v>
      </c>
      <c r="F1347" s="161">
        <v>54.58</v>
      </c>
      <c r="G1347" s="162">
        <v>354.77</v>
      </c>
      <c r="H1347" s="67">
        <v>62</v>
      </c>
    </row>
    <row r="1348" spans="1:8" x14ac:dyDescent="0.25">
      <c r="A1348" s="212">
        <v>42039</v>
      </c>
      <c r="B1348" s="160" t="s">
        <v>1212</v>
      </c>
      <c r="C1348" t="s">
        <v>7</v>
      </c>
      <c r="D1348" t="s">
        <v>27</v>
      </c>
      <c r="E1348" s="161">
        <v>5.5</v>
      </c>
      <c r="F1348" s="161">
        <v>42.72</v>
      </c>
      <c r="G1348" s="162">
        <v>234.96</v>
      </c>
      <c r="H1348" s="67">
        <v>62</v>
      </c>
    </row>
    <row r="1349" spans="1:8" x14ac:dyDescent="0.25">
      <c r="A1349" s="212">
        <v>42039</v>
      </c>
      <c r="B1349" s="160" t="s">
        <v>623</v>
      </c>
      <c r="C1349" t="s">
        <v>7</v>
      </c>
      <c r="D1349" t="s">
        <v>27</v>
      </c>
      <c r="E1349" s="161">
        <v>4</v>
      </c>
      <c r="F1349" s="161">
        <v>42.6</v>
      </c>
      <c r="G1349" s="162">
        <v>170.4</v>
      </c>
      <c r="H1349" s="67">
        <v>62</v>
      </c>
    </row>
    <row r="1350" spans="1:8" x14ac:dyDescent="0.25">
      <c r="A1350" s="212">
        <v>42039</v>
      </c>
      <c r="B1350" s="160" t="s">
        <v>276</v>
      </c>
      <c r="C1350" t="s">
        <v>1220</v>
      </c>
      <c r="D1350" t="s">
        <v>27</v>
      </c>
      <c r="E1350" s="161">
        <v>4</v>
      </c>
      <c r="F1350" s="161">
        <v>35</v>
      </c>
      <c r="G1350" s="162">
        <v>140</v>
      </c>
      <c r="H1350" s="67">
        <v>62</v>
      </c>
    </row>
    <row r="1351" spans="1:8" x14ac:dyDescent="0.25">
      <c r="A1351" s="212">
        <v>42039</v>
      </c>
      <c r="B1351" s="160" t="s">
        <v>623</v>
      </c>
      <c r="C1351" t="s">
        <v>7</v>
      </c>
      <c r="D1351" t="s">
        <v>527</v>
      </c>
      <c r="E1351" s="161">
        <v>9</v>
      </c>
      <c r="F1351" s="161">
        <v>49.7</v>
      </c>
      <c r="G1351" s="162">
        <v>447.3</v>
      </c>
      <c r="H1351" s="67">
        <v>62</v>
      </c>
    </row>
    <row r="1352" spans="1:8" x14ac:dyDescent="0.25">
      <c r="A1352" s="212">
        <v>42040</v>
      </c>
      <c r="B1352" s="160" t="s">
        <v>276</v>
      </c>
      <c r="C1352" t="s">
        <v>1220</v>
      </c>
      <c r="D1352" t="s">
        <v>27</v>
      </c>
      <c r="E1352" s="161">
        <v>4</v>
      </c>
      <c r="F1352" s="161">
        <v>35</v>
      </c>
      <c r="G1352" s="162">
        <v>140</v>
      </c>
      <c r="H1352" s="67">
        <v>62</v>
      </c>
    </row>
    <row r="1353" spans="1:8" x14ac:dyDescent="0.25">
      <c r="A1353" s="212">
        <v>42040</v>
      </c>
      <c r="B1353" s="160" t="s">
        <v>623</v>
      </c>
      <c r="C1353" t="s">
        <v>7</v>
      </c>
      <c r="D1353" t="s">
        <v>27</v>
      </c>
      <c r="E1353" s="161">
        <v>6</v>
      </c>
      <c r="F1353" s="161">
        <v>42.6</v>
      </c>
      <c r="G1353" s="162">
        <v>255.6</v>
      </c>
      <c r="H1353" s="67">
        <v>62</v>
      </c>
    </row>
    <row r="1354" spans="1:8" x14ac:dyDescent="0.25">
      <c r="A1354" s="212">
        <v>42040</v>
      </c>
      <c r="B1354" s="160" t="s">
        <v>1109</v>
      </c>
      <c r="C1354" t="s">
        <v>7</v>
      </c>
      <c r="D1354" t="s">
        <v>27</v>
      </c>
      <c r="E1354" s="161">
        <v>7</v>
      </c>
      <c r="F1354" s="161">
        <v>42.72</v>
      </c>
      <c r="G1354" s="162">
        <v>299.04000000000002</v>
      </c>
      <c r="H1354" s="67">
        <v>62</v>
      </c>
    </row>
    <row r="1355" spans="1:8" x14ac:dyDescent="0.25">
      <c r="A1355" s="212">
        <v>42040</v>
      </c>
      <c r="B1355" s="160" t="s">
        <v>1212</v>
      </c>
      <c r="C1355" t="s">
        <v>7</v>
      </c>
      <c r="D1355" t="s">
        <v>27</v>
      </c>
      <c r="E1355" s="161">
        <v>5</v>
      </c>
      <c r="F1355" s="161">
        <v>42.72</v>
      </c>
      <c r="G1355" s="162">
        <v>213.6</v>
      </c>
      <c r="H1355" s="67">
        <v>62</v>
      </c>
    </row>
    <row r="1356" spans="1:8" x14ac:dyDescent="0.25">
      <c r="A1356" s="212">
        <v>42040</v>
      </c>
      <c r="B1356" s="160" t="s">
        <v>623</v>
      </c>
      <c r="C1356" t="s">
        <v>7</v>
      </c>
      <c r="D1356" t="s">
        <v>27</v>
      </c>
      <c r="E1356" s="161">
        <v>5.5</v>
      </c>
      <c r="F1356" s="161">
        <v>46.85</v>
      </c>
      <c r="G1356" s="162">
        <v>257.67500000000001</v>
      </c>
      <c r="H1356" s="67">
        <v>62</v>
      </c>
    </row>
    <row r="1357" spans="1:8" x14ac:dyDescent="0.25">
      <c r="A1357" s="212">
        <v>42041</v>
      </c>
      <c r="B1357" s="160" t="s">
        <v>1212</v>
      </c>
      <c r="C1357" t="s">
        <v>7</v>
      </c>
      <c r="D1357" t="s">
        <v>27</v>
      </c>
      <c r="E1357" s="161">
        <v>6</v>
      </c>
      <c r="F1357" s="161">
        <v>42.72</v>
      </c>
      <c r="G1357" s="162">
        <v>256.32</v>
      </c>
      <c r="H1357" s="67">
        <v>62</v>
      </c>
    </row>
    <row r="1358" spans="1:8" x14ac:dyDescent="0.25">
      <c r="A1358" s="212">
        <v>42051</v>
      </c>
      <c r="B1358" s="160" t="s">
        <v>653</v>
      </c>
      <c r="C1358" t="s">
        <v>656</v>
      </c>
      <c r="D1358" t="s">
        <v>27</v>
      </c>
      <c r="E1358" s="161">
        <v>4.5</v>
      </c>
      <c r="F1358" s="161">
        <v>120</v>
      </c>
      <c r="G1358" s="162">
        <v>540</v>
      </c>
      <c r="H1358" s="67">
        <v>62</v>
      </c>
    </row>
    <row r="1359" spans="1:8" x14ac:dyDescent="0.25">
      <c r="A1359" s="212">
        <v>42052</v>
      </c>
      <c r="B1359" s="160" t="s">
        <v>653</v>
      </c>
      <c r="C1359" t="s">
        <v>656</v>
      </c>
      <c r="D1359" t="s">
        <v>27</v>
      </c>
      <c r="E1359" s="161">
        <v>5.75</v>
      </c>
      <c r="F1359" s="161">
        <v>120</v>
      </c>
      <c r="G1359" s="162">
        <v>690</v>
      </c>
      <c r="H1359" s="67">
        <v>62</v>
      </c>
    </row>
    <row r="1360" spans="1:8" x14ac:dyDescent="0.25">
      <c r="A1360" s="212">
        <v>42052</v>
      </c>
      <c r="B1360" s="160" t="s">
        <v>1218</v>
      </c>
      <c r="C1360" t="s">
        <v>1219</v>
      </c>
      <c r="D1360" t="s">
        <v>27</v>
      </c>
      <c r="E1360" s="161">
        <v>5</v>
      </c>
      <c r="F1360" s="161">
        <v>135</v>
      </c>
      <c r="G1360" s="162">
        <v>675</v>
      </c>
      <c r="H1360" s="67">
        <v>62</v>
      </c>
    </row>
    <row r="1361" spans="1:8" x14ac:dyDescent="0.25">
      <c r="A1361" s="212">
        <v>42052</v>
      </c>
      <c r="B1361" s="160" t="s">
        <v>286</v>
      </c>
      <c r="C1361" t="s">
        <v>633</v>
      </c>
      <c r="D1361" t="s">
        <v>27</v>
      </c>
      <c r="E1361" s="161">
        <v>5.5</v>
      </c>
      <c r="F1361" s="161">
        <v>90</v>
      </c>
      <c r="G1361" s="162">
        <v>495</v>
      </c>
      <c r="H1361" s="67">
        <v>62</v>
      </c>
    </row>
    <row r="1362" spans="1:8" x14ac:dyDescent="0.25">
      <c r="A1362" s="212">
        <v>42053</v>
      </c>
      <c r="B1362" s="160" t="s">
        <v>623</v>
      </c>
      <c r="C1362" t="s">
        <v>7</v>
      </c>
      <c r="D1362" t="s">
        <v>27</v>
      </c>
      <c r="E1362" s="161">
        <v>11</v>
      </c>
      <c r="F1362" s="161">
        <v>42.6</v>
      </c>
      <c r="G1362" s="162">
        <v>468.6</v>
      </c>
      <c r="H1362" s="67">
        <v>62</v>
      </c>
    </row>
    <row r="1363" spans="1:8" x14ac:dyDescent="0.25">
      <c r="A1363" s="212">
        <v>42053</v>
      </c>
      <c r="B1363" s="160" t="s">
        <v>653</v>
      </c>
      <c r="C1363" t="s">
        <v>656</v>
      </c>
      <c r="D1363" t="s">
        <v>27</v>
      </c>
      <c r="E1363" s="161">
        <v>3</v>
      </c>
      <c r="F1363" s="161">
        <v>120</v>
      </c>
      <c r="G1363" s="162">
        <v>360</v>
      </c>
      <c r="H1363" s="67">
        <v>62</v>
      </c>
    </row>
    <row r="1364" spans="1:8" x14ac:dyDescent="0.25">
      <c r="A1364" s="212">
        <v>42053</v>
      </c>
      <c r="B1364" s="160" t="s">
        <v>286</v>
      </c>
      <c r="C1364" t="s">
        <v>633</v>
      </c>
      <c r="D1364" t="s">
        <v>27</v>
      </c>
      <c r="E1364" s="161">
        <v>11</v>
      </c>
      <c r="F1364" s="161">
        <v>90</v>
      </c>
      <c r="G1364" s="162">
        <v>990</v>
      </c>
      <c r="H1364" s="67">
        <v>62</v>
      </c>
    </row>
    <row r="1365" spans="1:8" x14ac:dyDescent="0.25">
      <c r="A1365" s="212">
        <v>42053</v>
      </c>
      <c r="B1365" s="160" t="s">
        <v>1212</v>
      </c>
      <c r="C1365" t="s">
        <v>7</v>
      </c>
      <c r="D1365" t="s">
        <v>27</v>
      </c>
      <c r="E1365" s="161">
        <v>11</v>
      </c>
      <c r="F1365" s="161">
        <v>42.72</v>
      </c>
      <c r="G1365" s="162">
        <v>469.92</v>
      </c>
      <c r="H1365" s="67">
        <v>62</v>
      </c>
    </row>
    <row r="1366" spans="1:8" x14ac:dyDescent="0.25">
      <c r="A1366" s="212">
        <v>42053</v>
      </c>
      <c r="B1366" s="160" t="s">
        <v>1218</v>
      </c>
      <c r="C1366" t="s">
        <v>1219</v>
      </c>
      <c r="D1366" t="s">
        <v>27</v>
      </c>
      <c r="E1366" s="161">
        <v>11.5</v>
      </c>
      <c r="F1366" s="161">
        <v>135</v>
      </c>
      <c r="G1366" s="162">
        <v>1552.5</v>
      </c>
      <c r="H1366" s="67">
        <v>62</v>
      </c>
    </row>
    <row r="1367" spans="1:8" x14ac:dyDescent="0.25">
      <c r="A1367" s="212">
        <v>42053</v>
      </c>
      <c r="B1367" s="160" t="s">
        <v>276</v>
      </c>
      <c r="C1367" t="s">
        <v>1220</v>
      </c>
      <c r="D1367" t="s">
        <v>27</v>
      </c>
      <c r="E1367" s="161">
        <v>6</v>
      </c>
      <c r="F1367" s="161">
        <v>35</v>
      </c>
      <c r="G1367" s="162">
        <v>210</v>
      </c>
      <c r="H1367" s="67">
        <v>62</v>
      </c>
    </row>
    <row r="1368" spans="1:8" x14ac:dyDescent="0.25">
      <c r="A1368" s="212">
        <v>42054</v>
      </c>
      <c r="B1368" s="160" t="s">
        <v>276</v>
      </c>
      <c r="C1368" t="s">
        <v>1220</v>
      </c>
      <c r="D1368" t="s">
        <v>27</v>
      </c>
      <c r="E1368" s="161">
        <v>10</v>
      </c>
      <c r="F1368" s="161">
        <v>35</v>
      </c>
      <c r="G1368" s="162">
        <v>350</v>
      </c>
      <c r="H1368" s="67">
        <v>62</v>
      </c>
    </row>
    <row r="1369" spans="1:8" x14ac:dyDescent="0.25">
      <c r="A1369" s="212">
        <v>42054</v>
      </c>
      <c r="B1369" s="160" t="s">
        <v>1218</v>
      </c>
      <c r="C1369" t="s">
        <v>1219</v>
      </c>
      <c r="D1369" t="s">
        <v>27</v>
      </c>
      <c r="E1369" s="161">
        <v>10.5</v>
      </c>
      <c r="F1369" s="161">
        <v>135</v>
      </c>
      <c r="G1369" s="162">
        <v>1417.5</v>
      </c>
      <c r="H1369" s="67">
        <v>62</v>
      </c>
    </row>
    <row r="1370" spans="1:8" x14ac:dyDescent="0.25">
      <c r="A1370" s="212">
        <v>42054</v>
      </c>
      <c r="B1370" s="160" t="s">
        <v>286</v>
      </c>
      <c r="C1370" t="s">
        <v>633</v>
      </c>
      <c r="D1370" t="s">
        <v>27</v>
      </c>
      <c r="E1370" s="161">
        <v>10</v>
      </c>
      <c r="F1370" s="161">
        <v>90</v>
      </c>
      <c r="G1370" s="162">
        <v>900</v>
      </c>
      <c r="H1370" s="67">
        <v>62</v>
      </c>
    </row>
    <row r="1371" spans="1:8" x14ac:dyDescent="0.25">
      <c r="A1371" s="212">
        <v>42054</v>
      </c>
      <c r="B1371" s="160" t="s">
        <v>623</v>
      </c>
      <c r="C1371" t="s">
        <v>7</v>
      </c>
      <c r="D1371" t="s">
        <v>27</v>
      </c>
      <c r="E1371" s="161">
        <v>10</v>
      </c>
      <c r="F1371" s="161">
        <v>42.6</v>
      </c>
      <c r="G1371" s="162">
        <v>426</v>
      </c>
      <c r="H1371" s="67">
        <v>62</v>
      </c>
    </row>
    <row r="1372" spans="1:8" x14ac:dyDescent="0.25">
      <c r="A1372" s="212">
        <v>42054</v>
      </c>
      <c r="B1372" s="160" t="s">
        <v>1212</v>
      </c>
      <c r="C1372" t="s">
        <v>7</v>
      </c>
      <c r="D1372" t="s">
        <v>27</v>
      </c>
      <c r="E1372" s="161">
        <v>10</v>
      </c>
      <c r="F1372" s="161">
        <v>42.72</v>
      </c>
      <c r="G1372" s="162">
        <v>427.2</v>
      </c>
      <c r="H1372" s="67">
        <v>62</v>
      </c>
    </row>
    <row r="1373" spans="1:8" x14ac:dyDescent="0.25">
      <c r="A1373" s="212">
        <v>42054</v>
      </c>
      <c r="B1373" s="160" t="s">
        <v>1109</v>
      </c>
      <c r="C1373" t="s">
        <v>7</v>
      </c>
      <c r="D1373" t="s">
        <v>27</v>
      </c>
      <c r="E1373" s="161">
        <v>5.5</v>
      </c>
      <c r="F1373" s="161">
        <v>42.72</v>
      </c>
      <c r="G1373" s="162">
        <v>234.96</v>
      </c>
      <c r="H1373" s="67">
        <v>62</v>
      </c>
    </row>
    <row r="1374" spans="1:8" x14ac:dyDescent="0.25">
      <c r="A1374" s="212">
        <v>42055</v>
      </c>
      <c r="B1374" s="160" t="s">
        <v>720</v>
      </c>
      <c r="C1374" t="s">
        <v>7</v>
      </c>
      <c r="D1374" t="s">
        <v>27</v>
      </c>
      <c r="E1374" s="161">
        <v>10</v>
      </c>
      <c r="F1374" s="161">
        <v>42.6</v>
      </c>
      <c r="G1374" s="162">
        <v>426</v>
      </c>
      <c r="H1374" s="67">
        <v>62</v>
      </c>
    </row>
    <row r="1375" spans="1:8" x14ac:dyDescent="0.25">
      <c r="A1375" s="212">
        <v>42055</v>
      </c>
      <c r="B1375" s="160" t="s">
        <v>1218</v>
      </c>
      <c r="C1375" t="s">
        <v>1219</v>
      </c>
      <c r="D1375" t="s">
        <v>27</v>
      </c>
      <c r="E1375" s="161">
        <v>7</v>
      </c>
      <c r="F1375" s="161">
        <v>135</v>
      </c>
      <c r="G1375" s="162">
        <v>945</v>
      </c>
      <c r="H1375" s="67">
        <v>62</v>
      </c>
    </row>
    <row r="1376" spans="1:8" x14ac:dyDescent="0.25">
      <c r="A1376" s="212">
        <v>42055</v>
      </c>
      <c r="B1376" s="160" t="s">
        <v>276</v>
      </c>
      <c r="C1376" t="s">
        <v>1220</v>
      </c>
      <c r="D1376" t="s">
        <v>27</v>
      </c>
      <c r="E1376" s="161">
        <v>10.5</v>
      </c>
      <c r="F1376" s="161">
        <v>35</v>
      </c>
      <c r="G1376" s="162">
        <v>367.5</v>
      </c>
      <c r="H1376" s="67">
        <v>62</v>
      </c>
    </row>
    <row r="1377" spans="1:8" x14ac:dyDescent="0.25">
      <c r="A1377" s="212">
        <v>42055</v>
      </c>
      <c r="B1377" s="160" t="s">
        <v>286</v>
      </c>
      <c r="C1377" t="s">
        <v>633</v>
      </c>
      <c r="D1377" t="s">
        <v>27</v>
      </c>
      <c r="E1377" s="161">
        <v>10.5</v>
      </c>
      <c r="F1377" s="161">
        <v>90</v>
      </c>
      <c r="G1377" s="162">
        <v>945</v>
      </c>
      <c r="H1377" s="67">
        <v>62</v>
      </c>
    </row>
    <row r="1378" spans="1:8" x14ac:dyDescent="0.25">
      <c r="A1378" s="212">
        <v>42056</v>
      </c>
      <c r="B1378" s="160" t="s">
        <v>286</v>
      </c>
      <c r="C1378" t="s">
        <v>633</v>
      </c>
      <c r="D1378" t="s">
        <v>27</v>
      </c>
      <c r="E1378" s="161">
        <v>6</v>
      </c>
      <c r="F1378" s="161">
        <v>90</v>
      </c>
      <c r="G1378" s="162">
        <v>540</v>
      </c>
      <c r="H1378" s="67">
        <v>62</v>
      </c>
    </row>
    <row r="1379" spans="1:8" x14ac:dyDescent="0.25">
      <c r="A1379" s="212">
        <v>42057</v>
      </c>
      <c r="B1379" s="160" t="s">
        <v>286</v>
      </c>
      <c r="C1379" t="s">
        <v>633</v>
      </c>
      <c r="D1379" t="s">
        <v>27</v>
      </c>
      <c r="E1379" s="161">
        <v>6</v>
      </c>
      <c r="F1379" s="161">
        <v>90</v>
      </c>
      <c r="G1379" s="162">
        <v>540</v>
      </c>
      <c r="H1379" s="67">
        <v>62</v>
      </c>
    </row>
    <row r="1380" spans="1:8" x14ac:dyDescent="0.25">
      <c r="A1380" s="212">
        <v>42058</v>
      </c>
      <c r="B1380" s="160" t="s">
        <v>286</v>
      </c>
      <c r="C1380" t="s">
        <v>633</v>
      </c>
      <c r="D1380" t="s">
        <v>27</v>
      </c>
      <c r="E1380" s="161">
        <v>9</v>
      </c>
      <c r="F1380" s="161">
        <v>90</v>
      </c>
      <c r="G1380" s="162">
        <v>810</v>
      </c>
      <c r="H1380" s="67">
        <v>62</v>
      </c>
    </row>
    <row r="1381" spans="1:8" x14ac:dyDescent="0.25">
      <c r="A1381" s="212">
        <v>42058</v>
      </c>
      <c r="B1381" s="160" t="s">
        <v>1218</v>
      </c>
      <c r="C1381" t="s">
        <v>1219</v>
      </c>
      <c r="D1381" t="s">
        <v>27</v>
      </c>
      <c r="E1381" s="161">
        <v>3</v>
      </c>
      <c r="F1381" s="161">
        <v>135</v>
      </c>
      <c r="G1381" s="162">
        <v>405</v>
      </c>
      <c r="H1381" s="67">
        <v>62</v>
      </c>
    </row>
    <row r="1382" spans="1:8" x14ac:dyDescent="0.25">
      <c r="A1382" s="212">
        <v>42058</v>
      </c>
      <c r="B1382" s="160" t="s">
        <v>623</v>
      </c>
      <c r="C1382" t="s">
        <v>7</v>
      </c>
      <c r="D1382" t="s">
        <v>27</v>
      </c>
      <c r="E1382" s="161">
        <v>9</v>
      </c>
      <c r="F1382" s="161">
        <v>42.6</v>
      </c>
      <c r="G1382" s="162">
        <v>383.4</v>
      </c>
      <c r="H1382" s="67">
        <v>62</v>
      </c>
    </row>
    <row r="1383" spans="1:8" x14ac:dyDescent="0.25">
      <c r="A1383" s="212">
        <v>42059</v>
      </c>
      <c r="B1383" s="160" t="s">
        <v>1218</v>
      </c>
      <c r="C1383" t="s">
        <v>1219</v>
      </c>
      <c r="D1383" t="s">
        <v>27</v>
      </c>
      <c r="E1383" s="161">
        <v>11</v>
      </c>
      <c r="F1383" s="161">
        <v>135</v>
      </c>
      <c r="G1383" s="162">
        <v>1485</v>
      </c>
      <c r="H1383" s="67">
        <v>62</v>
      </c>
    </row>
    <row r="1384" spans="1:8" x14ac:dyDescent="0.25">
      <c r="A1384" s="212">
        <v>42059</v>
      </c>
      <c r="B1384" s="160" t="s">
        <v>286</v>
      </c>
      <c r="C1384" t="s">
        <v>633</v>
      </c>
      <c r="D1384" t="s">
        <v>27</v>
      </c>
      <c r="E1384" s="161">
        <v>11.5</v>
      </c>
      <c r="F1384" s="161">
        <v>90</v>
      </c>
      <c r="G1384" s="162">
        <v>1035</v>
      </c>
      <c r="H1384" s="67">
        <v>62</v>
      </c>
    </row>
    <row r="1385" spans="1:8" x14ac:dyDescent="0.25">
      <c r="A1385" s="212">
        <v>42059</v>
      </c>
      <c r="B1385" s="160" t="s">
        <v>1109</v>
      </c>
      <c r="C1385" t="s">
        <v>7</v>
      </c>
      <c r="D1385" t="s">
        <v>27</v>
      </c>
      <c r="E1385" s="161">
        <v>3</v>
      </c>
      <c r="F1385" s="161">
        <v>42.72</v>
      </c>
      <c r="G1385" s="162">
        <v>128.16</v>
      </c>
      <c r="H1385" s="67">
        <v>62</v>
      </c>
    </row>
    <row r="1386" spans="1:8" x14ac:dyDescent="0.25">
      <c r="A1386" s="212">
        <v>42059</v>
      </c>
      <c r="B1386" s="160" t="s">
        <v>1212</v>
      </c>
      <c r="C1386" t="s">
        <v>7</v>
      </c>
      <c r="D1386" t="s">
        <v>27</v>
      </c>
      <c r="E1386" s="161">
        <v>4.5</v>
      </c>
      <c r="F1386" s="161">
        <v>42.72</v>
      </c>
      <c r="G1386" s="162">
        <v>192.24</v>
      </c>
      <c r="H1386" s="67">
        <v>62</v>
      </c>
    </row>
    <row r="1387" spans="1:8" x14ac:dyDescent="0.25">
      <c r="A1387" s="212">
        <v>42060</v>
      </c>
      <c r="B1387" s="160" t="s">
        <v>1212</v>
      </c>
      <c r="C1387" t="s">
        <v>7</v>
      </c>
      <c r="D1387" t="s">
        <v>27</v>
      </c>
      <c r="E1387" s="161">
        <v>6.5</v>
      </c>
      <c r="F1387" s="161">
        <v>42.72</v>
      </c>
      <c r="G1387" s="162">
        <v>277.68</v>
      </c>
      <c r="H1387" s="67">
        <v>62</v>
      </c>
    </row>
    <row r="1388" spans="1:8" x14ac:dyDescent="0.25">
      <c r="A1388" s="212">
        <v>42060</v>
      </c>
      <c r="B1388" s="160" t="s">
        <v>1109</v>
      </c>
      <c r="C1388" t="s">
        <v>7</v>
      </c>
      <c r="D1388" t="s">
        <v>27</v>
      </c>
      <c r="E1388" s="161">
        <v>4</v>
      </c>
      <c r="F1388" s="161">
        <v>42.72</v>
      </c>
      <c r="G1388" s="162">
        <v>170.88</v>
      </c>
      <c r="H1388" s="67">
        <v>62</v>
      </c>
    </row>
    <row r="1389" spans="1:8" x14ac:dyDescent="0.25">
      <c r="A1389" s="212">
        <v>42060</v>
      </c>
      <c r="B1389" s="160" t="s">
        <v>276</v>
      </c>
      <c r="C1389" t="s">
        <v>1220</v>
      </c>
      <c r="D1389" t="s">
        <v>27</v>
      </c>
      <c r="E1389" s="161">
        <v>5</v>
      </c>
      <c r="F1389" s="161">
        <v>35</v>
      </c>
      <c r="G1389" s="162">
        <v>175</v>
      </c>
      <c r="H1389" s="67">
        <v>62</v>
      </c>
    </row>
    <row r="1390" spans="1:8" x14ac:dyDescent="0.25">
      <c r="A1390" s="212">
        <v>42060</v>
      </c>
      <c r="B1390" s="160" t="s">
        <v>286</v>
      </c>
      <c r="C1390" t="s">
        <v>633</v>
      </c>
      <c r="D1390" t="s">
        <v>27</v>
      </c>
      <c r="E1390" s="161">
        <v>10</v>
      </c>
      <c r="F1390" s="161">
        <v>90</v>
      </c>
      <c r="G1390" s="162">
        <v>900</v>
      </c>
      <c r="H1390" s="67">
        <v>62</v>
      </c>
    </row>
    <row r="1391" spans="1:8" x14ac:dyDescent="0.25">
      <c r="A1391" s="212">
        <v>42060</v>
      </c>
      <c r="B1391" s="160" t="s">
        <v>623</v>
      </c>
      <c r="C1391" t="s">
        <v>7</v>
      </c>
      <c r="D1391" t="s">
        <v>27</v>
      </c>
      <c r="E1391" s="161">
        <v>5</v>
      </c>
      <c r="F1391" s="161">
        <v>42.6</v>
      </c>
      <c r="G1391" s="162">
        <v>213</v>
      </c>
      <c r="H1391" s="67">
        <v>62</v>
      </c>
    </row>
    <row r="1392" spans="1:8" x14ac:dyDescent="0.25">
      <c r="A1392" s="212">
        <v>42061</v>
      </c>
      <c r="B1392" s="160" t="s">
        <v>286</v>
      </c>
      <c r="C1392" t="s">
        <v>633</v>
      </c>
      <c r="D1392" t="s">
        <v>27</v>
      </c>
      <c r="E1392" s="161">
        <v>10.5</v>
      </c>
      <c r="F1392" s="161">
        <v>90</v>
      </c>
      <c r="G1392" s="162">
        <v>945</v>
      </c>
      <c r="H1392" s="67">
        <v>62</v>
      </c>
    </row>
    <row r="1393" spans="1:8" x14ac:dyDescent="0.25">
      <c r="A1393" s="212">
        <v>42062</v>
      </c>
      <c r="B1393" s="160" t="s">
        <v>623</v>
      </c>
      <c r="C1393" t="s">
        <v>7</v>
      </c>
      <c r="D1393" t="s">
        <v>27</v>
      </c>
      <c r="E1393" s="161">
        <v>5</v>
      </c>
      <c r="F1393" s="161">
        <v>42.6</v>
      </c>
      <c r="G1393" s="162">
        <v>213</v>
      </c>
      <c r="H1393" s="67">
        <v>62</v>
      </c>
    </row>
    <row r="1394" spans="1:8" x14ac:dyDescent="0.25">
      <c r="A1394" s="212">
        <v>42062</v>
      </c>
      <c r="B1394" s="160" t="s">
        <v>286</v>
      </c>
      <c r="C1394" t="s">
        <v>633</v>
      </c>
      <c r="D1394" t="s">
        <v>27</v>
      </c>
      <c r="E1394" s="161">
        <v>8</v>
      </c>
      <c r="F1394" s="161">
        <v>90</v>
      </c>
      <c r="G1394" s="162">
        <v>720</v>
      </c>
      <c r="H1394" s="67">
        <v>62</v>
      </c>
    </row>
    <row r="1395" spans="1:8" x14ac:dyDescent="0.25">
      <c r="A1395" s="212">
        <v>42063</v>
      </c>
      <c r="B1395" s="160" t="s">
        <v>675</v>
      </c>
      <c r="C1395" t="s">
        <v>649</v>
      </c>
      <c r="D1395" t="s">
        <v>527</v>
      </c>
      <c r="E1395" s="161">
        <v>1</v>
      </c>
      <c r="F1395" s="161">
        <v>1080.8</v>
      </c>
      <c r="G1395" s="162">
        <v>1080.8</v>
      </c>
      <c r="H1395" s="67">
        <v>62</v>
      </c>
    </row>
    <row r="1396" spans="1:8" x14ac:dyDescent="0.25">
      <c r="A1396" s="212">
        <v>42063</v>
      </c>
      <c r="B1396" s="160" t="s">
        <v>676</v>
      </c>
      <c r="C1396" t="s">
        <v>677</v>
      </c>
      <c r="D1396" t="s">
        <v>527</v>
      </c>
      <c r="E1396" s="161">
        <v>1</v>
      </c>
      <c r="F1396" s="161">
        <v>710.5</v>
      </c>
      <c r="G1396" s="162">
        <v>710.5</v>
      </c>
      <c r="H1396" s="67">
        <v>62</v>
      </c>
    </row>
    <row r="1397" spans="1:8" x14ac:dyDescent="0.25">
      <c r="A1397" s="212">
        <v>42065</v>
      </c>
      <c r="B1397" s="160" t="s">
        <v>1109</v>
      </c>
      <c r="C1397" t="s">
        <v>7</v>
      </c>
      <c r="D1397" t="s">
        <v>27</v>
      </c>
      <c r="E1397" s="161">
        <v>6</v>
      </c>
      <c r="F1397" s="161">
        <v>42.72</v>
      </c>
      <c r="G1397" s="162">
        <v>256.32</v>
      </c>
      <c r="H1397" s="67">
        <v>62</v>
      </c>
    </row>
    <row r="1398" spans="1:8" x14ac:dyDescent="0.25">
      <c r="A1398" s="212">
        <v>42065</v>
      </c>
      <c r="B1398" s="160" t="s">
        <v>623</v>
      </c>
      <c r="C1398" t="s">
        <v>7</v>
      </c>
      <c r="D1398" t="s">
        <v>527</v>
      </c>
      <c r="E1398" s="161">
        <v>3.5</v>
      </c>
      <c r="F1398" s="161">
        <v>49.7</v>
      </c>
      <c r="G1398" s="162">
        <v>173.95</v>
      </c>
      <c r="H1398" s="67">
        <v>62</v>
      </c>
    </row>
    <row r="1399" spans="1:8" x14ac:dyDescent="0.25">
      <c r="A1399" s="212">
        <v>42065</v>
      </c>
      <c r="B1399" s="160" t="s">
        <v>623</v>
      </c>
      <c r="C1399" t="s">
        <v>7</v>
      </c>
      <c r="D1399" t="s">
        <v>27</v>
      </c>
      <c r="E1399" s="161">
        <v>6.5</v>
      </c>
      <c r="F1399" s="161">
        <v>42.6</v>
      </c>
      <c r="G1399" s="162">
        <v>276.89999999999998</v>
      </c>
      <c r="H1399" s="67">
        <v>62</v>
      </c>
    </row>
    <row r="1400" spans="1:8" x14ac:dyDescent="0.25">
      <c r="A1400" s="212">
        <v>42065</v>
      </c>
      <c r="B1400" s="160" t="s">
        <v>286</v>
      </c>
      <c r="C1400" t="s">
        <v>633</v>
      </c>
      <c r="D1400" t="s">
        <v>27</v>
      </c>
      <c r="E1400" s="161">
        <v>8.5</v>
      </c>
      <c r="F1400" s="161">
        <v>90</v>
      </c>
      <c r="G1400" s="162">
        <v>765</v>
      </c>
      <c r="H1400" s="67">
        <v>62</v>
      </c>
    </row>
    <row r="1401" spans="1:8" x14ac:dyDescent="0.25">
      <c r="A1401" s="212">
        <v>42065</v>
      </c>
      <c r="B1401" s="160" t="s">
        <v>623</v>
      </c>
      <c r="C1401" t="s">
        <v>7</v>
      </c>
      <c r="D1401" t="s">
        <v>27</v>
      </c>
      <c r="E1401" s="161">
        <v>4.5</v>
      </c>
      <c r="F1401" s="161">
        <v>42.6</v>
      </c>
      <c r="G1401" s="162">
        <v>191.7</v>
      </c>
      <c r="H1401" s="67">
        <v>62</v>
      </c>
    </row>
    <row r="1402" spans="1:8" x14ac:dyDescent="0.25">
      <c r="A1402" s="212">
        <v>42066</v>
      </c>
      <c r="B1402" s="160" t="s">
        <v>286</v>
      </c>
      <c r="C1402" t="s">
        <v>633</v>
      </c>
      <c r="D1402" t="s">
        <v>27</v>
      </c>
      <c r="E1402" s="161">
        <v>7</v>
      </c>
      <c r="F1402" s="161">
        <v>90</v>
      </c>
      <c r="G1402" s="162">
        <v>630</v>
      </c>
      <c r="H1402" s="67">
        <v>62</v>
      </c>
    </row>
    <row r="1403" spans="1:8" x14ac:dyDescent="0.25">
      <c r="A1403" s="212">
        <v>42066</v>
      </c>
      <c r="B1403" s="160" t="s">
        <v>623</v>
      </c>
      <c r="C1403" t="s">
        <v>7</v>
      </c>
      <c r="D1403" t="s">
        <v>527</v>
      </c>
      <c r="E1403" s="161">
        <v>5</v>
      </c>
      <c r="F1403" s="161">
        <v>49.7</v>
      </c>
      <c r="G1403" s="162">
        <v>248.5</v>
      </c>
      <c r="H1403" s="67">
        <v>62</v>
      </c>
    </row>
    <row r="1404" spans="1:8" x14ac:dyDescent="0.25">
      <c r="A1404" s="212">
        <v>42066</v>
      </c>
      <c r="B1404" s="160" t="s">
        <v>623</v>
      </c>
      <c r="C1404" t="s">
        <v>7</v>
      </c>
      <c r="D1404" t="s">
        <v>27</v>
      </c>
      <c r="E1404" s="161">
        <v>5</v>
      </c>
      <c r="F1404" s="161">
        <v>46.85</v>
      </c>
      <c r="G1404" s="162">
        <v>954.46</v>
      </c>
      <c r="H1404" s="67">
        <v>62</v>
      </c>
    </row>
    <row r="1405" spans="1:8" x14ac:dyDescent="0.25">
      <c r="A1405" s="212">
        <v>42067</v>
      </c>
      <c r="B1405" s="160" t="s">
        <v>1109</v>
      </c>
      <c r="C1405" t="s">
        <v>7</v>
      </c>
      <c r="D1405" t="s">
        <v>27</v>
      </c>
      <c r="E1405" s="161">
        <v>6</v>
      </c>
      <c r="F1405" s="161">
        <v>42.72</v>
      </c>
      <c r="G1405" s="162">
        <v>256.32</v>
      </c>
      <c r="H1405" s="67">
        <v>62</v>
      </c>
    </row>
    <row r="1406" spans="1:8" x14ac:dyDescent="0.25">
      <c r="A1406" s="212">
        <v>42067</v>
      </c>
      <c r="B1406" s="160" t="s">
        <v>1212</v>
      </c>
      <c r="C1406" t="s">
        <v>7</v>
      </c>
      <c r="D1406" t="s">
        <v>27</v>
      </c>
      <c r="E1406" s="161">
        <v>6</v>
      </c>
      <c r="F1406" s="161">
        <v>42.72</v>
      </c>
      <c r="G1406" s="162">
        <v>256.32</v>
      </c>
      <c r="H1406" s="67">
        <v>62</v>
      </c>
    </row>
    <row r="1407" spans="1:8" x14ac:dyDescent="0.25">
      <c r="A1407" s="212">
        <v>42067</v>
      </c>
      <c r="B1407" s="160" t="s">
        <v>276</v>
      </c>
      <c r="C1407" t="s">
        <v>1220</v>
      </c>
      <c r="D1407" t="s">
        <v>27</v>
      </c>
      <c r="E1407" s="161">
        <v>10.5</v>
      </c>
      <c r="F1407" s="161">
        <v>35</v>
      </c>
      <c r="G1407" s="162">
        <v>367.5</v>
      </c>
      <c r="H1407" s="67">
        <v>62</v>
      </c>
    </row>
    <row r="1408" spans="1:8" x14ac:dyDescent="0.25">
      <c r="A1408" s="212">
        <v>42067</v>
      </c>
      <c r="B1408" s="160" t="s">
        <v>286</v>
      </c>
      <c r="C1408" t="s">
        <v>633</v>
      </c>
      <c r="D1408" t="s">
        <v>27</v>
      </c>
      <c r="E1408" s="161">
        <v>2</v>
      </c>
      <c r="F1408" s="161">
        <v>90</v>
      </c>
      <c r="G1408" s="162">
        <v>180</v>
      </c>
      <c r="H1408" s="67">
        <v>62</v>
      </c>
    </row>
    <row r="1409" spans="1:8" x14ac:dyDescent="0.25">
      <c r="A1409" s="213" t="s">
        <v>418</v>
      </c>
      <c r="B1409" s="214" t="s">
        <v>721</v>
      </c>
      <c r="C1409" s="215" t="s">
        <v>418</v>
      </c>
      <c r="D1409" s="215" t="s">
        <v>418</v>
      </c>
      <c r="E1409" s="216"/>
      <c r="F1409" s="216"/>
      <c r="G1409" s="217">
        <v>112261.32000000008</v>
      </c>
      <c r="H1409" s="231" t="s">
        <v>418</v>
      </c>
    </row>
    <row r="1410" spans="1:8" x14ac:dyDescent="0.25">
      <c r="A1410" s="212" t="s">
        <v>418</v>
      </c>
      <c r="B1410" s="160" t="s">
        <v>418</v>
      </c>
      <c r="C1410" t="s">
        <v>418</v>
      </c>
      <c r="D1410" t="s">
        <v>418</v>
      </c>
      <c r="E1410" s="161"/>
      <c r="F1410" s="161"/>
      <c r="G1410" s="162"/>
      <c r="H1410" s="67" t="s">
        <v>418</v>
      </c>
    </row>
    <row r="1411" spans="1:8" x14ac:dyDescent="0.25">
      <c r="A1411" s="209" t="s">
        <v>418</v>
      </c>
      <c r="B1411" s="159" t="s">
        <v>1243</v>
      </c>
      <c r="C1411" s="35" t="s">
        <v>418</v>
      </c>
      <c r="D1411" s="35" t="s">
        <v>418</v>
      </c>
      <c r="E1411" s="210"/>
      <c r="F1411" s="210"/>
      <c r="G1411" s="211"/>
      <c r="H1411" s="229" t="s">
        <v>418</v>
      </c>
    </row>
    <row r="1412" spans="1:8" x14ac:dyDescent="0.25">
      <c r="A1412" s="212">
        <v>41908</v>
      </c>
      <c r="B1412" s="160" t="s">
        <v>619</v>
      </c>
      <c r="C1412" t="s">
        <v>620</v>
      </c>
      <c r="D1412" t="s">
        <v>27</v>
      </c>
      <c r="E1412" s="161">
        <v>6.5</v>
      </c>
      <c r="F1412" s="161">
        <v>80</v>
      </c>
      <c r="G1412" s="162">
        <v>520</v>
      </c>
      <c r="H1412" s="67">
        <v>623</v>
      </c>
    </row>
    <row r="1413" spans="1:8" x14ac:dyDescent="0.25">
      <c r="A1413" s="212">
        <v>41908</v>
      </c>
      <c r="B1413" s="160" t="s">
        <v>634</v>
      </c>
      <c r="C1413" t="s">
        <v>635</v>
      </c>
      <c r="D1413" t="s">
        <v>27</v>
      </c>
      <c r="E1413" s="161">
        <v>3</v>
      </c>
      <c r="F1413" s="161">
        <v>92.5</v>
      </c>
      <c r="G1413" s="162">
        <v>277.5</v>
      </c>
      <c r="H1413" s="67">
        <v>623</v>
      </c>
    </row>
    <row r="1414" spans="1:8" x14ac:dyDescent="0.25">
      <c r="A1414" s="212">
        <v>41908</v>
      </c>
      <c r="B1414" s="160" t="s">
        <v>722</v>
      </c>
      <c r="C1414" t="s">
        <v>723</v>
      </c>
      <c r="D1414" t="s">
        <v>527</v>
      </c>
      <c r="E1414" s="161">
        <v>151.30000000000001</v>
      </c>
      <c r="F1414" s="161">
        <v>3</v>
      </c>
      <c r="G1414" s="162">
        <v>453.9</v>
      </c>
      <c r="H1414" s="67">
        <v>623</v>
      </c>
    </row>
    <row r="1415" spans="1:8" x14ac:dyDescent="0.25">
      <c r="A1415" s="212">
        <v>41908</v>
      </c>
      <c r="B1415" s="160" t="s">
        <v>623</v>
      </c>
      <c r="C1415" t="s">
        <v>7</v>
      </c>
      <c r="D1415" t="s">
        <v>27</v>
      </c>
      <c r="E1415" s="161">
        <v>5</v>
      </c>
      <c r="F1415" s="161">
        <v>46.85</v>
      </c>
      <c r="G1415" s="162">
        <v>234.25</v>
      </c>
      <c r="H1415" s="67">
        <v>623</v>
      </c>
    </row>
    <row r="1416" spans="1:8" x14ac:dyDescent="0.25">
      <c r="A1416" s="212">
        <v>41908</v>
      </c>
      <c r="B1416" s="160" t="s">
        <v>724</v>
      </c>
      <c r="C1416" t="s">
        <v>677</v>
      </c>
      <c r="D1416" t="s">
        <v>527</v>
      </c>
      <c r="E1416" s="161">
        <v>1</v>
      </c>
      <c r="F1416" s="161">
        <v>1126.3</v>
      </c>
      <c r="G1416" s="162">
        <v>1126.3</v>
      </c>
      <c r="H1416" s="67">
        <v>623</v>
      </c>
    </row>
    <row r="1417" spans="1:8" x14ac:dyDescent="0.25">
      <c r="A1417" s="212">
        <v>41909</v>
      </c>
      <c r="B1417" s="160" t="s">
        <v>722</v>
      </c>
      <c r="C1417" t="s">
        <v>723</v>
      </c>
      <c r="D1417" t="s">
        <v>527</v>
      </c>
      <c r="E1417" s="161">
        <v>560.9</v>
      </c>
      <c r="F1417" s="161">
        <v>3</v>
      </c>
      <c r="G1417" s="162">
        <v>1682.7</v>
      </c>
      <c r="H1417" s="67">
        <v>623</v>
      </c>
    </row>
    <row r="1418" spans="1:8" x14ac:dyDescent="0.25">
      <c r="A1418" s="212">
        <v>41909</v>
      </c>
      <c r="B1418" s="160" t="s">
        <v>701</v>
      </c>
      <c r="C1418" t="s">
        <v>702</v>
      </c>
      <c r="D1418" t="s">
        <v>27</v>
      </c>
      <c r="E1418" s="161">
        <v>7</v>
      </c>
      <c r="F1418" s="161">
        <v>140</v>
      </c>
      <c r="G1418" s="162">
        <v>980</v>
      </c>
      <c r="H1418" s="67">
        <v>623</v>
      </c>
    </row>
    <row r="1419" spans="1:8" x14ac:dyDescent="0.25">
      <c r="A1419" s="212">
        <v>41909</v>
      </c>
      <c r="B1419" s="160" t="s">
        <v>626</v>
      </c>
      <c r="C1419" t="s">
        <v>627</v>
      </c>
      <c r="D1419" t="s">
        <v>27</v>
      </c>
      <c r="E1419" s="161">
        <v>6.5</v>
      </c>
      <c r="F1419" s="161">
        <v>80</v>
      </c>
      <c r="G1419" s="162">
        <v>520</v>
      </c>
      <c r="H1419" s="67">
        <v>623</v>
      </c>
    </row>
    <row r="1420" spans="1:8" x14ac:dyDescent="0.25">
      <c r="A1420" s="212">
        <v>41911</v>
      </c>
      <c r="B1420" s="160" t="s">
        <v>701</v>
      </c>
      <c r="C1420" t="s">
        <v>702</v>
      </c>
      <c r="D1420" t="s">
        <v>27</v>
      </c>
      <c r="E1420" s="161">
        <v>5.5</v>
      </c>
      <c r="F1420" s="161">
        <v>140</v>
      </c>
      <c r="G1420" s="162">
        <v>770</v>
      </c>
      <c r="H1420" s="67">
        <v>623</v>
      </c>
    </row>
    <row r="1421" spans="1:8" x14ac:dyDescent="0.25">
      <c r="A1421" s="212">
        <v>41912</v>
      </c>
      <c r="B1421" s="160" t="s">
        <v>286</v>
      </c>
      <c r="C1421" t="s">
        <v>633</v>
      </c>
      <c r="D1421" t="s">
        <v>27</v>
      </c>
      <c r="E1421" s="161">
        <v>10</v>
      </c>
      <c r="F1421" s="161">
        <v>90</v>
      </c>
      <c r="G1421" s="162">
        <v>900</v>
      </c>
      <c r="H1421" s="67">
        <v>623</v>
      </c>
    </row>
    <row r="1422" spans="1:8" x14ac:dyDescent="0.25">
      <c r="A1422" s="212">
        <v>41912</v>
      </c>
      <c r="B1422" s="160" t="s">
        <v>722</v>
      </c>
      <c r="C1422" t="s">
        <v>723</v>
      </c>
      <c r="D1422" t="s">
        <v>527</v>
      </c>
      <c r="E1422" s="161">
        <v>660.75</v>
      </c>
      <c r="F1422" s="161">
        <v>3</v>
      </c>
      <c r="G1422" s="162">
        <v>1982.25</v>
      </c>
      <c r="H1422" s="67">
        <v>623</v>
      </c>
    </row>
    <row r="1423" spans="1:8" x14ac:dyDescent="0.25">
      <c r="A1423" s="212">
        <v>41912</v>
      </c>
      <c r="B1423" s="160" t="s">
        <v>623</v>
      </c>
      <c r="C1423" t="s">
        <v>7</v>
      </c>
      <c r="D1423" t="s">
        <v>27</v>
      </c>
      <c r="E1423" s="161">
        <v>10.5</v>
      </c>
      <c r="F1423" s="161">
        <v>42.6</v>
      </c>
      <c r="G1423" s="162">
        <v>447.3</v>
      </c>
      <c r="H1423" s="67">
        <v>623</v>
      </c>
    </row>
    <row r="1424" spans="1:8" x14ac:dyDescent="0.25">
      <c r="A1424" s="212">
        <v>41912</v>
      </c>
      <c r="B1424" s="160" t="s">
        <v>701</v>
      </c>
      <c r="C1424" t="s">
        <v>702</v>
      </c>
      <c r="D1424" t="s">
        <v>27</v>
      </c>
      <c r="E1424" s="161">
        <v>9.5</v>
      </c>
      <c r="F1424" s="161">
        <v>140</v>
      </c>
      <c r="G1424" s="162">
        <v>1330</v>
      </c>
      <c r="H1424" s="67">
        <v>623</v>
      </c>
    </row>
    <row r="1425" spans="1:8" x14ac:dyDescent="0.25">
      <c r="A1425" s="212">
        <v>41913</v>
      </c>
      <c r="B1425" s="160" t="s">
        <v>1212</v>
      </c>
      <c r="C1425" t="s">
        <v>7</v>
      </c>
      <c r="D1425" t="s">
        <v>27</v>
      </c>
      <c r="E1425" s="161">
        <v>3</v>
      </c>
      <c r="F1425" s="161">
        <v>42.72</v>
      </c>
      <c r="G1425" s="162">
        <v>128.16</v>
      </c>
      <c r="H1425" s="67">
        <v>623</v>
      </c>
    </row>
    <row r="1426" spans="1:8" x14ac:dyDescent="0.25">
      <c r="A1426" s="212">
        <v>41913</v>
      </c>
      <c r="B1426" s="160" t="s">
        <v>286</v>
      </c>
      <c r="C1426" t="s">
        <v>633</v>
      </c>
      <c r="D1426" t="s">
        <v>27</v>
      </c>
      <c r="E1426" s="161">
        <v>10.5</v>
      </c>
      <c r="F1426" s="161">
        <v>90</v>
      </c>
      <c r="G1426" s="162">
        <v>945</v>
      </c>
      <c r="H1426" s="67">
        <v>623</v>
      </c>
    </row>
    <row r="1427" spans="1:8" x14ac:dyDescent="0.25">
      <c r="A1427" s="212">
        <v>41913</v>
      </c>
      <c r="B1427" s="160" t="s">
        <v>634</v>
      </c>
      <c r="C1427" t="s">
        <v>635</v>
      </c>
      <c r="D1427" t="s">
        <v>27</v>
      </c>
      <c r="E1427" s="161">
        <v>1</v>
      </c>
      <c r="F1427" s="161">
        <v>92.5</v>
      </c>
      <c r="G1427" s="162">
        <v>92.5</v>
      </c>
      <c r="H1427" s="67">
        <v>623</v>
      </c>
    </row>
    <row r="1428" spans="1:8" x14ac:dyDescent="0.25">
      <c r="A1428" s="212">
        <v>41913</v>
      </c>
      <c r="B1428" s="160" t="s">
        <v>722</v>
      </c>
      <c r="C1428" t="s">
        <v>723</v>
      </c>
      <c r="D1428" t="s">
        <v>527</v>
      </c>
      <c r="E1428" s="161">
        <v>103.15</v>
      </c>
      <c r="F1428" s="161">
        <v>3</v>
      </c>
      <c r="G1428" s="162">
        <v>309.45</v>
      </c>
      <c r="H1428" s="67">
        <v>623</v>
      </c>
    </row>
    <row r="1429" spans="1:8" x14ac:dyDescent="0.25">
      <c r="A1429" s="212">
        <v>41913</v>
      </c>
      <c r="B1429" s="160" t="s">
        <v>1109</v>
      </c>
      <c r="C1429" t="s">
        <v>7</v>
      </c>
      <c r="D1429" t="s">
        <v>27</v>
      </c>
      <c r="E1429" s="161">
        <v>12</v>
      </c>
      <c r="F1429" s="161">
        <v>42.72</v>
      </c>
      <c r="G1429" s="162">
        <v>512.64</v>
      </c>
      <c r="H1429" s="67">
        <v>623</v>
      </c>
    </row>
    <row r="1430" spans="1:8" x14ac:dyDescent="0.25">
      <c r="A1430" s="212">
        <v>41913</v>
      </c>
      <c r="B1430" s="160" t="s">
        <v>701</v>
      </c>
      <c r="C1430" t="s">
        <v>702</v>
      </c>
      <c r="D1430" t="s">
        <v>27</v>
      </c>
      <c r="E1430" s="161">
        <v>11.5</v>
      </c>
      <c r="F1430" s="161">
        <v>140</v>
      </c>
      <c r="G1430" s="162">
        <v>1610</v>
      </c>
      <c r="H1430" s="67">
        <v>623</v>
      </c>
    </row>
    <row r="1431" spans="1:8" x14ac:dyDescent="0.25">
      <c r="A1431" s="212">
        <v>41913</v>
      </c>
      <c r="B1431" s="160" t="s">
        <v>1225</v>
      </c>
      <c r="C1431" t="s">
        <v>1210</v>
      </c>
      <c r="D1431" t="s">
        <v>27</v>
      </c>
      <c r="E1431" s="161">
        <v>5</v>
      </c>
      <c r="F1431" s="161">
        <v>42.79</v>
      </c>
      <c r="G1431" s="162">
        <v>213.95</v>
      </c>
      <c r="H1431" s="67">
        <v>623</v>
      </c>
    </row>
    <row r="1432" spans="1:8" x14ac:dyDescent="0.25">
      <c r="A1432" s="212">
        <v>41913</v>
      </c>
      <c r="B1432" s="160" t="s">
        <v>1211</v>
      </c>
      <c r="C1432" t="s">
        <v>1233</v>
      </c>
      <c r="D1432" t="s">
        <v>27</v>
      </c>
      <c r="E1432" s="161">
        <v>5</v>
      </c>
      <c r="F1432" s="161">
        <v>54.58</v>
      </c>
      <c r="G1432" s="162">
        <v>272.89999999999998</v>
      </c>
      <c r="H1432" s="67">
        <v>623</v>
      </c>
    </row>
    <row r="1433" spans="1:8" x14ac:dyDescent="0.25">
      <c r="A1433" s="212">
        <v>41913</v>
      </c>
      <c r="B1433" s="160" t="s">
        <v>7</v>
      </c>
      <c r="C1433" t="s">
        <v>622</v>
      </c>
      <c r="D1433" t="s">
        <v>27</v>
      </c>
      <c r="E1433" s="161">
        <v>6.5</v>
      </c>
      <c r="F1433" s="161">
        <v>45</v>
      </c>
      <c r="G1433" s="162">
        <v>292.5</v>
      </c>
      <c r="H1433" s="67">
        <v>623</v>
      </c>
    </row>
    <row r="1434" spans="1:8" x14ac:dyDescent="0.25">
      <c r="A1434" s="212">
        <v>41913</v>
      </c>
      <c r="B1434" s="160" t="s">
        <v>623</v>
      </c>
      <c r="C1434" t="s">
        <v>7</v>
      </c>
      <c r="D1434" t="s">
        <v>27</v>
      </c>
      <c r="E1434" s="161">
        <v>11.5</v>
      </c>
      <c r="F1434" s="161">
        <v>42.6</v>
      </c>
      <c r="G1434" s="162">
        <v>489.9</v>
      </c>
      <c r="H1434" s="67">
        <v>623</v>
      </c>
    </row>
    <row r="1435" spans="1:8" x14ac:dyDescent="0.25">
      <c r="A1435" s="212">
        <v>41914</v>
      </c>
      <c r="B1435" s="160" t="s">
        <v>701</v>
      </c>
      <c r="C1435" t="s">
        <v>702</v>
      </c>
      <c r="D1435" t="s">
        <v>27</v>
      </c>
      <c r="E1435" s="161">
        <v>8</v>
      </c>
      <c r="F1435" s="161">
        <v>140</v>
      </c>
      <c r="G1435" s="162">
        <v>1120</v>
      </c>
      <c r="H1435" s="67">
        <v>623</v>
      </c>
    </row>
    <row r="1436" spans="1:8" x14ac:dyDescent="0.25">
      <c r="A1436" s="212">
        <v>41914</v>
      </c>
      <c r="B1436" s="160" t="s">
        <v>7</v>
      </c>
      <c r="C1436" t="s">
        <v>622</v>
      </c>
      <c r="D1436" t="s">
        <v>27</v>
      </c>
      <c r="E1436" s="161">
        <v>3.5</v>
      </c>
      <c r="F1436" s="161">
        <v>45</v>
      </c>
      <c r="G1436" s="162">
        <v>157.5</v>
      </c>
      <c r="H1436" s="67">
        <v>623</v>
      </c>
    </row>
    <row r="1437" spans="1:8" x14ac:dyDescent="0.25">
      <c r="A1437" s="212">
        <v>41914</v>
      </c>
      <c r="B1437" s="160" t="s">
        <v>286</v>
      </c>
      <c r="C1437" t="s">
        <v>633</v>
      </c>
      <c r="D1437" t="s">
        <v>27</v>
      </c>
      <c r="E1437" s="161">
        <v>10</v>
      </c>
      <c r="F1437" s="161">
        <v>90</v>
      </c>
      <c r="G1437" s="162">
        <v>900</v>
      </c>
      <c r="H1437" s="67">
        <v>623</v>
      </c>
    </row>
    <row r="1438" spans="1:8" x14ac:dyDescent="0.25">
      <c r="A1438" s="212">
        <v>41914</v>
      </c>
      <c r="B1438" s="160" t="s">
        <v>623</v>
      </c>
      <c r="C1438" t="s">
        <v>7</v>
      </c>
      <c r="D1438" t="s">
        <v>27</v>
      </c>
      <c r="E1438" s="161">
        <v>9.5</v>
      </c>
      <c r="F1438" s="161">
        <v>42.6</v>
      </c>
      <c r="G1438" s="162">
        <v>404.7</v>
      </c>
      <c r="H1438" s="67">
        <v>623</v>
      </c>
    </row>
    <row r="1439" spans="1:8" x14ac:dyDescent="0.25">
      <c r="A1439" s="212">
        <v>41919</v>
      </c>
      <c r="B1439" s="160" t="s">
        <v>722</v>
      </c>
      <c r="C1439" t="s">
        <v>723</v>
      </c>
      <c r="D1439" t="s">
        <v>527</v>
      </c>
      <c r="E1439" s="161">
        <v>464.65</v>
      </c>
      <c r="F1439" s="161">
        <v>3</v>
      </c>
      <c r="G1439" s="162">
        <v>1393.95</v>
      </c>
      <c r="H1439" s="67">
        <v>623</v>
      </c>
    </row>
    <row r="1440" spans="1:8" x14ac:dyDescent="0.25">
      <c r="A1440" s="212">
        <v>41919</v>
      </c>
      <c r="B1440" s="160" t="s">
        <v>701</v>
      </c>
      <c r="C1440" t="s">
        <v>702</v>
      </c>
      <c r="D1440" t="s">
        <v>27</v>
      </c>
      <c r="E1440" s="161">
        <v>9.5</v>
      </c>
      <c r="F1440" s="161">
        <v>140</v>
      </c>
      <c r="G1440" s="162">
        <v>1330</v>
      </c>
      <c r="H1440" s="67">
        <v>623</v>
      </c>
    </row>
    <row r="1441" spans="1:8" x14ac:dyDescent="0.25">
      <c r="A1441" s="212">
        <v>41919</v>
      </c>
      <c r="B1441" s="160" t="s">
        <v>1109</v>
      </c>
      <c r="C1441" t="s">
        <v>7</v>
      </c>
      <c r="D1441" t="s">
        <v>27</v>
      </c>
      <c r="E1441" s="161">
        <v>11</v>
      </c>
      <c r="F1441" s="161">
        <v>42.72</v>
      </c>
      <c r="G1441" s="162">
        <v>469.92</v>
      </c>
      <c r="H1441" s="67">
        <v>623</v>
      </c>
    </row>
    <row r="1442" spans="1:8" x14ac:dyDescent="0.25">
      <c r="A1442" s="212">
        <v>41919</v>
      </c>
      <c r="B1442" s="160" t="s">
        <v>623</v>
      </c>
      <c r="C1442" t="s">
        <v>7</v>
      </c>
      <c r="D1442" t="s">
        <v>27</v>
      </c>
      <c r="E1442" s="161">
        <v>8.5</v>
      </c>
      <c r="F1442" s="161">
        <v>46.85</v>
      </c>
      <c r="G1442" s="162">
        <v>398.22500000000002</v>
      </c>
      <c r="H1442" s="67">
        <v>623</v>
      </c>
    </row>
    <row r="1443" spans="1:8" x14ac:dyDescent="0.25">
      <c r="A1443" s="212">
        <v>41919</v>
      </c>
      <c r="B1443" s="160" t="s">
        <v>623</v>
      </c>
      <c r="C1443" t="s">
        <v>7</v>
      </c>
      <c r="D1443" t="s">
        <v>27</v>
      </c>
      <c r="E1443" s="161">
        <v>10</v>
      </c>
      <c r="F1443" s="161">
        <v>42.6</v>
      </c>
      <c r="G1443" s="162">
        <v>426</v>
      </c>
      <c r="H1443" s="67">
        <v>623</v>
      </c>
    </row>
    <row r="1444" spans="1:8" x14ac:dyDescent="0.25">
      <c r="A1444" s="212">
        <v>41919</v>
      </c>
      <c r="B1444" s="160" t="s">
        <v>286</v>
      </c>
      <c r="C1444" t="s">
        <v>633</v>
      </c>
      <c r="D1444" t="s">
        <v>27</v>
      </c>
      <c r="E1444" s="161">
        <v>10</v>
      </c>
      <c r="F1444" s="161">
        <v>90</v>
      </c>
      <c r="G1444" s="162">
        <v>900</v>
      </c>
      <c r="H1444" s="67">
        <v>623</v>
      </c>
    </row>
    <row r="1445" spans="1:8" x14ac:dyDescent="0.25">
      <c r="A1445" s="212">
        <v>41920</v>
      </c>
      <c r="B1445" s="160" t="s">
        <v>1109</v>
      </c>
      <c r="C1445" t="s">
        <v>7</v>
      </c>
      <c r="D1445" t="s">
        <v>27</v>
      </c>
      <c r="E1445" s="161">
        <v>11</v>
      </c>
      <c r="F1445" s="161">
        <v>42.72</v>
      </c>
      <c r="G1445" s="162">
        <v>469.92</v>
      </c>
      <c r="H1445" s="67">
        <v>623</v>
      </c>
    </row>
    <row r="1446" spans="1:8" x14ac:dyDescent="0.25">
      <c r="A1446" s="212">
        <v>41921</v>
      </c>
      <c r="B1446" s="160" t="s">
        <v>701</v>
      </c>
      <c r="C1446" t="s">
        <v>702</v>
      </c>
      <c r="D1446" t="s">
        <v>27</v>
      </c>
      <c r="E1446" s="161">
        <v>9.5</v>
      </c>
      <c r="F1446" s="161">
        <v>140</v>
      </c>
      <c r="G1446" s="162">
        <v>1330</v>
      </c>
      <c r="H1446" s="67">
        <v>623</v>
      </c>
    </row>
    <row r="1447" spans="1:8" x14ac:dyDescent="0.25">
      <c r="A1447" s="212">
        <v>41921</v>
      </c>
      <c r="B1447" s="160" t="s">
        <v>286</v>
      </c>
      <c r="C1447" t="s">
        <v>633</v>
      </c>
      <c r="D1447" t="s">
        <v>27</v>
      </c>
      <c r="E1447" s="161">
        <v>10</v>
      </c>
      <c r="F1447" s="161">
        <v>90</v>
      </c>
      <c r="G1447" s="162">
        <v>900</v>
      </c>
      <c r="H1447" s="67">
        <v>623</v>
      </c>
    </row>
    <row r="1448" spans="1:8" x14ac:dyDescent="0.25">
      <c r="A1448" s="212">
        <v>41921</v>
      </c>
      <c r="B1448" s="160" t="s">
        <v>623</v>
      </c>
      <c r="C1448" t="s">
        <v>7</v>
      </c>
      <c r="D1448" t="s">
        <v>27</v>
      </c>
      <c r="E1448" s="161">
        <v>10</v>
      </c>
      <c r="F1448" s="161">
        <v>42.6</v>
      </c>
      <c r="G1448" s="162">
        <v>426</v>
      </c>
      <c r="H1448" s="67">
        <v>623</v>
      </c>
    </row>
    <row r="1449" spans="1:8" ht="30" x14ac:dyDescent="0.25">
      <c r="A1449" s="212">
        <v>41921</v>
      </c>
      <c r="B1449" s="160" t="s">
        <v>725</v>
      </c>
      <c r="C1449" t="s">
        <v>630</v>
      </c>
      <c r="D1449" t="s">
        <v>27</v>
      </c>
      <c r="E1449" s="161">
        <v>15</v>
      </c>
      <c r="F1449" s="161">
        <v>30</v>
      </c>
      <c r="G1449" s="162">
        <v>450</v>
      </c>
      <c r="H1449" s="67">
        <v>623</v>
      </c>
    </row>
    <row r="1450" spans="1:8" x14ac:dyDescent="0.25">
      <c r="A1450" s="212">
        <v>41921</v>
      </c>
      <c r="B1450" s="160" t="s">
        <v>722</v>
      </c>
      <c r="C1450" t="s">
        <v>723</v>
      </c>
      <c r="D1450" t="s">
        <v>527</v>
      </c>
      <c r="E1450" s="161">
        <v>399.45</v>
      </c>
      <c r="F1450" s="161">
        <v>3</v>
      </c>
      <c r="G1450" s="162">
        <v>1198.3499999999999</v>
      </c>
      <c r="H1450" s="67">
        <v>623</v>
      </c>
    </row>
    <row r="1451" spans="1:8" ht="30" x14ac:dyDescent="0.25">
      <c r="A1451" s="212">
        <v>41924</v>
      </c>
      <c r="B1451" s="160" t="s">
        <v>727</v>
      </c>
      <c r="C1451" t="s">
        <v>630</v>
      </c>
      <c r="D1451" t="s">
        <v>27</v>
      </c>
      <c r="E1451" s="161">
        <v>15</v>
      </c>
      <c r="F1451" s="161">
        <v>20</v>
      </c>
      <c r="G1451" s="162">
        <v>300</v>
      </c>
      <c r="H1451" s="67">
        <v>623</v>
      </c>
    </row>
    <row r="1452" spans="1:8" ht="30" x14ac:dyDescent="0.25">
      <c r="A1452" s="212">
        <v>41924</v>
      </c>
      <c r="B1452" s="160" t="s">
        <v>726</v>
      </c>
      <c r="C1452" t="s">
        <v>630</v>
      </c>
      <c r="D1452" t="s">
        <v>27</v>
      </c>
      <c r="E1452" s="161">
        <v>2</v>
      </c>
      <c r="F1452" s="161">
        <v>46</v>
      </c>
      <c r="G1452" s="162">
        <v>92</v>
      </c>
      <c r="H1452" s="67">
        <v>623</v>
      </c>
    </row>
    <row r="1453" spans="1:8" x14ac:dyDescent="0.25">
      <c r="A1453" s="212">
        <v>41925</v>
      </c>
      <c r="B1453" s="160" t="s">
        <v>722</v>
      </c>
      <c r="C1453" t="s">
        <v>723</v>
      </c>
      <c r="D1453" t="s">
        <v>527</v>
      </c>
      <c r="E1453" s="161">
        <v>545.5</v>
      </c>
      <c r="F1453" s="161">
        <v>3</v>
      </c>
      <c r="G1453" s="162">
        <v>1636.5</v>
      </c>
      <c r="H1453" s="67">
        <v>623</v>
      </c>
    </row>
    <row r="1454" spans="1:8" x14ac:dyDescent="0.25">
      <c r="A1454" s="212">
        <v>41925</v>
      </c>
      <c r="B1454" s="160" t="s">
        <v>623</v>
      </c>
      <c r="C1454" t="s">
        <v>7</v>
      </c>
      <c r="D1454" t="s">
        <v>527</v>
      </c>
      <c r="E1454" s="161">
        <v>10.5</v>
      </c>
      <c r="F1454" s="161">
        <v>49.7</v>
      </c>
      <c r="G1454" s="162">
        <v>521.85</v>
      </c>
      <c r="H1454" s="67">
        <v>623</v>
      </c>
    </row>
    <row r="1455" spans="1:8" x14ac:dyDescent="0.25">
      <c r="A1455" s="212">
        <v>41925</v>
      </c>
      <c r="B1455" s="160" t="s">
        <v>286</v>
      </c>
      <c r="C1455" t="s">
        <v>633</v>
      </c>
      <c r="D1455" t="s">
        <v>27</v>
      </c>
      <c r="E1455" s="161">
        <v>5</v>
      </c>
      <c r="F1455" s="161">
        <v>90</v>
      </c>
      <c r="G1455" s="162">
        <v>450</v>
      </c>
      <c r="H1455" s="67">
        <v>623</v>
      </c>
    </row>
    <row r="1456" spans="1:8" x14ac:dyDescent="0.25">
      <c r="A1456" s="212">
        <v>41925</v>
      </c>
      <c r="B1456" s="160" t="s">
        <v>623</v>
      </c>
      <c r="C1456" t="s">
        <v>7</v>
      </c>
      <c r="D1456" t="s">
        <v>27</v>
      </c>
      <c r="E1456" s="161">
        <v>3.5</v>
      </c>
      <c r="F1456" s="161">
        <v>42.6</v>
      </c>
      <c r="G1456" s="162">
        <v>149.1</v>
      </c>
      <c r="H1456" s="67">
        <v>623</v>
      </c>
    </row>
    <row r="1457" spans="1:8" x14ac:dyDescent="0.25">
      <c r="A1457" s="212">
        <v>41925</v>
      </c>
      <c r="B1457" s="160" t="s">
        <v>1211</v>
      </c>
      <c r="C1457" t="s">
        <v>1233</v>
      </c>
      <c r="D1457" t="s">
        <v>27</v>
      </c>
      <c r="E1457" s="161">
        <v>3.5</v>
      </c>
      <c r="F1457" s="161">
        <v>54.58</v>
      </c>
      <c r="G1457" s="162">
        <v>191.03</v>
      </c>
      <c r="H1457" s="67">
        <v>623</v>
      </c>
    </row>
    <row r="1458" spans="1:8" x14ac:dyDescent="0.25">
      <c r="A1458" s="212">
        <v>41925</v>
      </c>
      <c r="B1458" s="160" t="s">
        <v>619</v>
      </c>
      <c r="C1458" t="s">
        <v>620</v>
      </c>
      <c r="D1458" t="s">
        <v>27</v>
      </c>
      <c r="E1458" s="161">
        <v>7.5</v>
      </c>
      <c r="F1458" s="161">
        <v>80</v>
      </c>
      <c r="G1458" s="162">
        <v>600</v>
      </c>
      <c r="H1458" s="67">
        <v>623</v>
      </c>
    </row>
    <row r="1459" spans="1:8" x14ac:dyDescent="0.25">
      <c r="A1459" s="212">
        <v>41925</v>
      </c>
      <c r="B1459" s="160" t="s">
        <v>1109</v>
      </c>
      <c r="C1459" t="s">
        <v>7</v>
      </c>
      <c r="D1459" t="s">
        <v>27</v>
      </c>
      <c r="E1459" s="161">
        <v>7</v>
      </c>
      <c r="F1459" s="161">
        <v>42.72</v>
      </c>
      <c r="G1459" s="162">
        <v>299.04000000000002</v>
      </c>
      <c r="H1459" s="67">
        <v>623</v>
      </c>
    </row>
    <row r="1460" spans="1:8" x14ac:dyDescent="0.25">
      <c r="A1460" s="212">
        <v>41926</v>
      </c>
      <c r="B1460" s="160" t="s">
        <v>286</v>
      </c>
      <c r="C1460" t="s">
        <v>633</v>
      </c>
      <c r="D1460" t="s">
        <v>27</v>
      </c>
      <c r="E1460" s="161">
        <v>4</v>
      </c>
      <c r="F1460" s="161">
        <v>90</v>
      </c>
      <c r="G1460" s="162">
        <v>360</v>
      </c>
      <c r="H1460" s="67">
        <v>623</v>
      </c>
    </row>
    <row r="1461" spans="1:8" x14ac:dyDescent="0.25">
      <c r="A1461" s="212">
        <v>41926</v>
      </c>
      <c r="B1461" s="160" t="s">
        <v>631</v>
      </c>
      <c r="C1461" t="s">
        <v>632</v>
      </c>
      <c r="D1461" t="s">
        <v>27</v>
      </c>
      <c r="E1461" s="161">
        <v>0.5</v>
      </c>
      <c r="F1461" s="161">
        <v>80</v>
      </c>
      <c r="G1461" s="162">
        <v>40</v>
      </c>
      <c r="H1461" s="67">
        <v>623</v>
      </c>
    </row>
    <row r="1462" spans="1:8" x14ac:dyDescent="0.25">
      <c r="A1462" s="212">
        <v>41926</v>
      </c>
      <c r="B1462" s="160" t="s">
        <v>623</v>
      </c>
      <c r="C1462" t="s">
        <v>7</v>
      </c>
      <c r="D1462" t="s">
        <v>27</v>
      </c>
      <c r="E1462" s="161">
        <v>1</v>
      </c>
      <c r="F1462" s="161">
        <v>42.6</v>
      </c>
      <c r="G1462" s="162">
        <v>42.6</v>
      </c>
      <c r="H1462" s="67">
        <v>623</v>
      </c>
    </row>
    <row r="1463" spans="1:8" x14ac:dyDescent="0.25">
      <c r="A1463" s="212">
        <v>41926</v>
      </c>
      <c r="B1463" s="160" t="s">
        <v>1109</v>
      </c>
      <c r="C1463" t="s">
        <v>7</v>
      </c>
      <c r="D1463" t="s">
        <v>27</v>
      </c>
      <c r="E1463" s="161">
        <v>5</v>
      </c>
      <c r="F1463" s="161">
        <v>42.72</v>
      </c>
      <c r="G1463" s="162">
        <v>213.6</v>
      </c>
      <c r="H1463" s="67">
        <v>623</v>
      </c>
    </row>
    <row r="1464" spans="1:8" x14ac:dyDescent="0.25">
      <c r="A1464" s="212">
        <v>41926</v>
      </c>
      <c r="B1464" s="160" t="s">
        <v>701</v>
      </c>
      <c r="C1464" t="s">
        <v>702</v>
      </c>
      <c r="D1464" t="s">
        <v>27</v>
      </c>
      <c r="E1464" s="161">
        <v>4</v>
      </c>
      <c r="F1464" s="161">
        <v>140</v>
      </c>
      <c r="G1464" s="162">
        <v>560</v>
      </c>
      <c r="H1464" s="67">
        <v>623</v>
      </c>
    </row>
    <row r="1465" spans="1:8" x14ac:dyDescent="0.25">
      <c r="A1465" s="212">
        <v>41926</v>
      </c>
      <c r="B1465" s="160" t="s">
        <v>634</v>
      </c>
      <c r="C1465" t="s">
        <v>635</v>
      </c>
      <c r="D1465" t="s">
        <v>27</v>
      </c>
      <c r="E1465" s="161">
        <v>2.5</v>
      </c>
      <c r="F1465" s="161">
        <v>92.5</v>
      </c>
      <c r="G1465" s="162">
        <v>231.25</v>
      </c>
      <c r="H1465" s="67">
        <v>623</v>
      </c>
    </row>
    <row r="1466" spans="1:8" x14ac:dyDescent="0.25">
      <c r="A1466" s="212">
        <v>41926</v>
      </c>
      <c r="B1466" s="160" t="s">
        <v>722</v>
      </c>
      <c r="C1466" t="s">
        <v>723</v>
      </c>
      <c r="D1466" t="s">
        <v>527</v>
      </c>
      <c r="E1466" s="161">
        <v>49.4</v>
      </c>
      <c r="F1466" s="161">
        <v>3</v>
      </c>
      <c r="G1466" s="162">
        <v>148.19999999999999</v>
      </c>
      <c r="H1466" s="67">
        <v>623</v>
      </c>
    </row>
    <row r="1467" spans="1:8" x14ac:dyDescent="0.25">
      <c r="A1467" s="212">
        <v>41927</v>
      </c>
      <c r="B1467" s="160" t="s">
        <v>286</v>
      </c>
      <c r="C1467" t="s">
        <v>633</v>
      </c>
      <c r="D1467" t="s">
        <v>27</v>
      </c>
      <c r="E1467" s="161">
        <v>5</v>
      </c>
      <c r="F1467" s="161">
        <v>90</v>
      </c>
      <c r="G1467" s="162">
        <v>450</v>
      </c>
      <c r="H1467" s="67">
        <v>623</v>
      </c>
    </row>
    <row r="1468" spans="1:8" x14ac:dyDescent="0.25">
      <c r="A1468" s="212">
        <v>41928</v>
      </c>
      <c r="B1468" s="160" t="s">
        <v>286</v>
      </c>
      <c r="C1468" t="s">
        <v>633</v>
      </c>
      <c r="D1468" t="s">
        <v>27</v>
      </c>
      <c r="E1468" s="161">
        <v>5</v>
      </c>
      <c r="F1468" s="161">
        <v>90</v>
      </c>
      <c r="G1468" s="162">
        <v>450</v>
      </c>
      <c r="H1468" s="67">
        <v>623</v>
      </c>
    </row>
    <row r="1469" spans="1:8" x14ac:dyDescent="0.25">
      <c r="A1469" s="212">
        <v>41929</v>
      </c>
      <c r="B1469" s="160" t="s">
        <v>722</v>
      </c>
      <c r="C1469" t="s">
        <v>723</v>
      </c>
      <c r="D1469" t="s">
        <v>527</v>
      </c>
      <c r="E1469" s="161">
        <v>934.69</v>
      </c>
      <c r="F1469" s="161">
        <v>3</v>
      </c>
      <c r="G1469" s="162">
        <v>2804.07</v>
      </c>
      <c r="H1469" s="67">
        <v>623</v>
      </c>
    </row>
    <row r="1470" spans="1:8" x14ac:dyDescent="0.25">
      <c r="A1470" s="212">
        <v>41929</v>
      </c>
      <c r="B1470" s="160" t="s">
        <v>623</v>
      </c>
      <c r="C1470" t="s">
        <v>7</v>
      </c>
      <c r="D1470" t="s">
        <v>27</v>
      </c>
      <c r="E1470" s="161">
        <v>10.5</v>
      </c>
      <c r="F1470" s="161">
        <v>42.6</v>
      </c>
      <c r="G1470" s="162">
        <v>447.3</v>
      </c>
      <c r="H1470" s="67">
        <v>623</v>
      </c>
    </row>
    <row r="1471" spans="1:8" x14ac:dyDescent="0.25">
      <c r="A1471" s="212">
        <v>41929</v>
      </c>
      <c r="B1471" s="160" t="s">
        <v>286</v>
      </c>
      <c r="C1471" t="s">
        <v>633</v>
      </c>
      <c r="D1471" t="s">
        <v>27</v>
      </c>
      <c r="E1471" s="161">
        <v>10.5</v>
      </c>
      <c r="F1471" s="161">
        <v>90</v>
      </c>
      <c r="G1471" s="162">
        <v>945</v>
      </c>
      <c r="H1471" s="67">
        <v>623</v>
      </c>
    </row>
    <row r="1472" spans="1:8" x14ac:dyDescent="0.25">
      <c r="A1472" s="212">
        <v>41929</v>
      </c>
      <c r="B1472" s="160" t="s">
        <v>1109</v>
      </c>
      <c r="C1472" t="s">
        <v>7</v>
      </c>
      <c r="D1472" t="s">
        <v>27</v>
      </c>
      <c r="E1472" s="161">
        <v>6.5</v>
      </c>
      <c r="F1472" s="161">
        <v>42.72</v>
      </c>
      <c r="G1472" s="162">
        <v>277.68</v>
      </c>
      <c r="H1472" s="67">
        <v>623</v>
      </c>
    </row>
    <row r="1473" spans="1:8" x14ac:dyDescent="0.25">
      <c r="A1473" s="212">
        <v>41930</v>
      </c>
      <c r="B1473" s="160" t="s">
        <v>286</v>
      </c>
      <c r="C1473" t="s">
        <v>633</v>
      </c>
      <c r="D1473" t="s">
        <v>27</v>
      </c>
      <c r="E1473" s="161">
        <v>6.5</v>
      </c>
      <c r="F1473" s="161">
        <v>90</v>
      </c>
      <c r="G1473" s="162">
        <v>585</v>
      </c>
      <c r="H1473" s="67">
        <v>623</v>
      </c>
    </row>
    <row r="1474" spans="1:8" x14ac:dyDescent="0.25">
      <c r="A1474" s="212">
        <v>41930</v>
      </c>
      <c r="B1474" s="160" t="s">
        <v>634</v>
      </c>
      <c r="C1474" t="s">
        <v>635</v>
      </c>
      <c r="D1474" t="s">
        <v>27</v>
      </c>
      <c r="E1474" s="161">
        <v>2</v>
      </c>
      <c r="F1474" s="161">
        <v>92.5</v>
      </c>
      <c r="G1474" s="162">
        <v>185</v>
      </c>
      <c r="H1474" s="67">
        <v>623</v>
      </c>
    </row>
    <row r="1475" spans="1:8" x14ac:dyDescent="0.25">
      <c r="A1475" s="212">
        <v>41930</v>
      </c>
      <c r="B1475" s="160" t="s">
        <v>701</v>
      </c>
      <c r="C1475" t="s">
        <v>702</v>
      </c>
      <c r="D1475" t="s">
        <v>27</v>
      </c>
      <c r="E1475" s="161">
        <v>6.5</v>
      </c>
      <c r="F1475" s="161">
        <v>140</v>
      </c>
      <c r="G1475" s="162">
        <v>910</v>
      </c>
      <c r="H1475" s="67">
        <v>623</v>
      </c>
    </row>
    <row r="1476" spans="1:8" x14ac:dyDescent="0.25">
      <c r="A1476" s="212">
        <v>41930</v>
      </c>
      <c r="B1476" s="160" t="s">
        <v>623</v>
      </c>
      <c r="C1476" t="s">
        <v>7</v>
      </c>
      <c r="D1476" t="s">
        <v>27</v>
      </c>
      <c r="E1476" s="161">
        <v>10.5</v>
      </c>
      <c r="F1476" s="161">
        <v>46.85</v>
      </c>
      <c r="G1476" s="162">
        <v>491.92500000000001</v>
      </c>
      <c r="H1476" s="67">
        <v>623</v>
      </c>
    </row>
    <row r="1477" spans="1:8" x14ac:dyDescent="0.25">
      <c r="A1477" s="212">
        <v>41930</v>
      </c>
      <c r="B1477" s="160" t="s">
        <v>722</v>
      </c>
      <c r="C1477" t="s">
        <v>723</v>
      </c>
      <c r="D1477" t="s">
        <v>527</v>
      </c>
      <c r="E1477" s="161">
        <v>305.8</v>
      </c>
      <c r="F1477" s="161">
        <v>3</v>
      </c>
      <c r="G1477" s="162">
        <v>917.4</v>
      </c>
      <c r="H1477" s="67">
        <v>623</v>
      </c>
    </row>
    <row r="1478" spans="1:8" x14ac:dyDescent="0.25">
      <c r="A1478" s="212">
        <v>41930</v>
      </c>
      <c r="B1478" s="160" t="s">
        <v>1211</v>
      </c>
      <c r="C1478" t="s">
        <v>1233</v>
      </c>
      <c r="D1478" t="s">
        <v>27</v>
      </c>
      <c r="E1478" s="161">
        <v>4.5</v>
      </c>
      <c r="F1478" s="161">
        <v>54.58</v>
      </c>
      <c r="G1478" s="162">
        <v>245.61</v>
      </c>
      <c r="H1478" s="67">
        <v>623</v>
      </c>
    </row>
    <row r="1479" spans="1:8" x14ac:dyDescent="0.25">
      <c r="A1479" s="212">
        <v>41930</v>
      </c>
      <c r="B1479" s="160" t="s">
        <v>1212</v>
      </c>
      <c r="C1479" t="s">
        <v>7</v>
      </c>
      <c r="D1479" t="s">
        <v>27</v>
      </c>
      <c r="E1479" s="161">
        <v>6.5</v>
      </c>
      <c r="F1479" s="161">
        <v>42.72</v>
      </c>
      <c r="G1479" s="162">
        <v>277.68</v>
      </c>
      <c r="H1479" s="67">
        <v>623</v>
      </c>
    </row>
    <row r="1480" spans="1:8" x14ac:dyDescent="0.25">
      <c r="A1480" s="212">
        <v>41930</v>
      </c>
      <c r="B1480" s="160" t="s">
        <v>623</v>
      </c>
      <c r="C1480" t="s">
        <v>7</v>
      </c>
      <c r="D1480" t="s">
        <v>527</v>
      </c>
      <c r="E1480" s="161">
        <v>6.5</v>
      </c>
      <c r="F1480" s="161">
        <v>49.7</v>
      </c>
      <c r="G1480" s="162">
        <v>323.05</v>
      </c>
      <c r="H1480" s="67">
        <v>623</v>
      </c>
    </row>
    <row r="1481" spans="1:8" x14ac:dyDescent="0.25">
      <c r="A1481" s="212">
        <v>41930</v>
      </c>
      <c r="B1481" s="160" t="s">
        <v>619</v>
      </c>
      <c r="C1481" t="s">
        <v>620</v>
      </c>
      <c r="D1481" t="s">
        <v>27</v>
      </c>
      <c r="E1481" s="161">
        <v>2</v>
      </c>
      <c r="F1481" s="161">
        <v>80</v>
      </c>
      <c r="G1481" s="162">
        <v>160</v>
      </c>
      <c r="H1481" s="67">
        <v>623</v>
      </c>
    </row>
    <row r="1482" spans="1:8" x14ac:dyDescent="0.25">
      <c r="A1482" s="212">
        <v>41930</v>
      </c>
      <c r="B1482" s="160" t="s">
        <v>623</v>
      </c>
      <c r="C1482" t="s">
        <v>7</v>
      </c>
      <c r="D1482" t="s">
        <v>27</v>
      </c>
      <c r="E1482" s="161">
        <v>7.5</v>
      </c>
      <c r="F1482" s="161">
        <v>42.6</v>
      </c>
      <c r="G1482" s="162">
        <v>319.5</v>
      </c>
      <c r="H1482" s="67">
        <v>623</v>
      </c>
    </row>
    <row r="1483" spans="1:8" x14ac:dyDescent="0.25">
      <c r="A1483" s="212">
        <v>41931</v>
      </c>
      <c r="B1483" s="160" t="s">
        <v>728</v>
      </c>
      <c r="C1483" t="s">
        <v>630</v>
      </c>
      <c r="D1483" t="s">
        <v>27</v>
      </c>
      <c r="E1483" s="161">
        <v>6</v>
      </c>
      <c r="F1483" s="161">
        <v>20</v>
      </c>
      <c r="G1483" s="162">
        <v>120</v>
      </c>
      <c r="H1483" s="67">
        <v>623</v>
      </c>
    </row>
    <row r="1484" spans="1:8" x14ac:dyDescent="0.25">
      <c r="A1484" s="212">
        <v>41932</v>
      </c>
      <c r="B1484" s="160" t="s">
        <v>286</v>
      </c>
      <c r="C1484" t="s">
        <v>633</v>
      </c>
      <c r="D1484" t="s">
        <v>27</v>
      </c>
      <c r="E1484" s="161">
        <v>11</v>
      </c>
      <c r="F1484" s="161">
        <v>90</v>
      </c>
      <c r="G1484" s="162">
        <v>990</v>
      </c>
      <c r="H1484" s="67">
        <v>623</v>
      </c>
    </row>
    <row r="1485" spans="1:8" x14ac:dyDescent="0.25">
      <c r="A1485" s="212">
        <v>41933</v>
      </c>
      <c r="B1485" s="160" t="s">
        <v>701</v>
      </c>
      <c r="C1485" t="s">
        <v>702</v>
      </c>
      <c r="D1485" t="s">
        <v>27</v>
      </c>
      <c r="E1485" s="161">
        <v>5.5</v>
      </c>
      <c r="F1485" s="161">
        <v>140</v>
      </c>
      <c r="G1485" s="162">
        <v>770</v>
      </c>
      <c r="H1485" s="67">
        <v>623</v>
      </c>
    </row>
    <row r="1486" spans="1:8" x14ac:dyDescent="0.25">
      <c r="A1486" s="212">
        <v>41933</v>
      </c>
      <c r="B1486" s="160" t="s">
        <v>1212</v>
      </c>
      <c r="C1486" t="s">
        <v>7</v>
      </c>
      <c r="D1486" t="s">
        <v>27</v>
      </c>
      <c r="E1486" s="161">
        <v>10</v>
      </c>
      <c r="F1486" s="161">
        <v>42.72</v>
      </c>
      <c r="G1486" s="162">
        <v>427.2</v>
      </c>
      <c r="H1486" s="67">
        <v>623</v>
      </c>
    </row>
    <row r="1487" spans="1:8" x14ac:dyDescent="0.25">
      <c r="A1487" s="212">
        <v>41933</v>
      </c>
      <c r="B1487" s="160" t="s">
        <v>1209</v>
      </c>
      <c r="C1487" t="s">
        <v>1210</v>
      </c>
      <c r="D1487" t="s">
        <v>27</v>
      </c>
      <c r="E1487" s="161">
        <v>4.5</v>
      </c>
      <c r="F1487" s="161">
        <v>42.79</v>
      </c>
      <c r="G1487" s="162">
        <v>192.55500000000001</v>
      </c>
      <c r="H1487" s="67">
        <v>623</v>
      </c>
    </row>
    <row r="1488" spans="1:8" x14ac:dyDescent="0.25">
      <c r="A1488" s="212">
        <v>41933</v>
      </c>
      <c r="B1488" s="160" t="s">
        <v>722</v>
      </c>
      <c r="C1488" t="s">
        <v>723</v>
      </c>
      <c r="D1488" t="s">
        <v>527</v>
      </c>
      <c r="E1488" s="161">
        <v>252.3</v>
      </c>
      <c r="F1488" s="161">
        <v>3</v>
      </c>
      <c r="G1488" s="162">
        <v>756.9</v>
      </c>
      <c r="H1488" s="67">
        <v>623</v>
      </c>
    </row>
    <row r="1489" spans="1:8" x14ac:dyDescent="0.25">
      <c r="A1489" s="212">
        <v>41933</v>
      </c>
      <c r="B1489" s="160" t="s">
        <v>1109</v>
      </c>
      <c r="C1489" t="s">
        <v>7</v>
      </c>
      <c r="D1489" t="s">
        <v>27</v>
      </c>
      <c r="E1489" s="161">
        <v>4</v>
      </c>
      <c r="F1489" s="161">
        <v>42.72</v>
      </c>
      <c r="G1489" s="162">
        <v>170.88</v>
      </c>
      <c r="H1489" s="67">
        <v>623</v>
      </c>
    </row>
    <row r="1490" spans="1:8" x14ac:dyDescent="0.25">
      <c r="A1490" s="212">
        <v>41933</v>
      </c>
      <c r="B1490" s="160" t="s">
        <v>286</v>
      </c>
      <c r="C1490" t="s">
        <v>633</v>
      </c>
      <c r="D1490" t="s">
        <v>27</v>
      </c>
      <c r="E1490" s="161">
        <v>10</v>
      </c>
      <c r="F1490" s="161">
        <v>90</v>
      </c>
      <c r="G1490" s="162">
        <v>900</v>
      </c>
      <c r="H1490" s="67">
        <v>623</v>
      </c>
    </row>
    <row r="1491" spans="1:8" x14ac:dyDescent="0.25">
      <c r="A1491" s="212">
        <v>41933</v>
      </c>
      <c r="B1491" s="160" t="s">
        <v>1211</v>
      </c>
      <c r="C1491" t="s">
        <v>1233</v>
      </c>
      <c r="D1491" t="s">
        <v>27</v>
      </c>
      <c r="E1491" s="161">
        <v>4</v>
      </c>
      <c r="F1491" s="161">
        <v>54.58</v>
      </c>
      <c r="G1491" s="162">
        <v>218.32</v>
      </c>
      <c r="H1491" s="67">
        <v>623</v>
      </c>
    </row>
    <row r="1492" spans="1:8" x14ac:dyDescent="0.25">
      <c r="A1492" s="212">
        <v>41933</v>
      </c>
      <c r="B1492" s="160" t="s">
        <v>623</v>
      </c>
      <c r="C1492" t="s">
        <v>7</v>
      </c>
      <c r="D1492" t="s">
        <v>27</v>
      </c>
      <c r="E1492" s="161">
        <v>5</v>
      </c>
      <c r="F1492" s="161">
        <v>42.6</v>
      </c>
      <c r="G1492" s="162">
        <v>213</v>
      </c>
      <c r="H1492" s="67">
        <v>623</v>
      </c>
    </row>
    <row r="1493" spans="1:8" x14ac:dyDescent="0.25">
      <c r="A1493" s="212">
        <v>41934</v>
      </c>
      <c r="B1493" s="160" t="s">
        <v>286</v>
      </c>
      <c r="C1493" t="s">
        <v>633</v>
      </c>
      <c r="D1493" t="s">
        <v>27</v>
      </c>
      <c r="E1493" s="161">
        <v>3</v>
      </c>
      <c r="F1493" s="161">
        <v>90</v>
      </c>
      <c r="G1493" s="162">
        <v>270</v>
      </c>
      <c r="H1493" s="67">
        <v>623</v>
      </c>
    </row>
    <row r="1494" spans="1:8" x14ac:dyDescent="0.25">
      <c r="A1494" s="212">
        <v>41934</v>
      </c>
      <c r="B1494" s="160" t="s">
        <v>722</v>
      </c>
      <c r="C1494" t="s">
        <v>723</v>
      </c>
      <c r="D1494" t="s">
        <v>527</v>
      </c>
      <c r="E1494" s="161">
        <v>204.8</v>
      </c>
      <c r="F1494" s="161">
        <v>3</v>
      </c>
      <c r="G1494" s="162">
        <v>614.4</v>
      </c>
      <c r="H1494" s="67">
        <v>623</v>
      </c>
    </row>
    <row r="1495" spans="1:8" x14ac:dyDescent="0.25">
      <c r="A1495" s="212">
        <v>41934</v>
      </c>
      <c r="B1495" s="160" t="s">
        <v>1212</v>
      </c>
      <c r="C1495" t="s">
        <v>7</v>
      </c>
      <c r="D1495" t="s">
        <v>27</v>
      </c>
      <c r="E1495" s="161">
        <v>10</v>
      </c>
      <c r="F1495" s="161">
        <v>42.72</v>
      </c>
      <c r="G1495" s="162">
        <v>427.2</v>
      </c>
      <c r="H1495" s="67">
        <v>623</v>
      </c>
    </row>
    <row r="1496" spans="1:8" x14ac:dyDescent="0.25">
      <c r="A1496" s="212">
        <v>41934</v>
      </c>
      <c r="B1496" s="160" t="s">
        <v>623</v>
      </c>
      <c r="C1496" t="s">
        <v>7</v>
      </c>
      <c r="D1496" t="s">
        <v>27</v>
      </c>
      <c r="E1496" s="161">
        <v>10</v>
      </c>
      <c r="F1496" s="161">
        <v>42.6</v>
      </c>
      <c r="G1496" s="162">
        <v>426</v>
      </c>
      <c r="H1496" s="67">
        <v>623</v>
      </c>
    </row>
    <row r="1497" spans="1:8" x14ac:dyDescent="0.25">
      <c r="A1497" s="212">
        <v>41934</v>
      </c>
      <c r="B1497" s="160" t="s">
        <v>286</v>
      </c>
      <c r="C1497" t="s">
        <v>633</v>
      </c>
      <c r="D1497" t="s">
        <v>27</v>
      </c>
      <c r="E1497" s="161">
        <v>3</v>
      </c>
      <c r="F1497" s="161">
        <v>90</v>
      </c>
      <c r="G1497" s="162">
        <v>270</v>
      </c>
      <c r="H1497" s="67">
        <v>623</v>
      </c>
    </row>
    <row r="1498" spans="1:8" x14ac:dyDescent="0.25">
      <c r="A1498" s="212">
        <v>41934</v>
      </c>
      <c r="B1498" s="160" t="s">
        <v>701</v>
      </c>
      <c r="C1498" t="s">
        <v>702</v>
      </c>
      <c r="D1498" t="s">
        <v>27</v>
      </c>
      <c r="E1498" s="161">
        <v>10</v>
      </c>
      <c r="F1498" s="161">
        <v>140</v>
      </c>
      <c r="G1498" s="162">
        <v>1400</v>
      </c>
      <c r="H1498" s="67">
        <v>623</v>
      </c>
    </row>
    <row r="1499" spans="1:8" x14ac:dyDescent="0.25">
      <c r="A1499" s="212">
        <v>41935</v>
      </c>
      <c r="B1499" s="160" t="s">
        <v>623</v>
      </c>
      <c r="C1499" t="s">
        <v>7</v>
      </c>
      <c r="D1499" t="s">
        <v>27</v>
      </c>
      <c r="E1499" s="161">
        <v>10</v>
      </c>
      <c r="F1499" s="161">
        <v>42.6</v>
      </c>
      <c r="G1499" s="162">
        <v>426</v>
      </c>
      <c r="H1499" s="67">
        <v>623</v>
      </c>
    </row>
    <row r="1500" spans="1:8" x14ac:dyDescent="0.25">
      <c r="A1500" s="212">
        <v>41935</v>
      </c>
      <c r="B1500" s="160" t="s">
        <v>1211</v>
      </c>
      <c r="C1500" t="s">
        <v>1233</v>
      </c>
      <c r="D1500" t="s">
        <v>27</v>
      </c>
      <c r="E1500" s="161">
        <v>4</v>
      </c>
      <c r="F1500" s="161">
        <v>54.58</v>
      </c>
      <c r="G1500" s="162">
        <v>218.32</v>
      </c>
      <c r="H1500" s="67">
        <v>623</v>
      </c>
    </row>
    <row r="1501" spans="1:8" x14ac:dyDescent="0.25">
      <c r="A1501" s="212">
        <v>41935</v>
      </c>
      <c r="B1501" s="160" t="s">
        <v>1109</v>
      </c>
      <c r="C1501" t="s">
        <v>7</v>
      </c>
      <c r="D1501" t="s">
        <v>27</v>
      </c>
      <c r="E1501" s="161">
        <v>4</v>
      </c>
      <c r="F1501" s="161">
        <v>42.72</v>
      </c>
      <c r="G1501" s="162">
        <v>170.88</v>
      </c>
      <c r="H1501" s="67">
        <v>623</v>
      </c>
    </row>
    <row r="1502" spans="1:8" x14ac:dyDescent="0.25">
      <c r="A1502" s="212">
        <v>41935</v>
      </c>
      <c r="B1502" s="160" t="s">
        <v>286</v>
      </c>
      <c r="C1502" t="s">
        <v>633</v>
      </c>
      <c r="D1502" t="s">
        <v>27</v>
      </c>
      <c r="E1502" s="161">
        <v>2.75</v>
      </c>
      <c r="F1502" s="161">
        <v>80</v>
      </c>
      <c r="G1502" s="162">
        <v>220</v>
      </c>
      <c r="H1502" s="67">
        <v>623</v>
      </c>
    </row>
    <row r="1503" spans="1:8" x14ac:dyDescent="0.25">
      <c r="A1503" s="212">
        <v>41935</v>
      </c>
      <c r="B1503" s="160" t="s">
        <v>634</v>
      </c>
      <c r="C1503" t="s">
        <v>635</v>
      </c>
      <c r="D1503" t="s">
        <v>27</v>
      </c>
      <c r="E1503" s="161">
        <v>5</v>
      </c>
      <c r="F1503" s="161">
        <v>92.5</v>
      </c>
      <c r="G1503" s="162">
        <v>462.5</v>
      </c>
      <c r="H1503" s="67">
        <v>623</v>
      </c>
    </row>
    <row r="1504" spans="1:8" x14ac:dyDescent="0.25">
      <c r="A1504" s="212">
        <v>41935</v>
      </c>
      <c r="B1504" s="160" t="s">
        <v>1209</v>
      </c>
      <c r="C1504" t="s">
        <v>1210</v>
      </c>
      <c r="D1504" t="s">
        <v>27</v>
      </c>
      <c r="E1504" s="161">
        <v>3.5</v>
      </c>
      <c r="F1504" s="161">
        <v>42.79</v>
      </c>
      <c r="G1504" s="162">
        <v>149.76499999999999</v>
      </c>
      <c r="H1504" s="67">
        <v>623</v>
      </c>
    </row>
    <row r="1505" spans="1:8" x14ac:dyDescent="0.25">
      <c r="A1505" s="212">
        <v>41935</v>
      </c>
      <c r="B1505" s="160" t="s">
        <v>286</v>
      </c>
      <c r="C1505" t="s">
        <v>633</v>
      </c>
      <c r="D1505" t="s">
        <v>27</v>
      </c>
      <c r="E1505" s="161">
        <v>5</v>
      </c>
      <c r="F1505" s="161">
        <v>90</v>
      </c>
      <c r="G1505" s="162">
        <v>450</v>
      </c>
      <c r="H1505" s="67">
        <v>623</v>
      </c>
    </row>
    <row r="1506" spans="1:8" x14ac:dyDescent="0.25">
      <c r="A1506" s="212">
        <v>41935</v>
      </c>
      <c r="B1506" s="160" t="s">
        <v>701</v>
      </c>
      <c r="C1506" t="s">
        <v>702</v>
      </c>
      <c r="D1506" t="s">
        <v>27</v>
      </c>
      <c r="E1506" s="161">
        <v>10.5</v>
      </c>
      <c r="F1506" s="161">
        <v>140</v>
      </c>
      <c r="G1506" s="162">
        <v>1470</v>
      </c>
      <c r="H1506" s="67">
        <v>623</v>
      </c>
    </row>
    <row r="1507" spans="1:8" x14ac:dyDescent="0.25">
      <c r="A1507" s="212">
        <v>41935</v>
      </c>
      <c r="B1507" s="160" t="s">
        <v>1212</v>
      </c>
      <c r="C1507" t="s">
        <v>7</v>
      </c>
      <c r="D1507" t="s">
        <v>27</v>
      </c>
      <c r="E1507" s="161">
        <v>10</v>
      </c>
      <c r="F1507" s="161">
        <v>42.72</v>
      </c>
      <c r="G1507" s="162">
        <v>427.2</v>
      </c>
      <c r="H1507" s="67">
        <v>623</v>
      </c>
    </row>
    <row r="1508" spans="1:8" x14ac:dyDescent="0.25">
      <c r="A1508" s="212">
        <v>41936</v>
      </c>
      <c r="B1508" s="160" t="s">
        <v>286</v>
      </c>
      <c r="C1508" t="s">
        <v>633</v>
      </c>
      <c r="D1508" t="s">
        <v>27</v>
      </c>
      <c r="E1508" s="161">
        <v>2.5</v>
      </c>
      <c r="F1508" s="161">
        <v>90</v>
      </c>
      <c r="G1508" s="162">
        <v>225</v>
      </c>
      <c r="H1508" s="67">
        <v>623</v>
      </c>
    </row>
    <row r="1509" spans="1:8" x14ac:dyDescent="0.25">
      <c r="A1509" s="212">
        <v>41936</v>
      </c>
      <c r="B1509" s="160" t="s">
        <v>634</v>
      </c>
      <c r="C1509" t="s">
        <v>635</v>
      </c>
      <c r="D1509" t="s">
        <v>27</v>
      </c>
      <c r="E1509" s="161">
        <v>8</v>
      </c>
      <c r="F1509" s="161">
        <v>92.5</v>
      </c>
      <c r="G1509" s="162">
        <v>740</v>
      </c>
      <c r="H1509" s="67">
        <v>623</v>
      </c>
    </row>
    <row r="1510" spans="1:8" x14ac:dyDescent="0.25">
      <c r="A1510" s="212">
        <v>41936</v>
      </c>
      <c r="B1510" s="160" t="s">
        <v>1212</v>
      </c>
      <c r="C1510" t="s">
        <v>7</v>
      </c>
      <c r="D1510" t="s">
        <v>27</v>
      </c>
      <c r="E1510" s="161">
        <v>6.5</v>
      </c>
      <c r="F1510" s="161">
        <v>42.72</v>
      </c>
      <c r="G1510" s="162">
        <v>277.68</v>
      </c>
      <c r="H1510" s="67">
        <v>623</v>
      </c>
    </row>
    <row r="1511" spans="1:8" x14ac:dyDescent="0.25">
      <c r="A1511" s="212">
        <v>41936</v>
      </c>
      <c r="B1511" s="160" t="s">
        <v>1211</v>
      </c>
      <c r="C1511" t="s">
        <v>1233</v>
      </c>
      <c r="D1511" t="s">
        <v>27</v>
      </c>
      <c r="E1511" s="161">
        <v>5</v>
      </c>
      <c r="F1511" s="161">
        <v>54.58</v>
      </c>
      <c r="G1511" s="162">
        <v>272.89999999999998</v>
      </c>
      <c r="H1511" s="67">
        <v>623</v>
      </c>
    </row>
    <row r="1512" spans="1:8" x14ac:dyDescent="0.25">
      <c r="A1512" s="212">
        <v>41936</v>
      </c>
      <c r="B1512" s="160" t="s">
        <v>1109</v>
      </c>
      <c r="C1512" t="s">
        <v>7</v>
      </c>
      <c r="D1512" t="s">
        <v>27</v>
      </c>
      <c r="E1512" s="161">
        <v>4</v>
      </c>
      <c r="F1512" s="161">
        <v>42.72</v>
      </c>
      <c r="G1512" s="162">
        <v>170.88</v>
      </c>
      <c r="H1512" s="67">
        <v>623</v>
      </c>
    </row>
    <row r="1513" spans="1:8" x14ac:dyDescent="0.25">
      <c r="A1513" s="212">
        <v>41936</v>
      </c>
      <c r="B1513" s="160" t="s">
        <v>619</v>
      </c>
      <c r="C1513" t="s">
        <v>620</v>
      </c>
      <c r="D1513" t="s">
        <v>27</v>
      </c>
      <c r="E1513" s="161">
        <v>3</v>
      </c>
      <c r="F1513" s="161">
        <v>80</v>
      </c>
      <c r="G1513" s="162">
        <v>240</v>
      </c>
      <c r="H1513" s="67">
        <v>623</v>
      </c>
    </row>
    <row r="1514" spans="1:8" x14ac:dyDescent="0.25">
      <c r="A1514" s="212">
        <v>41936</v>
      </c>
      <c r="B1514" s="160" t="s">
        <v>1209</v>
      </c>
      <c r="C1514" t="s">
        <v>1210</v>
      </c>
      <c r="D1514" t="s">
        <v>27</v>
      </c>
      <c r="E1514" s="161">
        <v>5</v>
      </c>
      <c r="F1514" s="161">
        <v>42.79</v>
      </c>
      <c r="G1514" s="162">
        <v>213.95</v>
      </c>
      <c r="H1514" s="67">
        <v>623</v>
      </c>
    </row>
    <row r="1515" spans="1:8" x14ac:dyDescent="0.25">
      <c r="A1515" s="212">
        <v>41936</v>
      </c>
      <c r="B1515" s="160" t="s">
        <v>1212</v>
      </c>
      <c r="C1515" t="s">
        <v>7</v>
      </c>
      <c r="D1515" t="s">
        <v>27</v>
      </c>
      <c r="E1515" s="161">
        <v>10</v>
      </c>
      <c r="F1515" s="161">
        <v>42.72</v>
      </c>
      <c r="G1515" s="162">
        <v>427.2</v>
      </c>
      <c r="H1515" s="67">
        <v>623</v>
      </c>
    </row>
    <row r="1516" spans="1:8" x14ac:dyDescent="0.25">
      <c r="A1516" s="212">
        <v>41936</v>
      </c>
      <c r="B1516" s="160" t="s">
        <v>623</v>
      </c>
      <c r="C1516" t="s">
        <v>7</v>
      </c>
      <c r="D1516" t="s">
        <v>27</v>
      </c>
      <c r="E1516" s="161">
        <v>11</v>
      </c>
      <c r="F1516" s="161">
        <v>42.6</v>
      </c>
      <c r="G1516" s="162">
        <v>468.6</v>
      </c>
      <c r="H1516" s="67">
        <v>623</v>
      </c>
    </row>
    <row r="1517" spans="1:8" x14ac:dyDescent="0.25">
      <c r="A1517" s="212">
        <v>41936</v>
      </c>
      <c r="B1517" s="160" t="s">
        <v>701</v>
      </c>
      <c r="C1517" t="s">
        <v>702</v>
      </c>
      <c r="D1517" t="s">
        <v>27</v>
      </c>
      <c r="E1517" s="161">
        <v>11</v>
      </c>
      <c r="F1517" s="161">
        <v>140</v>
      </c>
      <c r="G1517" s="162">
        <v>1540</v>
      </c>
      <c r="H1517" s="67">
        <v>623</v>
      </c>
    </row>
    <row r="1518" spans="1:8" x14ac:dyDescent="0.25">
      <c r="A1518" s="212">
        <v>41936</v>
      </c>
      <c r="B1518" s="160" t="s">
        <v>286</v>
      </c>
      <c r="C1518" t="s">
        <v>633</v>
      </c>
      <c r="D1518" t="s">
        <v>27</v>
      </c>
      <c r="E1518" s="161">
        <v>10</v>
      </c>
      <c r="F1518" s="161">
        <v>80</v>
      </c>
      <c r="G1518" s="162">
        <v>800</v>
      </c>
      <c r="H1518" s="67">
        <v>623</v>
      </c>
    </row>
    <row r="1519" spans="1:8" x14ac:dyDescent="0.25">
      <c r="A1519" s="212">
        <v>41936</v>
      </c>
      <c r="B1519" s="160" t="s">
        <v>722</v>
      </c>
      <c r="C1519" t="s">
        <v>723</v>
      </c>
      <c r="D1519" t="s">
        <v>527</v>
      </c>
      <c r="E1519" s="161">
        <v>307.75</v>
      </c>
      <c r="F1519" s="161">
        <v>3</v>
      </c>
      <c r="G1519" s="162">
        <v>923.25</v>
      </c>
      <c r="H1519" s="67">
        <v>623</v>
      </c>
    </row>
    <row r="1520" spans="1:8" x14ac:dyDescent="0.25">
      <c r="A1520" s="212">
        <v>41936</v>
      </c>
      <c r="B1520" s="160" t="s">
        <v>722</v>
      </c>
      <c r="C1520" t="s">
        <v>723</v>
      </c>
      <c r="D1520" t="s">
        <v>527</v>
      </c>
      <c r="E1520" s="161">
        <v>49</v>
      </c>
      <c r="F1520" s="161">
        <v>3</v>
      </c>
      <c r="G1520" s="162">
        <v>147</v>
      </c>
      <c r="H1520" s="67">
        <v>623</v>
      </c>
    </row>
    <row r="1521" spans="1:8" x14ac:dyDescent="0.25">
      <c r="A1521" s="212">
        <v>41936</v>
      </c>
      <c r="B1521" s="160" t="s">
        <v>722</v>
      </c>
      <c r="C1521" t="s">
        <v>723</v>
      </c>
      <c r="D1521" t="s">
        <v>527</v>
      </c>
      <c r="E1521" s="161">
        <v>185.6</v>
      </c>
      <c r="F1521" s="161">
        <v>3</v>
      </c>
      <c r="G1521" s="162">
        <v>556.79999999999995</v>
      </c>
      <c r="H1521" s="67">
        <v>623</v>
      </c>
    </row>
    <row r="1522" spans="1:8" x14ac:dyDescent="0.25">
      <c r="A1522" s="212">
        <v>41937</v>
      </c>
      <c r="B1522" s="160" t="s">
        <v>286</v>
      </c>
      <c r="C1522" t="s">
        <v>633</v>
      </c>
      <c r="D1522" t="s">
        <v>27</v>
      </c>
      <c r="E1522" s="161">
        <v>6.25</v>
      </c>
      <c r="F1522" s="161">
        <v>80</v>
      </c>
      <c r="G1522" s="162">
        <v>500</v>
      </c>
      <c r="H1522" s="67">
        <v>623</v>
      </c>
    </row>
    <row r="1523" spans="1:8" x14ac:dyDescent="0.25">
      <c r="A1523" s="212">
        <v>41938</v>
      </c>
      <c r="B1523" s="160" t="s">
        <v>286</v>
      </c>
      <c r="C1523" t="s">
        <v>633</v>
      </c>
      <c r="D1523" t="s">
        <v>27</v>
      </c>
      <c r="E1523" s="161">
        <v>6.75</v>
      </c>
      <c r="F1523" s="161">
        <v>80</v>
      </c>
      <c r="G1523" s="162">
        <v>540</v>
      </c>
      <c r="H1523" s="67">
        <v>623</v>
      </c>
    </row>
    <row r="1524" spans="1:8" x14ac:dyDescent="0.25">
      <c r="A1524" s="212">
        <v>41939</v>
      </c>
      <c r="B1524" s="160" t="s">
        <v>623</v>
      </c>
      <c r="C1524" t="s">
        <v>7</v>
      </c>
      <c r="D1524" t="s">
        <v>27</v>
      </c>
      <c r="E1524" s="161">
        <v>10</v>
      </c>
      <c r="F1524" s="161">
        <v>42.6</v>
      </c>
      <c r="G1524" s="162">
        <v>426</v>
      </c>
      <c r="H1524" s="67">
        <v>623</v>
      </c>
    </row>
    <row r="1525" spans="1:8" x14ac:dyDescent="0.25">
      <c r="A1525" s="212">
        <v>41939</v>
      </c>
      <c r="B1525" s="160" t="s">
        <v>286</v>
      </c>
      <c r="C1525" t="s">
        <v>633</v>
      </c>
      <c r="D1525" t="s">
        <v>27</v>
      </c>
      <c r="E1525" s="161">
        <v>10</v>
      </c>
      <c r="F1525" s="161">
        <v>90</v>
      </c>
      <c r="G1525" s="162">
        <v>900</v>
      </c>
      <c r="H1525" s="67">
        <v>623</v>
      </c>
    </row>
    <row r="1526" spans="1:8" x14ac:dyDescent="0.25">
      <c r="A1526" s="212">
        <v>41939</v>
      </c>
      <c r="B1526" s="160" t="s">
        <v>286</v>
      </c>
      <c r="C1526" t="s">
        <v>633</v>
      </c>
      <c r="D1526" t="s">
        <v>27</v>
      </c>
      <c r="E1526" s="161">
        <v>1.5</v>
      </c>
      <c r="F1526" s="161">
        <v>80</v>
      </c>
      <c r="G1526" s="162">
        <v>120</v>
      </c>
      <c r="H1526" s="67">
        <v>623</v>
      </c>
    </row>
    <row r="1527" spans="1:8" ht="30" x14ac:dyDescent="0.25">
      <c r="A1527" s="212">
        <v>41940</v>
      </c>
      <c r="B1527" s="160" t="s">
        <v>713</v>
      </c>
      <c r="C1527" t="s">
        <v>714</v>
      </c>
      <c r="D1527" t="s">
        <v>27</v>
      </c>
      <c r="E1527" s="161">
        <v>9.5</v>
      </c>
      <c r="F1527" s="161">
        <v>150</v>
      </c>
      <c r="G1527" s="162">
        <v>1425</v>
      </c>
      <c r="H1527" s="67">
        <v>623</v>
      </c>
    </row>
    <row r="1528" spans="1:8" x14ac:dyDescent="0.25">
      <c r="A1528" s="212">
        <v>41940</v>
      </c>
      <c r="B1528" s="160" t="s">
        <v>623</v>
      </c>
      <c r="C1528" t="s">
        <v>7</v>
      </c>
      <c r="D1528" t="s">
        <v>27</v>
      </c>
      <c r="E1528" s="161">
        <v>8.5</v>
      </c>
      <c r="F1528" s="161">
        <v>42.6</v>
      </c>
      <c r="G1528" s="162">
        <v>362.1</v>
      </c>
      <c r="H1528" s="67">
        <v>623</v>
      </c>
    </row>
    <row r="1529" spans="1:8" x14ac:dyDescent="0.25">
      <c r="A1529" s="212">
        <v>41940</v>
      </c>
      <c r="B1529" s="160" t="s">
        <v>1212</v>
      </c>
      <c r="C1529" t="s">
        <v>7</v>
      </c>
      <c r="D1529" t="s">
        <v>27</v>
      </c>
      <c r="E1529" s="161">
        <v>7</v>
      </c>
      <c r="F1529" s="161">
        <v>42.72</v>
      </c>
      <c r="G1529" s="162">
        <v>299.04000000000002</v>
      </c>
      <c r="H1529" s="67">
        <v>623</v>
      </c>
    </row>
    <row r="1530" spans="1:8" x14ac:dyDescent="0.25">
      <c r="A1530" s="212">
        <v>41940</v>
      </c>
      <c r="B1530" s="160" t="s">
        <v>286</v>
      </c>
      <c r="C1530" t="s">
        <v>633</v>
      </c>
      <c r="D1530" t="s">
        <v>27</v>
      </c>
      <c r="E1530" s="161">
        <v>7.5</v>
      </c>
      <c r="F1530" s="161">
        <v>90</v>
      </c>
      <c r="G1530" s="162">
        <v>675</v>
      </c>
      <c r="H1530" s="67">
        <v>623</v>
      </c>
    </row>
    <row r="1531" spans="1:8" x14ac:dyDescent="0.25">
      <c r="A1531" s="212">
        <v>41940</v>
      </c>
      <c r="B1531" s="160" t="s">
        <v>701</v>
      </c>
      <c r="C1531" t="s">
        <v>702</v>
      </c>
      <c r="D1531" t="s">
        <v>27</v>
      </c>
      <c r="E1531" s="161">
        <v>8.5</v>
      </c>
      <c r="F1531" s="161">
        <v>140</v>
      </c>
      <c r="G1531" s="162">
        <v>1190</v>
      </c>
      <c r="H1531" s="67">
        <v>623</v>
      </c>
    </row>
    <row r="1532" spans="1:8" x14ac:dyDescent="0.25">
      <c r="A1532" s="212">
        <v>41940</v>
      </c>
      <c r="B1532" s="160" t="s">
        <v>286</v>
      </c>
      <c r="C1532" t="s">
        <v>633</v>
      </c>
      <c r="D1532" t="s">
        <v>27</v>
      </c>
      <c r="E1532" s="161">
        <v>10.5</v>
      </c>
      <c r="F1532" s="161">
        <v>80</v>
      </c>
      <c r="G1532" s="162">
        <v>840</v>
      </c>
      <c r="H1532" s="67">
        <v>623</v>
      </c>
    </row>
    <row r="1533" spans="1:8" x14ac:dyDescent="0.25">
      <c r="A1533" s="212">
        <v>41941</v>
      </c>
      <c r="B1533" s="160" t="s">
        <v>619</v>
      </c>
      <c r="C1533" t="s">
        <v>620</v>
      </c>
      <c r="D1533" t="s">
        <v>27</v>
      </c>
      <c r="E1533" s="161">
        <v>5.5</v>
      </c>
      <c r="F1533" s="161">
        <v>80</v>
      </c>
      <c r="G1533" s="162">
        <v>440</v>
      </c>
      <c r="H1533" s="67">
        <v>623</v>
      </c>
    </row>
    <row r="1534" spans="1:8" x14ac:dyDescent="0.25">
      <c r="A1534" s="212">
        <v>41941</v>
      </c>
      <c r="B1534" s="160" t="s">
        <v>623</v>
      </c>
      <c r="C1534" t="s">
        <v>7</v>
      </c>
      <c r="D1534" t="s">
        <v>527</v>
      </c>
      <c r="E1534" s="161">
        <v>5.5</v>
      </c>
      <c r="F1534" s="161">
        <v>49.7</v>
      </c>
      <c r="G1534" s="162">
        <v>273.35000000000002</v>
      </c>
      <c r="H1534" s="67">
        <v>623</v>
      </c>
    </row>
    <row r="1535" spans="1:8" x14ac:dyDescent="0.25">
      <c r="A1535" s="212">
        <v>41941</v>
      </c>
      <c r="B1535" s="160" t="s">
        <v>631</v>
      </c>
      <c r="C1535" t="s">
        <v>632</v>
      </c>
      <c r="D1535" t="s">
        <v>27</v>
      </c>
      <c r="E1535" s="161">
        <v>4.5</v>
      </c>
      <c r="F1535" s="161">
        <v>80</v>
      </c>
      <c r="G1535" s="162">
        <v>360</v>
      </c>
      <c r="H1535" s="67">
        <v>623</v>
      </c>
    </row>
    <row r="1536" spans="1:8" x14ac:dyDescent="0.25">
      <c r="A1536" s="212">
        <v>41941</v>
      </c>
      <c r="B1536" s="160" t="s">
        <v>1211</v>
      </c>
      <c r="C1536" t="s">
        <v>1233</v>
      </c>
      <c r="D1536" t="s">
        <v>27</v>
      </c>
      <c r="E1536" s="161">
        <v>5.5</v>
      </c>
      <c r="F1536" s="161">
        <v>54.58</v>
      </c>
      <c r="G1536" s="162">
        <v>300.19</v>
      </c>
      <c r="H1536" s="67">
        <v>623</v>
      </c>
    </row>
    <row r="1537" spans="1:8" ht="30" x14ac:dyDescent="0.25">
      <c r="A1537" s="212">
        <v>41941</v>
      </c>
      <c r="B1537" s="160" t="s">
        <v>713</v>
      </c>
      <c r="C1537" t="s">
        <v>714</v>
      </c>
      <c r="D1537" t="s">
        <v>27</v>
      </c>
      <c r="E1537" s="161">
        <v>10</v>
      </c>
      <c r="F1537" s="161">
        <v>150</v>
      </c>
      <c r="G1537" s="162">
        <v>1500</v>
      </c>
      <c r="H1537" s="67">
        <v>623</v>
      </c>
    </row>
    <row r="1538" spans="1:8" x14ac:dyDescent="0.25">
      <c r="A1538" s="212">
        <v>41941</v>
      </c>
      <c r="B1538" s="160" t="s">
        <v>1212</v>
      </c>
      <c r="C1538" t="s">
        <v>7</v>
      </c>
      <c r="D1538" t="s">
        <v>27</v>
      </c>
      <c r="E1538" s="161">
        <v>7</v>
      </c>
      <c r="F1538" s="161">
        <v>42.72</v>
      </c>
      <c r="G1538" s="162">
        <v>299.04000000000002</v>
      </c>
      <c r="H1538" s="67">
        <v>623</v>
      </c>
    </row>
    <row r="1539" spans="1:8" x14ac:dyDescent="0.25">
      <c r="A1539" s="212">
        <v>41941</v>
      </c>
      <c r="B1539" s="160" t="s">
        <v>1211</v>
      </c>
      <c r="C1539" t="s">
        <v>1233</v>
      </c>
      <c r="D1539" t="s">
        <v>27</v>
      </c>
      <c r="E1539" s="161">
        <v>5.5</v>
      </c>
      <c r="F1539" s="161">
        <v>54.58</v>
      </c>
      <c r="G1539" s="162">
        <v>300.19</v>
      </c>
      <c r="H1539" s="67">
        <v>623</v>
      </c>
    </row>
    <row r="1540" spans="1:8" x14ac:dyDescent="0.25">
      <c r="A1540" s="212">
        <v>41941</v>
      </c>
      <c r="B1540" s="160" t="s">
        <v>1212</v>
      </c>
      <c r="C1540" t="s">
        <v>7</v>
      </c>
      <c r="D1540" t="s">
        <v>27</v>
      </c>
      <c r="E1540" s="161">
        <v>11</v>
      </c>
      <c r="F1540" s="161">
        <v>42.72</v>
      </c>
      <c r="G1540" s="162">
        <v>469.92</v>
      </c>
      <c r="H1540" s="67">
        <v>623</v>
      </c>
    </row>
    <row r="1541" spans="1:8" x14ac:dyDescent="0.25">
      <c r="A1541" s="212">
        <v>41941</v>
      </c>
      <c r="B1541" s="160" t="s">
        <v>634</v>
      </c>
      <c r="C1541" t="s">
        <v>635</v>
      </c>
      <c r="D1541" t="s">
        <v>27</v>
      </c>
      <c r="E1541" s="161">
        <v>4</v>
      </c>
      <c r="F1541" s="161">
        <v>92.5</v>
      </c>
      <c r="G1541" s="162">
        <v>370</v>
      </c>
      <c r="H1541" s="67">
        <v>623</v>
      </c>
    </row>
    <row r="1542" spans="1:8" x14ac:dyDescent="0.25">
      <c r="A1542" s="212">
        <v>41941</v>
      </c>
      <c r="B1542" s="160" t="s">
        <v>286</v>
      </c>
      <c r="C1542" t="s">
        <v>633</v>
      </c>
      <c r="D1542" t="s">
        <v>27</v>
      </c>
      <c r="E1542" s="161">
        <v>11</v>
      </c>
      <c r="F1542" s="161">
        <v>80</v>
      </c>
      <c r="G1542" s="162">
        <v>880</v>
      </c>
      <c r="H1542" s="67">
        <v>623</v>
      </c>
    </row>
    <row r="1543" spans="1:8" x14ac:dyDescent="0.25">
      <c r="A1543" s="212">
        <v>41941</v>
      </c>
      <c r="B1543" s="160" t="s">
        <v>286</v>
      </c>
      <c r="C1543" t="s">
        <v>633</v>
      </c>
      <c r="D1543" t="s">
        <v>27</v>
      </c>
      <c r="E1543" s="161">
        <v>6.5</v>
      </c>
      <c r="F1543" s="161">
        <v>90</v>
      </c>
      <c r="G1543" s="162">
        <v>585</v>
      </c>
      <c r="H1543" s="67">
        <v>623</v>
      </c>
    </row>
    <row r="1544" spans="1:8" x14ac:dyDescent="0.25">
      <c r="A1544" s="212">
        <v>41941</v>
      </c>
      <c r="B1544" s="160" t="s">
        <v>701</v>
      </c>
      <c r="C1544" t="s">
        <v>702</v>
      </c>
      <c r="D1544" t="s">
        <v>27</v>
      </c>
      <c r="E1544" s="161">
        <v>5.5</v>
      </c>
      <c r="F1544" s="161">
        <v>140</v>
      </c>
      <c r="G1544" s="162">
        <v>770</v>
      </c>
      <c r="H1544" s="67">
        <v>623</v>
      </c>
    </row>
    <row r="1545" spans="1:8" x14ac:dyDescent="0.25">
      <c r="A1545" s="212">
        <v>41942</v>
      </c>
      <c r="B1545" s="160" t="s">
        <v>619</v>
      </c>
      <c r="C1545" t="s">
        <v>620</v>
      </c>
      <c r="D1545" t="s">
        <v>27</v>
      </c>
      <c r="E1545" s="161">
        <v>4</v>
      </c>
      <c r="F1545" s="161">
        <v>80</v>
      </c>
      <c r="G1545" s="162">
        <v>320</v>
      </c>
      <c r="H1545" s="67">
        <v>623</v>
      </c>
    </row>
    <row r="1546" spans="1:8" x14ac:dyDescent="0.25">
      <c r="A1546" s="212">
        <v>41942</v>
      </c>
      <c r="B1546" s="160" t="s">
        <v>623</v>
      </c>
      <c r="C1546" t="s">
        <v>7</v>
      </c>
      <c r="D1546" t="s">
        <v>527</v>
      </c>
      <c r="E1546" s="161">
        <v>5.5</v>
      </c>
      <c r="F1546" s="161">
        <v>49.7</v>
      </c>
      <c r="G1546" s="162">
        <v>273.35000000000002</v>
      </c>
      <c r="H1546" s="67">
        <v>623</v>
      </c>
    </row>
    <row r="1547" spans="1:8" x14ac:dyDescent="0.25">
      <c r="A1547" s="212">
        <v>41942</v>
      </c>
      <c r="B1547" s="160" t="s">
        <v>1211</v>
      </c>
      <c r="C1547" t="s">
        <v>1233</v>
      </c>
      <c r="D1547" t="s">
        <v>27</v>
      </c>
      <c r="E1547" s="161">
        <v>4</v>
      </c>
      <c r="F1547" s="161">
        <v>54.58</v>
      </c>
      <c r="G1547" s="162">
        <v>218.32</v>
      </c>
      <c r="H1547" s="67">
        <v>623</v>
      </c>
    </row>
    <row r="1548" spans="1:8" x14ac:dyDescent="0.25">
      <c r="A1548" s="212">
        <v>41942</v>
      </c>
      <c r="B1548" s="160" t="s">
        <v>1209</v>
      </c>
      <c r="C1548" t="s">
        <v>1210</v>
      </c>
      <c r="D1548" t="s">
        <v>27</v>
      </c>
      <c r="E1548" s="161">
        <v>4</v>
      </c>
      <c r="F1548" s="161">
        <v>42.79</v>
      </c>
      <c r="G1548" s="162">
        <v>171.16</v>
      </c>
      <c r="H1548" s="67">
        <v>623</v>
      </c>
    </row>
    <row r="1549" spans="1:8" x14ac:dyDescent="0.25">
      <c r="A1549" s="212">
        <v>41942</v>
      </c>
      <c r="B1549" s="160" t="s">
        <v>631</v>
      </c>
      <c r="C1549" t="s">
        <v>632</v>
      </c>
      <c r="D1549" t="s">
        <v>27</v>
      </c>
      <c r="E1549" s="161">
        <v>1</v>
      </c>
      <c r="F1549" s="161">
        <v>80</v>
      </c>
      <c r="G1549" s="162">
        <v>80</v>
      </c>
      <c r="H1549" s="67">
        <v>623</v>
      </c>
    </row>
    <row r="1550" spans="1:8" x14ac:dyDescent="0.25">
      <c r="A1550" s="212">
        <v>41942</v>
      </c>
      <c r="B1550" s="160" t="s">
        <v>286</v>
      </c>
      <c r="C1550" t="s">
        <v>633</v>
      </c>
      <c r="D1550" t="s">
        <v>27</v>
      </c>
      <c r="E1550" s="161">
        <v>10.5</v>
      </c>
      <c r="F1550" s="161">
        <v>80</v>
      </c>
      <c r="G1550" s="162">
        <v>840</v>
      </c>
      <c r="H1550" s="67">
        <v>623</v>
      </c>
    </row>
    <row r="1551" spans="1:8" ht="30" x14ac:dyDescent="0.25">
      <c r="A1551" s="212">
        <v>41942</v>
      </c>
      <c r="B1551" s="160" t="s">
        <v>713</v>
      </c>
      <c r="C1551" t="s">
        <v>714</v>
      </c>
      <c r="D1551" t="s">
        <v>27</v>
      </c>
      <c r="E1551" s="161">
        <v>9.5</v>
      </c>
      <c r="F1551" s="161">
        <v>150</v>
      </c>
      <c r="G1551" s="162">
        <v>1425</v>
      </c>
      <c r="H1551" s="67">
        <v>623</v>
      </c>
    </row>
    <row r="1552" spans="1:8" x14ac:dyDescent="0.25">
      <c r="A1552" s="212">
        <v>41943</v>
      </c>
      <c r="B1552" s="160" t="s">
        <v>276</v>
      </c>
      <c r="C1552" t="s">
        <v>1220</v>
      </c>
      <c r="D1552" t="s">
        <v>27</v>
      </c>
      <c r="E1552" s="161">
        <v>1.5</v>
      </c>
      <c r="F1552" s="161">
        <v>35</v>
      </c>
      <c r="G1552" s="162">
        <v>52.5</v>
      </c>
      <c r="H1552" s="67">
        <v>623</v>
      </c>
    </row>
    <row r="1553" spans="1:8" x14ac:dyDescent="0.25">
      <c r="A1553" s="212">
        <v>41943</v>
      </c>
      <c r="B1553" s="160" t="s">
        <v>640</v>
      </c>
      <c r="C1553" t="s">
        <v>641</v>
      </c>
      <c r="D1553" t="s">
        <v>527</v>
      </c>
      <c r="E1553" s="161">
        <v>1</v>
      </c>
      <c r="F1553" s="161">
        <v>2801.25</v>
      </c>
      <c r="G1553" s="162">
        <v>2801.25</v>
      </c>
      <c r="H1553" s="67">
        <v>623</v>
      </c>
    </row>
    <row r="1554" spans="1:8" x14ac:dyDescent="0.25">
      <c r="A1554" s="212">
        <v>41943</v>
      </c>
      <c r="B1554" s="160" t="s">
        <v>729</v>
      </c>
      <c r="C1554" t="s">
        <v>677</v>
      </c>
      <c r="D1554" t="s">
        <v>527</v>
      </c>
      <c r="E1554" s="161">
        <v>1</v>
      </c>
      <c r="F1554" s="161">
        <v>3268.3</v>
      </c>
      <c r="G1554" s="162">
        <v>3268.3</v>
      </c>
      <c r="H1554" s="67">
        <v>623</v>
      </c>
    </row>
    <row r="1555" spans="1:8" x14ac:dyDescent="0.25">
      <c r="A1555" s="212">
        <v>41943</v>
      </c>
      <c r="B1555" s="160" t="s">
        <v>1211</v>
      </c>
      <c r="C1555" t="s">
        <v>1233</v>
      </c>
      <c r="D1555" t="s">
        <v>27</v>
      </c>
      <c r="E1555" s="161">
        <v>5.5</v>
      </c>
      <c r="F1555" s="161">
        <v>54.58</v>
      </c>
      <c r="G1555" s="162">
        <v>300.19</v>
      </c>
      <c r="H1555" s="67">
        <v>623</v>
      </c>
    </row>
    <row r="1556" spans="1:8" ht="30" x14ac:dyDescent="0.25">
      <c r="A1556" s="212">
        <v>41943</v>
      </c>
      <c r="B1556" s="160" t="s">
        <v>730</v>
      </c>
      <c r="C1556" t="s">
        <v>677</v>
      </c>
      <c r="D1556" t="s">
        <v>527</v>
      </c>
      <c r="E1556" s="161">
        <v>1</v>
      </c>
      <c r="F1556" s="161">
        <v>984.2</v>
      </c>
      <c r="G1556" s="162">
        <v>984.2</v>
      </c>
      <c r="H1556" s="67">
        <v>623</v>
      </c>
    </row>
    <row r="1557" spans="1:8" x14ac:dyDescent="0.25">
      <c r="A1557" s="212">
        <v>41947</v>
      </c>
      <c r="B1557" s="160" t="s">
        <v>631</v>
      </c>
      <c r="C1557" t="s">
        <v>632</v>
      </c>
      <c r="D1557" t="s">
        <v>27</v>
      </c>
      <c r="E1557" s="161">
        <v>5.5</v>
      </c>
      <c r="F1557" s="161">
        <v>80</v>
      </c>
      <c r="G1557" s="162">
        <v>440</v>
      </c>
      <c r="H1557" s="67">
        <v>623</v>
      </c>
    </row>
    <row r="1558" spans="1:8" x14ac:dyDescent="0.25">
      <c r="A1558" s="212">
        <v>41947</v>
      </c>
      <c r="B1558" s="160" t="s">
        <v>631</v>
      </c>
      <c r="C1558" t="s">
        <v>632</v>
      </c>
      <c r="D1558" t="s">
        <v>27</v>
      </c>
      <c r="E1558" s="161">
        <v>4.5</v>
      </c>
      <c r="F1558" s="161">
        <v>80</v>
      </c>
      <c r="G1558" s="162">
        <v>360</v>
      </c>
      <c r="H1558" s="67">
        <v>623</v>
      </c>
    </row>
    <row r="1559" spans="1:8" x14ac:dyDescent="0.25">
      <c r="A1559" s="212">
        <v>41947</v>
      </c>
      <c r="B1559" s="160" t="s">
        <v>285</v>
      </c>
      <c r="C1559" t="s">
        <v>621</v>
      </c>
      <c r="D1559" t="s">
        <v>27</v>
      </c>
      <c r="E1559" s="161">
        <v>5</v>
      </c>
      <c r="F1559" s="161">
        <v>80</v>
      </c>
      <c r="G1559" s="162">
        <v>400</v>
      </c>
      <c r="H1559" s="67">
        <v>623</v>
      </c>
    </row>
    <row r="1560" spans="1:8" x14ac:dyDescent="0.25">
      <c r="A1560" s="212">
        <v>41947</v>
      </c>
      <c r="B1560" s="160" t="s">
        <v>1211</v>
      </c>
      <c r="C1560" t="s">
        <v>1233</v>
      </c>
      <c r="D1560" t="s">
        <v>27</v>
      </c>
      <c r="E1560" s="161">
        <v>2</v>
      </c>
      <c r="F1560" s="161">
        <v>54.58</v>
      </c>
      <c r="G1560" s="162">
        <v>109.16</v>
      </c>
      <c r="H1560" s="67">
        <v>623</v>
      </c>
    </row>
    <row r="1561" spans="1:8" x14ac:dyDescent="0.25">
      <c r="A1561" s="212">
        <v>41947</v>
      </c>
      <c r="B1561" s="160" t="s">
        <v>1209</v>
      </c>
      <c r="C1561" t="s">
        <v>1210</v>
      </c>
      <c r="D1561" t="s">
        <v>27</v>
      </c>
      <c r="E1561" s="161">
        <v>2</v>
      </c>
      <c r="F1561" s="161">
        <v>42.79</v>
      </c>
      <c r="G1561" s="162">
        <v>85.58</v>
      </c>
      <c r="H1561" s="67">
        <v>623</v>
      </c>
    </row>
    <row r="1562" spans="1:8" x14ac:dyDescent="0.25">
      <c r="A1562" s="212">
        <v>41947</v>
      </c>
      <c r="B1562" s="160" t="s">
        <v>631</v>
      </c>
      <c r="C1562" t="s">
        <v>632</v>
      </c>
      <c r="D1562" t="s">
        <v>27</v>
      </c>
      <c r="E1562" s="161">
        <v>5.5</v>
      </c>
      <c r="F1562" s="161">
        <v>80</v>
      </c>
      <c r="G1562" s="162">
        <v>440</v>
      </c>
      <c r="H1562" s="67">
        <v>623</v>
      </c>
    </row>
    <row r="1563" spans="1:8" x14ac:dyDescent="0.25">
      <c r="A1563" s="212">
        <v>41947</v>
      </c>
      <c r="B1563" s="160" t="s">
        <v>722</v>
      </c>
      <c r="C1563" t="s">
        <v>723</v>
      </c>
      <c r="D1563" t="s">
        <v>527</v>
      </c>
      <c r="E1563" s="161">
        <v>292.89999999999998</v>
      </c>
      <c r="F1563" s="161">
        <v>3</v>
      </c>
      <c r="G1563" s="162">
        <v>878.7</v>
      </c>
      <c r="H1563" s="67">
        <v>623</v>
      </c>
    </row>
    <row r="1564" spans="1:8" x14ac:dyDescent="0.25">
      <c r="A1564" s="212">
        <v>41948</v>
      </c>
      <c r="B1564" s="160" t="s">
        <v>1212</v>
      </c>
      <c r="C1564" t="s">
        <v>7</v>
      </c>
      <c r="D1564" t="s">
        <v>27</v>
      </c>
      <c r="E1564" s="161">
        <v>5</v>
      </c>
      <c r="F1564" s="161">
        <v>42.72</v>
      </c>
      <c r="G1564" s="162">
        <v>213.6</v>
      </c>
      <c r="H1564" s="67">
        <v>623</v>
      </c>
    </row>
    <row r="1565" spans="1:8" x14ac:dyDescent="0.25">
      <c r="A1565" s="212">
        <v>41948</v>
      </c>
      <c r="B1565" s="160" t="s">
        <v>623</v>
      </c>
      <c r="C1565" t="s">
        <v>7</v>
      </c>
      <c r="D1565" t="s">
        <v>527</v>
      </c>
      <c r="E1565" s="161">
        <v>4</v>
      </c>
      <c r="F1565" s="161">
        <v>49.7</v>
      </c>
      <c r="G1565" s="162">
        <v>198.8</v>
      </c>
      <c r="H1565" s="67">
        <v>623</v>
      </c>
    </row>
    <row r="1566" spans="1:8" x14ac:dyDescent="0.25">
      <c r="A1566" s="212">
        <v>41948</v>
      </c>
      <c r="B1566" s="160" t="s">
        <v>619</v>
      </c>
      <c r="C1566" t="s">
        <v>620</v>
      </c>
      <c r="D1566" t="s">
        <v>27</v>
      </c>
      <c r="E1566" s="161">
        <v>4.5</v>
      </c>
      <c r="F1566" s="161">
        <v>80</v>
      </c>
      <c r="G1566" s="162">
        <v>360</v>
      </c>
      <c r="H1566" s="67">
        <v>623</v>
      </c>
    </row>
    <row r="1567" spans="1:8" x14ac:dyDescent="0.25">
      <c r="A1567" s="212">
        <v>41948</v>
      </c>
      <c r="B1567" s="160" t="s">
        <v>631</v>
      </c>
      <c r="C1567" t="s">
        <v>632</v>
      </c>
      <c r="D1567" t="s">
        <v>27</v>
      </c>
      <c r="E1567" s="161">
        <v>3.5</v>
      </c>
      <c r="F1567" s="161">
        <v>80</v>
      </c>
      <c r="G1567" s="162">
        <v>280</v>
      </c>
      <c r="H1567" s="67">
        <v>623</v>
      </c>
    </row>
    <row r="1568" spans="1:8" x14ac:dyDescent="0.25">
      <c r="A1568" s="212">
        <v>41948</v>
      </c>
      <c r="B1568" s="160" t="s">
        <v>631</v>
      </c>
      <c r="C1568" t="s">
        <v>632</v>
      </c>
      <c r="D1568" t="s">
        <v>27</v>
      </c>
      <c r="E1568" s="161">
        <v>3</v>
      </c>
      <c r="F1568" s="161">
        <v>80</v>
      </c>
      <c r="G1568" s="162">
        <v>240</v>
      </c>
      <c r="H1568" s="67">
        <v>623</v>
      </c>
    </row>
    <row r="1569" spans="1:8" x14ac:dyDescent="0.25">
      <c r="A1569" s="212">
        <v>41948</v>
      </c>
      <c r="B1569" s="160" t="s">
        <v>631</v>
      </c>
      <c r="C1569" t="s">
        <v>632</v>
      </c>
      <c r="D1569" t="s">
        <v>27</v>
      </c>
      <c r="E1569" s="161">
        <v>3</v>
      </c>
      <c r="F1569" s="161">
        <v>80</v>
      </c>
      <c r="G1569" s="162">
        <v>240</v>
      </c>
      <c r="H1569" s="67">
        <v>623</v>
      </c>
    </row>
    <row r="1570" spans="1:8" x14ac:dyDescent="0.25">
      <c r="A1570" s="212">
        <v>41948</v>
      </c>
      <c r="B1570" s="160" t="s">
        <v>285</v>
      </c>
      <c r="C1570" t="s">
        <v>621</v>
      </c>
      <c r="D1570" t="s">
        <v>27</v>
      </c>
      <c r="E1570" s="161">
        <v>3</v>
      </c>
      <c r="F1570" s="161">
        <v>80</v>
      </c>
      <c r="G1570" s="162">
        <v>240</v>
      </c>
      <c r="H1570" s="67">
        <v>623</v>
      </c>
    </row>
    <row r="1571" spans="1:8" x14ac:dyDescent="0.25">
      <c r="A1571" s="212">
        <v>41948</v>
      </c>
      <c r="B1571" s="160" t="s">
        <v>722</v>
      </c>
      <c r="C1571" t="s">
        <v>723</v>
      </c>
      <c r="D1571" t="s">
        <v>527</v>
      </c>
      <c r="E1571" s="161">
        <v>130.5</v>
      </c>
      <c r="F1571" s="161">
        <v>3</v>
      </c>
      <c r="G1571" s="162">
        <v>391.5</v>
      </c>
      <c r="H1571" s="67">
        <v>623</v>
      </c>
    </row>
    <row r="1572" spans="1:8" x14ac:dyDescent="0.25">
      <c r="A1572" s="212">
        <v>41948</v>
      </c>
      <c r="B1572" s="160" t="s">
        <v>731</v>
      </c>
      <c r="C1572" t="s">
        <v>677</v>
      </c>
      <c r="D1572" t="s">
        <v>527</v>
      </c>
      <c r="E1572" s="161">
        <v>1</v>
      </c>
      <c r="F1572" s="161">
        <v>317.8</v>
      </c>
      <c r="G1572" s="162">
        <v>317.8</v>
      </c>
      <c r="H1572" s="67">
        <v>623</v>
      </c>
    </row>
    <row r="1573" spans="1:8" x14ac:dyDescent="0.25">
      <c r="A1573" s="212">
        <v>41949</v>
      </c>
      <c r="B1573" s="160" t="s">
        <v>285</v>
      </c>
      <c r="C1573" t="s">
        <v>621</v>
      </c>
      <c r="D1573" t="s">
        <v>27</v>
      </c>
      <c r="E1573" s="161">
        <v>1</v>
      </c>
      <c r="F1573" s="161">
        <v>80</v>
      </c>
      <c r="G1573" s="162">
        <v>80</v>
      </c>
      <c r="H1573" s="67">
        <v>623</v>
      </c>
    </row>
    <row r="1574" spans="1:8" x14ac:dyDescent="0.25">
      <c r="A1574" s="212">
        <v>41949</v>
      </c>
      <c r="B1574" s="160" t="s">
        <v>631</v>
      </c>
      <c r="C1574" t="s">
        <v>632</v>
      </c>
      <c r="D1574" t="s">
        <v>27</v>
      </c>
      <c r="E1574" s="161">
        <v>1</v>
      </c>
      <c r="F1574" s="161">
        <v>80</v>
      </c>
      <c r="G1574" s="162">
        <v>80</v>
      </c>
      <c r="H1574" s="67">
        <v>623</v>
      </c>
    </row>
    <row r="1575" spans="1:8" x14ac:dyDescent="0.25">
      <c r="A1575" s="212">
        <v>41949</v>
      </c>
      <c r="B1575" s="160" t="s">
        <v>631</v>
      </c>
      <c r="C1575" t="s">
        <v>632</v>
      </c>
      <c r="D1575" t="s">
        <v>27</v>
      </c>
      <c r="E1575" s="161">
        <v>2</v>
      </c>
      <c r="F1575" s="161">
        <v>80</v>
      </c>
      <c r="G1575" s="162">
        <v>160</v>
      </c>
      <c r="H1575" s="67">
        <v>623</v>
      </c>
    </row>
    <row r="1576" spans="1:8" x14ac:dyDescent="0.25">
      <c r="A1576" s="212">
        <v>41949</v>
      </c>
      <c r="B1576" s="160" t="s">
        <v>631</v>
      </c>
      <c r="C1576" t="s">
        <v>632</v>
      </c>
      <c r="D1576" t="s">
        <v>27</v>
      </c>
      <c r="E1576" s="161">
        <v>1</v>
      </c>
      <c r="F1576" s="161">
        <v>80</v>
      </c>
      <c r="G1576" s="162">
        <v>80</v>
      </c>
      <c r="H1576" s="67">
        <v>623</v>
      </c>
    </row>
    <row r="1577" spans="1:8" x14ac:dyDescent="0.25">
      <c r="A1577" s="212">
        <v>41950</v>
      </c>
      <c r="B1577" s="160" t="s">
        <v>634</v>
      </c>
      <c r="C1577" t="s">
        <v>635</v>
      </c>
      <c r="D1577" t="s">
        <v>27</v>
      </c>
      <c r="E1577" s="161">
        <v>3.5</v>
      </c>
      <c r="F1577" s="161">
        <v>92.5</v>
      </c>
      <c r="G1577" s="162">
        <v>323.75</v>
      </c>
      <c r="H1577" s="67">
        <v>623</v>
      </c>
    </row>
    <row r="1578" spans="1:8" x14ac:dyDescent="0.25">
      <c r="A1578" s="212">
        <v>41950</v>
      </c>
      <c r="B1578" s="160" t="s">
        <v>722</v>
      </c>
      <c r="C1578" t="s">
        <v>723</v>
      </c>
      <c r="D1578" t="s">
        <v>527</v>
      </c>
      <c r="E1578" s="161">
        <v>334.1</v>
      </c>
      <c r="F1578" s="161">
        <v>3</v>
      </c>
      <c r="G1578" s="162">
        <v>1002.3</v>
      </c>
      <c r="H1578" s="67">
        <v>623</v>
      </c>
    </row>
    <row r="1579" spans="1:8" x14ac:dyDescent="0.25">
      <c r="A1579" s="212">
        <v>41950</v>
      </c>
      <c r="B1579" s="160" t="s">
        <v>701</v>
      </c>
      <c r="C1579" t="s">
        <v>702</v>
      </c>
      <c r="D1579" t="s">
        <v>27</v>
      </c>
      <c r="E1579" s="161">
        <v>5.5</v>
      </c>
      <c r="F1579" s="161">
        <v>140</v>
      </c>
      <c r="G1579" s="162">
        <v>770</v>
      </c>
      <c r="H1579" s="67">
        <v>623</v>
      </c>
    </row>
    <row r="1580" spans="1:8" x14ac:dyDescent="0.25">
      <c r="A1580" s="212">
        <v>41950</v>
      </c>
      <c r="B1580" s="160" t="s">
        <v>1212</v>
      </c>
      <c r="C1580" t="s">
        <v>7</v>
      </c>
      <c r="D1580" t="s">
        <v>27</v>
      </c>
      <c r="E1580" s="161">
        <v>8.5</v>
      </c>
      <c r="F1580" s="161">
        <v>42.72</v>
      </c>
      <c r="G1580" s="162">
        <v>363.12</v>
      </c>
      <c r="H1580" s="67">
        <v>623</v>
      </c>
    </row>
    <row r="1581" spans="1:8" x14ac:dyDescent="0.25">
      <c r="A1581" s="212">
        <v>41951</v>
      </c>
      <c r="B1581" s="160" t="s">
        <v>286</v>
      </c>
      <c r="C1581" t="s">
        <v>633</v>
      </c>
      <c r="D1581" t="s">
        <v>27</v>
      </c>
      <c r="E1581" s="161">
        <v>7</v>
      </c>
      <c r="F1581" s="161">
        <v>90</v>
      </c>
      <c r="G1581" s="162">
        <v>630</v>
      </c>
      <c r="H1581" s="67">
        <v>623</v>
      </c>
    </row>
    <row r="1582" spans="1:8" x14ac:dyDescent="0.25">
      <c r="A1582" s="212">
        <v>41951</v>
      </c>
      <c r="B1582" s="160" t="s">
        <v>623</v>
      </c>
      <c r="C1582" t="s">
        <v>7</v>
      </c>
      <c r="D1582" t="s">
        <v>27</v>
      </c>
      <c r="E1582" s="161">
        <v>5.5</v>
      </c>
      <c r="F1582" s="161">
        <v>42.6</v>
      </c>
      <c r="G1582" s="162">
        <v>234.3</v>
      </c>
      <c r="H1582" s="67">
        <v>623</v>
      </c>
    </row>
    <row r="1583" spans="1:8" x14ac:dyDescent="0.25">
      <c r="A1583" s="212">
        <v>41951</v>
      </c>
      <c r="B1583" s="160" t="s">
        <v>631</v>
      </c>
      <c r="C1583" t="s">
        <v>632</v>
      </c>
      <c r="D1583" t="s">
        <v>27</v>
      </c>
      <c r="E1583" s="161">
        <v>6</v>
      </c>
      <c r="F1583" s="161">
        <v>80</v>
      </c>
      <c r="G1583" s="162">
        <v>480</v>
      </c>
      <c r="H1583" s="67">
        <v>623</v>
      </c>
    </row>
    <row r="1584" spans="1:8" x14ac:dyDescent="0.25">
      <c r="A1584" s="212">
        <v>41951</v>
      </c>
      <c r="B1584" s="160" t="s">
        <v>1109</v>
      </c>
      <c r="C1584" t="s">
        <v>7</v>
      </c>
      <c r="D1584" t="s">
        <v>27</v>
      </c>
      <c r="E1584" s="161">
        <v>3</v>
      </c>
      <c r="F1584" s="161">
        <v>42.72</v>
      </c>
      <c r="G1584" s="162">
        <v>128.16</v>
      </c>
      <c r="H1584" s="67">
        <v>623</v>
      </c>
    </row>
    <row r="1585" spans="1:8" x14ac:dyDescent="0.25">
      <c r="A1585" s="212">
        <v>41951</v>
      </c>
      <c r="B1585" s="160" t="s">
        <v>701</v>
      </c>
      <c r="C1585" t="s">
        <v>702</v>
      </c>
      <c r="D1585" t="s">
        <v>27</v>
      </c>
      <c r="E1585" s="161">
        <v>7</v>
      </c>
      <c r="F1585" s="161">
        <v>140</v>
      </c>
      <c r="G1585" s="162">
        <v>980</v>
      </c>
      <c r="H1585" s="67">
        <v>623</v>
      </c>
    </row>
    <row r="1586" spans="1:8" x14ac:dyDescent="0.25">
      <c r="A1586" s="212">
        <v>41951</v>
      </c>
      <c r="B1586" s="160" t="s">
        <v>722</v>
      </c>
      <c r="C1586" t="s">
        <v>723</v>
      </c>
      <c r="D1586" t="s">
        <v>527</v>
      </c>
      <c r="E1586" s="161">
        <v>456.8</v>
      </c>
      <c r="F1586" s="161">
        <v>3</v>
      </c>
      <c r="G1586" s="162">
        <v>1370.4</v>
      </c>
      <c r="H1586" s="67">
        <v>623</v>
      </c>
    </row>
    <row r="1587" spans="1:8" x14ac:dyDescent="0.25">
      <c r="A1587" s="212">
        <v>41951</v>
      </c>
      <c r="B1587" s="160" t="s">
        <v>623</v>
      </c>
      <c r="C1587" t="s">
        <v>7</v>
      </c>
      <c r="D1587" t="s">
        <v>527</v>
      </c>
      <c r="E1587" s="161">
        <v>7</v>
      </c>
      <c r="F1587" s="161">
        <v>49.7</v>
      </c>
      <c r="G1587" s="162">
        <v>347.9</v>
      </c>
      <c r="H1587" s="67">
        <v>623</v>
      </c>
    </row>
    <row r="1588" spans="1:8" x14ac:dyDescent="0.25">
      <c r="A1588" s="212">
        <v>41953</v>
      </c>
      <c r="B1588" s="160" t="s">
        <v>682</v>
      </c>
      <c r="C1588" t="s">
        <v>680</v>
      </c>
      <c r="D1588" t="s">
        <v>527</v>
      </c>
      <c r="E1588" s="161">
        <v>22.53</v>
      </c>
      <c r="F1588" s="161">
        <v>7.5</v>
      </c>
      <c r="G1588" s="162">
        <v>168.97499999999999</v>
      </c>
      <c r="H1588" s="67">
        <v>623</v>
      </c>
    </row>
    <row r="1589" spans="1:8" x14ac:dyDescent="0.25">
      <c r="A1589" s="212">
        <v>41953</v>
      </c>
      <c r="B1589" s="160" t="s">
        <v>634</v>
      </c>
      <c r="C1589" t="s">
        <v>635</v>
      </c>
      <c r="D1589" t="s">
        <v>27</v>
      </c>
      <c r="E1589" s="161">
        <v>1.5</v>
      </c>
      <c r="F1589" s="161">
        <v>92.5</v>
      </c>
      <c r="G1589" s="162">
        <v>138.75</v>
      </c>
      <c r="H1589" s="67">
        <v>623</v>
      </c>
    </row>
    <row r="1590" spans="1:8" x14ac:dyDescent="0.25">
      <c r="A1590" s="212">
        <v>41953</v>
      </c>
      <c r="B1590" s="160" t="s">
        <v>701</v>
      </c>
      <c r="C1590" t="s">
        <v>702</v>
      </c>
      <c r="D1590" t="s">
        <v>27</v>
      </c>
      <c r="E1590" s="161">
        <v>9</v>
      </c>
      <c r="F1590" s="161">
        <v>140</v>
      </c>
      <c r="G1590" s="162">
        <v>1260</v>
      </c>
      <c r="H1590" s="67">
        <v>623</v>
      </c>
    </row>
    <row r="1591" spans="1:8" x14ac:dyDescent="0.25">
      <c r="A1591" s="212">
        <v>41953</v>
      </c>
      <c r="B1591" s="160" t="s">
        <v>722</v>
      </c>
      <c r="C1591" t="s">
        <v>723</v>
      </c>
      <c r="D1591" t="s">
        <v>527</v>
      </c>
      <c r="E1591" s="161">
        <v>442.9</v>
      </c>
      <c r="F1591" s="161">
        <v>3</v>
      </c>
      <c r="G1591" s="162">
        <v>1328.7</v>
      </c>
      <c r="H1591" s="67">
        <v>623</v>
      </c>
    </row>
    <row r="1592" spans="1:8" x14ac:dyDescent="0.25">
      <c r="A1592" s="212">
        <v>41953</v>
      </c>
      <c r="B1592" s="160" t="s">
        <v>623</v>
      </c>
      <c r="C1592" t="s">
        <v>7</v>
      </c>
      <c r="D1592" t="s">
        <v>27</v>
      </c>
      <c r="E1592" s="161">
        <v>10</v>
      </c>
      <c r="F1592" s="161">
        <v>42.6</v>
      </c>
      <c r="G1592" s="162">
        <v>426</v>
      </c>
      <c r="H1592" s="67">
        <v>623</v>
      </c>
    </row>
    <row r="1593" spans="1:8" x14ac:dyDescent="0.25">
      <c r="A1593" s="212">
        <v>41954</v>
      </c>
      <c r="B1593" s="160" t="s">
        <v>683</v>
      </c>
      <c r="C1593" t="s">
        <v>680</v>
      </c>
      <c r="D1593" t="s">
        <v>527</v>
      </c>
      <c r="E1593" s="161">
        <v>23.9</v>
      </c>
      <c r="F1593" s="161">
        <v>7.5</v>
      </c>
      <c r="G1593" s="162">
        <v>179.25</v>
      </c>
      <c r="H1593" s="67">
        <v>623</v>
      </c>
    </row>
    <row r="1594" spans="1:8" x14ac:dyDescent="0.25">
      <c r="A1594" s="212">
        <v>41954</v>
      </c>
      <c r="B1594" s="160" t="s">
        <v>682</v>
      </c>
      <c r="C1594" t="s">
        <v>680</v>
      </c>
      <c r="D1594" t="s">
        <v>527</v>
      </c>
      <c r="E1594" s="161">
        <v>58.38</v>
      </c>
      <c r="F1594" s="161">
        <v>7.5</v>
      </c>
      <c r="G1594" s="162">
        <v>437.85</v>
      </c>
      <c r="H1594" s="67">
        <v>623</v>
      </c>
    </row>
    <row r="1595" spans="1:8" x14ac:dyDescent="0.25">
      <c r="A1595" s="212">
        <v>41954</v>
      </c>
      <c r="B1595" s="160" t="s">
        <v>701</v>
      </c>
      <c r="C1595" t="s">
        <v>702</v>
      </c>
      <c r="D1595" t="s">
        <v>27</v>
      </c>
      <c r="E1595" s="161">
        <v>6</v>
      </c>
      <c r="F1595" s="161">
        <v>140</v>
      </c>
      <c r="G1595" s="162">
        <v>840</v>
      </c>
      <c r="H1595" s="67">
        <v>623</v>
      </c>
    </row>
    <row r="1596" spans="1:8" x14ac:dyDescent="0.25">
      <c r="A1596" s="212">
        <v>41954</v>
      </c>
      <c r="B1596" s="160" t="s">
        <v>286</v>
      </c>
      <c r="C1596" t="s">
        <v>633</v>
      </c>
      <c r="D1596" t="s">
        <v>27</v>
      </c>
      <c r="E1596" s="161">
        <v>10</v>
      </c>
      <c r="F1596" s="161">
        <v>90</v>
      </c>
      <c r="G1596" s="162">
        <v>900</v>
      </c>
      <c r="H1596" s="67">
        <v>623</v>
      </c>
    </row>
    <row r="1597" spans="1:8" x14ac:dyDescent="0.25">
      <c r="A1597" s="212">
        <v>41954</v>
      </c>
      <c r="B1597" s="160" t="s">
        <v>623</v>
      </c>
      <c r="C1597" t="s">
        <v>7</v>
      </c>
      <c r="D1597" t="s">
        <v>27</v>
      </c>
      <c r="E1597" s="161">
        <v>10</v>
      </c>
      <c r="F1597" s="161">
        <v>42.6</v>
      </c>
      <c r="G1597" s="162">
        <v>426</v>
      </c>
      <c r="H1597" s="67">
        <v>623</v>
      </c>
    </row>
    <row r="1598" spans="1:8" x14ac:dyDescent="0.25">
      <c r="A1598" s="212">
        <v>41954</v>
      </c>
      <c r="B1598" s="160" t="s">
        <v>1213</v>
      </c>
      <c r="C1598" t="s">
        <v>1214</v>
      </c>
      <c r="D1598" t="s">
        <v>27</v>
      </c>
      <c r="E1598" s="161">
        <v>1</v>
      </c>
      <c r="F1598" s="161">
        <v>35</v>
      </c>
      <c r="G1598" s="162">
        <v>35</v>
      </c>
      <c r="H1598" s="67">
        <v>623</v>
      </c>
    </row>
    <row r="1599" spans="1:8" x14ac:dyDescent="0.25">
      <c r="A1599" s="212">
        <v>41954</v>
      </c>
      <c r="B1599" s="160" t="s">
        <v>619</v>
      </c>
      <c r="C1599" t="s">
        <v>620</v>
      </c>
      <c r="D1599" t="s">
        <v>27</v>
      </c>
      <c r="E1599" s="161">
        <v>6.5</v>
      </c>
      <c r="F1599" s="161">
        <v>80</v>
      </c>
      <c r="G1599" s="162">
        <v>520</v>
      </c>
      <c r="H1599" s="67">
        <v>623</v>
      </c>
    </row>
    <row r="1600" spans="1:8" x14ac:dyDescent="0.25">
      <c r="A1600" s="212">
        <v>41954</v>
      </c>
      <c r="B1600" s="160" t="s">
        <v>722</v>
      </c>
      <c r="C1600" t="s">
        <v>723</v>
      </c>
      <c r="D1600" t="s">
        <v>527</v>
      </c>
      <c r="E1600" s="161">
        <v>267.60000000000002</v>
      </c>
      <c r="F1600" s="161">
        <v>3</v>
      </c>
      <c r="G1600" s="162">
        <v>802.8</v>
      </c>
      <c r="H1600" s="67">
        <v>623</v>
      </c>
    </row>
    <row r="1601" spans="1:8" x14ac:dyDescent="0.25">
      <c r="A1601" s="212">
        <v>41954</v>
      </c>
      <c r="B1601" s="160" t="s">
        <v>1109</v>
      </c>
      <c r="C1601" t="s">
        <v>7</v>
      </c>
      <c r="D1601" t="s">
        <v>27</v>
      </c>
      <c r="E1601" s="161">
        <v>4.5</v>
      </c>
      <c r="F1601" s="161">
        <v>42.72</v>
      </c>
      <c r="G1601" s="162">
        <v>192.24</v>
      </c>
      <c r="H1601" s="67">
        <v>623</v>
      </c>
    </row>
    <row r="1602" spans="1:8" x14ac:dyDescent="0.25">
      <c r="A1602" s="212">
        <v>41954</v>
      </c>
      <c r="B1602" s="160" t="s">
        <v>1211</v>
      </c>
      <c r="C1602" t="s">
        <v>1233</v>
      </c>
      <c r="D1602" t="s">
        <v>27</v>
      </c>
      <c r="E1602" s="161">
        <v>3.5</v>
      </c>
      <c r="F1602" s="161">
        <v>54.58</v>
      </c>
      <c r="G1602" s="162">
        <v>191.03</v>
      </c>
      <c r="H1602" s="67">
        <v>623</v>
      </c>
    </row>
    <row r="1603" spans="1:8" x14ac:dyDescent="0.25">
      <c r="A1603" s="212">
        <v>41954</v>
      </c>
      <c r="B1603" s="160" t="s">
        <v>623</v>
      </c>
      <c r="C1603" t="s">
        <v>7</v>
      </c>
      <c r="D1603" t="s">
        <v>527</v>
      </c>
      <c r="E1603" s="161">
        <v>10.5</v>
      </c>
      <c r="F1603" s="161">
        <v>49.7</v>
      </c>
      <c r="G1603" s="162">
        <v>521.85</v>
      </c>
      <c r="H1603" s="67">
        <v>623</v>
      </c>
    </row>
    <row r="1604" spans="1:8" x14ac:dyDescent="0.25">
      <c r="A1604" s="212">
        <v>41955</v>
      </c>
      <c r="B1604" s="160" t="s">
        <v>286</v>
      </c>
      <c r="C1604" t="s">
        <v>633</v>
      </c>
      <c r="D1604" t="s">
        <v>27</v>
      </c>
      <c r="E1604" s="161">
        <v>7</v>
      </c>
      <c r="F1604" s="161">
        <v>90</v>
      </c>
      <c r="G1604" s="162">
        <v>630</v>
      </c>
      <c r="H1604" s="67">
        <v>623</v>
      </c>
    </row>
    <row r="1605" spans="1:8" x14ac:dyDescent="0.25">
      <c r="A1605" s="212">
        <v>41955</v>
      </c>
      <c r="B1605" s="160" t="s">
        <v>623</v>
      </c>
      <c r="C1605" t="s">
        <v>7</v>
      </c>
      <c r="D1605" t="s">
        <v>27</v>
      </c>
      <c r="E1605" s="161">
        <v>5.5</v>
      </c>
      <c r="F1605" s="161">
        <v>42.6</v>
      </c>
      <c r="G1605" s="162">
        <v>234.3</v>
      </c>
      <c r="H1605" s="67">
        <v>623</v>
      </c>
    </row>
    <row r="1606" spans="1:8" x14ac:dyDescent="0.25">
      <c r="A1606" s="212">
        <v>41955</v>
      </c>
      <c r="B1606" s="160" t="s">
        <v>1109</v>
      </c>
      <c r="C1606" t="s">
        <v>7</v>
      </c>
      <c r="D1606" t="s">
        <v>27</v>
      </c>
      <c r="E1606" s="161">
        <v>4.5</v>
      </c>
      <c r="F1606" s="161">
        <v>42.72</v>
      </c>
      <c r="G1606" s="162">
        <v>192.24</v>
      </c>
      <c r="H1606" s="67">
        <v>623</v>
      </c>
    </row>
    <row r="1607" spans="1:8" x14ac:dyDescent="0.25">
      <c r="A1607" s="212">
        <v>41955</v>
      </c>
      <c r="B1607" s="160" t="s">
        <v>701</v>
      </c>
      <c r="C1607" t="s">
        <v>702</v>
      </c>
      <c r="D1607" t="s">
        <v>27</v>
      </c>
      <c r="E1607" s="161">
        <v>10</v>
      </c>
      <c r="F1607" s="161">
        <v>140</v>
      </c>
      <c r="G1607" s="162">
        <v>1400</v>
      </c>
      <c r="H1607" s="67">
        <v>623</v>
      </c>
    </row>
    <row r="1608" spans="1:8" x14ac:dyDescent="0.25">
      <c r="A1608" s="212">
        <v>41955</v>
      </c>
      <c r="B1608" s="160" t="s">
        <v>722</v>
      </c>
      <c r="C1608" t="s">
        <v>723</v>
      </c>
      <c r="D1608" t="s">
        <v>527</v>
      </c>
      <c r="E1608" s="161">
        <v>210.4</v>
      </c>
      <c r="F1608" s="161">
        <v>3</v>
      </c>
      <c r="G1608" s="162">
        <v>631.20000000000005</v>
      </c>
      <c r="H1608" s="67">
        <v>623</v>
      </c>
    </row>
    <row r="1609" spans="1:8" x14ac:dyDescent="0.25">
      <c r="A1609" s="212">
        <v>41956</v>
      </c>
      <c r="B1609" s="160" t="s">
        <v>722</v>
      </c>
      <c r="C1609" t="s">
        <v>723</v>
      </c>
      <c r="D1609" t="s">
        <v>527</v>
      </c>
      <c r="E1609" s="161">
        <v>175.9</v>
      </c>
      <c r="F1609" s="161">
        <v>3</v>
      </c>
      <c r="G1609" s="162">
        <v>527.70000000000005</v>
      </c>
      <c r="H1609" s="67">
        <v>623</v>
      </c>
    </row>
    <row r="1610" spans="1:8" x14ac:dyDescent="0.25">
      <c r="A1610" s="212">
        <v>41956</v>
      </c>
      <c r="B1610" s="160" t="s">
        <v>623</v>
      </c>
      <c r="C1610" t="s">
        <v>7</v>
      </c>
      <c r="D1610" t="s">
        <v>27</v>
      </c>
      <c r="E1610" s="161">
        <v>10.5</v>
      </c>
      <c r="F1610" s="161">
        <v>42.6</v>
      </c>
      <c r="G1610" s="162">
        <v>447.3</v>
      </c>
      <c r="H1610" s="67">
        <v>623</v>
      </c>
    </row>
    <row r="1611" spans="1:8" x14ac:dyDescent="0.25">
      <c r="A1611" s="212">
        <v>41956</v>
      </c>
      <c r="B1611" s="160" t="s">
        <v>701</v>
      </c>
      <c r="C1611" t="s">
        <v>702</v>
      </c>
      <c r="D1611" t="s">
        <v>27</v>
      </c>
      <c r="E1611" s="161">
        <v>5.5</v>
      </c>
      <c r="F1611" s="161">
        <v>140</v>
      </c>
      <c r="G1611" s="162">
        <v>770</v>
      </c>
      <c r="H1611" s="67">
        <v>623</v>
      </c>
    </row>
    <row r="1612" spans="1:8" x14ac:dyDescent="0.25">
      <c r="A1612" s="212">
        <v>41956</v>
      </c>
      <c r="B1612" s="160" t="s">
        <v>286</v>
      </c>
      <c r="C1612" t="s">
        <v>633</v>
      </c>
      <c r="D1612" t="s">
        <v>27</v>
      </c>
      <c r="E1612" s="161">
        <v>10</v>
      </c>
      <c r="F1612" s="161">
        <v>90</v>
      </c>
      <c r="G1612" s="162">
        <v>900</v>
      </c>
      <c r="H1612" s="67">
        <v>623</v>
      </c>
    </row>
    <row r="1613" spans="1:8" x14ac:dyDescent="0.25">
      <c r="A1613" s="212">
        <v>41957</v>
      </c>
      <c r="B1613" s="160" t="s">
        <v>619</v>
      </c>
      <c r="C1613" t="s">
        <v>620</v>
      </c>
      <c r="D1613" t="s">
        <v>27</v>
      </c>
      <c r="E1613" s="161">
        <v>4.5</v>
      </c>
      <c r="F1613" s="161">
        <v>80</v>
      </c>
      <c r="G1613" s="162">
        <v>360</v>
      </c>
      <c r="H1613" s="67">
        <v>623</v>
      </c>
    </row>
    <row r="1614" spans="1:8" x14ac:dyDescent="0.25">
      <c r="A1614" s="212">
        <v>41957</v>
      </c>
      <c r="B1614" s="160" t="s">
        <v>634</v>
      </c>
      <c r="C1614" t="s">
        <v>635</v>
      </c>
      <c r="D1614" t="s">
        <v>27</v>
      </c>
      <c r="E1614" s="161">
        <v>3.5</v>
      </c>
      <c r="F1614" s="161">
        <v>92.5</v>
      </c>
      <c r="G1614" s="162">
        <v>323.75</v>
      </c>
      <c r="H1614" s="67">
        <v>623</v>
      </c>
    </row>
    <row r="1615" spans="1:8" x14ac:dyDescent="0.25">
      <c r="A1615" s="212">
        <v>41957</v>
      </c>
      <c r="B1615" s="160" t="s">
        <v>644</v>
      </c>
      <c r="C1615" t="s">
        <v>645</v>
      </c>
      <c r="D1615" t="s">
        <v>27</v>
      </c>
      <c r="E1615" s="161">
        <v>3</v>
      </c>
      <c r="F1615" s="161">
        <v>80</v>
      </c>
      <c r="G1615" s="162">
        <v>240</v>
      </c>
      <c r="H1615" s="67">
        <v>623</v>
      </c>
    </row>
    <row r="1616" spans="1:8" x14ac:dyDescent="0.25">
      <c r="A1616" s="212">
        <v>41957</v>
      </c>
      <c r="B1616" s="160" t="s">
        <v>631</v>
      </c>
      <c r="C1616" t="s">
        <v>632</v>
      </c>
      <c r="D1616" t="s">
        <v>27</v>
      </c>
      <c r="E1616" s="161">
        <v>9.5</v>
      </c>
      <c r="F1616" s="161">
        <v>80</v>
      </c>
      <c r="G1616" s="162">
        <v>760</v>
      </c>
      <c r="H1616" s="67">
        <v>623</v>
      </c>
    </row>
    <row r="1617" spans="1:8" x14ac:dyDescent="0.25">
      <c r="A1617" s="212">
        <v>41957</v>
      </c>
      <c r="B1617" s="160" t="s">
        <v>623</v>
      </c>
      <c r="C1617" t="s">
        <v>7</v>
      </c>
      <c r="D1617" t="s">
        <v>27</v>
      </c>
      <c r="E1617" s="161">
        <v>2</v>
      </c>
      <c r="F1617" s="161">
        <v>42.6</v>
      </c>
      <c r="G1617" s="162">
        <v>85.2</v>
      </c>
      <c r="H1617" s="67">
        <v>623</v>
      </c>
    </row>
    <row r="1618" spans="1:8" x14ac:dyDescent="0.25">
      <c r="A1618" s="212">
        <v>41958</v>
      </c>
      <c r="B1618" s="160" t="s">
        <v>619</v>
      </c>
      <c r="C1618" t="s">
        <v>620</v>
      </c>
      <c r="D1618" t="s">
        <v>27</v>
      </c>
      <c r="E1618" s="161">
        <v>9</v>
      </c>
      <c r="F1618" s="161">
        <v>80</v>
      </c>
      <c r="G1618" s="162">
        <v>720</v>
      </c>
      <c r="H1618" s="67">
        <v>623</v>
      </c>
    </row>
    <row r="1619" spans="1:8" x14ac:dyDescent="0.25">
      <c r="A1619" s="212">
        <v>41958</v>
      </c>
      <c r="B1619" s="160" t="s">
        <v>1109</v>
      </c>
      <c r="C1619" t="s">
        <v>7</v>
      </c>
      <c r="D1619" t="s">
        <v>27</v>
      </c>
      <c r="E1619" s="161">
        <v>6</v>
      </c>
      <c r="F1619" s="161">
        <v>42.72</v>
      </c>
      <c r="G1619" s="162">
        <v>256.32</v>
      </c>
      <c r="H1619" s="67">
        <v>623</v>
      </c>
    </row>
    <row r="1620" spans="1:8" x14ac:dyDescent="0.25">
      <c r="A1620" s="212">
        <v>41958</v>
      </c>
      <c r="B1620" s="160" t="s">
        <v>1209</v>
      </c>
      <c r="C1620" t="s">
        <v>1210</v>
      </c>
      <c r="D1620" t="s">
        <v>27</v>
      </c>
      <c r="E1620" s="161">
        <v>6</v>
      </c>
      <c r="F1620" s="161">
        <v>42.79</v>
      </c>
      <c r="G1620" s="162">
        <v>256.74</v>
      </c>
      <c r="H1620" s="67">
        <v>623</v>
      </c>
    </row>
    <row r="1621" spans="1:8" x14ac:dyDescent="0.25">
      <c r="A1621" s="212">
        <v>41958</v>
      </c>
      <c r="B1621" s="160" t="s">
        <v>1211</v>
      </c>
      <c r="C1621" t="s">
        <v>1233</v>
      </c>
      <c r="D1621" t="s">
        <v>27</v>
      </c>
      <c r="E1621" s="161">
        <v>7</v>
      </c>
      <c r="F1621" s="161">
        <v>54.58</v>
      </c>
      <c r="G1621" s="162">
        <v>382.06</v>
      </c>
      <c r="H1621" s="67">
        <v>623</v>
      </c>
    </row>
    <row r="1622" spans="1:8" x14ac:dyDescent="0.25">
      <c r="A1622" s="212">
        <v>41958</v>
      </c>
      <c r="B1622" s="160" t="s">
        <v>631</v>
      </c>
      <c r="C1622" t="s">
        <v>632</v>
      </c>
      <c r="D1622" t="s">
        <v>27</v>
      </c>
      <c r="E1622" s="161">
        <v>3.5</v>
      </c>
      <c r="F1622" s="161">
        <v>80</v>
      </c>
      <c r="G1622" s="162">
        <v>280</v>
      </c>
      <c r="H1622" s="67">
        <v>623</v>
      </c>
    </row>
    <row r="1623" spans="1:8" x14ac:dyDescent="0.25">
      <c r="A1623" s="212">
        <v>41958</v>
      </c>
      <c r="B1623" s="160" t="s">
        <v>682</v>
      </c>
      <c r="C1623" t="s">
        <v>680</v>
      </c>
      <c r="D1623" t="s">
        <v>527</v>
      </c>
      <c r="E1623" s="161">
        <v>183.47</v>
      </c>
      <c r="F1623" s="161">
        <v>7.5</v>
      </c>
      <c r="G1623" s="162">
        <v>1376.0250000000001</v>
      </c>
      <c r="H1623" s="67">
        <v>623</v>
      </c>
    </row>
    <row r="1624" spans="1:8" x14ac:dyDescent="0.25">
      <c r="A1624" s="212">
        <v>41958</v>
      </c>
      <c r="B1624" s="160" t="s">
        <v>722</v>
      </c>
      <c r="C1624" t="s">
        <v>723</v>
      </c>
      <c r="D1624" t="s">
        <v>527</v>
      </c>
      <c r="E1624" s="161">
        <v>122.15</v>
      </c>
      <c r="F1624" s="161">
        <v>3</v>
      </c>
      <c r="G1624" s="162">
        <v>366.45</v>
      </c>
      <c r="H1624" s="67">
        <v>623</v>
      </c>
    </row>
    <row r="1625" spans="1:8" x14ac:dyDescent="0.25">
      <c r="A1625" s="212">
        <v>41958</v>
      </c>
      <c r="B1625" s="160" t="s">
        <v>1218</v>
      </c>
      <c r="C1625" t="s">
        <v>1219</v>
      </c>
      <c r="D1625" t="s">
        <v>27</v>
      </c>
      <c r="E1625" s="161">
        <v>6</v>
      </c>
      <c r="F1625" s="161">
        <v>135</v>
      </c>
      <c r="G1625" s="162">
        <v>810</v>
      </c>
      <c r="H1625" s="67">
        <v>623</v>
      </c>
    </row>
    <row r="1626" spans="1:8" x14ac:dyDescent="0.25">
      <c r="A1626" s="212">
        <v>41960</v>
      </c>
      <c r="B1626" s="160" t="s">
        <v>1209</v>
      </c>
      <c r="C1626" t="s">
        <v>1210</v>
      </c>
      <c r="D1626" t="s">
        <v>27</v>
      </c>
      <c r="E1626" s="161">
        <v>3</v>
      </c>
      <c r="F1626" s="161">
        <v>42.79</v>
      </c>
      <c r="G1626" s="162">
        <v>128.37</v>
      </c>
      <c r="H1626" s="67">
        <v>623</v>
      </c>
    </row>
    <row r="1627" spans="1:8" x14ac:dyDescent="0.25">
      <c r="A1627" s="212">
        <v>41960</v>
      </c>
      <c r="B1627" s="160" t="s">
        <v>619</v>
      </c>
      <c r="C1627" t="s">
        <v>620</v>
      </c>
      <c r="D1627" t="s">
        <v>27</v>
      </c>
      <c r="E1627" s="161">
        <v>10</v>
      </c>
      <c r="F1627" s="161">
        <v>80</v>
      </c>
      <c r="G1627" s="162">
        <v>800</v>
      </c>
      <c r="H1627" s="67">
        <v>623</v>
      </c>
    </row>
    <row r="1628" spans="1:8" x14ac:dyDescent="0.25">
      <c r="A1628" s="212">
        <v>41960</v>
      </c>
      <c r="B1628" s="160" t="s">
        <v>623</v>
      </c>
      <c r="C1628" t="s">
        <v>7</v>
      </c>
      <c r="D1628" t="s">
        <v>527</v>
      </c>
      <c r="E1628" s="161">
        <v>10</v>
      </c>
      <c r="F1628" s="161">
        <v>49.7</v>
      </c>
      <c r="G1628" s="162">
        <v>497</v>
      </c>
      <c r="H1628" s="67">
        <v>623</v>
      </c>
    </row>
    <row r="1629" spans="1:8" x14ac:dyDescent="0.25">
      <c r="A1629" s="212">
        <v>41960</v>
      </c>
      <c r="B1629" s="160" t="s">
        <v>1212</v>
      </c>
      <c r="C1629" t="s">
        <v>7</v>
      </c>
      <c r="D1629" t="s">
        <v>27</v>
      </c>
      <c r="E1629" s="161">
        <v>3</v>
      </c>
      <c r="F1629" s="161">
        <v>42.72</v>
      </c>
      <c r="G1629" s="162">
        <v>128.16</v>
      </c>
      <c r="H1629" s="67">
        <v>623</v>
      </c>
    </row>
    <row r="1630" spans="1:8" x14ac:dyDescent="0.25">
      <c r="A1630" s="212">
        <v>41960</v>
      </c>
      <c r="B1630" s="160" t="s">
        <v>1211</v>
      </c>
      <c r="C1630" t="s">
        <v>1233</v>
      </c>
      <c r="D1630" t="s">
        <v>27</v>
      </c>
      <c r="E1630" s="161">
        <v>1.5</v>
      </c>
      <c r="F1630" s="161">
        <v>54.58</v>
      </c>
      <c r="G1630" s="162">
        <v>81.87</v>
      </c>
      <c r="H1630" s="67">
        <v>623</v>
      </c>
    </row>
    <row r="1631" spans="1:8" x14ac:dyDescent="0.25">
      <c r="A1631" s="212">
        <v>41960</v>
      </c>
      <c r="B1631" s="160" t="s">
        <v>285</v>
      </c>
      <c r="C1631" t="s">
        <v>621</v>
      </c>
      <c r="D1631" t="s">
        <v>27</v>
      </c>
      <c r="E1631" s="161">
        <v>4.5</v>
      </c>
      <c r="F1631" s="161">
        <v>80</v>
      </c>
      <c r="G1631" s="162">
        <v>360</v>
      </c>
      <c r="H1631" s="67">
        <v>623</v>
      </c>
    </row>
    <row r="1632" spans="1:8" x14ac:dyDescent="0.25">
      <c r="A1632" s="212">
        <v>41960</v>
      </c>
      <c r="B1632" s="160" t="s">
        <v>626</v>
      </c>
      <c r="C1632" t="s">
        <v>627</v>
      </c>
      <c r="D1632" t="s">
        <v>27</v>
      </c>
      <c r="E1632" s="161">
        <v>3.5</v>
      </c>
      <c r="F1632" s="161">
        <v>80</v>
      </c>
      <c r="G1632" s="162">
        <v>280</v>
      </c>
      <c r="H1632" s="67">
        <v>623</v>
      </c>
    </row>
    <row r="1633" spans="1:8" x14ac:dyDescent="0.25">
      <c r="A1633" s="212">
        <v>41960</v>
      </c>
      <c r="B1633" s="160" t="s">
        <v>644</v>
      </c>
      <c r="C1633" t="s">
        <v>645</v>
      </c>
      <c r="D1633" t="s">
        <v>27</v>
      </c>
      <c r="E1633" s="161">
        <v>4</v>
      </c>
      <c r="F1633" s="161">
        <v>80</v>
      </c>
      <c r="G1633" s="162">
        <v>320</v>
      </c>
      <c r="H1633" s="67">
        <v>623</v>
      </c>
    </row>
    <row r="1634" spans="1:8" x14ac:dyDescent="0.25">
      <c r="A1634" s="212">
        <v>41960</v>
      </c>
      <c r="B1634" s="160" t="s">
        <v>1109</v>
      </c>
      <c r="C1634" t="s">
        <v>7</v>
      </c>
      <c r="D1634" t="s">
        <v>27</v>
      </c>
      <c r="E1634" s="161">
        <v>4</v>
      </c>
      <c r="F1634" s="161">
        <v>42.72</v>
      </c>
      <c r="G1634" s="162">
        <v>170.88</v>
      </c>
      <c r="H1634" s="67">
        <v>623</v>
      </c>
    </row>
    <row r="1635" spans="1:8" x14ac:dyDescent="0.25">
      <c r="A1635" s="212">
        <v>41960</v>
      </c>
      <c r="B1635" s="160" t="s">
        <v>626</v>
      </c>
      <c r="C1635" t="s">
        <v>627</v>
      </c>
      <c r="D1635" t="s">
        <v>27</v>
      </c>
      <c r="E1635" s="161">
        <v>9</v>
      </c>
      <c r="F1635" s="161">
        <v>80</v>
      </c>
      <c r="G1635" s="162">
        <v>720</v>
      </c>
      <c r="H1635" s="67">
        <v>623</v>
      </c>
    </row>
    <row r="1636" spans="1:8" x14ac:dyDescent="0.25">
      <c r="A1636" s="212">
        <v>41960</v>
      </c>
      <c r="B1636" s="160" t="s">
        <v>644</v>
      </c>
      <c r="C1636" t="s">
        <v>645</v>
      </c>
      <c r="D1636" t="s">
        <v>27</v>
      </c>
      <c r="E1636" s="161">
        <v>3.5</v>
      </c>
      <c r="F1636" s="161">
        <v>80</v>
      </c>
      <c r="G1636" s="162">
        <v>280</v>
      </c>
      <c r="H1636" s="67">
        <v>623</v>
      </c>
    </row>
    <row r="1637" spans="1:8" x14ac:dyDescent="0.25">
      <c r="A1637" s="212">
        <v>41960</v>
      </c>
      <c r="B1637" s="160" t="s">
        <v>1211</v>
      </c>
      <c r="C1637" t="s">
        <v>1233</v>
      </c>
      <c r="D1637" t="s">
        <v>27</v>
      </c>
      <c r="E1637" s="161">
        <v>3</v>
      </c>
      <c r="F1637" s="161">
        <v>54.58</v>
      </c>
      <c r="G1637" s="162">
        <v>163.74</v>
      </c>
      <c r="H1637" s="67">
        <v>623</v>
      </c>
    </row>
    <row r="1638" spans="1:8" x14ac:dyDescent="0.25">
      <c r="A1638" s="212">
        <v>41960</v>
      </c>
      <c r="B1638" s="160" t="s">
        <v>631</v>
      </c>
      <c r="C1638" t="s">
        <v>632</v>
      </c>
      <c r="D1638" t="s">
        <v>27</v>
      </c>
      <c r="E1638" s="161">
        <v>3.5</v>
      </c>
      <c r="F1638" s="161">
        <v>80</v>
      </c>
      <c r="G1638" s="162">
        <v>280</v>
      </c>
      <c r="H1638" s="67">
        <v>623</v>
      </c>
    </row>
    <row r="1639" spans="1:8" x14ac:dyDescent="0.25">
      <c r="A1639" s="212">
        <v>41960</v>
      </c>
      <c r="B1639" s="160" t="s">
        <v>631</v>
      </c>
      <c r="C1639" t="s">
        <v>632</v>
      </c>
      <c r="D1639" t="s">
        <v>27</v>
      </c>
      <c r="E1639" s="161">
        <v>4.5</v>
      </c>
      <c r="F1639" s="161">
        <v>80</v>
      </c>
      <c r="G1639" s="162">
        <v>360</v>
      </c>
      <c r="H1639" s="67">
        <v>623</v>
      </c>
    </row>
    <row r="1640" spans="1:8" x14ac:dyDescent="0.25">
      <c r="A1640" s="212">
        <v>41960</v>
      </c>
      <c r="B1640" s="160" t="s">
        <v>1209</v>
      </c>
      <c r="C1640" t="s">
        <v>1210</v>
      </c>
      <c r="D1640" t="s">
        <v>27</v>
      </c>
      <c r="E1640" s="161">
        <v>4</v>
      </c>
      <c r="F1640" s="161">
        <v>42.79</v>
      </c>
      <c r="G1640" s="162">
        <v>171.16</v>
      </c>
      <c r="H1640" s="67">
        <v>623</v>
      </c>
    </row>
    <row r="1641" spans="1:8" x14ac:dyDescent="0.25">
      <c r="A1641" s="212">
        <v>41960</v>
      </c>
      <c r="B1641" s="160" t="s">
        <v>286</v>
      </c>
      <c r="C1641" t="s">
        <v>633</v>
      </c>
      <c r="D1641" t="s">
        <v>27</v>
      </c>
      <c r="E1641" s="161">
        <v>10</v>
      </c>
      <c r="F1641" s="161">
        <v>90</v>
      </c>
      <c r="G1641" s="162">
        <v>900</v>
      </c>
      <c r="H1641" s="67">
        <v>623</v>
      </c>
    </row>
    <row r="1642" spans="1:8" x14ac:dyDescent="0.25">
      <c r="A1642" s="212">
        <v>41960</v>
      </c>
      <c r="B1642" s="160" t="s">
        <v>623</v>
      </c>
      <c r="C1642" t="s">
        <v>7</v>
      </c>
      <c r="D1642" t="s">
        <v>27</v>
      </c>
      <c r="E1642" s="161">
        <v>6.5</v>
      </c>
      <c r="F1642" s="161">
        <v>42.6</v>
      </c>
      <c r="G1642" s="162">
        <v>276.89999999999998</v>
      </c>
      <c r="H1642" s="67">
        <v>623</v>
      </c>
    </row>
    <row r="1643" spans="1:8" x14ac:dyDescent="0.25">
      <c r="A1643" s="212">
        <v>41960</v>
      </c>
      <c r="B1643" s="160" t="s">
        <v>701</v>
      </c>
      <c r="C1643" t="s">
        <v>702</v>
      </c>
      <c r="D1643" t="s">
        <v>27</v>
      </c>
      <c r="E1643" s="161">
        <v>10</v>
      </c>
      <c r="F1643" s="161">
        <v>140</v>
      </c>
      <c r="G1643" s="162">
        <v>1400</v>
      </c>
      <c r="H1643" s="67">
        <v>623</v>
      </c>
    </row>
    <row r="1644" spans="1:8" x14ac:dyDescent="0.25">
      <c r="A1644" s="212">
        <v>41960</v>
      </c>
      <c r="B1644" s="160" t="s">
        <v>1218</v>
      </c>
      <c r="C1644" t="s">
        <v>1219</v>
      </c>
      <c r="D1644" t="s">
        <v>27</v>
      </c>
      <c r="E1644" s="161">
        <v>7</v>
      </c>
      <c r="F1644" s="161">
        <v>135</v>
      </c>
      <c r="G1644" s="162">
        <v>945</v>
      </c>
      <c r="H1644" s="67">
        <v>623</v>
      </c>
    </row>
    <row r="1645" spans="1:8" x14ac:dyDescent="0.25">
      <c r="A1645" s="212">
        <v>41960</v>
      </c>
      <c r="B1645" s="160" t="s">
        <v>722</v>
      </c>
      <c r="C1645" t="s">
        <v>723</v>
      </c>
      <c r="D1645" t="s">
        <v>527</v>
      </c>
      <c r="E1645" s="161">
        <v>592.21</v>
      </c>
      <c r="F1645" s="161">
        <v>3</v>
      </c>
      <c r="G1645" s="162">
        <v>1776.63</v>
      </c>
      <c r="H1645" s="67">
        <v>623</v>
      </c>
    </row>
    <row r="1646" spans="1:8" x14ac:dyDescent="0.25">
      <c r="A1646" s="212">
        <v>41961</v>
      </c>
      <c r="B1646" s="160" t="s">
        <v>623</v>
      </c>
      <c r="C1646" t="s">
        <v>7</v>
      </c>
      <c r="D1646" t="s">
        <v>527</v>
      </c>
      <c r="E1646" s="161">
        <v>10</v>
      </c>
      <c r="F1646" s="161">
        <v>49.7</v>
      </c>
      <c r="G1646" s="162">
        <v>497</v>
      </c>
      <c r="H1646" s="67">
        <v>623</v>
      </c>
    </row>
    <row r="1647" spans="1:8" x14ac:dyDescent="0.25">
      <c r="A1647" s="212">
        <v>41961</v>
      </c>
      <c r="B1647" s="160" t="s">
        <v>285</v>
      </c>
      <c r="C1647" t="s">
        <v>621</v>
      </c>
      <c r="D1647" t="s">
        <v>27</v>
      </c>
      <c r="E1647" s="161">
        <v>1.5</v>
      </c>
      <c r="F1647" s="161">
        <v>80</v>
      </c>
      <c r="G1647" s="162">
        <v>120</v>
      </c>
      <c r="H1647" s="67">
        <v>623</v>
      </c>
    </row>
    <row r="1648" spans="1:8" x14ac:dyDescent="0.25">
      <c r="A1648" s="212">
        <v>41961</v>
      </c>
      <c r="B1648" s="160" t="s">
        <v>286</v>
      </c>
      <c r="C1648" t="s">
        <v>633</v>
      </c>
      <c r="D1648" t="s">
        <v>27</v>
      </c>
      <c r="E1648" s="161">
        <v>9.5</v>
      </c>
      <c r="F1648" s="161">
        <v>80</v>
      </c>
      <c r="G1648" s="162">
        <v>760</v>
      </c>
      <c r="H1648" s="67">
        <v>623</v>
      </c>
    </row>
    <row r="1649" spans="1:8" x14ac:dyDescent="0.25">
      <c r="A1649" s="212">
        <v>41961</v>
      </c>
      <c r="B1649" s="160" t="s">
        <v>722</v>
      </c>
      <c r="C1649" t="s">
        <v>723</v>
      </c>
      <c r="D1649" t="s">
        <v>527</v>
      </c>
      <c r="E1649" s="161">
        <v>108.1</v>
      </c>
      <c r="F1649" s="161">
        <v>3</v>
      </c>
      <c r="G1649" s="162">
        <v>324.3</v>
      </c>
      <c r="H1649" s="67">
        <v>623</v>
      </c>
    </row>
    <row r="1650" spans="1:8" x14ac:dyDescent="0.25">
      <c r="A1650" s="212">
        <v>41961</v>
      </c>
      <c r="B1650" s="160" t="s">
        <v>701</v>
      </c>
      <c r="C1650" t="s">
        <v>702</v>
      </c>
      <c r="D1650" t="s">
        <v>27</v>
      </c>
      <c r="E1650" s="161">
        <v>7.5</v>
      </c>
      <c r="F1650" s="161">
        <v>140</v>
      </c>
      <c r="G1650" s="162">
        <v>1050</v>
      </c>
      <c r="H1650" s="67">
        <v>623</v>
      </c>
    </row>
    <row r="1651" spans="1:8" x14ac:dyDescent="0.25">
      <c r="A1651" s="212">
        <v>41962</v>
      </c>
      <c r="B1651" s="160" t="s">
        <v>722</v>
      </c>
      <c r="C1651" t="s">
        <v>723</v>
      </c>
      <c r="D1651" t="s">
        <v>527</v>
      </c>
      <c r="E1651" s="161">
        <v>146.05000000000001</v>
      </c>
      <c r="F1651" s="161">
        <v>3</v>
      </c>
      <c r="G1651" s="162">
        <v>438.15</v>
      </c>
      <c r="H1651" s="67">
        <v>623</v>
      </c>
    </row>
    <row r="1652" spans="1:8" x14ac:dyDescent="0.25">
      <c r="A1652" s="212">
        <v>41962</v>
      </c>
      <c r="B1652" s="160" t="s">
        <v>701</v>
      </c>
      <c r="C1652" t="s">
        <v>702</v>
      </c>
      <c r="D1652" t="s">
        <v>27</v>
      </c>
      <c r="E1652" s="161">
        <v>11.5</v>
      </c>
      <c r="F1652" s="161">
        <v>140</v>
      </c>
      <c r="G1652" s="162">
        <v>1610</v>
      </c>
      <c r="H1652" s="67">
        <v>623</v>
      </c>
    </row>
    <row r="1653" spans="1:8" x14ac:dyDescent="0.25">
      <c r="A1653" s="212">
        <v>41962</v>
      </c>
      <c r="B1653" s="160" t="s">
        <v>286</v>
      </c>
      <c r="C1653" t="s">
        <v>633</v>
      </c>
      <c r="D1653" t="s">
        <v>27</v>
      </c>
      <c r="E1653" s="161">
        <v>10.75</v>
      </c>
      <c r="F1653" s="161">
        <v>80</v>
      </c>
      <c r="G1653" s="162">
        <v>860</v>
      </c>
      <c r="H1653" s="67">
        <v>623</v>
      </c>
    </row>
    <row r="1654" spans="1:8" x14ac:dyDescent="0.25">
      <c r="A1654" s="212">
        <v>41963</v>
      </c>
      <c r="B1654" s="160" t="s">
        <v>286</v>
      </c>
      <c r="C1654" t="s">
        <v>633</v>
      </c>
      <c r="D1654" t="s">
        <v>27</v>
      </c>
      <c r="E1654" s="161">
        <v>10.5</v>
      </c>
      <c r="F1654" s="161">
        <v>80</v>
      </c>
      <c r="G1654" s="162">
        <v>840</v>
      </c>
      <c r="H1654" s="67">
        <v>623</v>
      </c>
    </row>
    <row r="1655" spans="1:8" x14ac:dyDescent="0.25">
      <c r="A1655" s="212">
        <v>41963</v>
      </c>
      <c r="B1655" s="160" t="s">
        <v>1218</v>
      </c>
      <c r="C1655" t="s">
        <v>1219</v>
      </c>
      <c r="D1655" t="s">
        <v>27</v>
      </c>
      <c r="E1655" s="161">
        <v>10.5</v>
      </c>
      <c r="F1655" s="161">
        <v>135</v>
      </c>
      <c r="G1655" s="162">
        <v>1417.5</v>
      </c>
      <c r="H1655" s="67">
        <v>623</v>
      </c>
    </row>
    <row r="1656" spans="1:8" x14ac:dyDescent="0.25">
      <c r="A1656" s="212">
        <v>41963</v>
      </c>
      <c r="B1656" s="160" t="s">
        <v>623</v>
      </c>
      <c r="C1656" t="s">
        <v>7</v>
      </c>
      <c r="D1656" t="s">
        <v>27</v>
      </c>
      <c r="E1656" s="161">
        <v>2</v>
      </c>
      <c r="F1656" s="161">
        <v>42.6</v>
      </c>
      <c r="G1656" s="162">
        <v>85.2</v>
      </c>
      <c r="H1656" s="67">
        <v>623</v>
      </c>
    </row>
    <row r="1657" spans="1:8" x14ac:dyDescent="0.25">
      <c r="A1657" s="212">
        <v>41963</v>
      </c>
      <c r="B1657" s="160" t="s">
        <v>701</v>
      </c>
      <c r="C1657" t="s">
        <v>702</v>
      </c>
      <c r="D1657" t="s">
        <v>27</v>
      </c>
      <c r="E1657" s="161">
        <v>9.5</v>
      </c>
      <c r="F1657" s="161">
        <v>140</v>
      </c>
      <c r="G1657" s="162">
        <v>1330</v>
      </c>
      <c r="H1657" s="67">
        <v>623</v>
      </c>
    </row>
    <row r="1658" spans="1:8" x14ac:dyDescent="0.25">
      <c r="A1658" s="212">
        <v>41964</v>
      </c>
      <c r="B1658" s="160" t="s">
        <v>722</v>
      </c>
      <c r="C1658" t="s">
        <v>723</v>
      </c>
      <c r="D1658" t="s">
        <v>527</v>
      </c>
      <c r="E1658" s="161">
        <v>339.4</v>
      </c>
      <c r="F1658" s="161">
        <v>3</v>
      </c>
      <c r="G1658" s="162">
        <v>1018.2</v>
      </c>
      <c r="H1658" s="67">
        <v>623</v>
      </c>
    </row>
    <row r="1659" spans="1:8" x14ac:dyDescent="0.25">
      <c r="A1659" s="212">
        <v>41964</v>
      </c>
      <c r="B1659" s="160" t="s">
        <v>286</v>
      </c>
      <c r="C1659" t="s">
        <v>633</v>
      </c>
      <c r="D1659" t="s">
        <v>27</v>
      </c>
      <c r="E1659" s="161">
        <v>6</v>
      </c>
      <c r="F1659" s="161">
        <v>80</v>
      </c>
      <c r="G1659" s="162">
        <v>480</v>
      </c>
      <c r="H1659" s="67">
        <v>623</v>
      </c>
    </row>
    <row r="1660" spans="1:8" x14ac:dyDescent="0.25">
      <c r="A1660" s="212">
        <v>41964</v>
      </c>
      <c r="B1660" s="160" t="s">
        <v>1109</v>
      </c>
      <c r="C1660" t="s">
        <v>7</v>
      </c>
      <c r="D1660" t="s">
        <v>27</v>
      </c>
      <c r="E1660" s="161">
        <v>3</v>
      </c>
      <c r="F1660" s="161">
        <v>42.72</v>
      </c>
      <c r="G1660" s="162">
        <v>128.16</v>
      </c>
      <c r="H1660" s="67">
        <v>623</v>
      </c>
    </row>
    <row r="1661" spans="1:8" x14ac:dyDescent="0.25">
      <c r="A1661" s="212">
        <v>41964</v>
      </c>
      <c r="B1661" s="160" t="s">
        <v>1212</v>
      </c>
      <c r="C1661" t="s">
        <v>7</v>
      </c>
      <c r="D1661" t="s">
        <v>27</v>
      </c>
      <c r="E1661" s="161">
        <v>6</v>
      </c>
      <c r="F1661" s="161">
        <v>42.72</v>
      </c>
      <c r="G1661" s="162">
        <v>256.32</v>
      </c>
      <c r="H1661" s="67">
        <v>623</v>
      </c>
    </row>
    <row r="1662" spans="1:8" x14ac:dyDescent="0.25">
      <c r="A1662" s="212">
        <v>41964</v>
      </c>
      <c r="B1662" s="160" t="s">
        <v>1218</v>
      </c>
      <c r="C1662" t="s">
        <v>1219</v>
      </c>
      <c r="D1662" t="s">
        <v>27</v>
      </c>
      <c r="E1662" s="161">
        <v>5</v>
      </c>
      <c r="F1662" s="161">
        <v>135</v>
      </c>
      <c r="G1662" s="162">
        <v>675</v>
      </c>
      <c r="H1662" s="67">
        <v>623</v>
      </c>
    </row>
    <row r="1663" spans="1:8" x14ac:dyDescent="0.25">
      <c r="A1663" s="212">
        <v>41964</v>
      </c>
      <c r="B1663" s="160" t="s">
        <v>701</v>
      </c>
      <c r="C1663" t="s">
        <v>702</v>
      </c>
      <c r="D1663" t="s">
        <v>27</v>
      </c>
      <c r="E1663" s="161">
        <v>4</v>
      </c>
      <c r="F1663" s="161">
        <v>140</v>
      </c>
      <c r="G1663" s="162">
        <v>560</v>
      </c>
      <c r="H1663" s="67">
        <v>623</v>
      </c>
    </row>
    <row r="1664" spans="1:8" x14ac:dyDescent="0.25">
      <c r="A1664" s="212">
        <v>41965</v>
      </c>
      <c r="B1664" s="160" t="s">
        <v>623</v>
      </c>
      <c r="C1664" t="s">
        <v>7</v>
      </c>
      <c r="D1664" t="s">
        <v>27</v>
      </c>
      <c r="E1664" s="161">
        <v>4</v>
      </c>
      <c r="F1664" s="161">
        <v>42.6</v>
      </c>
      <c r="G1664" s="162">
        <v>170.4</v>
      </c>
      <c r="H1664" s="67">
        <v>623</v>
      </c>
    </row>
    <row r="1665" spans="1:8" x14ac:dyDescent="0.25">
      <c r="A1665" s="212">
        <v>41965</v>
      </c>
      <c r="B1665" s="160" t="s">
        <v>286</v>
      </c>
      <c r="C1665" t="s">
        <v>633</v>
      </c>
      <c r="D1665" t="s">
        <v>27</v>
      </c>
      <c r="E1665" s="161">
        <v>5</v>
      </c>
      <c r="F1665" s="161">
        <v>80</v>
      </c>
      <c r="G1665" s="162">
        <v>400</v>
      </c>
      <c r="H1665" s="67">
        <v>623</v>
      </c>
    </row>
    <row r="1666" spans="1:8" x14ac:dyDescent="0.25">
      <c r="A1666" s="212">
        <v>41966</v>
      </c>
      <c r="B1666" s="160" t="s">
        <v>286</v>
      </c>
      <c r="C1666" t="s">
        <v>633</v>
      </c>
      <c r="D1666" t="s">
        <v>27</v>
      </c>
      <c r="E1666" s="161">
        <v>5</v>
      </c>
      <c r="F1666" s="161">
        <v>80</v>
      </c>
      <c r="G1666" s="162">
        <v>400</v>
      </c>
      <c r="H1666" s="67">
        <v>623</v>
      </c>
    </row>
    <row r="1667" spans="1:8" x14ac:dyDescent="0.25">
      <c r="A1667" s="212">
        <v>41966</v>
      </c>
      <c r="B1667" s="160" t="s">
        <v>623</v>
      </c>
      <c r="C1667" t="s">
        <v>7</v>
      </c>
      <c r="D1667" t="s">
        <v>27</v>
      </c>
      <c r="E1667" s="161">
        <v>4</v>
      </c>
      <c r="F1667" s="161">
        <v>42.6</v>
      </c>
      <c r="G1667" s="162">
        <v>170.4</v>
      </c>
      <c r="H1667" s="67">
        <v>623</v>
      </c>
    </row>
    <row r="1668" spans="1:8" x14ac:dyDescent="0.25">
      <c r="A1668" s="212">
        <v>41967</v>
      </c>
      <c r="B1668" s="160" t="s">
        <v>722</v>
      </c>
      <c r="C1668" t="s">
        <v>723</v>
      </c>
      <c r="D1668" t="s">
        <v>527</v>
      </c>
      <c r="E1668" s="161">
        <v>83.6</v>
      </c>
      <c r="F1668" s="161">
        <v>3</v>
      </c>
      <c r="G1668" s="162">
        <v>250.8</v>
      </c>
      <c r="H1668" s="67">
        <v>623</v>
      </c>
    </row>
    <row r="1669" spans="1:8" x14ac:dyDescent="0.25">
      <c r="A1669" s="212">
        <v>41967</v>
      </c>
      <c r="B1669" s="160" t="s">
        <v>1212</v>
      </c>
      <c r="C1669" t="s">
        <v>7</v>
      </c>
      <c r="D1669" t="s">
        <v>27</v>
      </c>
      <c r="E1669" s="161">
        <v>10</v>
      </c>
      <c r="F1669" s="161">
        <v>42.72</v>
      </c>
      <c r="G1669" s="162">
        <v>427.2</v>
      </c>
      <c r="H1669" s="67">
        <v>623</v>
      </c>
    </row>
    <row r="1670" spans="1:8" x14ac:dyDescent="0.25">
      <c r="A1670" s="212">
        <v>41967</v>
      </c>
      <c r="B1670" s="160" t="s">
        <v>1212</v>
      </c>
      <c r="C1670" t="s">
        <v>7</v>
      </c>
      <c r="D1670" t="s">
        <v>27</v>
      </c>
      <c r="E1670" s="161">
        <v>10</v>
      </c>
      <c r="F1670" s="161">
        <v>42.72</v>
      </c>
      <c r="G1670" s="162">
        <v>427.2</v>
      </c>
      <c r="H1670" s="67">
        <v>623</v>
      </c>
    </row>
    <row r="1671" spans="1:8" x14ac:dyDescent="0.25">
      <c r="A1671" s="212">
        <v>41967</v>
      </c>
      <c r="B1671" s="160" t="s">
        <v>1218</v>
      </c>
      <c r="C1671" t="s">
        <v>1219</v>
      </c>
      <c r="D1671" t="s">
        <v>27</v>
      </c>
      <c r="E1671" s="161">
        <v>4</v>
      </c>
      <c r="F1671" s="161">
        <v>135</v>
      </c>
      <c r="G1671" s="162">
        <v>540</v>
      </c>
      <c r="H1671" s="67">
        <v>623</v>
      </c>
    </row>
    <row r="1672" spans="1:8" x14ac:dyDescent="0.25">
      <c r="A1672" s="212">
        <v>41967</v>
      </c>
      <c r="B1672" s="160" t="s">
        <v>285</v>
      </c>
      <c r="C1672" t="s">
        <v>621</v>
      </c>
      <c r="D1672" t="s">
        <v>27</v>
      </c>
      <c r="E1672" s="161">
        <v>3.5</v>
      </c>
      <c r="F1672" s="161">
        <v>90</v>
      </c>
      <c r="G1672" s="162">
        <v>315</v>
      </c>
      <c r="H1672" s="67">
        <v>623</v>
      </c>
    </row>
    <row r="1673" spans="1:8" x14ac:dyDescent="0.25">
      <c r="A1673" s="212">
        <v>41967</v>
      </c>
      <c r="B1673" s="160" t="s">
        <v>634</v>
      </c>
      <c r="C1673" t="s">
        <v>635</v>
      </c>
      <c r="D1673" t="s">
        <v>27</v>
      </c>
      <c r="E1673" s="161">
        <v>8</v>
      </c>
      <c r="F1673" s="161">
        <v>92.5</v>
      </c>
      <c r="G1673" s="162">
        <v>740</v>
      </c>
      <c r="H1673" s="67">
        <v>623</v>
      </c>
    </row>
    <row r="1674" spans="1:8" x14ac:dyDescent="0.25">
      <c r="A1674" s="212">
        <v>41967</v>
      </c>
      <c r="B1674" s="160" t="s">
        <v>1109</v>
      </c>
      <c r="C1674" t="s">
        <v>7</v>
      </c>
      <c r="D1674" t="s">
        <v>27</v>
      </c>
      <c r="E1674" s="161">
        <v>4.5</v>
      </c>
      <c r="F1674" s="161">
        <v>42.72</v>
      </c>
      <c r="G1674" s="162">
        <v>192.24</v>
      </c>
      <c r="H1674" s="67">
        <v>623</v>
      </c>
    </row>
    <row r="1675" spans="1:8" x14ac:dyDescent="0.25">
      <c r="A1675" s="212">
        <v>41967</v>
      </c>
      <c r="B1675" s="160" t="s">
        <v>286</v>
      </c>
      <c r="C1675" t="s">
        <v>633</v>
      </c>
      <c r="D1675" t="s">
        <v>27</v>
      </c>
      <c r="E1675" s="161">
        <v>10.5</v>
      </c>
      <c r="F1675" s="161">
        <v>80</v>
      </c>
      <c r="G1675" s="162">
        <v>840</v>
      </c>
      <c r="H1675" s="67">
        <v>623</v>
      </c>
    </row>
    <row r="1676" spans="1:8" x14ac:dyDescent="0.25">
      <c r="A1676" s="212">
        <v>41967</v>
      </c>
      <c r="B1676" s="160" t="s">
        <v>701</v>
      </c>
      <c r="C1676" t="s">
        <v>702</v>
      </c>
      <c r="D1676" t="s">
        <v>27</v>
      </c>
      <c r="E1676" s="161">
        <v>8.5</v>
      </c>
      <c r="F1676" s="161">
        <v>140</v>
      </c>
      <c r="G1676" s="162">
        <v>1190</v>
      </c>
      <c r="H1676" s="67">
        <v>623</v>
      </c>
    </row>
    <row r="1677" spans="1:8" x14ac:dyDescent="0.25">
      <c r="A1677" s="212">
        <v>41968</v>
      </c>
      <c r="B1677" s="160" t="s">
        <v>701</v>
      </c>
      <c r="C1677" t="s">
        <v>702</v>
      </c>
      <c r="D1677" t="s">
        <v>27</v>
      </c>
      <c r="E1677" s="161">
        <v>5.5</v>
      </c>
      <c r="F1677" s="161">
        <v>140</v>
      </c>
      <c r="G1677" s="162">
        <v>770</v>
      </c>
      <c r="H1677" s="67">
        <v>623</v>
      </c>
    </row>
    <row r="1678" spans="1:8" x14ac:dyDescent="0.25">
      <c r="A1678" s="212">
        <v>41968</v>
      </c>
      <c r="B1678" s="160" t="s">
        <v>634</v>
      </c>
      <c r="C1678" t="s">
        <v>635</v>
      </c>
      <c r="D1678" t="s">
        <v>27</v>
      </c>
      <c r="E1678" s="161">
        <v>7</v>
      </c>
      <c r="F1678" s="161">
        <v>92.5</v>
      </c>
      <c r="G1678" s="162">
        <v>647.5</v>
      </c>
      <c r="H1678" s="67">
        <v>623</v>
      </c>
    </row>
    <row r="1679" spans="1:8" x14ac:dyDescent="0.25">
      <c r="A1679" s="212">
        <v>41969</v>
      </c>
      <c r="B1679" s="160" t="s">
        <v>701</v>
      </c>
      <c r="C1679" t="s">
        <v>702</v>
      </c>
      <c r="D1679" t="s">
        <v>27</v>
      </c>
      <c r="E1679" s="161">
        <v>10.5</v>
      </c>
      <c r="F1679" s="161">
        <v>140</v>
      </c>
      <c r="G1679" s="162">
        <v>1470</v>
      </c>
      <c r="H1679" s="67">
        <v>623</v>
      </c>
    </row>
    <row r="1680" spans="1:8" x14ac:dyDescent="0.25">
      <c r="A1680" s="212">
        <v>41969</v>
      </c>
      <c r="B1680" s="160" t="s">
        <v>1218</v>
      </c>
      <c r="C1680" t="s">
        <v>1219</v>
      </c>
      <c r="D1680" t="s">
        <v>27</v>
      </c>
      <c r="E1680" s="161">
        <v>10</v>
      </c>
      <c r="F1680" s="161">
        <v>135</v>
      </c>
      <c r="G1680" s="162">
        <v>1350</v>
      </c>
      <c r="H1680" s="67">
        <v>623</v>
      </c>
    </row>
    <row r="1681" spans="1:8" x14ac:dyDescent="0.25">
      <c r="A1681" s="212">
        <v>41969</v>
      </c>
      <c r="B1681" s="160" t="s">
        <v>1109</v>
      </c>
      <c r="C1681" t="s">
        <v>7</v>
      </c>
      <c r="D1681" t="s">
        <v>27</v>
      </c>
      <c r="E1681" s="161">
        <v>6</v>
      </c>
      <c r="F1681" s="161">
        <v>42.72</v>
      </c>
      <c r="G1681" s="162">
        <v>256.32</v>
      </c>
      <c r="H1681" s="67">
        <v>623</v>
      </c>
    </row>
    <row r="1682" spans="1:8" x14ac:dyDescent="0.25">
      <c r="A1682" s="212">
        <v>41969</v>
      </c>
      <c r="B1682" s="160" t="s">
        <v>722</v>
      </c>
      <c r="C1682" t="s">
        <v>723</v>
      </c>
      <c r="D1682" t="s">
        <v>527</v>
      </c>
      <c r="E1682" s="161">
        <v>584.54999999999995</v>
      </c>
      <c r="F1682" s="161">
        <v>3</v>
      </c>
      <c r="G1682" s="162">
        <v>1753.62</v>
      </c>
      <c r="H1682" s="67">
        <v>623</v>
      </c>
    </row>
    <row r="1683" spans="1:8" x14ac:dyDescent="0.25">
      <c r="A1683" s="212">
        <v>41969</v>
      </c>
      <c r="B1683" s="160" t="s">
        <v>286</v>
      </c>
      <c r="C1683" t="s">
        <v>633</v>
      </c>
      <c r="D1683" t="s">
        <v>27</v>
      </c>
      <c r="E1683" s="161">
        <v>9.5</v>
      </c>
      <c r="F1683" s="161">
        <v>80</v>
      </c>
      <c r="G1683" s="162">
        <v>760</v>
      </c>
      <c r="H1683" s="67">
        <v>623</v>
      </c>
    </row>
    <row r="1684" spans="1:8" x14ac:dyDescent="0.25">
      <c r="A1684" s="212">
        <v>41969</v>
      </c>
      <c r="B1684" s="160" t="s">
        <v>1212</v>
      </c>
      <c r="C1684" t="s">
        <v>7</v>
      </c>
      <c r="D1684" t="s">
        <v>27</v>
      </c>
      <c r="E1684" s="161">
        <v>2</v>
      </c>
      <c r="F1684" s="161">
        <v>42.72</v>
      </c>
      <c r="G1684" s="162">
        <v>85.44</v>
      </c>
      <c r="H1684" s="67">
        <v>623</v>
      </c>
    </row>
    <row r="1685" spans="1:8" x14ac:dyDescent="0.25">
      <c r="A1685" s="212">
        <v>41969</v>
      </c>
      <c r="B1685" s="160" t="s">
        <v>1212</v>
      </c>
      <c r="C1685" t="s">
        <v>7</v>
      </c>
      <c r="D1685" t="s">
        <v>27</v>
      </c>
      <c r="E1685" s="161">
        <v>2</v>
      </c>
      <c r="F1685" s="161">
        <v>42.72</v>
      </c>
      <c r="G1685" s="162">
        <v>85.44</v>
      </c>
      <c r="H1685" s="67">
        <v>623</v>
      </c>
    </row>
    <row r="1686" spans="1:8" x14ac:dyDescent="0.25">
      <c r="A1686" s="212">
        <v>41969</v>
      </c>
      <c r="B1686" s="160" t="s">
        <v>1218</v>
      </c>
      <c r="C1686" t="s">
        <v>1219</v>
      </c>
      <c r="D1686" t="s">
        <v>27</v>
      </c>
      <c r="E1686" s="161">
        <v>10</v>
      </c>
      <c r="F1686" s="161">
        <v>135</v>
      </c>
      <c r="G1686" s="162">
        <v>1350</v>
      </c>
      <c r="H1686" s="67">
        <v>623</v>
      </c>
    </row>
    <row r="1687" spans="1:8" x14ac:dyDescent="0.25">
      <c r="A1687" s="212">
        <v>41969</v>
      </c>
      <c r="B1687" s="160" t="s">
        <v>1109</v>
      </c>
      <c r="C1687" t="s">
        <v>7</v>
      </c>
      <c r="D1687" t="s">
        <v>27</v>
      </c>
      <c r="E1687" s="161">
        <v>6</v>
      </c>
      <c r="F1687" s="161">
        <v>42.72</v>
      </c>
      <c r="G1687" s="162">
        <v>256.32</v>
      </c>
      <c r="H1687" s="67">
        <v>623</v>
      </c>
    </row>
    <row r="1688" spans="1:8" x14ac:dyDescent="0.25">
      <c r="A1688" s="212">
        <v>41969</v>
      </c>
      <c r="B1688" s="160" t="s">
        <v>623</v>
      </c>
      <c r="C1688" t="s">
        <v>7</v>
      </c>
      <c r="D1688" t="s">
        <v>27</v>
      </c>
      <c r="E1688" s="161">
        <v>10.5</v>
      </c>
      <c r="F1688" s="161">
        <v>42.6</v>
      </c>
      <c r="G1688" s="162">
        <v>447.3</v>
      </c>
      <c r="H1688" s="67">
        <v>623</v>
      </c>
    </row>
    <row r="1689" spans="1:8" x14ac:dyDescent="0.25">
      <c r="A1689" s="212">
        <v>41970</v>
      </c>
      <c r="B1689" s="160" t="s">
        <v>1212</v>
      </c>
      <c r="C1689" t="s">
        <v>7</v>
      </c>
      <c r="D1689" t="s">
        <v>27</v>
      </c>
      <c r="E1689" s="161">
        <v>10</v>
      </c>
      <c r="F1689" s="161">
        <v>42.72</v>
      </c>
      <c r="G1689" s="162">
        <v>427.2</v>
      </c>
      <c r="H1689" s="67">
        <v>623</v>
      </c>
    </row>
    <row r="1690" spans="1:8" x14ac:dyDescent="0.25">
      <c r="A1690" s="212">
        <v>41970</v>
      </c>
      <c r="B1690" s="160" t="s">
        <v>634</v>
      </c>
      <c r="C1690" t="s">
        <v>635</v>
      </c>
      <c r="D1690" t="s">
        <v>27</v>
      </c>
      <c r="E1690" s="161">
        <v>2</v>
      </c>
      <c r="F1690" s="161">
        <v>92.5</v>
      </c>
      <c r="G1690" s="162">
        <v>185</v>
      </c>
      <c r="H1690" s="67">
        <v>623</v>
      </c>
    </row>
    <row r="1691" spans="1:8" x14ac:dyDescent="0.25">
      <c r="A1691" s="212">
        <v>41970</v>
      </c>
      <c r="B1691" s="160" t="s">
        <v>682</v>
      </c>
      <c r="C1691" t="s">
        <v>680</v>
      </c>
      <c r="D1691" t="s">
        <v>527</v>
      </c>
      <c r="E1691" s="161">
        <v>220.44</v>
      </c>
      <c r="F1691" s="161">
        <v>7.5</v>
      </c>
      <c r="G1691" s="162">
        <v>1653.3</v>
      </c>
      <c r="H1691" s="67">
        <v>623</v>
      </c>
    </row>
    <row r="1692" spans="1:8" x14ac:dyDescent="0.25">
      <c r="A1692" s="212">
        <v>41971</v>
      </c>
      <c r="B1692" s="160" t="s">
        <v>623</v>
      </c>
      <c r="C1692" t="s">
        <v>7</v>
      </c>
      <c r="D1692" t="s">
        <v>527</v>
      </c>
      <c r="E1692" s="161">
        <v>4</v>
      </c>
      <c r="F1692" s="161">
        <v>49.7</v>
      </c>
      <c r="G1692" s="162">
        <v>198.8</v>
      </c>
      <c r="H1692" s="67">
        <v>623</v>
      </c>
    </row>
    <row r="1693" spans="1:8" x14ac:dyDescent="0.25">
      <c r="A1693" s="212">
        <v>41971</v>
      </c>
      <c r="B1693" s="160" t="s">
        <v>619</v>
      </c>
      <c r="C1693" t="s">
        <v>620</v>
      </c>
      <c r="D1693" t="s">
        <v>27</v>
      </c>
      <c r="E1693" s="161">
        <v>4</v>
      </c>
      <c r="F1693" s="161">
        <v>80</v>
      </c>
      <c r="G1693" s="162">
        <v>320</v>
      </c>
      <c r="H1693" s="67">
        <v>623</v>
      </c>
    </row>
    <row r="1694" spans="1:8" x14ac:dyDescent="0.25">
      <c r="A1694" s="212">
        <v>41971</v>
      </c>
      <c r="B1694" s="160" t="s">
        <v>623</v>
      </c>
      <c r="C1694" t="s">
        <v>7</v>
      </c>
      <c r="D1694" t="s">
        <v>27</v>
      </c>
      <c r="E1694" s="161">
        <v>10</v>
      </c>
      <c r="F1694" s="161">
        <v>42.6</v>
      </c>
      <c r="G1694" s="162">
        <v>426</v>
      </c>
      <c r="H1694" s="67">
        <v>623</v>
      </c>
    </row>
    <row r="1695" spans="1:8" x14ac:dyDescent="0.25">
      <c r="A1695" s="212">
        <v>41971</v>
      </c>
      <c r="B1695" s="160" t="s">
        <v>1109</v>
      </c>
      <c r="C1695" t="s">
        <v>7</v>
      </c>
      <c r="D1695" t="s">
        <v>27</v>
      </c>
      <c r="E1695" s="161">
        <v>7</v>
      </c>
      <c r="F1695" s="161">
        <v>42.72</v>
      </c>
      <c r="G1695" s="162">
        <v>299.04000000000002</v>
      </c>
      <c r="H1695" s="67">
        <v>623</v>
      </c>
    </row>
    <row r="1696" spans="1:8" x14ac:dyDescent="0.25">
      <c r="A1696" s="212">
        <v>41971</v>
      </c>
      <c r="B1696" s="160" t="s">
        <v>1109</v>
      </c>
      <c r="C1696" t="s">
        <v>7</v>
      </c>
      <c r="D1696" t="s">
        <v>27</v>
      </c>
      <c r="E1696" s="161">
        <v>4.5</v>
      </c>
      <c r="F1696" s="161">
        <v>42.72</v>
      </c>
      <c r="G1696" s="162">
        <v>192.24</v>
      </c>
      <c r="H1696" s="67">
        <v>623</v>
      </c>
    </row>
    <row r="1697" spans="1:8" x14ac:dyDescent="0.25">
      <c r="A1697" s="212">
        <v>41971</v>
      </c>
      <c r="B1697" s="160" t="s">
        <v>701</v>
      </c>
      <c r="C1697" t="s">
        <v>702</v>
      </c>
      <c r="D1697" t="s">
        <v>27</v>
      </c>
      <c r="E1697" s="161">
        <v>9.5</v>
      </c>
      <c r="F1697" s="161">
        <v>140</v>
      </c>
      <c r="G1697" s="162">
        <v>1330</v>
      </c>
      <c r="H1697" s="67">
        <v>623</v>
      </c>
    </row>
    <row r="1698" spans="1:8" x14ac:dyDescent="0.25">
      <c r="A1698" s="212">
        <v>41972</v>
      </c>
      <c r="B1698" s="160" t="s">
        <v>701</v>
      </c>
      <c r="C1698" t="s">
        <v>702</v>
      </c>
      <c r="D1698" t="s">
        <v>27</v>
      </c>
      <c r="E1698" s="161">
        <v>7</v>
      </c>
      <c r="F1698" s="161">
        <v>140</v>
      </c>
      <c r="G1698" s="162">
        <v>980</v>
      </c>
      <c r="H1698" s="67">
        <v>623</v>
      </c>
    </row>
    <row r="1699" spans="1:8" x14ac:dyDescent="0.25">
      <c r="A1699" s="212">
        <v>41973</v>
      </c>
      <c r="B1699" s="160" t="s">
        <v>717</v>
      </c>
      <c r="C1699" t="s">
        <v>677</v>
      </c>
      <c r="D1699" t="s">
        <v>527</v>
      </c>
      <c r="E1699" s="161">
        <v>1</v>
      </c>
      <c r="F1699" s="161">
        <v>1421</v>
      </c>
      <c r="G1699" s="162">
        <v>1421</v>
      </c>
      <c r="H1699" s="67">
        <v>623</v>
      </c>
    </row>
    <row r="1700" spans="1:8" x14ac:dyDescent="0.25">
      <c r="A1700" s="212">
        <v>41973</v>
      </c>
      <c r="B1700" s="160" t="s">
        <v>732</v>
      </c>
      <c r="C1700" t="s">
        <v>649</v>
      </c>
      <c r="D1700" t="s">
        <v>527</v>
      </c>
      <c r="E1700" s="161">
        <v>1</v>
      </c>
      <c r="F1700" s="161">
        <v>1218</v>
      </c>
      <c r="G1700" s="162">
        <v>1218</v>
      </c>
      <c r="H1700" s="67">
        <v>623</v>
      </c>
    </row>
    <row r="1701" spans="1:8" x14ac:dyDescent="0.25">
      <c r="A1701" s="212">
        <v>41973</v>
      </c>
      <c r="B1701" s="160" t="s">
        <v>694</v>
      </c>
      <c r="C1701" t="s">
        <v>677</v>
      </c>
      <c r="D1701" t="s">
        <v>527</v>
      </c>
      <c r="E1701" s="161">
        <v>1</v>
      </c>
      <c r="F1701" s="161">
        <v>659.63</v>
      </c>
      <c r="G1701" s="162">
        <v>659.63</v>
      </c>
      <c r="H1701" s="67">
        <v>623</v>
      </c>
    </row>
    <row r="1702" spans="1:8" x14ac:dyDescent="0.25">
      <c r="A1702" s="212">
        <v>41974</v>
      </c>
      <c r="B1702" s="160" t="s">
        <v>722</v>
      </c>
      <c r="C1702" t="s">
        <v>723</v>
      </c>
      <c r="D1702" t="s">
        <v>527</v>
      </c>
      <c r="E1702" s="161">
        <v>170.3</v>
      </c>
      <c r="F1702" s="161">
        <v>3</v>
      </c>
      <c r="G1702" s="162">
        <v>510.9</v>
      </c>
      <c r="H1702" s="67">
        <v>623</v>
      </c>
    </row>
    <row r="1703" spans="1:8" x14ac:dyDescent="0.25">
      <c r="A1703" s="212">
        <v>41974</v>
      </c>
      <c r="B1703" s="160" t="s">
        <v>1218</v>
      </c>
      <c r="C1703" t="s">
        <v>1219</v>
      </c>
      <c r="D1703" t="s">
        <v>27</v>
      </c>
      <c r="E1703" s="161">
        <v>6</v>
      </c>
      <c r="F1703" s="161">
        <v>135</v>
      </c>
      <c r="G1703" s="162">
        <v>810</v>
      </c>
      <c r="H1703" s="67">
        <v>623</v>
      </c>
    </row>
    <row r="1704" spans="1:8" x14ac:dyDescent="0.25">
      <c r="A1704" s="212">
        <v>41974</v>
      </c>
      <c r="B1704" s="160" t="s">
        <v>634</v>
      </c>
      <c r="C1704" t="s">
        <v>635</v>
      </c>
      <c r="D1704" t="s">
        <v>27</v>
      </c>
      <c r="E1704" s="161">
        <v>9</v>
      </c>
      <c r="F1704" s="161">
        <v>92.5</v>
      </c>
      <c r="G1704" s="162">
        <v>832.5</v>
      </c>
      <c r="H1704" s="67">
        <v>623</v>
      </c>
    </row>
    <row r="1705" spans="1:8" x14ac:dyDescent="0.25">
      <c r="A1705" s="212">
        <v>41974</v>
      </c>
      <c r="B1705" s="160" t="s">
        <v>1109</v>
      </c>
      <c r="C1705" t="s">
        <v>7</v>
      </c>
      <c r="D1705" t="s">
        <v>27</v>
      </c>
      <c r="E1705" s="161">
        <v>8</v>
      </c>
      <c r="F1705" s="161">
        <v>42.72</v>
      </c>
      <c r="G1705" s="162">
        <v>341.76</v>
      </c>
      <c r="H1705" s="67">
        <v>623</v>
      </c>
    </row>
    <row r="1706" spans="1:8" x14ac:dyDescent="0.25">
      <c r="A1706" s="212">
        <v>41974</v>
      </c>
      <c r="B1706" s="160" t="s">
        <v>1212</v>
      </c>
      <c r="C1706" t="s">
        <v>7</v>
      </c>
      <c r="D1706" t="s">
        <v>27</v>
      </c>
      <c r="E1706" s="161">
        <v>5</v>
      </c>
      <c r="F1706" s="161">
        <v>42.72</v>
      </c>
      <c r="G1706" s="162">
        <v>213.6</v>
      </c>
      <c r="H1706" s="67">
        <v>623</v>
      </c>
    </row>
    <row r="1707" spans="1:8" x14ac:dyDescent="0.25">
      <c r="A1707" s="212">
        <v>41974</v>
      </c>
      <c r="B1707" s="160" t="s">
        <v>1109</v>
      </c>
      <c r="C1707" t="s">
        <v>7</v>
      </c>
      <c r="D1707" t="s">
        <v>27</v>
      </c>
      <c r="E1707" s="161">
        <v>8.5</v>
      </c>
      <c r="F1707" s="161">
        <v>42.72</v>
      </c>
      <c r="G1707" s="162">
        <v>363.12</v>
      </c>
      <c r="H1707" s="67">
        <v>623</v>
      </c>
    </row>
    <row r="1708" spans="1:8" x14ac:dyDescent="0.25">
      <c r="A1708" s="212">
        <v>41976</v>
      </c>
      <c r="B1708" s="160" t="s">
        <v>722</v>
      </c>
      <c r="C1708" t="s">
        <v>723</v>
      </c>
      <c r="D1708" t="s">
        <v>527</v>
      </c>
      <c r="E1708" s="161">
        <v>12.55</v>
      </c>
      <c r="F1708" s="161">
        <v>3</v>
      </c>
      <c r="G1708" s="162">
        <v>37.65</v>
      </c>
      <c r="H1708" s="67">
        <v>623</v>
      </c>
    </row>
    <row r="1709" spans="1:8" x14ac:dyDescent="0.25">
      <c r="A1709" s="212">
        <v>41978</v>
      </c>
      <c r="B1709" s="160" t="s">
        <v>722</v>
      </c>
      <c r="C1709" t="s">
        <v>723</v>
      </c>
      <c r="D1709" t="s">
        <v>527</v>
      </c>
      <c r="E1709" s="161">
        <v>12.7</v>
      </c>
      <c r="F1709" s="161">
        <v>3</v>
      </c>
      <c r="G1709" s="162">
        <v>38.1</v>
      </c>
      <c r="H1709" s="67">
        <v>623</v>
      </c>
    </row>
    <row r="1710" spans="1:8" x14ac:dyDescent="0.25">
      <c r="A1710" s="212">
        <v>41984</v>
      </c>
      <c r="B1710" s="160" t="s">
        <v>623</v>
      </c>
      <c r="C1710" t="s">
        <v>7</v>
      </c>
      <c r="D1710" t="s">
        <v>27</v>
      </c>
      <c r="E1710" s="161">
        <v>2</v>
      </c>
      <c r="F1710" s="161">
        <v>42.6</v>
      </c>
      <c r="G1710" s="162">
        <v>85.2</v>
      </c>
      <c r="H1710" s="67">
        <v>623</v>
      </c>
    </row>
    <row r="1711" spans="1:8" x14ac:dyDescent="0.25">
      <c r="A1711" s="212">
        <v>41985</v>
      </c>
      <c r="B1711" s="160" t="s">
        <v>1109</v>
      </c>
      <c r="C1711" t="s">
        <v>7</v>
      </c>
      <c r="D1711" t="s">
        <v>27</v>
      </c>
      <c r="E1711" s="161">
        <v>2</v>
      </c>
      <c r="F1711" s="161">
        <v>42.72</v>
      </c>
      <c r="G1711" s="162">
        <v>85.44</v>
      </c>
      <c r="H1711" s="67">
        <v>623</v>
      </c>
    </row>
    <row r="1712" spans="1:8" x14ac:dyDescent="0.25">
      <c r="A1712" s="212">
        <v>41985</v>
      </c>
      <c r="B1712" s="160" t="s">
        <v>623</v>
      </c>
      <c r="C1712" t="s">
        <v>7</v>
      </c>
      <c r="D1712" t="s">
        <v>27</v>
      </c>
      <c r="E1712" s="161">
        <v>8</v>
      </c>
      <c r="F1712" s="161">
        <v>42.6</v>
      </c>
      <c r="G1712" s="162">
        <v>340.8</v>
      </c>
      <c r="H1712" s="67">
        <v>623</v>
      </c>
    </row>
    <row r="1713" spans="1:8" x14ac:dyDescent="0.25">
      <c r="A1713" s="212">
        <v>41986</v>
      </c>
      <c r="B1713" s="160" t="s">
        <v>623</v>
      </c>
      <c r="C1713" t="s">
        <v>7</v>
      </c>
      <c r="D1713" t="s">
        <v>27</v>
      </c>
      <c r="E1713" s="161">
        <v>10.5</v>
      </c>
      <c r="F1713" s="161">
        <v>46.85</v>
      </c>
      <c r="G1713" s="162">
        <v>491.92500000000001</v>
      </c>
      <c r="H1713" s="67">
        <v>623</v>
      </c>
    </row>
    <row r="1714" spans="1:8" x14ac:dyDescent="0.25">
      <c r="A1714" s="212">
        <v>41986</v>
      </c>
      <c r="B1714" s="160" t="s">
        <v>286</v>
      </c>
      <c r="C1714" t="s">
        <v>633</v>
      </c>
      <c r="D1714" t="s">
        <v>27</v>
      </c>
      <c r="E1714" s="161">
        <v>10.5</v>
      </c>
      <c r="F1714" s="161">
        <v>80</v>
      </c>
      <c r="G1714" s="162">
        <v>840</v>
      </c>
      <c r="H1714" s="67">
        <v>623</v>
      </c>
    </row>
    <row r="1715" spans="1:8" x14ac:dyDescent="0.25">
      <c r="A1715" s="212">
        <v>41986</v>
      </c>
      <c r="B1715" s="160" t="s">
        <v>631</v>
      </c>
      <c r="C1715" t="s">
        <v>632</v>
      </c>
      <c r="D1715" t="s">
        <v>27</v>
      </c>
      <c r="E1715" s="161">
        <v>1.5</v>
      </c>
      <c r="F1715" s="161">
        <v>80</v>
      </c>
      <c r="G1715" s="162">
        <v>120</v>
      </c>
      <c r="H1715" s="67">
        <v>623</v>
      </c>
    </row>
    <row r="1716" spans="1:8" x14ac:dyDescent="0.25">
      <c r="A1716" s="212">
        <v>41986</v>
      </c>
      <c r="B1716" s="160" t="s">
        <v>651</v>
      </c>
      <c r="C1716" t="s">
        <v>632</v>
      </c>
      <c r="D1716" t="s">
        <v>527</v>
      </c>
      <c r="E1716" s="161">
        <v>1.5</v>
      </c>
      <c r="F1716" s="161">
        <v>75</v>
      </c>
      <c r="G1716" s="162">
        <v>112.5</v>
      </c>
      <c r="H1716" s="67">
        <v>623</v>
      </c>
    </row>
    <row r="1717" spans="1:8" x14ac:dyDescent="0.25">
      <c r="A1717" s="212">
        <v>41988</v>
      </c>
      <c r="B1717" s="160" t="s">
        <v>631</v>
      </c>
      <c r="C1717" t="s">
        <v>632</v>
      </c>
      <c r="D1717" t="s">
        <v>27</v>
      </c>
      <c r="E1717" s="161">
        <v>4.5</v>
      </c>
      <c r="F1717" s="161">
        <v>80</v>
      </c>
      <c r="G1717" s="162">
        <v>360</v>
      </c>
      <c r="H1717" s="67">
        <v>623</v>
      </c>
    </row>
    <row r="1718" spans="1:8" x14ac:dyDescent="0.25">
      <c r="A1718" s="212">
        <v>41988</v>
      </c>
      <c r="B1718" s="160" t="s">
        <v>631</v>
      </c>
      <c r="C1718" t="s">
        <v>632</v>
      </c>
      <c r="D1718" t="s">
        <v>27</v>
      </c>
      <c r="E1718" s="161">
        <v>4.5</v>
      </c>
      <c r="F1718" s="161">
        <v>80</v>
      </c>
      <c r="G1718" s="162">
        <v>360</v>
      </c>
      <c r="H1718" s="67">
        <v>623</v>
      </c>
    </row>
    <row r="1719" spans="1:8" x14ac:dyDescent="0.25">
      <c r="A1719" s="212">
        <v>41988</v>
      </c>
      <c r="B1719" s="160" t="s">
        <v>631</v>
      </c>
      <c r="C1719" t="s">
        <v>632</v>
      </c>
      <c r="D1719" t="s">
        <v>27</v>
      </c>
      <c r="E1719" s="161">
        <v>10.5</v>
      </c>
      <c r="F1719" s="161">
        <v>80</v>
      </c>
      <c r="G1719" s="162">
        <v>840</v>
      </c>
      <c r="H1719" s="67">
        <v>623</v>
      </c>
    </row>
    <row r="1720" spans="1:8" x14ac:dyDescent="0.25">
      <c r="A1720" s="212">
        <v>41989</v>
      </c>
      <c r="B1720" s="160" t="s">
        <v>631</v>
      </c>
      <c r="C1720" t="s">
        <v>632</v>
      </c>
      <c r="D1720" t="s">
        <v>27</v>
      </c>
      <c r="E1720" s="161">
        <v>4</v>
      </c>
      <c r="F1720" s="161">
        <v>80</v>
      </c>
      <c r="G1720" s="162">
        <v>320</v>
      </c>
      <c r="H1720" s="67">
        <v>623</v>
      </c>
    </row>
    <row r="1721" spans="1:8" x14ac:dyDescent="0.25">
      <c r="A1721" s="212">
        <v>41989</v>
      </c>
      <c r="B1721" s="160" t="s">
        <v>1109</v>
      </c>
      <c r="C1721" t="s">
        <v>7</v>
      </c>
      <c r="D1721" t="s">
        <v>27</v>
      </c>
      <c r="E1721" s="161">
        <v>4</v>
      </c>
      <c r="F1721" s="161">
        <v>42.72</v>
      </c>
      <c r="G1721" s="162">
        <v>170.88</v>
      </c>
      <c r="H1721" s="67">
        <v>623</v>
      </c>
    </row>
    <row r="1722" spans="1:8" x14ac:dyDescent="0.25">
      <c r="A1722" s="212">
        <v>41989</v>
      </c>
      <c r="B1722" s="160" t="s">
        <v>631</v>
      </c>
      <c r="C1722" t="s">
        <v>632</v>
      </c>
      <c r="D1722" t="s">
        <v>27</v>
      </c>
      <c r="E1722" s="161">
        <v>3.5</v>
      </c>
      <c r="F1722" s="161">
        <v>80</v>
      </c>
      <c r="G1722" s="162">
        <v>280</v>
      </c>
      <c r="H1722" s="67">
        <v>623</v>
      </c>
    </row>
    <row r="1723" spans="1:8" x14ac:dyDescent="0.25">
      <c r="A1723" s="212">
        <v>41989</v>
      </c>
      <c r="B1723" s="160" t="s">
        <v>631</v>
      </c>
      <c r="C1723" t="s">
        <v>632</v>
      </c>
      <c r="D1723" t="s">
        <v>27</v>
      </c>
      <c r="E1723" s="161">
        <v>3.5</v>
      </c>
      <c r="F1723" s="161">
        <v>80</v>
      </c>
      <c r="G1723" s="162">
        <v>280</v>
      </c>
      <c r="H1723" s="67">
        <v>623</v>
      </c>
    </row>
    <row r="1724" spans="1:8" x14ac:dyDescent="0.25">
      <c r="A1724" s="212">
        <v>41989</v>
      </c>
      <c r="B1724" s="160" t="s">
        <v>1212</v>
      </c>
      <c r="C1724" t="s">
        <v>7</v>
      </c>
      <c r="D1724" t="s">
        <v>27</v>
      </c>
      <c r="E1724" s="161">
        <v>7.5</v>
      </c>
      <c r="F1724" s="161">
        <v>42.72</v>
      </c>
      <c r="G1724" s="162">
        <v>320.39999999999998</v>
      </c>
      <c r="H1724" s="67">
        <v>623</v>
      </c>
    </row>
    <row r="1725" spans="1:8" x14ac:dyDescent="0.25">
      <c r="A1725" s="212">
        <v>41989</v>
      </c>
      <c r="B1725" s="160" t="s">
        <v>286</v>
      </c>
      <c r="C1725" t="s">
        <v>633</v>
      </c>
      <c r="D1725" t="s">
        <v>27</v>
      </c>
      <c r="E1725" s="161">
        <v>9</v>
      </c>
      <c r="F1725" s="161">
        <v>80</v>
      </c>
      <c r="G1725" s="162">
        <v>720</v>
      </c>
      <c r="H1725" s="67">
        <v>623</v>
      </c>
    </row>
    <row r="1726" spans="1:8" x14ac:dyDescent="0.25">
      <c r="A1726" s="212">
        <v>41989</v>
      </c>
      <c r="B1726" s="160" t="s">
        <v>1212</v>
      </c>
      <c r="C1726" t="s">
        <v>7</v>
      </c>
      <c r="D1726" t="s">
        <v>27</v>
      </c>
      <c r="E1726" s="161">
        <v>10</v>
      </c>
      <c r="F1726" s="161">
        <v>42.72</v>
      </c>
      <c r="G1726" s="162">
        <v>427.2</v>
      </c>
      <c r="H1726" s="67">
        <v>623</v>
      </c>
    </row>
    <row r="1727" spans="1:8" x14ac:dyDescent="0.25">
      <c r="A1727" s="212">
        <v>41989</v>
      </c>
      <c r="B1727" s="160" t="s">
        <v>634</v>
      </c>
      <c r="C1727" t="s">
        <v>635</v>
      </c>
      <c r="D1727" t="s">
        <v>27</v>
      </c>
      <c r="E1727" s="161">
        <v>4.5</v>
      </c>
      <c r="F1727" s="161">
        <v>92.5</v>
      </c>
      <c r="G1727" s="162">
        <v>416.25</v>
      </c>
      <c r="H1727" s="67">
        <v>623</v>
      </c>
    </row>
    <row r="1728" spans="1:8" x14ac:dyDescent="0.25">
      <c r="A1728" s="212">
        <v>41989</v>
      </c>
      <c r="B1728" s="160" t="s">
        <v>1213</v>
      </c>
      <c r="C1728" t="s">
        <v>1214</v>
      </c>
      <c r="D1728" t="s">
        <v>27</v>
      </c>
      <c r="E1728" s="161">
        <v>3</v>
      </c>
      <c r="F1728" s="161">
        <v>35</v>
      </c>
      <c r="G1728" s="162">
        <v>105</v>
      </c>
      <c r="H1728" s="67">
        <v>623</v>
      </c>
    </row>
    <row r="1729" spans="1:8" x14ac:dyDescent="0.25">
      <c r="A1729" s="212">
        <v>41989</v>
      </c>
      <c r="B1729" s="160" t="s">
        <v>623</v>
      </c>
      <c r="C1729" t="s">
        <v>7</v>
      </c>
      <c r="D1729" t="s">
        <v>27</v>
      </c>
      <c r="E1729" s="161">
        <v>8.5</v>
      </c>
      <c r="F1729" s="161">
        <v>42.6</v>
      </c>
      <c r="G1729" s="162">
        <v>362.1</v>
      </c>
      <c r="H1729" s="67">
        <v>623</v>
      </c>
    </row>
    <row r="1730" spans="1:8" x14ac:dyDescent="0.25">
      <c r="A1730" s="212">
        <v>41989</v>
      </c>
      <c r="B1730" s="160" t="s">
        <v>1218</v>
      </c>
      <c r="C1730" t="s">
        <v>1219</v>
      </c>
      <c r="D1730" t="s">
        <v>27</v>
      </c>
      <c r="E1730" s="161">
        <v>4</v>
      </c>
      <c r="F1730" s="161">
        <v>135</v>
      </c>
      <c r="G1730" s="162">
        <v>540</v>
      </c>
      <c r="H1730" s="67">
        <v>623</v>
      </c>
    </row>
    <row r="1731" spans="1:8" x14ac:dyDescent="0.25">
      <c r="A1731" s="212">
        <v>41989</v>
      </c>
      <c r="B1731" s="160" t="s">
        <v>701</v>
      </c>
      <c r="C1731" t="s">
        <v>702</v>
      </c>
      <c r="D1731" t="s">
        <v>27</v>
      </c>
      <c r="E1731" s="161">
        <v>9</v>
      </c>
      <c r="F1731" s="161">
        <v>140</v>
      </c>
      <c r="G1731" s="162">
        <v>1260</v>
      </c>
      <c r="H1731" s="67">
        <v>623</v>
      </c>
    </row>
    <row r="1732" spans="1:8" x14ac:dyDescent="0.25">
      <c r="A1732" s="212">
        <v>41989</v>
      </c>
      <c r="B1732" s="160" t="s">
        <v>1109</v>
      </c>
      <c r="C1732" t="s">
        <v>7</v>
      </c>
      <c r="D1732" t="s">
        <v>27</v>
      </c>
      <c r="E1732" s="161">
        <v>7</v>
      </c>
      <c r="F1732" s="161">
        <v>42.72</v>
      </c>
      <c r="G1732" s="162">
        <v>299.04000000000002</v>
      </c>
      <c r="H1732" s="67">
        <v>623</v>
      </c>
    </row>
    <row r="1733" spans="1:8" x14ac:dyDescent="0.25">
      <c r="A1733" s="212">
        <v>41990</v>
      </c>
      <c r="B1733" s="160" t="s">
        <v>623</v>
      </c>
      <c r="C1733" t="s">
        <v>7</v>
      </c>
      <c r="D1733" t="s">
        <v>27</v>
      </c>
      <c r="E1733" s="161">
        <v>7</v>
      </c>
      <c r="F1733" s="161">
        <v>42.6</v>
      </c>
      <c r="G1733" s="162">
        <v>298.2</v>
      </c>
      <c r="H1733" s="67">
        <v>623</v>
      </c>
    </row>
    <row r="1734" spans="1:8" x14ac:dyDescent="0.25">
      <c r="A1734" s="212">
        <v>41990</v>
      </c>
      <c r="B1734" s="160" t="s">
        <v>286</v>
      </c>
      <c r="C1734" t="s">
        <v>633</v>
      </c>
      <c r="D1734" t="s">
        <v>27</v>
      </c>
      <c r="E1734" s="161">
        <v>5</v>
      </c>
      <c r="F1734" s="161">
        <v>80</v>
      </c>
      <c r="G1734" s="162">
        <v>400</v>
      </c>
      <c r="H1734" s="67">
        <v>623</v>
      </c>
    </row>
    <row r="1735" spans="1:8" x14ac:dyDescent="0.25">
      <c r="A1735" s="212">
        <v>41990</v>
      </c>
      <c r="B1735" s="160" t="s">
        <v>701</v>
      </c>
      <c r="C1735" t="s">
        <v>702</v>
      </c>
      <c r="D1735" t="s">
        <v>27</v>
      </c>
      <c r="E1735" s="161">
        <v>6.5</v>
      </c>
      <c r="F1735" s="161">
        <v>140</v>
      </c>
      <c r="G1735" s="162">
        <v>910</v>
      </c>
      <c r="H1735" s="67">
        <v>623</v>
      </c>
    </row>
    <row r="1736" spans="1:8" x14ac:dyDescent="0.25">
      <c r="A1736" s="212">
        <v>41990</v>
      </c>
      <c r="B1736" s="160" t="s">
        <v>634</v>
      </c>
      <c r="C1736" t="s">
        <v>635</v>
      </c>
      <c r="D1736" t="s">
        <v>27</v>
      </c>
      <c r="E1736" s="161">
        <v>1</v>
      </c>
      <c r="F1736" s="161">
        <v>92.5</v>
      </c>
      <c r="G1736" s="162">
        <v>92.5</v>
      </c>
      <c r="H1736" s="67">
        <v>623</v>
      </c>
    </row>
    <row r="1737" spans="1:8" x14ac:dyDescent="0.25">
      <c r="A1737" s="212">
        <v>41990</v>
      </c>
      <c r="B1737" s="160" t="s">
        <v>1109</v>
      </c>
      <c r="C1737" t="s">
        <v>7</v>
      </c>
      <c r="D1737" t="s">
        <v>27</v>
      </c>
      <c r="E1737" s="161">
        <v>7</v>
      </c>
      <c r="F1737" s="161">
        <v>42.72</v>
      </c>
      <c r="G1737" s="162">
        <v>299.04000000000002</v>
      </c>
      <c r="H1737" s="67">
        <v>623</v>
      </c>
    </row>
    <row r="1738" spans="1:8" x14ac:dyDescent="0.25">
      <c r="A1738" s="212">
        <v>41991</v>
      </c>
      <c r="B1738" s="160" t="s">
        <v>1109</v>
      </c>
      <c r="C1738" t="s">
        <v>7</v>
      </c>
      <c r="D1738" t="s">
        <v>27</v>
      </c>
      <c r="E1738" s="161">
        <v>11.5</v>
      </c>
      <c r="F1738" s="161">
        <v>42.72</v>
      </c>
      <c r="G1738" s="162">
        <v>491.28</v>
      </c>
      <c r="H1738" s="67">
        <v>623</v>
      </c>
    </row>
    <row r="1739" spans="1:8" x14ac:dyDescent="0.25">
      <c r="A1739" s="212">
        <v>42004</v>
      </c>
      <c r="B1739" s="160" t="s">
        <v>719</v>
      </c>
      <c r="C1739" t="s">
        <v>677</v>
      </c>
      <c r="D1739" t="s">
        <v>527</v>
      </c>
      <c r="E1739" s="161">
        <v>1</v>
      </c>
      <c r="F1739" s="161">
        <v>142.1</v>
      </c>
      <c r="G1739" s="162">
        <v>142.1</v>
      </c>
      <c r="H1739" s="67">
        <v>623</v>
      </c>
    </row>
    <row r="1740" spans="1:8" x14ac:dyDescent="0.25">
      <c r="A1740" s="212">
        <v>42009</v>
      </c>
      <c r="B1740" s="160" t="s">
        <v>1212</v>
      </c>
      <c r="C1740" t="s">
        <v>7</v>
      </c>
      <c r="D1740" t="s">
        <v>27</v>
      </c>
      <c r="E1740" s="161">
        <v>3</v>
      </c>
      <c r="F1740" s="161">
        <v>42.72</v>
      </c>
      <c r="G1740" s="162">
        <v>128.16</v>
      </c>
      <c r="H1740" s="67">
        <v>623</v>
      </c>
    </row>
    <row r="1741" spans="1:8" x14ac:dyDescent="0.25">
      <c r="A1741" s="212">
        <v>42010</v>
      </c>
      <c r="B1741" s="160" t="s">
        <v>1211</v>
      </c>
      <c r="C1741" t="s">
        <v>1233</v>
      </c>
      <c r="D1741" t="s">
        <v>27</v>
      </c>
      <c r="E1741" s="161">
        <v>4</v>
      </c>
      <c r="F1741" s="161">
        <v>54.58</v>
      </c>
      <c r="G1741" s="162">
        <v>218.32</v>
      </c>
      <c r="H1741" s="67">
        <v>623</v>
      </c>
    </row>
    <row r="1742" spans="1:8" x14ac:dyDescent="0.25">
      <c r="A1742" s="212">
        <v>42010</v>
      </c>
      <c r="B1742" s="160" t="s">
        <v>1109</v>
      </c>
      <c r="C1742" t="s">
        <v>7</v>
      </c>
      <c r="D1742" t="s">
        <v>27</v>
      </c>
      <c r="E1742" s="161">
        <v>5</v>
      </c>
      <c r="F1742" s="161">
        <v>42.72</v>
      </c>
      <c r="G1742" s="162">
        <v>213.6</v>
      </c>
      <c r="H1742" s="67">
        <v>623</v>
      </c>
    </row>
    <row r="1743" spans="1:8" x14ac:dyDescent="0.25">
      <c r="A1743" s="212">
        <v>42010</v>
      </c>
      <c r="B1743" s="160" t="s">
        <v>623</v>
      </c>
      <c r="C1743" t="s">
        <v>7</v>
      </c>
      <c r="D1743" t="s">
        <v>527</v>
      </c>
      <c r="E1743" s="161">
        <v>4</v>
      </c>
      <c r="F1743" s="161">
        <v>49.7</v>
      </c>
      <c r="G1743" s="162">
        <v>198.8</v>
      </c>
      <c r="H1743" s="67">
        <v>623</v>
      </c>
    </row>
    <row r="1744" spans="1:8" x14ac:dyDescent="0.25">
      <c r="A1744" s="212">
        <v>42010</v>
      </c>
      <c r="B1744" s="160" t="s">
        <v>634</v>
      </c>
      <c r="C1744" t="s">
        <v>635</v>
      </c>
      <c r="D1744" t="s">
        <v>27</v>
      </c>
      <c r="E1744" s="161">
        <v>1</v>
      </c>
      <c r="F1744" s="161">
        <v>92.5</v>
      </c>
      <c r="G1744" s="162">
        <v>92.5</v>
      </c>
      <c r="H1744" s="67">
        <v>623</v>
      </c>
    </row>
    <row r="1745" spans="1:8" x14ac:dyDescent="0.25">
      <c r="A1745" s="212">
        <v>42010</v>
      </c>
      <c r="B1745" s="160" t="s">
        <v>619</v>
      </c>
      <c r="C1745" t="s">
        <v>620</v>
      </c>
      <c r="D1745" t="s">
        <v>27</v>
      </c>
      <c r="E1745" s="161">
        <v>4</v>
      </c>
      <c r="F1745" s="161">
        <v>80</v>
      </c>
      <c r="G1745" s="162">
        <v>320</v>
      </c>
      <c r="H1745" s="67">
        <v>623</v>
      </c>
    </row>
    <row r="1746" spans="1:8" x14ac:dyDescent="0.25">
      <c r="A1746" s="212">
        <v>42010</v>
      </c>
      <c r="B1746" s="160" t="s">
        <v>1212</v>
      </c>
      <c r="C1746" t="s">
        <v>7</v>
      </c>
      <c r="D1746" t="s">
        <v>27</v>
      </c>
      <c r="E1746" s="161">
        <v>8.5</v>
      </c>
      <c r="F1746" s="161">
        <v>42.72</v>
      </c>
      <c r="G1746" s="162">
        <v>363.12</v>
      </c>
      <c r="H1746" s="67">
        <v>623</v>
      </c>
    </row>
    <row r="1747" spans="1:8" x14ac:dyDescent="0.25">
      <c r="A1747" s="212">
        <v>42010</v>
      </c>
      <c r="B1747" s="160" t="s">
        <v>1209</v>
      </c>
      <c r="C1747" t="s">
        <v>1210</v>
      </c>
      <c r="D1747" t="s">
        <v>27</v>
      </c>
      <c r="E1747" s="161">
        <v>3</v>
      </c>
      <c r="F1747" s="161">
        <v>42.79</v>
      </c>
      <c r="G1747" s="162">
        <v>128.37</v>
      </c>
      <c r="H1747" s="67">
        <v>623</v>
      </c>
    </row>
    <row r="1748" spans="1:8" x14ac:dyDescent="0.25">
      <c r="A1748" s="212">
        <v>42010</v>
      </c>
      <c r="B1748" s="160" t="s">
        <v>623</v>
      </c>
      <c r="C1748" t="s">
        <v>7</v>
      </c>
      <c r="D1748" t="s">
        <v>27</v>
      </c>
      <c r="E1748" s="161">
        <v>4</v>
      </c>
      <c r="F1748" s="161">
        <v>46.85</v>
      </c>
      <c r="G1748" s="162">
        <v>187.4</v>
      </c>
      <c r="H1748" s="67">
        <v>623</v>
      </c>
    </row>
    <row r="1749" spans="1:8" x14ac:dyDescent="0.25">
      <c r="A1749" s="212">
        <v>42011</v>
      </c>
      <c r="B1749" s="160" t="s">
        <v>1212</v>
      </c>
      <c r="C1749" t="s">
        <v>7</v>
      </c>
      <c r="D1749" t="s">
        <v>27</v>
      </c>
      <c r="E1749" s="161">
        <v>7</v>
      </c>
      <c r="F1749" s="161">
        <v>42.72</v>
      </c>
      <c r="G1749" s="162">
        <v>299.04000000000002</v>
      </c>
      <c r="H1749" s="67">
        <v>623</v>
      </c>
    </row>
    <row r="1750" spans="1:8" x14ac:dyDescent="0.25">
      <c r="A1750" s="212">
        <v>42011</v>
      </c>
      <c r="B1750" s="160" t="s">
        <v>1109</v>
      </c>
      <c r="C1750" t="s">
        <v>7</v>
      </c>
      <c r="D1750" t="s">
        <v>27</v>
      </c>
      <c r="E1750" s="161">
        <v>5</v>
      </c>
      <c r="F1750" s="161">
        <v>42.72</v>
      </c>
      <c r="G1750" s="162">
        <v>213.6</v>
      </c>
      <c r="H1750" s="67">
        <v>623</v>
      </c>
    </row>
    <row r="1751" spans="1:8" x14ac:dyDescent="0.25">
      <c r="A1751" s="212">
        <v>42011</v>
      </c>
      <c r="B1751" s="160" t="s">
        <v>1218</v>
      </c>
      <c r="C1751" t="s">
        <v>1219</v>
      </c>
      <c r="D1751" t="s">
        <v>27</v>
      </c>
      <c r="E1751" s="161">
        <v>7</v>
      </c>
      <c r="F1751" s="161">
        <v>135</v>
      </c>
      <c r="G1751" s="162">
        <v>945</v>
      </c>
      <c r="H1751" s="67">
        <v>623</v>
      </c>
    </row>
    <row r="1752" spans="1:8" x14ac:dyDescent="0.25">
      <c r="A1752" s="212">
        <v>42011</v>
      </c>
      <c r="B1752" s="160" t="s">
        <v>285</v>
      </c>
      <c r="C1752" t="s">
        <v>621</v>
      </c>
      <c r="D1752" t="s">
        <v>27</v>
      </c>
      <c r="E1752" s="161">
        <v>5</v>
      </c>
      <c r="F1752" s="161">
        <v>90</v>
      </c>
      <c r="G1752" s="162">
        <v>450</v>
      </c>
      <c r="H1752" s="67">
        <v>623</v>
      </c>
    </row>
    <row r="1753" spans="1:8" x14ac:dyDescent="0.25">
      <c r="A1753" s="212">
        <v>42011</v>
      </c>
      <c r="B1753" s="160" t="s">
        <v>653</v>
      </c>
      <c r="C1753" t="s">
        <v>656</v>
      </c>
      <c r="D1753" t="s">
        <v>27</v>
      </c>
      <c r="E1753" s="161">
        <v>7</v>
      </c>
      <c r="F1753" s="161">
        <v>120</v>
      </c>
      <c r="G1753" s="162">
        <v>840</v>
      </c>
      <c r="H1753" s="67">
        <v>623</v>
      </c>
    </row>
    <row r="1754" spans="1:8" x14ac:dyDescent="0.25">
      <c r="A1754" s="212">
        <v>42012</v>
      </c>
      <c r="B1754" s="160" t="s">
        <v>1212</v>
      </c>
      <c r="C1754" t="s">
        <v>7</v>
      </c>
      <c r="D1754" t="s">
        <v>27</v>
      </c>
      <c r="E1754" s="161">
        <v>4</v>
      </c>
      <c r="F1754" s="161">
        <v>42.72</v>
      </c>
      <c r="G1754" s="162">
        <v>170.88</v>
      </c>
      <c r="H1754" s="67">
        <v>623</v>
      </c>
    </row>
    <row r="1755" spans="1:8" x14ac:dyDescent="0.25">
      <c r="A1755" s="212">
        <v>42012</v>
      </c>
      <c r="B1755" s="160" t="s">
        <v>631</v>
      </c>
      <c r="C1755" t="s">
        <v>632</v>
      </c>
      <c r="D1755" t="s">
        <v>27</v>
      </c>
      <c r="E1755" s="161">
        <v>3.5</v>
      </c>
      <c r="F1755" s="161">
        <v>80</v>
      </c>
      <c r="G1755" s="162">
        <v>280</v>
      </c>
      <c r="H1755" s="67">
        <v>623</v>
      </c>
    </row>
    <row r="1756" spans="1:8" x14ac:dyDescent="0.25">
      <c r="A1756" s="212">
        <v>42012</v>
      </c>
      <c r="B1756" s="160" t="s">
        <v>285</v>
      </c>
      <c r="C1756" t="s">
        <v>621</v>
      </c>
      <c r="D1756" t="s">
        <v>27</v>
      </c>
      <c r="E1756" s="161">
        <v>2</v>
      </c>
      <c r="F1756" s="161">
        <v>90</v>
      </c>
      <c r="G1756" s="162">
        <v>180</v>
      </c>
      <c r="H1756" s="67">
        <v>623</v>
      </c>
    </row>
    <row r="1757" spans="1:8" x14ac:dyDescent="0.25">
      <c r="A1757" s="212">
        <v>42012</v>
      </c>
      <c r="B1757" s="160" t="s">
        <v>653</v>
      </c>
      <c r="C1757" t="s">
        <v>656</v>
      </c>
      <c r="D1757" t="s">
        <v>27</v>
      </c>
      <c r="E1757" s="161">
        <v>3</v>
      </c>
      <c r="F1757" s="161">
        <v>120</v>
      </c>
      <c r="G1757" s="162">
        <v>360</v>
      </c>
      <c r="H1757" s="67">
        <v>623</v>
      </c>
    </row>
    <row r="1758" spans="1:8" x14ac:dyDescent="0.25">
      <c r="A1758" s="212">
        <v>42012</v>
      </c>
      <c r="B1758" s="160" t="s">
        <v>623</v>
      </c>
      <c r="C1758" t="s">
        <v>7</v>
      </c>
      <c r="D1758" t="s">
        <v>27</v>
      </c>
      <c r="E1758" s="161">
        <v>2</v>
      </c>
      <c r="F1758" s="161">
        <v>42.6</v>
      </c>
      <c r="G1758" s="162">
        <v>85.2</v>
      </c>
      <c r="H1758" s="67">
        <v>623</v>
      </c>
    </row>
    <row r="1759" spans="1:8" x14ac:dyDescent="0.25">
      <c r="A1759" s="212">
        <v>42012</v>
      </c>
      <c r="B1759" s="160" t="s">
        <v>1212</v>
      </c>
      <c r="C1759" t="s">
        <v>7</v>
      </c>
      <c r="D1759" t="s">
        <v>27</v>
      </c>
      <c r="E1759" s="161">
        <v>3</v>
      </c>
      <c r="F1759" s="161">
        <v>42.72</v>
      </c>
      <c r="G1759" s="162">
        <v>128.16</v>
      </c>
      <c r="H1759" s="67">
        <v>623</v>
      </c>
    </row>
    <row r="1760" spans="1:8" x14ac:dyDescent="0.25">
      <c r="A1760" s="212">
        <v>42013</v>
      </c>
      <c r="B1760" s="160" t="s">
        <v>1218</v>
      </c>
      <c r="C1760" t="s">
        <v>1219</v>
      </c>
      <c r="D1760" t="s">
        <v>27</v>
      </c>
      <c r="E1760" s="161">
        <v>4.5</v>
      </c>
      <c r="F1760" s="161">
        <v>135</v>
      </c>
      <c r="G1760" s="162">
        <v>607.5</v>
      </c>
      <c r="H1760" s="67">
        <v>623</v>
      </c>
    </row>
    <row r="1761" spans="1:8" x14ac:dyDescent="0.25">
      <c r="A1761" s="212">
        <v>42013</v>
      </c>
      <c r="B1761" s="160" t="s">
        <v>634</v>
      </c>
      <c r="C1761" t="s">
        <v>635</v>
      </c>
      <c r="D1761" t="s">
        <v>27</v>
      </c>
      <c r="E1761" s="161">
        <v>1.5</v>
      </c>
      <c r="F1761" s="161">
        <v>92.5</v>
      </c>
      <c r="G1761" s="162">
        <v>138.75</v>
      </c>
      <c r="H1761" s="67">
        <v>623</v>
      </c>
    </row>
    <row r="1762" spans="1:8" x14ac:dyDescent="0.25">
      <c r="A1762" s="212">
        <v>42013</v>
      </c>
      <c r="B1762" s="160" t="s">
        <v>1109</v>
      </c>
      <c r="C1762" t="s">
        <v>7</v>
      </c>
      <c r="D1762" t="s">
        <v>27</v>
      </c>
      <c r="E1762" s="161">
        <v>4</v>
      </c>
      <c r="F1762" s="161">
        <v>42.72</v>
      </c>
      <c r="G1762" s="162">
        <v>170.88</v>
      </c>
      <c r="H1762" s="67">
        <v>623</v>
      </c>
    </row>
    <row r="1763" spans="1:8" x14ac:dyDescent="0.25">
      <c r="A1763" s="212">
        <v>42013</v>
      </c>
      <c r="B1763" s="160" t="s">
        <v>1212</v>
      </c>
      <c r="C1763" t="s">
        <v>7</v>
      </c>
      <c r="D1763" t="s">
        <v>27</v>
      </c>
      <c r="E1763" s="161">
        <v>5</v>
      </c>
      <c r="F1763" s="161">
        <v>42.72</v>
      </c>
      <c r="G1763" s="162">
        <v>213.6</v>
      </c>
      <c r="H1763" s="67">
        <v>623</v>
      </c>
    </row>
    <row r="1764" spans="1:8" x14ac:dyDescent="0.25">
      <c r="A1764" s="212">
        <v>42013</v>
      </c>
      <c r="B1764" s="160" t="s">
        <v>1211</v>
      </c>
      <c r="C1764" t="s">
        <v>1233</v>
      </c>
      <c r="D1764" t="s">
        <v>27</v>
      </c>
      <c r="E1764" s="161">
        <v>4.5</v>
      </c>
      <c r="F1764" s="161">
        <v>54.58</v>
      </c>
      <c r="G1764" s="162">
        <v>245.61</v>
      </c>
      <c r="H1764" s="67">
        <v>623</v>
      </c>
    </row>
    <row r="1765" spans="1:8" x14ac:dyDescent="0.25">
      <c r="A1765" s="212">
        <v>42013</v>
      </c>
      <c r="B1765" s="160" t="s">
        <v>631</v>
      </c>
      <c r="C1765" t="s">
        <v>632</v>
      </c>
      <c r="D1765" t="s">
        <v>27</v>
      </c>
      <c r="E1765" s="161">
        <v>3</v>
      </c>
      <c r="F1765" s="161">
        <v>80</v>
      </c>
      <c r="G1765" s="162">
        <v>240</v>
      </c>
      <c r="H1765" s="67">
        <v>623</v>
      </c>
    </row>
    <row r="1766" spans="1:8" x14ac:dyDescent="0.25">
      <c r="A1766" s="212">
        <v>42013</v>
      </c>
      <c r="B1766" s="160" t="s">
        <v>653</v>
      </c>
      <c r="C1766" t="s">
        <v>656</v>
      </c>
      <c r="D1766" t="s">
        <v>27</v>
      </c>
      <c r="E1766" s="161">
        <v>5</v>
      </c>
      <c r="F1766" s="161">
        <v>120</v>
      </c>
      <c r="G1766" s="162">
        <v>600</v>
      </c>
      <c r="H1766" s="67">
        <v>623</v>
      </c>
    </row>
    <row r="1767" spans="1:8" x14ac:dyDescent="0.25">
      <c r="A1767" s="212">
        <v>42013</v>
      </c>
      <c r="B1767" s="160" t="s">
        <v>1209</v>
      </c>
      <c r="C1767" t="s">
        <v>1210</v>
      </c>
      <c r="D1767" t="s">
        <v>27</v>
      </c>
      <c r="E1767" s="161">
        <v>4.5</v>
      </c>
      <c r="F1767" s="161">
        <v>42.79</v>
      </c>
      <c r="G1767" s="162">
        <v>192.55500000000001</v>
      </c>
      <c r="H1767" s="67">
        <v>623</v>
      </c>
    </row>
    <row r="1768" spans="1:8" x14ac:dyDescent="0.25">
      <c r="A1768" s="212">
        <v>42013</v>
      </c>
      <c r="B1768" s="160" t="s">
        <v>1218</v>
      </c>
      <c r="C1768" t="s">
        <v>1219</v>
      </c>
      <c r="D1768" t="s">
        <v>27</v>
      </c>
      <c r="E1768" s="161">
        <v>4.5</v>
      </c>
      <c r="F1768" s="161">
        <v>135</v>
      </c>
      <c r="G1768" s="162">
        <v>607.5</v>
      </c>
      <c r="H1768" s="67">
        <v>623</v>
      </c>
    </row>
    <row r="1769" spans="1:8" x14ac:dyDescent="0.25">
      <c r="A1769" s="212">
        <v>42013</v>
      </c>
      <c r="B1769" s="160" t="s">
        <v>1109</v>
      </c>
      <c r="C1769" t="s">
        <v>7</v>
      </c>
      <c r="D1769" t="s">
        <v>27</v>
      </c>
      <c r="E1769" s="161">
        <v>3</v>
      </c>
      <c r="F1769" s="161">
        <v>42.72</v>
      </c>
      <c r="G1769" s="162">
        <v>128.16</v>
      </c>
      <c r="H1769" s="67">
        <v>623</v>
      </c>
    </row>
    <row r="1770" spans="1:8" x14ac:dyDescent="0.25">
      <c r="A1770" s="212">
        <v>42013</v>
      </c>
      <c r="B1770" s="160" t="s">
        <v>623</v>
      </c>
      <c r="C1770" t="s">
        <v>7</v>
      </c>
      <c r="D1770" t="s">
        <v>27</v>
      </c>
      <c r="E1770" s="161">
        <v>10</v>
      </c>
      <c r="F1770" s="161">
        <v>42.6</v>
      </c>
      <c r="G1770" s="162">
        <v>426</v>
      </c>
      <c r="H1770" s="67">
        <v>623</v>
      </c>
    </row>
    <row r="1771" spans="1:8" x14ac:dyDescent="0.25">
      <c r="A1771" s="212">
        <v>42014</v>
      </c>
      <c r="B1771" s="160" t="s">
        <v>653</v>
      </c>
      <c r="C1771" t="s">
        <v>656</v>
      </c>
      <c r="D1771" t="s">
        <v>27</v>
      </c>
      <c r="E1771" s="161">
        <v>7</v>
      </c>
      <c r="F1771" s="161">
        <v>120</v>
      </c>
      <c r="G1771" s="162">
        <v>840</v>
      </c>
      <c r="H1771" s="67">
        <v>623</v>
      </c>
    </row>
    <row r="1772" spans="1:8" x14ac:dyDescent="0.25">
      <c r="A1772" s="212">
        <v>42014</v>
      </c>
      <c r="B1772" s="160" t="s">
        <v>1209</v>
      </c>
      <c r="C1772" t="s">
        <v>1210</v>
      </c>
      <c r="D1772" t="s">
        <v>27</v>
      </c>
      <c r="E1772" s="161">
        <v>2.5</v>
      </c>
      <c r="F1772" s="161">
        <v>42.79</v>
      </c>
      <c r="G1772" s="162">
        <v>106.97499999999999</v>
      </c>
      <c r="H1772" s="67">
        <v>623</v>
      </c>
    </row>
    <row r="1773" spans="1:8" x14ac:dyDescent="0.25">
      <c r="A1773" s="212">
        <v>42014</v>
      </c>
      <c r="B1773" s="160" t="s">
        <v>619</v>
      </c>
      <c r="C1773" t="s">
        <v>620</v>
      </c>
      <c r="D1773" t="s">
        <v>27</v>
      </c>
      <c r="E1773" s="161">
        <v>3.5</v>
      </c>
      <c r="F1773" s="161">
        <v>80</v>
      </c>
      <c r="G1773" s="162">
        <v>280</v>
      </c>
      <c r="H1773" s="67">
        <v>623</v>
      </c>
    </row>
    <row r="1774" spans="1:8" x14ac:dyDescent="0.25">
      <c r="A1774" s="212">
        <v>42014</v>
      </c>
      <c r="B1774" s="160" t="s">
        <v>1211</v>
      </c>
      <c r="C1774" t="s">
        <v>1233</v>
      </c>
      <c r="D1774" t="s">
        <v>27</v>
      </c>
      <c r="E1774" s="161">
        <v>2</v>
      </c>
      <c r="F1774" s="161">
        <v>54.58</v>
      </c>
      <c r="G1774" s="162">
        <v>109.16</v>
      </c>
      <c r="H1774" s="67">
        <v>623</v>
      </c>
    </row>
    <row r="1775" spans="1:8" x14ac:dyDescent="0.25">
      <c r="A1775" s="212">
        <v>42014</v>
      </c>
      <c r="B1775" s="160" t="s">
        <v>623</v>
      </c>
      <c r="C1775" t="s">
        <v>7</v>
      </c>
      <c r="D1775" t="s">
        <v>527</v>
      </c>
      <c r="E1775" s="161">
        <v>4.5</v>
      </c>
      <c r="F1775" s="161">
        <v>49.7</v>
      </c>
      <c r="G1775" s="162">
        <v>223.65</v>
      </c>
      <c r="H1775" s="67">
        <v>623</v>
      </c>
    </row>
    <row r="1776" spans="1:8" x14ac:dyDescent="0.25">
      <c r="A1776" s="212">
        <v>42014</v>
      </c>
      <c r="B1776" s="160" t="s">
        <v>285</v>
      </c>
      <c r="C1776" t="s">
        <v>621</v>
      </c>
      <c r="D1776" t="s">
        <v>27</v>
      </c>
      <c r="E1776" s="161">
        <v>3</v>
      </c>
      <c r="F1776" s="161">
        <v>90</v>
      </c>
      <c r="G1776" s="162">
        <v>270</v>
      </c>
      <c r="H1776" s="67">
        <v>623</v>
      </c>
    </row>
    <row r="1777" spans="1:8" x14ac:dyDescent="0.25">
      <c r="A1777" s="212">
        <v>42014</v>
      </c>
      <c r="B1777" s="160" t="s">
        <v>1212</v>
      </c>
      <c r="C1777" t="s">
        <v>7</v>
      </c>
      <c r="D1777" t="s">
        <v>27</v>
      </c>
      <c r="E1777" s="161">
        <v>5</v>
      </c>
      <c r="F1777" s="161">
        <v>42.72</v>
      </c>
      <c r="G1777" s="162">
        <v>213.6</v>
      </c>
      <c r="H1777" s="67">
        <v>623</v>
      </c>
    </row>
    <row r="1778" spans="1:8" x14ac:dyDescent="0.25">
      <c r="A1778" s="212">
        <v>42014</v>
      </c>
      <c r="B1778" s="160" t="s">
        <v>1211</v>
      </c>
      <c r="C1778" t="s">
        <v>1233</v>
      </c>
      <c r="D1778" t="s">
        <v>27</v>
      </c>
      <c r="E1778" s="161">
        <v>2.5</v>
      </c>
      <c r="F1778" s="161">
        <v>54.58</v>
      </c>
      <c r="G1778" s="162">
        <v>136.44999999999999</v>
      </c>
      <c r="H1778" s="67">
        <v>623</v>
      </c>
    </row>
    <row r="1779" spans="1:8" x14ac:dyDescent="0.25">
      <c r="A1779" s="212">
        <v>42014</v>
      </c>
      <c r="B1779" s="160" t="s">
        <v>1109</v>
      </c>
      <c r="C1779" t="s">
        <v>7</v>
      </c>
      <c r="D1779" t="s">
        <v>27</v>
      </c>
      <c r="E1779" s="161">
        <v>4.5</v>
      </c>
      <c r="F1779" s="161">
        <v>42.72</v>
      </c>
      <c r="G1779" s="162">
        <v>192.24</v>
      </c>
      <c r="H1779" s="67">
        <v>623</v>
      </c>
    </row>
    <row r="1780" spans="1:8" x14ac:dyDescent="0.25">
      <c r="A1780" s="212">
        <v>42014</v>
      </c>
      <c r="B1780" s="160" t="s">
        <v>1209</v>
      </c>
      <c r="C1780" t="s">
        <v>1210</v>
      </c>
      <c r="D1780" t="s">
        <v>27</v>
      </c>
      <c r="E1780" s="161">
        <v>2</v>
      </c>
      <c r="F1780" s="161">
        <v>42.79</v>
      </c>
      <c r="G1780" s="162">
        <v>85.58</v>
      </c>
      <c r="H1780" s="67">
        <v>623</v>
      </c>
    </row>
    <row r="1781" spans="1:8" x14ac:dyDescent="0.25">
      <c r="A1781" s="212">
        <v>42014</v>
      </c>
      <c r="B1781" s="160" t="s">
        <v>623</v>
      </c>
      <c r="C1781" t="s">
        <v>7</v>
      </c>
      <c r="D1781" t="s">
        <v>27</v>
      </c>
      <c r="E1781" s="161">
        <v>8.5</v>
      </c>
      <c r="F1781" s="161">
        <v>42.6</v>
      </c>
      <c r="G1781" s="162">
        <v>362.1</v>
      </c>
      <c r="H1781" s="67">
        <v>623</v>
      </c>
    </row>
    <row r="1782" spans="1:8" x14ac:dyDescent="0.25">
      <c r="A1782" s="212">
        <v>42014</v>
      </c>
      <c r="B1782" s="160" t="s">
        <v>733</v>
      </c>
      <c r="C1782" t="s">
        <v>635</v>
      </c>
      <c r="D1782" t="s">
        <v>27</v>
      </c>
      <c r="E1782" s="161">
        <v>5</v>
      </c>
      <c r="F1782" s="161">
        <v>92.5</v>
      </c>
      <c r="G1782" s="162">
        <v>462.5</v>
      </c>
      <c r="H1782" s="67">
        <v>623</v>
      </c>
    </row>
    <row r="1783" spans="1:8" x14ac:dyDescent="0.25">
      <c r="A1783" s="212">
        <v>42014</v>
      </c>
      <c r="B1783" s="160" t="s">
        <v>1218</v>
      </c>
      <c r="C1783" t="s">
        <v>1219</v>
      </c>
      <c r="D1783" t="s">
        <v>27</v>
      </c>
      <c r="E1783" s="161">
        <v>8</v>
      </c>
      <c r="F1783" s="161">
        <v>135</v>
      </c>
      <c r="G1783" s="162">
        <v>1080</v>
      </c>
      <c r="H1783" s="67">
        <v>623</v>
      </c>
    </row>
    <row r="1784" spans="1:8" x14ac:dyDescent="0.25">
      <c r="A1784" s="212">
        <v>42016</v>
      </c>
      <c r="B1784" s="160" t="s">
        <v>653</v>
      </c>
      <c r="C1784" t="s">
        <v>656</v>
      </c>
      <c r="D1784" t="s">
        <v>27</v>
      </c>
      <c r="E1784" s="161">
        <v>3</v>
      </c>
      <c r="F1784" s="161">
        <v>120</v>
      </c>
      <c r="G1784" s="162">
        <v>360</v>
      </c>
      <c r="H1784" s="67">
        <v>623</v>
      </c>
    </row>
    <row r="1785" spans="1:8" x14ac:dyDescent="0.25">
      <c r="A1785" s="212">
        <v>42016</v>
      </c>
      <c r="B1785" s="160" t="s">
        <v>1209</v>
      </c>
      <c r="C1785" t="s">
        <v>1210</v>
      </c>
      <c r="D1785" t="s">
        <v>27</v>
      </c>
      <c r="E1785" s="161">
        <v>8</v>
      </c>
      <c r="F1785" s="161">
        <v>42.79</v>
      </c>
      <c r="G1785" s="162">
        <v>342.32</v>
      </c>
      <c r="H1785" s="67">
        <v>623</v>
      </c>
    </row>
    <row r="1786" spans="1:8" x14ac:dyDescent="0.25">
      <c r="A1786" s="212">
        <v>42016</v>
      </c>
      <c r="B1786" s="160" t="s">
        <v>1212</v>
      </c>
      <c r="C1786" t="s">
        <v>7</v>
      </c>
      <c r="D1786" t="s">
        <v>27</v>
      </c>
      <c r="E1786" s="161">
        <v>5.5</v>
      </c>
      <c r="F1786" s="161">
        <v>42.72</v>
      </c>
      <c r="G1786" s="162">
        <v>234.96</v>
      </c>
      <c r="H1786" s="67">
        <v>623</v>
      </c>
    </row>
    <row r="1787" spans="1:8" x14ac:dyDescent="0.25">
      <c r="A1787" s="212">
        <v>42016</v>
      </c>
      <c r="B1787" s="160" t="s">
        <v>1109</v>
      </c>
      <c r="C1787" t="s">
        <v>7</v>
      </c>
      <c r="D1787" t="s">
        <v>27</v>
      </c>
      <c r="E1787" s="161">
        <v>6</v>
      </c>
      <c r="F1787" s="161">
        <v>42.72</v>
      </c>
      <c r="G1787" s="162">
        <v>256.32</v>
      </c>
      <c r="H1787" s="67">
        <v>623</v>
      </c>
    </row>
    <row r="1788" spans="1:8" x14ac:dyDescent="0.25">
      <c r="A1788" s="212">
        <v>42016</v>
      </c>
      <c r="B1788" s="160" t="s">
        <v>623</v>
      </c>
      <c r="C1788" t="s">
        <v>7</v>
      </c>
      <c r="D1788" t="s">
        <v>27</v>
      </c>
      <c r="E1788" s="161">
        <v>8.5</v>
      </c>
      <c r="F1788" s="161">
        <v>42.6</v>
      </c>
      <c r="G1788" s="162">
        <v>362.1</v>
      </c>
      <c r="H1788" s="67">
        <v>623</v>
      </c>
    </row>
    <row r="1789" spans="1:8" x14ac:dyDescent="0.25">
      <c r="A1789" s="212">
        <v>42016</v>
      </c>
      <c r="B1789" s="160" t="s">
        <v>1218</v>
      </c>
      <c r="C1789" t="s">
        <v>1219</v>
      </c>
      <c r="D1789" t="s">
        <v>27</v>
      </c>
      <c r="E1789" s="161">
        <v>4</v>
      </c>
      <c r="F1789" s="161">
        <v>135</v>
      </c>
      <c r="G1789" s="162">
        <v>540</v>
      </c>
      <c r="H1789" s="67">
        <v>623</v>
      </c>
    </row>
    <row r="1790" spans="1:8" x14ac:dyDescent="0.25">
      <c r="A1790" s="212">
        <v>42016</v>
      </c>
      <c r="B1790" s="160" t="s">
        <v>1209</v>
      </c>
      <c r="C1790" t="s">
        <v>1210</v>
      </c>
      <c r="D1790" t="s">
        <v>27</v>
      </c>
      <c r="E1790" s="161">
        <v>2.5</v>
      </c>
      <c r="F1790" s="161">
        <v>42.79</v>
      </c>
      <c r="G1790" s="162">
        <v>106.97499999999999</v>
      </c>
      <c r="H1790" s="67">
        <v>623</v>
      </c>
    </row>
    <row r="1791" spans="1:8" x14ac:dyDescent="0.25">
      <c r="A1791" s="212">
        <v>42017</v>
      </c>
      <c r="B1791" s="160" t="s">
        <v>276</v>
      </c>
      <c r="C1791" t="s">
        <v>1220</v>
      </c>
      <c r="D1791" t="s">
        <v>27</v>
      </c>
      <c r="E1791" s="161">
        <v>3</v>
      </c>
      <c r="F1791" s="161">
        <v>35</v>
      </c>
      <c r="G1791" s="162">
        <v>105</v>
      </c>
      <c r="H1791" s="67">
        <v>623</v>
      </c>
    </row>
    <row r="1792" spans="1:8" x14ac:dyDescent="0.25">
      <c r="A1792" s="212">
        <v>42017</v>
      </c>
      <c r="B1792" s="160" t="s">
        <v>1218</v>
      </c>
      <c r="C1792" t="s">
        <v>1219</v>
      </c>
      <c r="D1792" t="s">
        <v>27</v>
      </c>
      <c r="E1792" s="161">
        <v>2</v>
      </c>
      <c r="F1792" s="161">
        <v>135</v>
      </c>
      <c r="G1792" s="162">
        <v>270</v>
      </c>
      <c r="H1792" s="67">
        <v>623</v>
      </c>
    </row>
    <row r="1793" spans="1:8" x14ac:dyDescent="0.25">
      <c r="A1793" s="212">
        <v>42017</v>
      </c>
      <c r="B1793" s="160" t="s">
        <v>1209</v>
      </c>
      <c r="C1793" t="s">
        <v>1210</v>
      </c>
      <c r="D1793" t="s">
        <v>27</v>
      </c>
      <c r="E1793" s="161">
        <v>8</v>
      </c>
      <c r="F1793" s="161">
        <v>42.79</v>
      </c>
      <c r="G1793" s="162">
        <v>342.32</v>
      </c>
      <c r="H1793" s="67">
        <v>623</v>
      </c>
    </row>
    <row r="1794" spans="1:8" x14ac:dyDescent="0.25">
      <c r="A1794" s="212">
        <v>42017</v>
      </c>
      <c r="B1794" s="160" t="s">
        <v>623</v>
      </c>
      <c r="C1794" t="s">
        <v>7</v>
      </c>
      <c r="D1794" t="s">
        <v>27</v>
      </c>
      <c r="E1794" s="161">
        <v>10</v>
      </c>
      <c r="F1794" s="161">
        <v>42.6</v>
      </c>
      <c r="G1794" s="162">
        <v>426</v>
      </c>
      <c r="H1794" s="67">
        <v>623</v>
      </c>
    </row>
    <row r="1795" spans="1:8" x14ac:dyDescent="0.25">
      <c r="A1795" s="212">
        <v>42017</v>
      </c>
      <c r="B1795" s="160" t="s">
        <v>623</v>
      </c>
      <c r="C1795" t="s">
        <v>7</v>
      </c>
      <c r="D1795" t="s">
        <v>27</v>
      </c>
      <c r="E1795" s="161">
        <v>10</v>
      </c>
      <c r="F1795" s="161">
        <v>42.6</v>
      </c>
      <c r="G1795" s="162">
        <v>426</v>
      </c>
      <c r="H1795" s="67">
        <v>623</v>
      </c>
    </row>
    <row r="1796" spans="1:8" x14ac:dyDescent="0.25">
      <c r="A1796" s="212">
        <v>42018</v>
      </c>
      <c r="B1796" s="160" t="s">
        <v>1218</v>
      </c>
      <c r="C1796" t="s">
        <v>1219</v>
      </c>
      <c r="D1796" t="s">
        <v>27</v>
      </c>
      <c r="E1796" s="161">
        <v>2</v>
      </c>
      <c r="F1796" s="161">
        <v>135</v>
      </c>
      <c r="G1796" s="162">
        <v>270</v>
      </c>
      <c r="H1796" s="67">
        <v>623</v>
      </c>
    </row>
    <row r="1797" spans="1:8" x14ac:dyDescent="0.25">
      <c r="A1797" s="212">
        <v>42018</v>
      </c>
      <c r="B1797" s="160" t="s">
        <v>623</v>
      </c>
      <c r="C1797" t="s">
        <v>7</v>
      </c>
      <c r="D1797" t="s">
        <v>27</v>
      </c>
      <c r="E1797" s="161">
        <v>10.5</v>
      </c>
      <c r="F1797" s="161">
        <v>42.6</v>
      </c>
      <c r="G1797" s="162">
        <v>447.3</v>
      </c>
      <c r="H1797" s="67">
        <v>623</v>
      </c>
    </row>
    <row r="1798" spans="1:8" x14ac:dyDescent="0.25">
      <c r="A1798" s="212">
        <v>42018</v>
      </c>
      <c r="B1798" s="160" t="s">
        <v>1212</v>
      </c>
      <c r="C1798" t="s">
        <v>7</v>
      </c>
      <c r="D1798" t="s">
        <v>27</v>
      </c>
      <c r="E1798" s="161">
        <v>10</v>
      </c>
      <c r="F1798" s="161">
        <v>42.72</v>
      </c>
      <c r="G1798" s="162">
        <v>427.2</v>
      </c>
      <c r="H1798" s="67">
        <v>623</v>
      </c>
    </row>
    <row r="1799" spans="1:8" x14ac:dyDescent="0.25">
      <c r="A1799" s="212">
        <v>42018</v>
      </c>
      <c r="B1799" s="160" t="s">
        <v>1209</v>
      </c>
      <c r="C1799" t="s">
        <v>1210</v>
      </c>
      <c r="D1799" t="s">
        <v>27</v>
      </c>
      <c r="E1799" s="161">
        <v>10</v>
      </c>
      <c r="F1799" s="161">
        <v>42.79</v>
      </c>
      <c r="G1799" s="162">
        <v>427.9</v>
      </c>
      <c r="H1799" s="67">
        <v>623</v>
      </c>
    </row>
    <row r="1800" spans="1:8" x14ac:dyDescent="0.25">
      <c r="A1800" s="212">
        <v>42018</v>
      </c>
      <c r="B1800" s="160" t="s">
        <v>1109</v>
      </c>
      <c r="C1800" t="s">
        <v>7</v>
      </c>
      <c r="D1800" t="s">
        <v>27</v>
      </c>
      <c r="E1800" s="161">
        <v>4.5</v>
      </c>
      <c r="F1800" s="161">
        <v>42.72</v>
      </c>
      <c r="G1800" s="162">
        <v>192.24</v>
      </c>
      <c r="H1800" s="67">
        <v>623</v>
      </c>
    </row>
    <row r="1801" spans="1:8" x14ac:dyDescent="0.25">
      <c r="A1801" s="212">
        <v>42019</v>
      </c>
      <c r="B1801" s="160" t="s">
        <v>619</v>
      </c>
      <c r="C1801" t="s">
        <v>620</v>
      </c>
      <c r="D1801" t="s">
        <v>27</v>
      </c>
      <c r="E1801" s="161">
        <v>5</v>
      </c>
      <c r="F1801" s="161">
        <v>80</v>
      </c>
      <c r="G1801" s="162">
        <v>400</v>
      </c>
      <c r="H1801" s="67">
        <v>623</v>
      </c>
    </row>
    <row r="1802" spans="1:8" x14ac:dyDescent="0.25">
      <c r="A1802" s="212">
        <v>42019</v>
      </c>
      <c r="B1802" s="160" t="s">
        <v>623</v>
      </c>
      <c r="C1802" t="s">
        <v>7</v>
      </c>
      <c r="D1802" t="s">
        <v>27</v>
      </c>
      <c r="E1802" s="161">
        <v>10</v>
      </c>
      <c r="F1802" s="161">
        <v>42.6</v>
      </c>
      <c r="G1802" s="162">
        <v>426</v>
      </c>
      <c r="H1802" s="67">
        <v>623</v>
      </c>
    </row>
    <row r="1803" spans="1:8" x14ac:dyDescent="0.25">
      <c r="A1803" s="212">
        <v>42019</v>
      </c>
      <c r="B1803" s="160" t="s">
        <v>623</v>
      </c>
      <c r="C1803" t="s">
        <v>7</v>
      </c>
      <c r="D1803" t="s">
        <v>527</v>
      </c>
      <c r="E1803" s="161">
        <v>5</v>
      </c>
      <c r="F1803" s="161">
        <v>49.7</v>
      </c>
      <c r="G1803" s="162">
        <v>248.5</v>
      </c>
      <c r="H1803" s="67">
        <v>623</v>
      </c>
    </row>
    <row r="1804" spans="1:8" x14ac:dyDescent="0.25">
      <c r="A1804" s="212">
        <v>42019</v>
      </c>
      <c r="B1804" s="160" t="s">
        <v>1218</v>
      </c>
      <c r="C1804" t="s">
        <v>1219</v>
      </c>
      <c r="D1804" t="s">
        <v>27</v>
      </c>
      <c r="E1804" s="161">
        <v>3.5</v>
      </c>
      <c r="F1804" s="161">
        <v>135</v>
      </c>
      <c r="G1804" s="162">
        <v>472.5</v>
      </c>
      <c r="H1804" s="67">
        <v>623</v>
      </c>
    </row>
    <row r="1805" spans="1:8" x14ac:dyDescent="0.25">
      <c r="A1805" s="212">
        <v>42019</v>
      </c>
      <c r="B1805" s="160" t="s">
        <v>1212</v>
      </c>
      <c r="C1805" t="s">
        <v>7</v>
      </c>
      <c r="D1805" t="s">
        <v>27</v>
      </c>
      <c r="E1805" s="161">
        <v>5</v>
      </c>
      <c r="F1805" s="161">
        <v>42.72</v>
      </c>
      <c r="G1805" s="162">
        <v>213.6</v>
      </c>
      <c r="H1805" s="67">
        <v>623</v>
      </c>
    </row>
    <row r="1806" spans="1:8" x14ac:dyDescent="0.25">
      <c r="A1806" s="212">
        <v>42019</v>
      </c>
      <c r="B1806" s="160" t="s">
        <v>1209</v>
      </c>
      <c r="C1806" t="s">
        <v>1210</v>
      </c>
      <c r="D1806" t="s">
        <v>27</v>
      </c>
      <c r="E1806" s="161">
        <v>10</v>
      </c>
      <c r="F1806" s="161">
        <v>42.79</v>
      </c>
      <c r="G1806" s="162">
        <v>427.9</v>
      </c>
      <c r="H1806" s="67">
        <v>623</v>
      </c>
    </row>
    <row r="1807" spans="1:8" x14ac:dyDescent="0.25">
      <c r="A1807" s="212">
        <v>42020</v>
      </c>
      <c r="B1807" s="160" t="s">
        <v>623</v>
      </c>
      <c r="C1807" t="s">
        <v>7</v>
      </c>
      <c r="D1807" t="s">
        <v>527</v>
      </c>
      <c r="E1807" s="161">
        <v>5</v>
      </c>
      <c r="F1807" s="161">
        <v>49.7</v>
      </c>
      <c r="G1807" s="162">
        <v>248.5</v>
      </c>
      <c r="H1807" s="67">
        <v>623</v>
      </c>
    </row>
    <row r="1808" spans="1:8" x14ac:dyDescent="0.25">
      <c r="A1808" s="212">
        <v>42020</v>
      </c>
      <c r="B1808" s="160" t="s">
        <v>623</v>
      </c>
      <c r="C1808" t="s">
        <v>7</v>
      </c>
      <c r="D1808" t="s">
        <v>27</v>
      </c>
      <c r="E1808" s="161">
        <v>10</v>
      </c>
      <c r="F1808" s="161">
        <v>42.6</v>
      </c>
      <c r="G1808" s="162">
        <v>426</v>
      </c>
      <c r="H1808" s="67">
        <v>623</v>
      </c>
    </row>
    <row r="1809" spans="1:8" x14ac:dyDescent="0.25">
      <c r="A1809" s="212">
        <v>42020</v>
      </c>
      <c r="B1809" s="160" t="s">
        <v>1212</v>
      </c>
      <c r="C1809" t="s">
        <v>7</v>
      </c>
      <c r="D1809" t="s">
        <v>27</v>
      </c>
      <c r="E1809" s="161">
        <v>4.5</v>
      </c>
      <c r="F1809" s="161">
        <v>42.72</v>
      </c>
      <c r="G1809" s="162">
        <v>192.24</v>
      </c>
      <c r="H1809" s="67">
        <v>623</v>
      </c>
    </row>
    <row r="1810" spans="1:8" x14ac:dyDescent="0.25">
      <c r="A1810" s="212">
        <v>42020</v>
      </c>
      <c r="B1810" s="160" t="s">
        <v>619</v>
      </c>
      <c r="C1810" t="s">
        <v>620</v>
      </c>
      <c r="D1810" t="s">
        <v>27</v>
      </c>
      <c r="E1810" s="161">
        <v>5</v>
      </c>
      <c r="F1810" s="161">
        <v>80</v>
      </c>
      <c r="G1810" s="162">
        <v>400</v>
      </c>
      <c r="H1810" s="67">
        <v>623</v>
      </c>
    </row>
    <row r="1811" spans="1:8" x14ac:dyDescent="0.25">
      <c r="A1811" s="212">
        <v>42020</v>
      </c>
      <c r="B1811" s="160" t="s">
        <v>734</v>
      </c>
      <c r="C1811" t="s">
        <v>7</v>
      </c>
      <c r="D1811" t="s">
        <v>27</v>
      </c>
      <c r="E1811" s="161">
        <v>59</v>
      </c>
      <c r="F1811" s="161">
        <v>20</v>
      </c>
      <c r="G1811" s="162">
        <v>1180</v>
      </c>
      <c r="H1811" s="67">
        <v>623</v>
      </c>
    </row>
    <row r="1812" spans="1:8" x14ac:dyDescent="0.25">
      <c r="A1812" s="212">
        <v>42023</v>
      </c>
      <c r="B1812" s="160" t="s">
        <v>623</v>
      </c>
      <c r="C1812" t="s">
        <v>7</v>
      </c>
      <c r="D1812" t="s">
        <v>527</v>
      </c>
      <c r="E1812" s="161">
        <v>5</v>
      </c>
      <c r="F1812" s="161">
        <v>49.7</v>
      </c>
      <c r="G1812" s="162">
        <v>248.5</v>
      </c>
      <c r="H1812" s="67">
        <v>623</v>
      </c>
    </row>
    <row r="1813" spans="1:8" x14ac:dyDescent="0.25">
      <c r="A1813" s="212">
        <v>42023</v>
      </c>
      <c r="B1813" s="160" t="s">
        <v>1212</v>
      </c>
      <c r="C1813" t="s">
        <v>7</v>
      </c>
      <c r="D1813" t="s">
        <v>27</v>
      </c>
      <c r="E1813" s="161">
        <v>5</v>
      </c>
      <c r="F1813" s="161">
        <v>42.72</v>
      </c>
      <c r="G1813" s="162">
        <v>213.6</v>
      </c>
      <c r="H1813" s="67">
        <v>623</v>
      </c>
    </row>
    <row r="1814" spans="1:8" x14ac:dyDescent="0.25">
      <c r="A1814" s="212">
        <v>42024</v>
      </c>
      <c r="B1814" s="160" t="s">
        <v>1212</v>
      </c>
      <c r="C1814" t="s">
        <v>7</v>
      </c>
      <c r="D1814" t="s">
        <v>27</v>
      </c>
      <c r="E1814" s="161">
        <v>10.5</v>
      </c>
      <c r="F1814" s="161">
        <v>42.72</v>
      </c>
      <c r="G1814" s="162">
        <v>448.56</v>
      </c>
      <c r="H1814" s="67">
        <v>623</v>
      </c>
    </row>
    <row r="1815" spans="1:8" x14ac:dyDescent="0.25">
      <c r="A1815" s="212">
        <v>42031</v>
      </c>
      <c r="B1815" s="160" t="s">
        <v>623</v>
      </c>
      <c r="C1815" t="s">
        <v>7</v>
      </c>
      <c r="D1815" t="s">
        <v>527</v>
      </c>
      <c r="E1815" s="161">
        <v>11</v>
      </c>
      <c r="F1815" s="161">
        <v>49.7</v>
      </c>
      <c r="G1815" s="162">
        <v>546.70000000000005</v>
      </c>
      <c r="H1815" s="67">
        <v>623</v>
      </c>
    </row>
    <row r="1816" spans="1:8" x14ac:dyDescent="0.25">
      <c r="A1816" s="212">
        <v>42032</v>
      </c>
      <c r="B1816" s="160" t="s">
        <v>619</v>
      </c>
      <c r="C1816" t="s">
        <v>620</v>
      </c>
      <c r="D1816" t="s">
        <v>27</v>
      </c>
      <c r="E1816" s="161">
        <v>5.5</v>
      </c>
      <c r="F1816" s="161">
        <v>80</v>
      </c>
      <c r="G1816" s="162">
        <v>440</v>
      </c>
      <c r="H1816" s="67">
        <v>623</v>
      </c>
    </row>
    <row r="1817" spans="1:8" x14ac:dyDescent="0.25">
      <c r="A1817" s="212">
        <v>42032</v>
      </c>
      <c r="B1817" s="160" t="s">
        <v>1223</v>
      </c>
      <c r="C1817" t="s">
        <v>1224</v>
      </c>
      <c r="D1817" t="s">
        <v>27</v>
      </c>
      <c r="E1817" s="161">
        <v>5</v>
      </c>
      <c r="F1817" s="161">
        <v>65</v>
      </c>
      <c r="G1817" s="162">
        <v>325</v>
      </c>
      <c r="H1817" s="67">
        <v>623</v>
      </c>
    </row>
    <row r="1818" spans="1:8" x14ac:dyDescent="0.25">
      <c r="A1818" s="212">
        <v>42032</v>
      </c>
      <c r="B1818" s="160" t="s">
        <v>1109</v>
      </c>
      <c r="C1818" t="s">
        <v>7</v>
      </c>
      <c r="D1818" t="s">
        <v>27</v>
      </c>
      <c r="E1818" s="161">
        <v>7</v>
      </c>
      <c r="F1818" s="161">
        <v>42.72</v>
      </c>
      <c r="G1818" s="162">
        <v>299.04000000000002</v>
      </c>
      <c r="H1818" s="67">
        <v>623</v>
      </c>
    </row>
    <row r="1819" spans="1:8" x14ac:dyDescent="0.25">
      <c r="A1819" s="212">
        <v>42032</v>
      </c>
      <c r="B1819" s="160" t="s">
        <v>623</v>
      </c>
      <c r="C1819" t="s">
        <v>7</v>
      </c>
      <c r="D1819" t="s">
        <v>527</v>
      </c>
      <c r="E1819" s="161">
        <v>9.5</v>
      </c>
      <c r="F1819" s="161">
        <v>49.7</v>
      </c>
      <c r="G1819" s="162">
        <v>472.15</v>
      </c>
      <c r="H1819" s="67">
        <v>623</v>
      </c>
    </row>
    <row r="1820" spans="1:8" x14ac:dyDescent="0.25">
      <c r="A1820" s="212">
        <v>42032</v>
      </c>
      <c r="B1820" s="160" t="s">
        <v>1212</v>
      </c>
      <c r="C1820" t="s">
        <v>7</v>
      </c>
      <c r="D1820" t="s">
        <v>27</v>
      </c>
      <c r="E1820" s="161">
        <v>10</v>
      </c>
      <c r="F1820" s="161">
        <v>42.72</v>
      </c>
      <c r="G1820" s="162">
        <v>427.2</v>
      </c>
      <c r="H1820" s="67">
        <v>623</v>
      </c>
    </row>
    <row r="1821" spans="1:8" x14ac:dyDescent="0.25">
      <c r="A1821" s="212">
        <v>42033</v>
      </c>
      <c r="B1821" s="160" t="s">
        <v>623</v>
      </c>
      <c r="C1821" t="s">
        <v>7</v>
      </c>
      <c r="D1821" t="s">
        <v>527</v>
      </c>
      <c r="E1821" s="161">
        <v>11</v>
      </c>
      <c r="F1821" s="161">
        <v>49.7</v>
      </c>
      <c r="G1821" s="162">
        <v>546.70000000000005</v>
      </c>
      <c r="H1821" s="67">
        <v>623</v>
      </c>
    </row>
    <row r="1822" spans="1:8" x14ac:dyDescent="0.25">
      <c r="A1822" s="212">
        <v>42033</v>
      </c>
      <c r="B1822" s="160" t="s">
        <v>735</v>
      </c>
      <c r="C1822" t="s">
        <v>7</v>
      </c>
      <c r="D1822" t="s">
        <v>27</v>
      </c>
      <c r="E1822" s="161">
        <v>5</v>
      </c>
      <c r="F1822" s="161">
        <v>20</v>
      </c>
      <c r="G1822" s="162">
        <v>100</v>
      </c>
      <c r="H1822" s="67">
        <v>623</v>
      </c>
    </row>
    <row r="1823" spans="1:8" x14ac:dyDescent="0.25">
      <c r="A1823" s="212">
        <v>42034</v>
      </c>
      <c r="B1823" s="160" t="s">
        <v>285</v>
      </c>
      <c r="C1823" t="s">
        <v>621</v>
      </c>
      <c r="D1823" t="s">
        <v>27</v>
      </c>
      <c r="E1823" s="161">
        <v>2</v>
      </c>
      <c r="F1823" s="161">
        <v>90</v>
      </c>
      <c r="G1823" s="162">
        <v>180</v>
      </c>
      <c r="H1823" s="67">
        <v>623</v>
      </c>
    </row>
    <row r="1824" spans="1:8" x14ac:dyDescent="0.25">
      <c r="A1824" s="212">
        <v>42034</v>
      </c>
      <c r="B1824" s="160" t="s">
        <v>285</v>
      </c>
      <c r="C1824" t="s">
        <v>621</v>
      </c>
      <c r="D1824" t="s">
        <v>27</v>
      </c>
      <c r="E1824" s="161">
        <v>2</v>
      </c>
      <c r="F1824" s="161">
        <v>90</v>
      </c>
      <c r="G1824" s="162">
        <v>180</v>
      </c>
      <c r="H1824" s="67">
        <v>623</v>
      </c>
    </row>
    <row r="1825" spans="1:8" x14ac:dyDescent="0.25">
      <c r="A1825" s="212">
        <v>42035</v>
      </c>
      <c r="B1825" s="160" t="s">
        <v>736</v>
      </c>
      <c r="C1825" t="s">
        <v>677</v>
      </c>
      <c r="D1825" t="s">
        <v>527</v>
      </c>
      <c r="E1825" s="161">
        <v>1</v>
      </c>
      <c r="F1825" s="161">
        <v>2273.6</v>
      </c>
      <c r="G1825" s="162">
        <v>2273.6</v>
      </c>
      <c r="H1825" s="67">
        <v>623</v>
      </c>
    </row>
    <row r="1826" spans="1:8" x14ac:dyDescent="0.25">
      <c r="A1826" s="212">
        <v>42042</v>
      </c>
      <c r="B1826" s="160" t="s">
        <v>653</v>
      </c>
      <c r="C1826" t="s">
        <v>656</v>
      </c>
      <c r="D1826" t="s">
        <v>27</v>
      </c>
      <c r="E1826" s="161">
        <v>1</v>
      </c>
      <c r="F1826" s="161">
        <v>120</v>
      </c>
      <c r="G1826" s="162">
        <v>120</v>
      </c>
      <c r="H1826" s="67">
        <v>623</v>
      </c>
    </row>
    <row r="1827" spans="1:8" x14ac:dyDescent="0.25">
      <c r="A1827" s="212">
        <v>42044</v>
      </c>
      <c r="B1827" s="160" t="s">
        <v>653</v>
      </c>
      <c r="C1827" t="s">
        <v>656</v>
      </c>
      <c r="D1827" t="s">
        <v>27</v>
      </c>
      <c r="E1827" s="161">
        <v>2</v>
      </c>
      <c r="F1827" s="161">
        <v>80</v>
      </c>
      <c r="G1827" s="162">
        <v>160</v>
      </c>
      <c r="H1827" s="67">
        <v>623</v>
      </c>
    </row>
    <row r="1828" spans="1:8" x14ac:dyDescent="0.25">
      <c r="A1828" s="212">
        <v>42044</v>
      </c>
      <c r="B1828" s="160" t="s">
        <v>631</v>
      </c>
      <c r="C1828" t="s">
        <v>632</v>
      </c>
      <c r="D1828" t="s">
        <v>27</v>
      </c>
      <c r="E1828" s="161">
        <v>6</v>
      </c>
      <c r="F1828" s="161">
        <v>80</v>
      </c>
      <c r="G1828" s="162">
        <v>480</v>
      </c>
      <c r="H1828" s="67">
        <v>623</v>
      </c>
    </row>
    <row r="1829" spans="1:8" x14ac:dyDescent="0.25">
      <c r="A1829" s="212">
        <v>42046</v>
      </c>
      <c r="B1829" s="160" t="s">
        <v>1211</v>
      </c>
      <c r="C1829" t="s">
        <v>1233</v>
      </c>
      <c r="D1829" t="s">
        <v>27</v>
      </c>
      <c r="E1829" s="161">
        <v>6</v>
      </c>
      <c r="F1829" s="161">
        <v>54.58</v>
      </c>
      <c r="G1829" s="162">
        <v>327.48</v>
      </c>
      <c r="H1829" s="67">
        <v>623</v>
      </c>
    </row>
    <row r="1830" spans="1:8" x14ac:dyDescent="0.25">
      <c r="A1830" s="212">
        <v>42046</v>
      </c>
      <c r="B1830" s="160" t="s">
        <v>1209</v>
      </c>
      <c r="C1830" t="s">
        <v>1210</v>
      </c>
      <c r="D1830" t="s">
        <v>27</v>
      </c>
      <c r="E1830" s="161">
        <v>6</v>
      </c>
      <c r="F1830" s="161">
        <v>42.79</v>
      </c>
      <c r="G1830" s="162">
        <v>256.74</v>
      </c>
      <c r="H1830" s="67">
        <v>623</v>
      </c>
    </row>
    <row r="1831" spans="1:8" x14ac:dyDescent="0.25">
      <c r="A1831" s="212">
        <v>42046</v>
      </c>
      <c r="B1831" s="160" t="s">
        <v>623</v>
      </c>
      <c r="C1831" t="s">
        <v>7</v>
      </c>
      <c r="D1831" t="s">
        <v>527</v>
      </c>
      <c r="E1831" s="161">
        <v>10.5</v>
      </c>
      <c r="F1831" s="161">
        <v>49.7</v>
      </c>
      <c r="G1831" s="162">
        <v>521.85</v>
      </c>
      <c r="H1831" s="67">
        <v>623</v>
      </c>
    </row>
    <row r="1832" spans="1:8" x14ac:dyDescent="0.25">
      <c r="A1832" s="212">
        <v>42046</v>
      </c>
      <c r="B1832" s="160" t="s">
        <v>619</v>
      </c>
      <c r="C1832" t="s">
        <v>620</v>
      </c>
      <c r="D1832" t="s">
        <v>27</v>
      </c>
      <c r="E1832" s="161">
        <v>10.5</v>
      </c>
      <c r="F1832" s="161">
        <v>80</v>
      </c>
      <c r="G1832" s="162">
        <v>840</v>
      </c>
      <c r="H1832" s="67">
        <v>623</v>
      </c>
    </row>
    <row r="1833" spans="1:8" x14ac:dyDescent="0.25">
      <c r="A1833" s="212">
        <v>42046</v>
      </c>
      <c r="B1833" s="160" t="s">
        <v>623</v>
      </c>
      <c r="C1833" t="s">
        <v>7</v>
      </c>
      <c r="D1833" t="s">
        <v>27</v>
      </c>
      <c r="E1833" s="161">
        <v>4.5</v>
      </c>
      <c r="F1833" s="161">
        <v>46.85</v>
      </c>
      <c r="G1833" s="162">
        <v>210.82499999999999</v>
      </c>
      <c r="H1833" s="67">
        <v>623</v>
      </c>
    </row>
    <row r="1834" spans="1:8" x14ac:dyDescent="0.25">
      <c r="A1834" s="212">
        <v>42051</v>
      </c>
      <c r="B1834" s="160" t="s">
        <v>1209</v>
      </c>
      <c r="C1834" t="s">
        <v>1210</v>
      </c>
      <c r="D1834" t="s">
        <v>27</v>
      </c>
      <c r="E1834" s="161">
        <v>3</v>
      </c>
      <c r="F1834" s="161">
        <v>42.79</v>
      </c>
      <c r="G1834" s="162">
        <v>128.37</v>
      </c>
      <c r="H1834" s="67">
        <v>623</v>
      </c>
    </row>
    <row r="1835" spans="1:8" x14ac:dyDescent="0.25">
      <c r="A1835" s="212">
        <v>42051</v>
      </c>
      <c r="B1835" s="160" t="s">
        <v>1211</v>
      </c>
      <c r="C1835" t="s">
        <v>1233</v>
      </c>
      <c r="D1835" t="s">
        <v>27</v>
      </c>
      <c r="E1835" s="161">
        <v>7</v>
      </c>
      <c r="F1835" s="161">
        <v>54.58</v>
      </c>
      <c r="G1835" s="162">
        <v>382.06</v>
      </c>
      <c r="H1835" s="67">
        <v>623</v>
      </c>
    </row>
    <row r="1836" spans="1:8" x14ac:dyDescent="0.25">
      <c r="A1836" s="212">
        <v>42051</v>
      </c>
      <c r="B1836" s="160" t="s">
        <v>285</v>
      </c>
      <c r="C1836" t="s">
        <v>621</v>
      </c>
      <c r="D1836" t="s">
        <v>27</v>
      </c>
      <c r="E1836" s="161">
        <v>2.5</v>
      </c>
      <c r="F1836" s="161">
        <v>90</v>
      </c>
      <c r="G1836" s="162">
        <v>225</v>
      </c>
      <c r="H1836" s="67">
        <v>623</v>
      </c>
    </row>
    <row r="1837" spans="1:8" x14ac:dyDescent="0.25">
      <c r="A1837" s="212">
        <v>42051</v>
      </c>
      <c r="B1837" s="160" t="s">
        <v>634</v>
      </c>
      <c r="C1837" t="s">
        <v>635</v>
      </c>
      <c r="D1837" t="s">
        <v>27</v>
      </c>
      <c r="E1837" s="161">
        <v>6.5</v>
      </c>
      <c r="F1837" s="161">
        <v>92.5</v>
      </c>
      <c r="G1837" s="162">
        <v>601.25</v>
      </c>
      <c r="H1837" s="67">
        <v>623</v>
      </c>
    </row>
    <row r="1838" spans="1:8" x14ac:dyDescent="0.25">
      <c r="A1838" s="212">
        <v>42052</v>
      </c>
      <c r="B1838" s="160" t="s">
        <v>684</v>
      </c>
      <c r="C1838" t="s">
        <v>655</v>
      </c>
      <c r="D1838" t="s">
        <v>27</v>
      </c>
      <c r="E1838" s="161">
        <v>3</v>
      </c>
      <c r="F1838" s="161">
        <v>120</v>
      </c>
      <c r="G1838" s="162">
        <v>360</v>
      </c>
      <c r="H1838" s="67">
        <v>623</v>
      </c>
    </row>
    <row r="1839" spans="1:8" x14ac:dyDescent="0.25">
      <c r="A1839" s="212">
        <v>42052</v>
      </c>
      <c r="B1839" s="160" t="s">
        <v>634</v>
      </c>
      <c r="C1839" t="s">
        <v>635</v>
      </c>
      <c r="D1839" t="s">
        <v>27</v>
      </c>
      <c r="E1839" s="161">
        <v>5</v>
      </c>
      <c r="F1839" s="161">
        <v>92.5</v>
      </c>
      <c r="G1839" s="162">
        <v>462.5</v>
      </c>
      <c r="H1839" s="67">
        <v>623</v>
      </c>
    </row>
    <row r="1840" spans="1:8" x14ac:dyDescent="0.25">
      <c r="A1840" s="212">
        <v>42052</v>
      </c>
      <c r="B1840" s="160" t="s">
        <v>1212</v>
      </c>
      <c r="C1840" t="s">
        <v>7</v>
      </c>
      <c r="D1840" t="s">
        <v>27</v>
      </c>
      <c r="E1840" s="161">
        <v>2</v>
      </c>
      <c r="F1840" s="161">
        <v>42.72</v>
      </c>
      <c r="G1840" s="162">
        <v>85.44</v>
      </c>
      <c r="H1840" s="67">
        <v>623</v>
      </c>
    </row>
    <row r="1841" spans="1:8" x14ac:dyDescent="0.25">
      <c r="A1841" s="212">
        <v>42053</v>
      </c>
      <c r="B1841" s="160" t="s">
        <v>684</v>
      </c>
      <c r="C1841" t="s">
        <v>655</v>
      </c>
      <c r="D1841" t="s">
        <v>27</v>
      </c>
      <c r="E1841" s="161">
        <v>4</v>
      </c>
      <c r="F1841" s="161">
        <v>120</v>
      </c>
      <c r="G1841" s="162">
        <v>480</v>
      </c>
      <c r="H1841" s="67">
        <v>623</v>
      </c>
    </row>
    <row r="1842" spans="1:8" ht="30" x14ac:dyDescent="0.25">
      <c r="A1842" s="212">
        <v>42054</v>
      </c>
      <c r="B1842" s="160" t="s">
        <v>685</v>
      </c>
      <c r="C1842" t="s">
        <v>665</v>
      </c>
      <c r="D1842" t="s">
        <v>527</v>
      </c>
      <c r="E1842" s="161">
        <v>3</v>
      </c>
      <c r="F1842" s="161">
        <v>35</v>
      </c>
      <c r="G1842" s="162">
        <v>105</v>
      </c>
      <c r="H1842" s="67">
        <v>623</v>
      </c>
    </row>
    <row r="1843" spans="1:8" x14ac:dyDescent="0.25">
      <c r="A1843" s="212">
        <v>42054</v>
      </c>
      <c r="B1843" s="160" t="s">
        <v>631</v>
      </c>
      <c r="C1843" t="s">
        <v>632</v>
      </c>
      <c r="D1843" t="s">
        <v>27</v>
      </c>
      <c r="E1843" s="161">
        <v>2.5</v>
      </c>
      <c r="F1843" s="161">
        <v>80</v>
      </c>
      <c r="G1843" s="162">
        <v>200</v>
      </c>
      <c r="H1843" s="67">
        <v>623</v>
      </c>
    </row>
    <row r="1844" spans="1:8" x14ac:dyDescent="0.25">
      <c r="A1844" s="212">
        <v>42054</v>
      </c>
      <c r="B1844" s="160" t="s">
        <v>664</v>
      </c>
      <c r="C1844" t="s">
        <v>665</v>
      </c>
      <c r="D1844" t="s">
        <v>527</v>
      </c>
      <c r="E1844" s="161">
        <v>2.5</v>
      </c>
      <c r="F1844" s="161">
        <v>35</v>
      </c>
      <c r="G1844" s="162">
        <v>87.5</v>
      </c>
      <c r="H1844" s="67">
        <v>623</v>
      </c>
    </row>
    <row r="1845" spans="1:8" x14ac:dyDescent="0.25">
      <c r="A1845" s="212">
        <v>42054</v>
      </c>
      <c r="B1845" s="160" t="s">
        <v>1209</v>
      </c>
      <c r="C1845" t="s">
        <v>1210</v>
      </c>
      <c r="D1845" t="s">
        <v>27</v>
      </c>
      <c r="E1845" s="161">
        <v>2.5</v>
      </c>
      <c r="F1845" s="161">
        <v>42.79</v>
      </c>
      <c r="G1845" s="162">
        <v>106.97499999999999</v>
      </c>
      <c r="H1845" s="67">
        <v>623</v>
      </c>
    </row>
    <row r="1846" spans="1:8" x14ac:dyDescent="0.25">
      <c r="A1846" s="212">
        <v>42056</v>
      </c>
      <c r="B1846" s="160" t="s">
        <v>664</v>
      </c>
      <c r="C1846" t="s">
        <v>665</v>
      </c>
      <c r="D1846" t="s">
        <v>527</v>
      </c>
      <c r="E1846" s="161">
        <v>9.5</v>
      </c>
      <c r="F1846" s="161">
        <v>35</v>
      </c>
      <c r="G1846" s="162">
        <v>332.5</v>
      </c>
      <c r="H1846" s="67">
        <v>623</v>
      </c>
    </row>
    <row r="1847" spans="1:8" x14ac:dyDescent="0.25">
      <c r="A1847" s="212">
        <v>42056</v>
      </c>
      <c r="B1847" s="160" t="s">
        <v>623</v>
      </c>
      <c r="C1847" t="s">
        <v>7</v>
      </c>
      <c r="D1847" t="s">
        <v>527</v>
      </c>
      <c r="E1847" s="161">
        <v>4</v>
      </c>
      <c r="F1847" s="161">
        <v>49.7</v>
      </c>
      <c r="G1847" s="162">
        <v>198.8</v>
      </c>
      <c r="H1847" s="67">
        <v>623</v>
      </c>
    </row>
    <row r="1848" spans="1:8" x14ac:dyDescent="0.25">
      <c r="A1848" s="212">
        <v>42059</v>
      </c>
      <c r="B1848" s="160" t="s">
        <v>631</v>
      </c>
      <c r="C1848" t="s">
        <v>632</v>
      </c>
      <c r="D1848" t="s">
        <v>27</v>
      </c>
      <c r="E1848" s="161">
        <v>2</v>
      </c>
      <c r="F1848" s="161">
        <v>80</v>
      </c>
      <c r="G1848" s="162">
        <v>160</v>
      </c>
      <c r="H1848" s="67">
        <v>623</v>
      </c>
    </row>
    <row r="1849" spans="1:8" x14ac:dyDescent="0.25">
      <c r="A1849" s="212">
        <v>42059</v>
      </c>
      <c r="B1849" s="160" t="s">
        <v>631</v>
      </c>
      <c r="C1849" t="s">
        <v>632</v>
      </c>
      <c r="D1849" t="s">
        <v>27</v>
      </c>
      <c r="E1849" s="161">
        <v>2</v>
      </c>
      <c r="F1849" s="161">
        <v>80</v>
      </c>
      <c r="G1849" s="162">
        <v>160</v>
      </c>
      <c r="H1849" s="67">
        <v>623</v>
      </c>
    </row>
    <row r="1850" spans="1:8" x14ac:dyDescent="0.25">
      <c r="A1850" s="212">
        <v>42059</v>
      </c>
      <c r="B1850" s="160" t="s">
        <v>653</v>
      </c>
      <c r="C1850" t="s">
        <v>656</v>
      </c>
      <c r="D1850" t="s">
        <v>27</v>
      </c>
      <c r="E1850" s="161">
        <v>2</v>
      </c>
      <c r="F1850" s="161">
        <v>120</v>
      </c>
      <c r="G1850" s="162">
        <v>240</v>
      </c>
      <c r="H1850" s="67">
        <v>623</v>
      </c>
    </row>
    <row r="1851" spans="1:8" x14ac:dyDescent="0.25">
      <c r="A1851" s="212">
        <v>42059</v>
      </c>
      <c r="B1851" s="160" t="s">
        <v>1209</v>
      </c>
      <c r="C1851" t="s">
        <v>1210</v>
      </c>
      <c r="D1851" t="s">
        <v>27</v>
      </c>
      <c r="E1851" s="161">
        <v>3</v>
      </c>
      <c r="F1851" s="161">
        <v>42.79</v>
      </c>
      <c r="G1851" s="162">
        <v>128.37</v>
      </c>
      <c r="H1851" s="67">
        <v>623</v>
      </c>
    </row>
    <row r="1852" spans="1:8" x14ac:dyDescent="0.25">
      <c r="A1852" s="212">
        <v>42059</v>
      </c>
      <c r="B1852" s="160" t="s">
        <v>623</v>
      </c>
      <c r="C1852" t="s">
        <v>7</v>
      </c>
      <c r="D1852" t="s">
        <v>27</v>
      </c>
      <c r="E1852" s="161">
        <v>4.5</v>
      </c>
      <c r="F1852" s="161">
        <v>42.6</v>
      </c>
      <c r="G1852" s="162">
        <v>191.7</v>
      </c>
      <c r="H1852" s="67">
        <v>623</v>
      </c>
    </row>
    <row r="1853" spans="1:8" x14ac:dyDescent="0.25">
      <c r="A1853" s="212">
        <v>42059</v>
      </c>
      <c r="B1853" s="160" t="s">
        <v>664</v>
      </c>
      <c r="C1853" t="s">
        <v>665</v>
      </c>
      <c r="D1853" t="s">
        <v>527</v>
      </c>
      <c r="E1853" s="161">
        <v>3</v>
      </c>
      <c r="F1853" s="161">
        <v>35</v>
      </c>
      <c r="G1853" s="162">
        <v>105</v>
      </c>
      <c r="H1853" s="67">
        <v>623</v>
      </c>
    </row>
    <row r="1854" spans="1:8" x14ac:dyDescent="0.25">
      <c r="A1854" s="212">
        <v>42065</v>
      </c>
      <c r="B1854" s="160" t="s">
        <v>634</v>
      </c>
      <c r="C1854" t="s">
        <v>635</v>
      </c>
      <c r="D1854" t="s">
        <v>27</v>
      </c>
      <c r="E1854" s="161">
        <v>1</v>
      </c>
      <c r="F1854" s="161">
        <v>92.5</v>
      </c>
      <c r="G1854" s="162">
        <v>92.5</v>
      </c>
      <c r="H1854" s="67">
        <v>623</v>
      </c>
    </row>
    <row r="1855" spans="1:8" x14ac:dyDescent="0.25">
      <c r="A1855" s="212">
        <v>42065</v>
      </c>
      <c r="B1855" s="160" t="s">
        <v>686</v>
      </c>
      <c r="C1855" t="s">
        <v>618</v>
      </c>
      <c r="D1855" t="s">
        <v>27</v>
      </c>
      <c r="E1855" s="161">
        <v>2</v>
      </c>
      <c r="F1855" s="161">
        <v>45</v>
      </c>
      <c r="G1855" s="162">
        <v>90</v>
      </c>
      <c r="H1855" s="67">
        <v>623</v>
      </c>
    </row>
    <row r="1856" spans="1:8" x14ac:dyDescent="0.25">
      <c r="A1856" s="212">
        <v>42066</v>
      </c>
      <c r="B1856" s="160" t="s">
        <v>623</v>
      </c>
      <c r="C1856" t="s">
        <v>7</v>
      </c>
      <c r="D1856" t="s">
        <v>27</v>
      </c>
      <c r="E1856" s="161">
        <v>5</v>
      </c>
      <c r="F1856" s="161">
        <v>42.6</v>
      </c>
      <c r="G1856" s="162">
        <v>213</v>
      </c>
      <c r="H1856" s="67">
        <v>623</v>
      </c>
    </row>
    <row r="1857" spans="1:8" x14ac:dyDescent="0.25">
      <c r="A1857" s="212">
        <v>42067</v>
      </c>
      <c r="B1857" s="160" t="s">
        <v>653</v>
      </c>
      <c r="C1857" t="s">
        <v>656</v>
      </c>
      <c r="D1857" t="s">
        <v>27</v>
      </c>
      <c r="E1857" s="161">
        <v>5.5</v>
      </c>
      <c r="F1857" s="161">
        <v>120</v>
      </c>
      <c r="G1857" s="162">
        <v>660</v>
      </c>
      <c r="H1857" s="67">
        <v>623</v>
      </c>
    </row>
    <row r="1858" spans="1:8" x14ac:dyDescent="0.25">
      <c r="A1858" s="212">
        <v>42067</v>
      </c>
      <c r="B1858" s="160" t="s">
        <v>687</v>
      </c>
      <c r="C1858" t="s">
        <v>627</v>
      </c>
      <c r="D1858" t="s">
        <v>27</v>
      </c>
      <c r="E1858" s="161">
        <v>4.5</v>
      </c>
      <c r="F1858" s="161">
        <v>125</v>
      </c>
      <c r="G1858" s="162">
        <v>562.5</v>
      </c>
      <c r="H1858" s="67">
        <v>623</v>
      </c>
    </row>
    <row r="1859" spans="1:8" x14ac:dyDescent="0.25">
      <c r="A1859" s="212">
        <v>42067</v>
      </c>
      <c r="B1859" s="160" t="s">
        <v>687</v>
      </c>
      <c r="C1859" t="s">
        <v>627</v>
      </c>
      <c r="D1859" t="s">
        <v>27</v>
      </c>
      <c r="E1859" s="161">
        <v>4.5</v>
      </c>
      <c r="F1859" s="161">
        <v>125</v>
      </c>
      <c r="G1859" s="162">
        <v>562.5</v>
      </c>
      <c r="H1859" s="67">
        <v>623</v>
      </c>
    </row>
    <row r="1860" spans="1:8" x14ac:dyDescent="0.25">
      <c r="A1860" s="213" t="s">
        <v>418</v>
      </c>
      <c r="B1860" s="214" t="s">
        <v>737</v>
      </c>
      <c r="C1860" s="215" t="s">
        <v>418</v>
      </c>
      <c r="D1860" s="215" t="s">
        <v>418</v>
      </c>
      <c r="E1860" s="216"/>
      <c r="F1860" s="216"/>
      <c r="G1860" s="217">
        <v>222714.59000000014</v>
      </c>
      <c r="H1860" s="231" t="s">
        <v>418</v>
      </c>
    </row>
    <row r="1861" spans="1:8" x14ac:dyDescent="0.25">
      <c r="A1861" s="212" t="s">
        <v>418</v>
      </c>
      <c r="B1861" s="160" t="s">
        <v>418</v>
      </c>
      <c r="C1861" t="s">
        <v>418</v>
      </c>
      <c r="D1861" t="s">
        <v>418</v>
      </c>
      <c r="E1861" s="161"/>
      <c r="F1861" s="161"/>
      <c r="G1861" s="162"/>
      <c r="H1861" s="67" t="s">
        <v>418</v>
      </c>
    </row>
    <row r="1862" spans="1:8" x14ac:dyDescent="0.25">
      <c r="A1862" s="209" t="s">
        <v>418</v>
      </c>
      <c r="B1862" s="159" t="s">
        <v>1244</v>
      </c>
      <c r="C1862" s="35" t="s">
        <v>418</v>
      </c>
      <c r="D1862" s="35" t="s">
        <v>418</v>
      </c>
      <c r="E1862" s="210"/>
      <c r="F1862" s="210"/>
      <c r="G1862" s="211"/>
      <c r="H1862" s="229" t="s">
        <v>418</v>
      </c>
    </row>
    <row r="1863" spans="1:8" x14ac:dyDescent="0.25">
      <c r="A1863" s="212">
        <v>41946</v>
      </c>
      <c r="B1863" s="160" t="s">
        <v>701</v>
      </c>
      <c r="C1863" t="s">
        <v>702</v>
      </c>
      <c r="D1863" t="s">
        <v>27</v>
      </c>
      <c r="E1863" s="161">
        <v>8</v>
      </c>
      <c r="F1863" s="161">
        <v>140</v>
      </c>
      <c r="G1863" s="162">
        <v>1120</v>
      </c>
      <c r="H1863" s="67">
        <v>63</v>
      </c>
    </row>
    <row r="1864" spans="1:8" x14ac:dyDescent="0.25">
      <c r="A1864" s="212">
        <v>41946</v>
      </c>
      <c r="B1864" s="160" t="s">
        <v>1212</v>
      </c>
      <c r="C1864" t="s">
        <v>7</v>
      </c>
      <c r="D1864" t="s">
        <v>27</v>
      </c>
      <c r="E1864" s="161">
        <v>10</v>
      </c>
      <c r="F1864" s="161">
        <v>42.72</v>
      </c>
      <c r="G1864" s="162">
        <v>427.2</v>
      </c>
      <c r="H1864" s="67">
        <v>63</v>
      </c>
    </row>
    <row r="1865" spans="1:8" x14ac:dyDescent="0.25">
      <c r="A1865" s="212">
        <v>41963</v>
      </c>
      <c r="B1865" s="160" t="s">
        <v>715</v>
      </c>
      <c r="C1865" t="s">
        <v>672</v>
      </c>
      <c r="D1865" t="s">
        <v>527</v>
      </c>
      <c r="E1865" s="161">
        <v>1</v>
      </c>
      <c r="F1865" s="161">
        <v>1500</v>
      </c>
      <c r="G1865" s="162">
        <v>1500</v>
      </c>
      <c r="H1865" s="67">
        <v>63</v>
      </c>
    </row>
    <row r="1866" spans="1:8" x14ac:dyDescent="0.25">
      <c r="A1866" s="212">
        <v>41970</v>
      </c>
      <c r="B1866" s="160" t="s">
        <v>1218</v>
      </c>
      <c r="C1866" t="s">
        <v>1219</v>
      </c>
      <c r="D1866" t="s">
        <v>27</v>
      </c>
      <c r="E1866" s="161">
        <v>6</v>
      </c>
      <c r="F1866" s="161">
        <v>135</v>
      </c>
      <c r="G1866" s="162">
        <v>810</v>
      </c>
      <c r="H1866" s="67">
        <v>63</v>
      </c>
    </row>
    <row r="1867" spans="1:8" x14ac:dyDescent="0.25">
      <c r="A1867" s="212">
        <v>41976</v>
      </c>
      <c r="B1867" s="160" t="s">
        <v>623</v>
      </c>
      <c r="C1867" t="s">
        <v>7</v>
      </c>
      <c r="D1867" t="s">
        <v>527</v>
      </c>
      <c r="E1867" s="161">
        <v>9</v>
      </c>
      <c r="F1867" s="161">
        <v>49.7</v>
      </c>
      <c r="G1867" s="162">
        <v>447.3</v>
      </c>
      <c r="H1867" s="67">
        <v>63</v>
      </c>
    </row>
    <row r="1868" spans="1:8" x14ac:dyDescent="0.25">
      <c r="A1868" s="212">
        <v>41976</v>
      </c>
      <c r="B1868" s="160" t="s">
        <v>1109</v>
      </c>
      <c r="C1868" t="s">
        <v>7</v>
      </c>
      <c r="D1868" t="s">
        <v>27</v>
      </c>
      <c r="E1868" s="161">
        <v>2.5</v>
      </c>
      <c r="F1868" s="161">
        <v>42.72</v>
      </c>
      <c r="G1868" s="162">
        <v>106.8</v>
      </c>
      <c r="H1868" s="67">
        <v>63</v>
      </c>
    </row>
    <row r="1869" spans="1:8" x14ac:dyDescent="0.25">
      <c r="A1869" s="212">
        <v>41976</v>
      </c>
      <c r="B1869" s="160" t="s">
        <v>664</v>
      </c>
      <c r="C1869" t="s">
        <v>665</v>
      </c>
      <c r="D1869" t="s">
        <v>527</v>
      </c>
      <c r="E1869" s="161">
        <v>10.5</v>
      </c>
      <c r="F1869" s="161">
        <v>95</v>
      </c>
      <c r="G1869" s="162">
        <v>997.5</v>
      </c>
      <c r="H1869" s="67">
        <v>63</v>
      </c>
    </row>
    <row r="1870" spans="1:8" x14ac:dyDescent="0.25">
      <c r="A1870" s="212">
        <v>41977</v>
      </c>
      <c r="B1870" s="160" t="s">
        <v>664</v>
      </c>
      <c r="C1870" t="s">
        <v>665</v>
      </c>
      <c r="D1870" t="s">
        <v>527</v>
      </c>
      <c r="E1870" s="161">
        <v>10.5</v>
      </c>
      <c r="F1870" s="161">
        <v>95</v>
      </c>
      <c r="G1870" s="162">
        <v>997.5</v>
      </c>
      <c r="H1870" s="67">
        <v>63</v>
      </c>
    </row>
    <row r="1871" spans="1:8" x14ac:dyDescent="0.25">
      <c r="A1871" s="212">
        <v>41978</v>
      </c>
      <c r="B1871" s="160" t="s">
        <v>619</v>
      </c>
      <c r="C1871" t="s">
        <v>620</v>
      </c>
      <c r="D1871" t="s">
        <v>27</v>
      </c>
      <c r="E1871" s="161">
        <v>6</v>
      </c>
      <c r="F1871" s="161">
        <v>80</v>
      </c>
      <c r="G1871" s="162">
        <v>480</v>
      </c>
      <c r="H1871" s="67">
        <v>63</v>
      </c>
    </row>
    <row r="1872" spans="1:8" x14ac:dyDescent="0.25">
      <c r="A1872" s="212">
        <v>41978</v>
      </c>
      <c r="B1872" s="160" t="s">
        <v>286</v>
      </c>
      <c r="C1872" t="s">
        <v>633</v>
      </c>
      <c r="D1872" t="s">
        <v>27</v>
      </c>
      <c r="E1872" s="161">
        <v>9</v>
      </c>
      <c r="F1872" s="161">
        <v>90</v>
      </c>
      <c r="G1872" s="162">
        <v>810</v>
      </c>
      <c r="H1872" s="67">
        <v>63</v>
      </c>
    </row>
    <row r="1873" spans="1:8" x14ac:dyDescent="0.25">
      <c r="A1873" s="212">
        <v>41978</v>
      </c>
      <c r="B1873" s="160" t="s">
        <v>623</v>
      </c>
      <c r="C1873" t="s">
        <v>7</v>
      </c>
      <c r="D1873" t="s">
        <v>527</v>
      </c>
      <c r="E1873" s="161">
        <v>10</v>
      </c>
      <c r="F1873" s="161">
        <v>49.7</v>
      </c>
      <c r="G1873" s="162">
        <v>497</v>
      </c>
      <c r="H1873" s="67">
        <v>63</v>
      </c>
    </row>
    <row r="1874" spans="1:8" x14ac:dyDescent="0.25">
      <c r="A1874" s="212">
        <v>41978</v>
      </c>
      <c r="B1874" s="160" t="s">
        <v>623</v>
      </c>
      <c r="C1874" t="s">
        <v>7</v>
      </c>
      <c r="D1874" t="s">
        <v>27</v>
      </c>
      <c r="E1874" s="161">
        <v>10</v>
      </c>
      <c r="F1874" s="161">
        <v>42.6</v>
      </c>
      <c r="G1874" s="162">
        <v>426</v>
      </c>
      <c r="H1874" s="67">
        <v>63</v>
      </c>
    </row>
    <row r="1875" spans="1:8" x14ac:dyDescent="0.25">
      <c r="A1875" s="212">
        <v>41978</v>
      </c>
      <c r="B1875" s="160" t="s">
        <v>664</v>
      </c>
      <c r="C1875" t="s">
        <v>665</v>
      </c>
      <c r="D1875" t="s">
        <v>527</v>
      </c>
      <c r="E1875" s="161">
        <v>10</v>
      </c>
      <c r="F1875" s="161">
        <v>95</v>
      </c>
      <c r="G1875" s="162">
        <v>950</v>
      </c>
      <c r="H1875" s="67">
        <v>63</v>
      </c>
    </row>
    <row r="1876" spans="1:8" x14ac:dyDescent="0.25">
      <c r="A1876" s="212">
        <v>41978</v>
      </c>
      <c r="B1876" s="160" t="s">
        <v>1212</v>
      </c>
      <c r="C1876" t="s">
        <v>7</v>
      </c>
      <c r="D1876" t="s">
        <v>27</v>
      </c>
      <c r="E1876" s="161">
        <v>9.5</v>
      </c>
      <c r="F1876" s="161">
        <v>42.72</v>
      </c>
      <c r="G1876" s="162">
        <v>405.84</v>
      </c>
      <c r="H1876" s="67">
        <v>63</v>
      </c>
    </row>
    <row r="1877" spans="1:8" x14ac:dyDescent="0.25">
      <c r="A1877" s="212">
        <v>41978</v>
      </c>
      <c r="B1877" s="160" t="s">
        <v>1212</v>
      </c>
      <c r="C1877" t="s">
        <v>7</v>
      </c>
      <c r="D1877" t="s">
        <v>27</v>
      </c>
      <c r="E1877" s="161">
        <v>6.5</v>
      </c>
      <c r="F1877" s="161">
        <v>42.72</v>
      </c>
      <c r="G1877" s="162">
        <v>277.68</v>
      </c>
      <c r="H1877" s="67">
        <v>63</v>
      </c>
    </row>
    <row r="1878" spans="1:8" x14ac:dyDescent="0.25">
      <c r="A1878" s="212">
        <v>41978</v>
      </c>
      <c r="B1878" s="160" t="s">
        <v>1109</v>
      </c>
      <c r="C1878" t="s">
        <v>7</v>
      </c>
      <c r="D1878" t="s">
        <v>27</v>
      </c>
      <c r="E1878" s="161">
        <v>12</v>
      </c>
      <c r="F1878" s="161">
        <v>42.72</v>
      </c>
      <c r="G1878" s="162">
        <v>512.64</v>
      </c>
      <c r="H1878" s="67">
        <v>63</v>
      </c>
    </row>
    <row r="1879" spans="1:8" x14ac:dyDescent="0.25">
      <c r="A1879" s="212">
        <v>41978</v>
      </c>
      <c r="B1879" s="160" t="s">
        <v>1211</v>
      </c>
      <c r="C1879" t="s">
        <v>1233</v>
      </c>
      <c r="D1879" t="s">
        <v>27</v>
      </c>
      <c r="E1879" s="161">
        <v>7.5</v>
      </c>
      <c r="F1879" s="161">
        <v>54.58</v>
      </c>
      <c r="G1879" s="162">
        <v>409.35</v>
      </c>
      <c r="H1879" s="67">
        <v>63</v>
      </c>
    </row>
    <row r="1880" spans="1:8" x14ac:dyDescent="0.25">
      <c r="A1880" s="212">
        <v>41978</v>
      </c>
      <c r="B1880" s="160" t="s">
        <v>1212</v>
      </c>
      <c r="C1880" t="s">
        <v>7</v>
      </c>
      <c r="D1880" t="s">
        <v>27</v>
      </c>
      <c r="E1880" s="161">
        <v>6.5</v>
      </c>
      <c r="F1880" s="161">
        <v>42.72</v>
      </c>
      <c r="G1880" s="162">
        <v>277.68</v>
      </c>
      <c r="H1880" s="67">
        <v>63</v>
      </c>
    </row>
    <row r="1881" spans="1:8" x14ac:dyDescent="0.25">
      <c r="A1881" s="212">
        <v>41978</v>
      </c>
      <c r="B1881" s="160" t="s">
        <v>1218</v>
      </c>
      <c r="C1881" t="s">
        <v>1219</v>
      </c>
      <c r="D1881" t="s">
        <v>27</v>
      </c>
      <c r="E1881" s="161">
        <v>5</v>
      </c>
      <c r="F1881" s="161">
        <v>135</v>
      </c>
      <c r="G1881" s="162">
        <v>675</v>
      </c>
      <c r="H1881" s="67">
        <v>63</v>
      </c>
    </row>
    <row r="1882" spans="1:8" x14ac:dyDescent="0.25">
      <c r="A1882" s="212">
        <v>41978</v>
      </c>
      <c r="B1882" s="160" t="s">
        <v>276</v>
      </c>
      <c r="C1882" t="s">
        <v>1220</v>
      </c>
      <c r="D1882" t="s">
        <v>27</v>
      </c>
      <c r="E1882" s="161">
        <v>3</v>
      </c>
      <c r="F1882" s="161">
        <v>35</v>
      </c>
      <c r="G1882" s="162">
        <v>105</v>
      </c>
      <c r="H1882" s="67">
        <v>63</v>
      </c>
    </row>
    <row r="1883" spans="1:8" x14ac:dyDescent="0.25">
      <c r="A1883" s="212">
        <v>41978</v>
      </c>
      <c r="B1883" s="160" t="s">
        <v>1209</v>
      </c>
      <c r="C1883" t="s">
        <v>1210</v>
      </c>
      <c r="D1883" t="s">
        <v>27</v>
      </c>
      <c r="E1883" s="161">
        <v>7.5</v>
      </c>
      <c r="F1883" s="161">
        <v>42.79</v>
      </c>
      <c r="G1883" s="162">
        <v>320.92500000000001</v>
      </c>
      <c r="H1883" s="67">
        <v>63</v>
      </c>
    </row>
    <row r="1884" spans="1:8" x14ac:dyDescent="0.25">
      <c r="A1884" s="212">
        <v>41978</v>
      </c>
      <c r="B1884" s="160" t="s">
        <v>1213</v>
      </c>
      <c r="C1884" t="s">
        <v>1214</v>
      </c>
      <c r="D1884" t="s">
        <v>27</v>
      </c>
      <c r="E1884" s="161">
        <v>1</v>
      </c>
      <c r="F1884" s="161">
        <v>35</v>
      </c>
      <c r="G1884" s="162">
        <v>35</v>
      </c>
      <c r="H1884" s="67">
        <v>63</v>
      </c>
    </row>
    <row r="1885" spans="1:8" x14ac:dyDescent="0.25">
      <c r="A1885" s="212">
        <v>41979</v>
      </c>
      <c r="B1885" s="160" t="s">
        <v>286</v>
      </c>
      <c r="C1885" t="s">
        <v>633</v>
      </c>
      <c r="D1885" t="s">
        <v>27</v>
      </c>
      <c r="E1885" s="161">
        <v>8</v>
      </c>
      <c r="F1885" s="161">
        <v>90</v>
      </c>
      <c r="G1885" s="162">
        <v>720</v>
      </c>
      <c r="H1885" s="67">
        <v>63</v>
      </c>
    </row>
    <row r="1886" spans="1:8" x14ac:dyDescent="0.25">
      <c r="A1886" s="212">
        <v>41979</v>
      </c>
      <c r="B1886" s="160" t="s">
        <v>1213</v>
      </c>
      <c r="C1886" t="s">
        <v>1214</v>
      </c>
      <c r="D1886" t="s">
        <v>27</v>
      </c>
      <c r="E1886" s="161">
        <v>2</v>
      </c>
      <c r="F1886" s="161">
        <v>35</v>
      </c>
      <c r="G1886" s="162">
        <v>70</v>
      </c>
      <c r="H1886" s="67">
        <v>63</v>
      </c>
    </row>
    <row r="1887" spans="1:8" x14ac:dyDescent="0.25">
      <c r="A1887" s="212">
        <v>41979</v>
      </c>
      <c r="B1887" s="160" t="s">
        <v>623</v>
      </c>
      <c r="C1887" t="s">
        <v>7</v>
      </c>
      <c r="D1887" t="s">
        <v>27</v>
      </c>
      <c r="E1887" s="161">
        <v>7</v>
      </c>
      <c r="F1887" s="161">
        <v>42.6</v>
      </c>
      <c r="G1887" s="162">
        <v>298.2</v>
      </c>
      <c r="H1887" s="67">
        <v>63</v>
      </c>
    </row>
    <row r="1888" spans="1:8" x14ac:dyDescent="0.25">
      <c r="A1888" s="212">
        <v>41979</v>
      </c>
      <c r="B1888" s="160" t="s">
        <v>1218</v>
      </c>
      <c r="C1888" t="s">
        <v>1219</v>
      </c>
      <c r="D1888" t="s">
        <v>27</v>
      </c>
      <c r="E1888" s="161">
        <v>3</v>
      </c>
      <c r="F1888" s="161">
        <v>135</v>
      </c>
      <c r="G1888" s="162">
        <v>405</v>
      </c>
      <c r="H1888" s="67">
        <v>63</v>
      </c>
    </row>
    <row r="1889" spans="1:8" x14ac:dyDescent="0.25">
      <c r="A1889" s="212">
        <v>41979</v>
      </c>
      <c r="B1889" s="160" t="s">
        <v>1109</v>
      </c>
      <c r="C1889" t="s">
        <v>7</v>
      </c>
      <c r="D1889" t="s">
        <v>27</v>
      </c>
      <c r="E1889" s="161">
        <v>5</v>
      </c>
      <c r="F1889" s="161">
        <v>42.72</v>
      </c>
      <c r="G1889" s="162">
        <v>213.6</v>
      </c>
      <c r="H1889" s="67">
        <v>63</v>
      </c>
    </row>
    <row r="1890" spans="1:8" x14ac:dyDescent="0.25">
      <c r="A1890" s="212">
        <v>41979</v>
      </c>
      <c r="B1890" s="160" t="s">
        <v>664</v>
      </c>
      <c r="C1890" t="s">
        <v>665</v>
      </c>
      <c r="D1890" t="s">
        <v>527</v>
      </c>
      <c r="E1890" s="161">
        <v>9</v>
      </c>
      <c r="F1890" s="161">
        <v>95</v>
      </c>
      <c r="G1890" s="162">
        <v>855</v>
      </c>
      <c r="H1890" s="67">
        <v>63</v>
      </c>
    </row>
    <row r="1891" spans="1:8" x14ac:dyDescent="0.25">
      <c r="A1891" s="212">
        <v>41981</v>
      </c>
      <c r="B1891" s="160" t="s">
        <v>1211</v>
      </c>
      <c r="C1891" t="s">
        <v>1233</v>
      </c>
      <c r="D1891" t="s">
        <v>27</v>
      </c>
      <c r="E1891" s="161">
        <v>10.5</v>
      </c>
      <c r="F1891" s="161">
        <v>54.58</v>
      </c>
      <c r="G1891" s="162">
        <v>573.09</v>
      </c>
      <c r="H1891" s="67">
        <v>63</v>
      </c>
    </row>
    <row r="1892" spans="1:8" x14ac:dyDescent="0.25">
      <c r="A1892" s="212">
        <v>41981</v>
      </c>
      <c r="B1892" s="160" t="s">
        <v>286</v>
      </c>
      <c r="C1892" t="s">
        <v>633</v>
      </c>
      <c r="D1892" t="s">
        <v>27</v>
      </c>
      <c r="E1892" s="161">
        <v>8</v>
      </c>
      <c r="F1892" s="161">
        <v>90</v>
      </c>
      <c r="G1892" s="162">
        <v>720</v>
      </c>
      <c r="H1892" s="67">
        <v>63</v>
      </c>
    </row>
    <row r="1893" spans="1:8" x14ac:dyDescent="0.25">
      <c r="A1893" s="212">
        <v>41981</v>
      </c>
      <c r="B1893" s="160" t="s">
        <v>664</v>
      </c>
      <c r="C1893" t="s">
        <v>665</v>
      </c>
      <c r="D1893" t="s">
        <v>527</v>
      </c>
      <c r="E1893" s="161">
        <v>11</v>
      </c>
      <c r="F1893" s="161">
        <v>95</v>
      </c>
      <c r="G1893" s="162">
        <v>1045</v>
      </c>
      <c r="H1893" s="67">
        <v>63</v>
      </c>
    </row>
    <row r="1894" spans="1:8" x14ac:dyDescent="0.25">
      <c r="A1894" s="212">
        <v>41981</v>
      </c>
      <c r="B1894" s="160" t="s">
        <v>1212</v>
      </c>
      <c r="C1894" t="s">
        <v>7</v>
      </c>
      <c r="D1894" t="s">
        <v>27</v>
      </c>
      <c r="E1894" s="161">
        <v>10</v>
      </c>
      <c r="F1894" s="161">
        <v>42.72</v>
      </c>
      <c r="G1894" s="162">
        <v>427.2</v>
      </c>
      <c r="H1894" s="67">
        <v>63</v>
      </c>
    </row>
    <row r="1895" spans="1:8" x14ac:dyDescent="0.25">
      <c r="A1895" s="212">
        <v>41981</v>
      </c>
      <c r="B1895" s="160" t="s">
        <v>623</v>
      </c>
      <c r="C1895" t="s">
        <v>7</v>
      </c>
      <c r="D1895" t="s">
        <v>27</v>
      </c>
      <c r="E1895" s="161">
        <v>10</v>
      </c>
      <c r="F1895" s="161">
        <v>42.6</v>
      </c>
      <c r="G1895" s="162">
        <v>426</v>
      </c>
      <c r="H1895" s="67">
        <v>63</v>
      </c>
    </row>
    <row r="1896" spans="1:8" x14ac:dyDescent="0.25">
      <c r="A1896" s="212">
        <v>41981</v>
      </c>
      <c r="B1896" s="160" t="s">
        <v>1209</v>
      </c>
      <c r="C1896" t="s">
        <v>1210</v>
      </c>
      <c r="D1896" t="s">
        <v>27</v>
      </c>
      <c r="E1896" s="161">
        <v>10</v>
      </c>
      <c r="F1896" s="161">
        <v>42.79</v>
      </c>
      <c r="G1896" s="162">
        <v>427.9</v>
      </c>
      <c r="H1896" s="67">
        <v>63</v>
      </c>
    </row>
    <row r="1897" spans="1:8" x14ac:dyDescent="0.25">
      <c r="A1897" s="212">
        <v>41982</v>
      </c>
      <c r="B1897" s="160" t="s">
        <v>664</v>
      </c>
      <c r="C1897" t="s">
        <v>665</v>
      </c>
      <c r="D1897" t="s">
        <v>527</v>
      </c>
      <c r="E1897" s="161">
        <v>9.5</v>
      </c>
      <c r="F1897" s="161">
        <v>95</v>
      </c>
      <c r="G1897" s="162">
        <v>902.5</v>
      </c>
      <c r="H1897" s="67">
        <v>63</v>
      </c>
    </row>
    <row r="1898" spans="1:8" x14ac:dyDescent="0.25">
      <c r="A1898" s="212">
        <v>41982</v>
      </c>
      <c r="B1898" s="160" t="s">
        <v>1209</v>
      </c>
      <c r="C1898" t="s">
        <v>1210</v>
      </c>
      <c r="D1898" t="s">
        <v>27</v>
      </c>
      <c r="E1898" s="161">
        <v>10</v>
      </c>
      <c r="F1898" s="161">
        <v>42.79</v>
      </c>
      <c r="G1898" s="162">
        <v>427.9</v>
      </c>
      <c r="H1898" s="67">
        <v>63</v>
      </c>
    </row>
    <row r="1899" spans="1:8" x14ac:dyDescent="0.25">
      <c r="A1899" s="212">
        <v>41983</v>
      </c>
      <c r="B1899" s="160" t="s">
        <v>738</v>
      </c>
      <c r="C1899" t="s">
        <v>665</v>
      </c>
      <c r="D1899" t="s">
        <v>527</v>
      </c>
      <c r="E1899" s="161">
        <v>5</v>
      </c>
      <c r="F1899" s="161">
        <v>65</v>
      </c>
      <c r="G1899" s="162">
        <v>325</v>
      </c>
      <c r="H1899" s="67">
        <v>63</v>
      </c>
    </row>
    <row r="1900" spans="1:8" x14ac:dyDescent="0.25">
      <c r="A1900" s="212">
        <v>41985</v>
      </c>
      <c r="B1900" s="160" t="s">
        <v>1212</v>
      </c>
      <c r="C1900" t="s">
        <v>7</v>
      </c>
      <c r="D1900" t="s">
        <v>27</v>
      </c>
      <c r="E1900" s="161">
        <v>4.5</v>
      </c>
      <c r="F1900" s="161">
        <v>42.72</v>
      </c>
      <c r="G1900" s="162">
        <v>192.24</v>
      </c>
      <c r="H1900" s="67">
        <v>63</v>
      </c>
    </row>
    <row r="1901" spans="1:8" x14ac:dyDescent="0.25">
      <c r="A1901" s="212">
        <v>41985</v>
      </c>
      <c r="B1901" s="160" t="s">
        <v>634</v>
      </c>
      <c r="C1901" t="s">
        <v>635</v>
      </c>
      <c r="D1901" t="s">
        <v>27</v>
      </c>
      <c r="E1901" s="161">
        <v>1.5</v>
      </c>
      <c r="F1901" s="161">
        <v>92.5</v>
      </c>
      <c r="G1901" s="162">
        <v>138.75</v>
      </c>
      <c r="H1901" s="67">
        <v>63</v>
      </c>
    </row>
    <row r="1902" spans="1:8" x14ac:dyDescent="0.25">
      <c r="A1902" s="212">
        <v>41985</v>
      </c>
      <c r="B1902" s="160" t="s">
        <v>1211</v>
      </c>
      <c r="C1902" t="s">
        <v>1233</v>
      </c>
      <c r="D1902" t="s">
        <v>27</v>
      </c>
      <c r="E1902" s="161">
        <v>8</v>
      </c>
      <c r="F1902" s="161">
        <v>54.58</v>
      </c>
      <c r="G1902" s="162">
        <v>436.64</v>
      </c>
      <c r="H1902" s="67">
        <v>63</v>
      </c>
    </row>
    <row r="1903" spans="1:8" x14ac:dyDescent="0.25">
      <c r="A1903" s="212">
        <v>41985</v>
      </c>
      <c r="B1903" s="160" t="s">
        <v>1212</v>
      </c>
      <c r="C1903" t="s">
        <v>7</v>
      </c>
      <c r="D1903" t="s">
        <v>27</v>
      </c>
      <c r="E1903" s="161">
        <v>4.5</v>
      </c>
      <c r="F1903" s="161">
        <v>42.72</v>
      </c>
      <c r="G1903" s="162">
        <v>192.24</v>
      </c>
      <c r="H1903" s="67">
        <v>63</v>
      </c>
    </row>
    <row r="1904" spans="1:8" x14ac:dyDescent="0.25">
      <c r="A1904" s="212">
        <v>41985</v>
      </c>
      <c r="B1904" s="160" t="s">
        <v>1109</v>
      </c>
      <c r="C1904" t="s">
        <v>7</v>
      </c>
      <c r="D1904" t="s">
        <v>27</v>
      </c>
      <c r="E1904" s="161">
        <v>5</v>
      </c>
      <c r="F1904" s="161">
        <v>42.72</v>
      </c>
      <c r="G1904" s="162">
        <v>213.6</v>
      </c>
      <c r="H1904" s="67">
        <v>63</v>
      </c>
    </row>
    <row r="1905" spans="1:8" x14ac:dyDescent="0.25">
      <c r="A1905" s="212">
        <v>41986</v>
      </c>
      <c r="B1905" s="160" t="s">
        <v>1218</v>
      </c>
      <c r="C1905" t="s">
        <v>1219</v>
      </c>
      <c r="D1905" t="s">
        <v>27</v>
      </c>
      <c r="E1905" s="161">
        <v>9</v>
      </c>
      <c r="F1905" s="161">
        <v>135</v>
      </c>
      <c r="G1905" s="162">
        <v>1215</v>
      </c>
      <c r="H1905" s="67">
        <v>63</v>
      </c>
    </row>
    <row r="1906" spans="1:8" x14ac:dyDescent="0.25">
      <c r="A1906" s="212">
        <v>41988</v>
      </c>
      <c r="B1906" s="160" t="s">
        <v>623</v>
      </c>
      <c r="C1906" t="s">
        <v>7</v>
      </c>
      <c r="D1906" t="s">
        <v>27</v>
      </c>
      <c r="E1906" s="161">
        <v>10</v>
      </c>
      <c r="F1906" s="161">
        <v>42.6</v>
      </c>
      <c r="G1906" s="162">
        <v>426</v>
      </c>
      <c r="H1906" s="67">
        <v>63</v>
      </c>
    </row>
    <row r="1907" spans="1:8" x14ac:dyDescent="0.25">
      <c r="A1907" s="212">
        <v>41988</v>
      </c>
      <c r="B1907" s="160" t="s">
        <v>286</v>
      </c>
      <c r="C1907" t="s">
        <v>633</v>
      </c>
      <c r="D1907" t="s">
        <v>27</v>
      </c>
      <c r="E1907" s="161">
        <v>10.5</v>
      </c>
      <c r="F1907" s="161">
        <v>80</v>
      </c>
      <c r="G1907" s="162">
        <v>840</v>
      </c>
      <c r="H1907" s="67">
        <v>63</v>
      </c>
    </row>
    <row r="1908" spans="1:8" x14ac:dyDescent="0.25">
      <c r="A1908" s="212">
        <v>41990</v>
      </c>
      <c r="B1908" s="160" t="s">
        <v>623</v>
      </c>
      <c r="C1908" t="s">
        <v>7</v>
      </c>
      <c r="D1908" t="s">
        <v>527</v>
      </c>
      <c r="E1908" s="161">
        <v>7</v>
      </c>
      <c r="F1908" s="161">
        <v>49.7</v>
      </c>
      <c r="G1908" s="162">
        <v>347.9</v>
      </c>
      <c r="H1908" s="67">
        <v>63</v>
      </c>
    </row>
    <row r="1909" spans="1:8" x14ac:dyDescent="0.25">
      <c r="A1909" s="212">
        <v>41990</v>
      </c>
      <c r="B1909" s="160" t="s">
        <v>1212</v>
      </c>
      <c r="C1909" t="s">
        <v>7</v>
      </c>
      <c r="D1909" t="s">
        <v>27</v>
      </c>
      <c r="E1909" s="161">
        <v>3</v>
      </c>
      <c r="F1909" s="161">
        <v>42.72</v>
      </c>
      <c r="G1909" s="162">
        <v>128.16</v>
      </c>
      <c r="H1909" s="67">
        <v>63</v>
      </c>
    </row>
    <row r="1910" spans="1:8" x14ac:dyDescent="0.25">
      <c r="A1910" s="212">
        <v>41990</v>
      </c>
      <c r="B1910" s="160" t="s">
        <v>1109</v>
      </c>
      <c r="C1910" t="s">
        <v>7</v>
      </c>
      <c r="D1910" t="s">
        <v>27</v>
      </c>
      <c r="E1910" s="161">
        <v>4.5</v>
      </c>
      <c r="F1910" s="161">
        <v>42.72</v>
      </c>
      <c r="G1910" s="162">
        <v>192.24</v>
      </c>
      <c r="H1910" s="67">
        <v>63</v>
      </c>
    </row>
    <row r="1911" spans="1:8" x14ac:dyDescent="0.25">
      <c r="A1911" s="212">
        <v>41990</v>
      </c>
      <c r="B1911" s="160" t="s">
        <v>1212</v>
      </c>
      <c r="C1911" t="s">
        <v>7</v>
      </c>
      <c r="D1911" t="s">
        <v>27</v>
      </c>
      <c r="E1911" s="161">
        <v>3</v>
      </c>
      <c r="F1911" s="161">
        <v>42.72</v>
      </c>
      <c r="G1911" s="162">
        <v>128.16</v>
      </c>
      <c r="H1911" s="67">
        <v>63</v>
      </c>
    </row>
    <row r="1912" spans="1:8" x14ac:dyDescent="0.25">
      <c r="A1912" s="212">
        <v>42004</v>
      </c>
      <c r="B1912" s="160" t="s">
        <v>719</v>
      </c>
      <c r="C1912" t="s">
        <v>677</v>
      </c>
      <c r="D1912" t="s">
        <v>527</v>
      </c>
      <c r="E1912" s="161">
        <v>1</v>
      </c>
      <c r="F1912" s="161">
        <v>710.5</v>
      </c>
      <c r="G1912" s="162">
        <v>710.5</v>
      </c>
      <c r="H1912" s="67">
        <v>63</v>
      </c>
    </row>
    <row r="1913" spans="1:8" x14ac:dyDescent="0.25">
      <c r="A1913" s="212">
        <v>42026</v>
      </c>
      <c r="B1913" s="160" t="s">
        <v>1218</v>
      </c>
      <c r="C1913" t="s">
        <v>1219</v>
      </c>
      <c r="D1913" t="s">
        <v>27</v>
      </c>
      <c r="E1913" s="161">
        <v>2</v>
      </c>
      <c r="F1913" s="161">
        <v>135</v>
      </c>
      <c r="G1913" s="162">
        <v>270</v>
      </c>
      <c r="H1913" s="67">
        <v>63</v>
      </c>
    </row>
    <row r="1914" spans="1:8" x14ac:dyDescent="0.25">
      <c r="A1914" s="212">
        <v>42038</v>
      </c>
      <c r="B1914" s="160" t="s">
        <v>1109</v>
      </c>
      <c r="C1914" t="s">
        <v>7</v>
      </c>
      <c r="D1914" t="s">
        <v>27</v>
      </c>
      <c r="E1914" s="161">
        <v>6.5</v>
      </c>
      <c r="F1914" s="161">
        <v>42.72</v>
      </c>
      <c r="G1914" s="162">
        <v>277.68</v>
      </c>
      <c r="H1914" s="67">
        <v>63</v>
      </c>
    </row>
    <row r="1915" spans="1:8" x14ac:dyDescent="0.25">
      <c r="A1915" s="212">
        <v>42038</v>
      </c>
      <c r="B1915" s="160" t="s">
        <v>1211</v>
      </c>
      <c r="C1915" t="s">
        <v>1233</v>
      </c>
      <c r="D1915" t="s">
        <v>27</v>
      </c>
      <c r="E1915" s="161">
        <v>6.5</v>
      </c>
      <c r="F1915" s="161">
        <v>54.58</v>
      </c>
      <c r="G1915" s="162">
        <v>354.77</v>
      </c>
      <c r="H1915" s="67">
        <v>63</v>
      </c>
    </row>
    <row r="1916" spans="1:8" x14ac:dyDescent="0.25">
      <c r="A1916" s="212">
        <v>42038</v>
      </c>
      <c r="B1916" s="160" t="s">
        <v>619</v>
      </c>
      <c r="C1916" t="s">
        <v>620</v>
      </c>
      <c r="D1916" t="s">
        <v>27</v>
      </c>
      <c r="E1916" s="161">
        <v>4</v>
      </c>
      <c r="F1916" s="161">
        <v>80</v>
      </c>
      <c r="G1916" s="162">
        <v>320</v>
      </c>
      <c r="H1916" s="67">
        <v>63</v>
      </c>
    </row>
    <row r="1917" spans="1:8" x14ac:dyDescent="0.25">
      <c r="A1917" s="212">
        <v>42038</v>
      </c>
      <c r="B1917" s="160" t="s">
        <v>623</v>
      </c>
      <c r="C1917" t="s">
        <v>7</v>
      </c>
      <c r="D1917" t="s">
        <v>27</v>
      </c>
      <c r="E1917" s="161">
        <v>1.5</v>
      </c>
      <c r="F1917" s="161">
        <v>42.6</v>
      </c>
      <c r="G1917" s="162">
        <v>63.9</v>
      </c>
      <c r="H1917" s="67">
        <v>63</v>
      </c>
    </row>
    <row r="1918" spans="1:8" x14ac:dyDescent="0.25">
      <c r="A1918" s="212">
        <v>42038</v>
      </c>
      <c r="B1918" s="160" t="s">
        <v>623</v>
      </c>
      <c r="C1918" t="s">
        <v>7</v>
      </c>
      <c r="D1918" t="s">
        <v>527</v>
      </c>
      <c r="E1918" s="161">
        <v>6</v>
      </c>
      <c r="F1918" s="161">
        <v>49.7</v>
      </c>
      <c r="G1918" s="162">
        <v>298.2</v>
      </c>
      <c r="H1918" s="67">
        <v>63</v>
      </c>
    </row>
    <row r="1919" spans="1:8" x14ac:dyDescent="0.25">
      <c r="A1919" s="212">
        <v>42038</v>
      </c>
      <c r="B1919" s="160" t="s">
        <v>1209</v>
      </c>
      <c r="C1919" t="s">
        <v>1210</v>
      </c>
      <c r="D1919" t="s">
        <v>27</v>
      </c>
      <c r="E1919" s="161">
        <v>6.5</v>
      </c>
      <c r="F1919" s="161">
        <v>42.79</v>
      </c>
      <c r="G1919" s="162">
        <v>278.13499999999999</v>
      </c>
      <c r="H1919" s="67">
        <v>63</v>
      </c>
    </row>
    <row r="1920" spans="1:8" x14ac:dyDescent="0.25">
      <c r="A1920" s="212">
        <v>42038</v>
      </c>
      <c r="B1920" s="160" t="s">
        <v>1212</v>
      </c>
      <c r="C1920" t="s">
        <v>7</v>
      </c>
      <c r="D1920" t="s">
        <v>27</v>
      </c>
      <c r="E1920" s="161">
        <v>6</v>
      </c>
      <c r="F1920" s="161">
        <v>42.72</v>
      </c>
      <c r="G1920" s="162">
        <v>256.32</v>
      </c>
      <c r="H1920" s="67">
        <v>63</v>
      </c>
    </row>
    <row r="1921" spans="1:8" x14ac:dyDescent="0.25">
      <c r="A1921" s="212">
        <v>42038</v>
      </c>
      <c r="B1921" s="160" t="s">
        <v>1209</v>
      </c>
      <c r="C1921" t="s">
        <v>1210</v>
      </c>
      <c r="D1921" t="s">
        <v>27</v>
      </c>
      <c r="E1921" s="161">
        <v>5</v>
      </c>
      <c r="F1921" s="161">
        <v>42.79</v>
      </c>
      <c r="G1921" s="162">
        <v>213.95</v>
      </c>
      <c r="H1921" s="67">
        <v>63</v>
      </c>
    </row>
    <row r="1922" spans="1:8" x14ac:dyDescent="0.25">
      <c r="A1922" s="212">
        <v>42039</v>
      </c>
      <c r="B1922" s="160" t="s">
        <v>1218</v>
      </c>
      <c r="C1922" t="s">
        <v>1219</v>
      </c>
      <c r="D1922" t="s">
        <v>27</v>
      </c>
      <c r="E1922" s="161">
        <v>3</v>
      </c>
      <c r="F1922" s="161">
        <v>135</v>
      </c>
      <c r="G1922" s="162">
        <v>405</v>
      </c>
      <c r="H1922" s="67">
        <v>63</v>
      </c>
    </row>
    <row r="1923" spans="1:8" x14ac:dyDescent="0.25">
      <c r="A1923" s="212">
        <v>42040</v>
      </c>
      <c r="B1923" s="160" t="s">
        <v>1218</v>
      </c>
      <c r="C1923" t="s">
        <v>1219</v>
      </c>
      <c r="D1923" t="s">
        <v>27</v>
      </c>
      <c r="E1923" s="161">
        <v>2</v>
      </c>
      <c r="F1923" s="161">
        <v>135</v>
      </c>
      <c r="G1923" s="162">
        <v>270</v>
      </c>
      <c r="H1923" s="67">
        <v>63</v>
      </c>
    </row>
    <row r="1924" spans="1:8" x14ac:dyDescent="0.25">
      <c r="A1924" s="212">
        <v>42041</v>
      </c>
      <c r="B1924" s="160" t="s">
        <v>1218</v>
      </c>
      <c r="C1924" t="s">
        <v>1219</v>
      </c>
      <c r="D1924" t="s">
        <v>27</v>
      </c>
      <c r="E1924" s="161">
        <v>2</v>
      </c>
      <c r="F1924" s="161">
        <v>135</v>
      </c>
      <c r="G1924" s="162">
        <v>270</v>
      </c>
      <c r="H1924" s="67">
        <v>63</v>
      </c>
    </row>
    <row r="1925" spans="1:8" x14ac:dyDescent="0.25">
      <c r="A1925" s="212">
        <v>42047</v>
      </c>
      <c r="B1925" s="160" t="s">
        <v>623</v>
      </c>
      <c r="C1925" t="s">
        <v>7</v>
      </c>
      <c r="D1925" t="s">
        <v>527</v>
      </c>
      <c r="E1925" s="161">
        <v>9</v>
      </c>
      <c r="F1925" s="161">
        <v>49.7</v>
      </c>
      <c r="G1925" s="162">
        <v>447.3</v>
      </c>
      <c r="H1925" s="67">
        <v>63</v>
      </c>
    </row>
    <row r="1926" spans="1:8" x14ac:dyDescent="0.25">
      <c r="A1926" s="212">
        <v>42047</v>
      </c>
      <c r="B1926" s="160" t="s">
        <v>623</v>
      </c>
      <c r="C1926" t="s">
        <v>7</v>
      </c>
      <c r="D1926" t="s">
        <v>27</v>
      </c>
      <c r="E1926" s="161">
        <v>9</v>
      </c>
      <c r="F1926" s="161">
        <v>46.85</v>
      </c>
      <c r="G1926" s="162">
        <v>421.65</v>
      </c>
      <c r="H1926" s="67">
        <v>63</v>
      </c>
    </row>
    <row r="1927" spans="1:8" x14ac:dyDescent="0.25">
      <c r="A1927" s="212">
        <v>42051</v>
      </c>
      <c r="B1927" s="160" t="s">
        <v>623</v>
      </c>
      <c r="C1927" t="s">
        <v>7</v>
      </c>
      <c r="D1927" t="s">
        <v>27</v>
      </c>
      <c r="E1927" s="161">
        <v>9.5</v>
      </c>
      <c r="F1927" s="161">
        <v>46.85</v>
      </c>
      <c r="G1927" s="162">
        <v>445.07499999999999</v>
      </c>
      <c r="H1927" s="67">
        <v>63</v>
      </c>
    </row>
    <row r="1928" spans="1:8" x14ac:dyDescent="0.25">
      <c r="A1928" s="212">
        <v>42060</v>
      </c>
      <c r="B1928" s="160" t="s">
        <v>671</v>
      </c>
      <c r="C1928" t="s">
        <v>672</v>
      </c>
      <c r="D1928" t="s">
        <v>527</v>
      </c>
      <c r="E1928" s="161">
        <v>1</v>
      </c>
      <c r="F1928" s="161">
        <v>900</v>
      </c>
      <c r="G1928" s="162">
        <v>900</v>
      </c>
      <c r="H1928" s="67">
        <v>63</v>
      </c>
    </row>
    <row r="1929" spans="1:8" x14ac:dyDescent="0.25">
      <c r="A1929" s="213" t="s">
        <v>418</v>
      </c>
      <c r="B1929" s="214" t="s">
        <v>739</v>
      </c>
      <c r="C1929" s="215" t="s">
        <v>418</v>
      </c>
      <c r="D1929" s="215" t="s">
        <v>418</v>
      </c>
      <c r="E1929" s="216"/>
      <c r="F1929" s="216"/>
      <c r="G1929" s="217">
        <v>31078.215000000011</v>
      </c>
      <c r="H1929" s="231" t="s">
        <v>418</v>
      </c>
    </row>
    <row r="1930" spans="1:8" x14ac:dyDescent="0.25">
      <c r="A1930" s="212" t="s">
        <v>418</v>
      </c>
      <c r="B1930" s="160" t="s">
        <v>418</v>
      </c>
      <c r="C1930" t="s">
        <v>418</v>
      </c>
      <c r="D1930" t="s">
        <v>418</v>
      </c>
      <c r="E1930" s="161"/>
      <c r="F1930" s="161"/>
      <c r="G1930" s="162"/>
      <c r="H1930" s="67" t="s">
        <v>418</v>
      </c>
    </row>
    <row r="1931" spans="1:8" x14ac:dyDescent="0.25">
      <c r="A1931" s="209" t="s">
        <v>418</v>
      </c>
      <c r="B1931" s="159" t="s">
        <v>1245</v>
      </c>
      <c r="C1931" s="35" t="s">
        <v>418</v>
      </c>
      <c r="D1931" s="35" t="s">
        <v>418</v>
      </c>
      <c r="E1931" s="210"/>
      <c r="F1931" s="210"/>
      <c r="G1931" s="211"/>
      <c r="H1931" s="229" t="s">
        <v>418</v>
      </c>
    </row>
    <row r="1932" spans="1:8" x14ac:dyDescent="0.25">
      <c r="A1932" s="212">
        <v>41947</v>
      </c>
      <c r="B1932" s="160" t="s">
        <v>740</v>
      </c>
      <c r="C1932" t="s">
        <v>741</v>
      </c>
      <c r="D1932" t="s">
        <v>527</v>
      </c>
      <c r="E1932" s="161">
        <v>250.98</v>
      </c>
      <c r="F1932" s="161">
        <v>48</v>
      </c>
      <c r="G1932" s="162">
        <v>12047.04</v>
      </c>
      <c r="H1932" s="67">
        <v>64</v>
      </c>
    </row>
    <row r="1933" spans="1:8" x14ac:dyDescent="0.25">
      <c r="A1933" s="212">
        <v>41950</v>
      </c>
      <c r="B1933" s="160" t="s">
        <v>286</v>
      </c>
      <c r="C1933" t="s">
        <v>633</v>
      </c>
      <c r="D1933" t="s">
        <v>27</v>
      </c>
      <c r="E1933" s="161">
        <v>10.5</v>
      </c>
      <c r="F1933" s="161">
        <v>90</v>
      </c>
      <c r="G1933" s="162">
        <v>945</v>
      </c>
      <c r="H1933" s="67">
        <v>64</v>
      </c>
    </row>
    <row r="1934" spans="1:8" x14ac:dyDescent="0.25">
      <c r="A1934" s="212">
        <v>41961</v>
      </c>
      <c r="B1934" s="160" t="s">
        <v>742</v>
      </c>
      <c r="C1934" t="s">
        <v>741</v>
      </c>
      <c r="D1934" t="s">
        <v>527</v>
      </c>
      <c r="E1934" s="161">
        <v>114.88</v>
      </c>
      <c r="F1934" s="161">
        <v>48</v>
      </c>
      <c r="G1934" s="162">
        <v>5514.24</v>
      </c>
      <c r="H1934" s="67">
        <v>64</v>
      </c>
    </row>
    <row r="1935" spans="1:8" x14ac:dyDescent="0.25">
      <c r="A1935" s="212">
        <v>41968</v>
      </c>
      <c r="B1935" s="160" t="s">
        <v>743</v>
      </c>
      <c r="C1935" t="s">
        <v>744</v>
      </c>
      <c r="D1935" t="s">
        <v>527</v>
      </c>
      <c r="E1935" s="161">
        <v>17464</v>
      </c>
      <c r="F1935" s="161">
        <v>1.67</v>
      </c>
      <c r="G1935" s="162">
        <v>29164.880000000001</v>
      </c>
      <c r="H1935" s="67">
        <v>64</v>
      </c>
    </row>
    <row r="1936" spans="1:8" x14ac:dyDescent="0.25">
      <c r="A1936" s="212">
        <v>41968</v>
      </c>
      <c r="B1936" s="160" t="s">
        <v>1213</v>
      </c>
      <c r="C1936" t="s">
        <v>1214</v>
      </c>
      <c r="D1936" t="s">
        <v>27</v>
      </c>
      <c r="E1936" s="161">
        <v>2.5</v>
      </c>
      <c r="F1936" s="161">
        <v>35</v>
      </c>
      <c r="G1936" s="162">
        <v>87.5</v>
      </c>
      <c r="H1936" s="67">
        <v>64</v>
      </c>
    </row>
    <row r="1937" spans="1:8" x14ac:dyDescent="0.25">
      <c r="A1937" s="212">
        <v>41971</v>
      </c>
      <c r="B1937" s="160" t="s">
        <v>634</v>
      </c>
      <c r="C1937" t="s">
        <v>635</v>
      </c>
      <c r="D1937" t="s">
        <v>27</v>
      </c>
      <c r="E1937" s="161">
        <v>1.5</v>
      </c>
      <c r="F1937" s="161">
        <v>92.5</v>
      </c>
      <c r="G1937" s="162">
        <v>138.75</v>
      </c>
      <c r="H1937" s="67">
        <v>64</v>
      </c>
    </row>
    <row r="1938" spans="1:8" x14ac:dyDescent="0.25">
      <c r="A1938" s="212">
        <v>41971</v>
      </c>
      <c r="B1938" s="160" t="s">
        <v>1211</v>
      </c>
      <c r="C1938" t="s">
        <v>1233</v>
      </c>
      <c r="D1938" t="s">
        <v>27</v>
      </c>
      <c r="E1938" s="161">
        <v>7</v>
      </c>
      <c r="F1938" s="161">
        <v>54.58</v>
      </c>
      <c r="G1938" s="162">
        <v>382.06</v>
      </c>
      <c r="H1938" s="67">
        <v>64</v>
      </c>
    </row>
    <row r="1939" spans="1:8" x14ac:dyDescent="0.25">
      <c r="A1939" s="212">
        <v>41971</v>
      </c>
      <c r="B1939" s="160" t="s">
        <v>1213</v>
      </c>
      <c r="C1939" t="s">
        <v>1214</v>
      </c>
      <c r="D1939" t="s">
        <v>27</v>
      </c>
      <c r="E1939" s="161">
        <v>3</v>
      </c>
      <c r="F1939" s="161">
        <v>35</v>
      </c>
      <c r="G1939" s="162">
        <v>105</v>
      </c>
      <c r="H1939" s="67">
        <v>64</v>
      </c>
    </row>
    <row r="1940" spans="1:8" x14ac:dyDescent="0.25">
      <c r="A1940" s="212">
        <v>41971</v>
      </c>
      <c r="B1940" s="160" t="s">
        <v>747</v>
      </c>
      <c r="C1940" t="s">
        <v>748</v>
      </c>
      <c r="D1940" t="s">
        <v>527</v>
      </c>
      <c r="E1940" s="161">
        <v>15</v>
      </c>
      <c r="F1940" s="161">
        <v>47</v>
      </c>
      <c r="G1940" s="162">
        <v>705</v>
      </c>
      <c r="H1940" s="67">
        <v>64</v>
      </c>
    </row>
    <row r="1941" spans="1:8" x14ac:dyDescent="0.25">
      <c r="A1941" s="212">
        <v>41971</v>
      </c>
      <c r="B1941" s="160" t="s">
        <v>745</v>
      </c>
      <c r="C1941" t="s">
        <v>746</v>
      </c>
      <c r="D1941" t="s">
        <v>527</v>
      </c>
      <c r="E1941" s="161">
        <v>224.92</v>
      </c>
      <c r="F1941" s="161">
        <v>50</v>
      </c>
      <c r="G1941" s="162">
        <v>11246</v>
      </c>
      <c r="H1941" s="67">
        <v>64</v>
      </c>
    </row>
    <row r="1942" spans="1:8" x14ac:dyDescent="0.25">
      <c r="A1942" s="212">
        <v>41973</v>
      </c>
      <c r="B1942" s="160" t="s">
        <v>753</v>
      </c>
      <c r="C1942" t="s">
        <v>746</v>
      </c>
      <c r="D1942" t="s">
        <v>527</v>
      </c>
      <c r="E1942" s="161">
        <v>68</v>
      </c>
      <c r="F1942" s="161">
        <v>172.43</v>
      </c>
      <c r="G1942" s="162">
        <v>11725.24</v>
      </c>
      <c r="H1942" s="67">
        <v>64</v>
      </c>
    </row>
    <row r="1943" spans="1:8" x14ac:dyDescent="0.25">
      <c r="A1943" s="212">
        <v>41973</v>
      </c>
      <c r="B1943" s="160" t="s">
        <v>752</v>
      </c>
      <c r="C1943" t="s">
        <v>744</v>
      </c>
      <c r="D1943" t="s">
        <v>527</v>
      </c>
      <c r="E1943" s="161">
        <v>14779</v>
      </c>
      <c r="F1943" s="161">
        <v>1.57</v>
      </c>
      <c r="G1943" s="162">
        <v>23203.03</v>
      </c>
      <c r="H1943" s="67">
        <v>64</v>
      </c>
    </row>
    <row r="1944" spans="1:8" x14ac:dyDescent="0.25">
      <c r="A1944" s="212">
        <v>41973</v>
      </c>
      <c r="B1944" s="160" t="s">
        <v>754</v>
      </c>
      <c r="C1944" t="s">
        <v>744</v>
      </c>
      <c r="D1944" t="s">
        <v>527</v>
      </c>
      <c r="E1944" s="161">
        <v>1</v>
      </c>
      <c r="F1944" s="161">
        <v>628.75</v>
      </c>
      <c r="G1944" s="162">
        <v>628.75</v>
      </c>
      <c r="H1944" s="67">
        <v>64</v>
      </c>
    </row>
    <row r="1945" spans="1:8" x14ac:dyDescent="0.25">
      <c r="A1945" s="212">
        <v>41973</v>
      </c>
      <c r="B1945" s="160" t="s">
        <v>751</v>
      </c>
      <c r="C1945" t="s">
        <v>741</v>
      </c>
      <c r="D1945" t="s">
        <v>527</v>
      </c>
      <c r="E1945" s="161">
        <v>109</v>
      </c>
      <c r="F1945" s="161">
        <v>225.31</v>
      </c>
      <c r="G1945" s="162">
        <v>24558.79</v>
      </c>
      <c r="H1945" s="67">
        <v>64</v>
      </c>
    </row>
    <row r="1946" spans="1:8" x14ac:dyDescent="0.25">
      <c r="A1946" s="212">
        <v>41973</v>
      </c>
      <c r="B1946" s="160" t="s">
        <v>750</v>
      </c>
      <c r="C1946" t="s">
        <v>741</v>
      </c>
      <c r="D1946" t="s">
        <v>527</v>
      </c>
      <c r="E1946" s="161">
        <v>49</v>
      </c>
      <c r="F1946" s="161">
        <v>225.31</v>
      </c>
      <c r="G1946" s="162">
        <v>11040.19</v>
      </c>
      <c r="H1946" s="67">
        <v>64</v>
      </c>
    </row>
    <row r="1947" spans="1:8" x14ac:dyDescent="0.25">
      <c r="A1947" s="212">
        <v>41973</v>
      </c>
      <c r="B1947" s="160" t="s">
        <v>749</v>
      </c>
      <c r="C1947" t="s">
        <v>744</v>
      </c>
      <c r="D1947" t="s">
        <v>527</v>
      </c>
      <c r="E1947" s="161">
        <v>7955</v>
      </c>
      <c r="F1947" s="161">
        <v>1.67</v>
      </c>
      <c r="G1947" s="162">
        <v>13284.85</v>
      </c>
      <c r="H1947" s="67">
        <v>64</v>
      </c>
    </row>
    <row r="1948" spans="1:8" x14ac:dyDescent="0.25">
      <c r="A1948" s="212">
        <v>41974</v>
      </c>
      <c r="B1948" s="160" t="s">
        <v>1212</v>
      </c>
      <c r="C1948" t="s">
        <v>7</v>
      </c>
      <c r="D1948" t="s">
        <v>27</v>
      </c>
      <c r="E1948" s="161">
        <v>4</v>
      </c>
      <c r="F1948" s="161">
        <v>42.72</v>
      </c>
      <c r="G1948" s="162">
        <v>170.88</v>
      </c>
      <c r="H1948" s="67">
        <v>64</v>
      </c>
    </row>
    <row r="1949" spans="1:8" x14ac:dyDescent="0.25">
      <c r="A1949" s="212">
        <v>41981</v>
      </c>
      <c r="B1949" s="160" t="s">
        <v>742</v>
      </c>
      <c r="C1949" t="s">
        <v>741</v>
      </c>
      <c r="D1949" t="s">
        <v>527</v>
      </c>
      <c r="E1949" s="161">
        <v>8.86</v>
      </c>
      <c r="F1949" s="161">
        <v>48</v>
      </c>
      <c r="G1949" s="162">
        <v>425.28</v>
      </c>
      <c r="H1949" s="67">
        <v>64</v>
      </c>
    </row>
    <row r="1950" spans="1:8" x14ac:dyDescent="0.25">
      <c r="A1950" s="212">
        <v>41981</v>
      </c>
      <c r="B1950" s="160" t="s">
        <v>755</v>
      </c>
      <c r="C1950" t="s">
        <v>748</v>
      </c>
      <c r="D1950" t="s">
        <v>527</v>
      </c>
      <c r="E1950" s="161">
        <v>10</v>
      </c>
      <c r="F1950" s="161">
        <v>47</v>
      </c>
      <c r="G1950" s="162">
        <v>470</v>
      </c>
      <c r="H1950" s="67">
        <v>64</v>
      </c>
    </row>
    <row r="1951" spans="1:8" x14ac:dyDescent="0.25">
      <c r="A1951" s="212">
        <v>41982</v>
      </c>
      <c r="B1951" s="160" t="s">
        <v>756</v>
      </c>
      <c r="C1951" t="s">
        <v>757</v>
      </c>
      <c r="D1951" t="s">
        <v>527</v>
      </c>
      <c r="E1951" s="161">
        <v>350</v>
      </c>
      <c r="F1951" s="161">
        <v>1.76</v>
      </c>
      <c r="G1951" s="162">
        <v>616</v>
      </c>
      <c r="H1951" s="67">
        <v>64</v>
      </c>
    </row>
    <row r="1952" spans="1:8" x14ac:dyDescent="0.25">
      <c r="A1952" s="212">
        <v>41982</v>
      </c>
      <c r="B1952" s="160" t="s">
        <v>1109</v>
      </c>
      <c r="C1952" t="s">
        <v>7</v>
      </c>
      <c r="D1952" t="s">
        <v>27</v>
      </c>
      <c r="E1952" s="161">
        <v>5</v>
      </c>
      <c r="F1952" s="161">
        <v>42.72</v>
      </c>
      <c r="G1952" s="162">
        <v>213.6</v>
      </c>
      <c r="H1952" s="67">
        <v>64</v>
      </c>
    </row>
    <row r="1953" spans="1:8" x14ac:dyDescent="0.25">
      <c r="A1953" s="212">
        <v>41982</v>
      </c>
      <c r="B1953" s="160" t="s">
        <v>1211</v>
      </c>
      <c r="C1953" t="s">
        <v>1233</v>
      </c>
      <c r="D1953" t="s">
        <v>27</v>
      </c>
      <c r="E1953" s="161">
        <v>10</v>
      </c>
      <c r="F1953" s="161">
        <v>54.58</v>
      </c>
      <c r="G1953" s="162">
        <v>545.79999999999995</v>
      </c>
      <c r="H1953" s="67">
        <v>64</v>
      </c>
    </row>
    <row r="1954" spans="1:8" x14ac:dyDescent="0.25">
      <c r="A1954" s="212">
        <v>41982</v>
      </c>
      <c r="B1954" s="160" t="s">
        <v>1223</v>
      </c>
      <c r="C1954" t="s">
        <v>1224</v>
      </c>
      <c r="D1954" t="s">
        <v>27</v>
      </c>
      <c r="E1954" s="161">
        <v>9</v>
      </c>
      <c r="F1954" s="161">
        <v>65</v>
      </c>
      <c r="G1954" s="162">
        <v>585</v>
      </c>
      <c r="H1954" s="67">
        <v>64</v>
      </c>
    </row>
    <row r="1955" spans="1:8" x14ac:dyDescent="0.25">
      <c r="A1955" s="212">
        <v>41982</v>
      </c>
      <c r="B1955" s="160" t="s">
        <v>286</v>
      </c>
      <c r="C1955" t="s">
        <v>633</v>
      </c>
      <c r="D1955" t="s">
        <v>27</v>
      </c>
      <c r="E1955" s="161">
        <v>5.5</v>
      </c>
      <c r="F1955" s="161">
        <v>90</v>
      </c>
      <c r="G1955" s="162">
        <v>495</v>
      </c>
      <c r="H1955" s="67">
        <v>64</v>
      </c>
    </row>
    <row r="1956" spans="1:8" x14ac:dyDescent="0.25">
      <c r="A1956" s="212">
        <v>41982</v>
      </c>
      <c r="B1956" s="160" t="s">
        <v>742</v>
      </c>
      <c r="C1956" t="s">
        <v>741</v>
      </c>
      <c r="D1956" t="s">
        <v>527</v>
      </c>
      <c r="E1956" s="161">
        <v>5.76</v>
      </c>
      <c r="F1956" s="161">
        <v>36</v>
      </c>
      <c r="G1956" s="162">
        <v>207.36</v>
      </c>
      <c r="H1956" s="67">
        <v>64</v>
      </c>
    </row>
    <row r="1957" spans="1:8" x14ac:dyDescent="0.25">
      <c r="A1957" s="212">
        <v>41982</v>
      </c>
      <c r="B1957" s="160" t="s">
        <v>1212</v>
      </c>
      <c r="C1957" t="s">
        <v>7</v>
      </c>
      <c r="D1957" t="s">
        <v>27</v>
      </c>
      <c r="E1957" s="161">
        <v>2.5</v>
      </c>
      <c r="F1957" s="161">
        <v>42.72</v>
      </c>
      <c r="G1957" s="162">
        <v>106.8</v>
      </c>
      <c r="H1957" s="67">
        <v>64</v>
      </c>
    </row>
    <row r="1958" spans="1:8" x14ac:dyDescent="0.25">
      <c r="A1958" s="212">
        <v>41982</v>
      </c>
      <c r="B1958" s="160" t="s">
        <v>758</v>
      </c>
      <c r="C1958" t="s">
        <v>759</v>
      </c>
      <c r="D1958" t="s">
        <v>527</v>
      </c>
      <c r="E1958" s="161">
        <v>2.38</v>
      </c>
      <c r="F1958" s="161">
        <v>36</v>
      </c>
      <c r="G1958" s="162">
        <v>85.68</v>
      </c>
      <c r="H1958" s="67">
        <v>64</v>
      </c>
    </row>
    <row r="1959" spans="1:8" x14ac:dyDescent="0.25">
      <c r="A1959" s="212">
        <v>41983</v>
      </c>
      <c r="B1959" s="160" t="s">
        <v>760</v>
      </c>
      <c r="C1959" t="s">
        <v>748</v>
      </c>
      <c r="D1959" t="s">
        <v>527</v>
      </c>
      <c r="E1959" s="161">
        <v>8</v>
      </c>
      <c r="F1959" s="161">
        <v>47</v>
      </c>
      <c r="G1959" s="162">
        <v>376</v>
      </c>
      <c r="H1959" s="67">
        <v>64</v>
      </c>
    </row>
    <row r="1960" spans="1:8" x14ac:dyDescent="0.25">
      <c r="A1960" s="212">
        <v>41983</v>
      </c>
      <c r="B1960" s="160" t="s">
        <v>286</v>
      </c>
      <c r="C1960" t="s">
        <v>633</v>
      </c>
      <c r="D1960" t="s">
        <v>27</v>
      </c>
      <c r="E1960" s="161">
        <v>4</v>
      </c>
      <c r="F1960" s="161">
        <v>90</v>
      </c>
      <c r="G1960" s="162">
        <v>360</v>
      </c>
      <c r="H1960" s="67">
        <v>64</v>
      </c>
    </row>
    <row r="1961" spans="1:8" x14ac:dyDescent="0.25">
      <c r="A1961" s="212">
        <v>41983</v>
      </c>
      <c r="B1961" s="160" t="s">
        <v>758</v>
      </c>
      <c r="C1961" t="s">
        <v>759</v>
      </c>
      <c r="D1961" t="s">
        <v>527</v>
      </c>
      <c r="E1961" s="161">
        <v>6.9</v>
      </c>
      <c r="F1961" s="161">
        <v>36</v>
      </c>
      <c r="G1961" s="162">
        <v>248.4</v>
      </c>
      <c r="H1961" s="67">
        <v>64</v>
      </c>
    </row>
    <row r="1962" spans="1:8" ht="30" x14ac:dyDescent="0.25">
      <c r="A1962" s="212">
        <v>41984</v>
      </c>
      <c r="B1962" s="160" t="s">
        <v>763</v>
      </c>
      <c r="C1962" t="s">
        <v>741</v>
      </c>
      <c r="D1962" t="s">
        <v>527</v>
      </c>
      <c r="E1962" s="161">
        <v>70</v>
      </c>
      <c r="F1962" s="161">
        <v>225.31</v>
      </c>
      <c r="G1962" s="162">
        <v>15771.7</v>
      </c>
      <c r="H1962" s="67">
        <v>64</v>
      </c>
    </row>
    <row r="1963" spans="1:8" x14ac:dyDescent="0.25">
      <c r="A1963" s="212">
        <v>41984</v>
      </c>
      <c r="B1963" s="160" t="s">
        <v>766</v>
      </c>
      <c r="C1963" t="s">
        <v>744</v>
      </c>
      <c r="D1963" t="s">
        <v>527</v>
      </c>
      <c r="E1963" s="161">
        <v>549</v>
      </c>
      <c r="F1963" s="161">
        <v>1.67</v>
      </c>
      <c r="G1963" s="162">
        <v>916.83</v>
      </c>
      <c r="H1963" s="67">
        <v>64</v>
      </c>
    </row>
    <row r="1964" spans="1:8" ht="30" x14ac:dyDescent="0.25">
      <c r="A1964" s="212">
        <v>41984</v>
      </c>
      <c r="B1964" s="160" t="s">
        <v>761</v>
      </c>
      <c r="C1964" t="s">
        <v>741</v>
      </c>
      <c r="D1964" t="s">
        <v>527</v>
      </c>
      <c r="E1964" s="161">
        <v>3.5</v>
      </c>
      <c r="F1964" s="161">
        <v>225.31</v>
      </c>
      <c r="G1964" s="162">
        <v>788.58500000000004</v>
      </c>
      <c r="H1964" s="67">
        <v>64</v>
      </c>
    </row>
    <row r="1965" spans="1:8" ht="30" x14ac:dyDescent="0.25">
      <c r="A1965" s="212">
        <v>41984</v>
      </c>
      <c r="B1965" s="160" t="s">
        <v>765</v>
      </c>
      <c r="C1965" t="s">
        <v>741</v>
      </c>
      <c r="D1965" t="s">
        <v>527</v>
      </c>
      <c r="E1965" s="161">
        <v>1.7</v>
      </c>
      <c r="F1965" s="161">
        <v>225.31</v>
      </c>
      <c r="G1965" s="162">
        <v>383.02699999999999</v>
      </c>
      <c r="H1965" s="67">
        <v>64</v>
      </c>
    </row>
    <row r="1966" spans="1:8" ht="30" x14ac:dyDescent="0.25">
      <c r="A1966" s="212">
        <v>41984</v>
      </c>
      <c r="B1966" s="160" t="s">
        <v>764</v>
      </c>
      <c r="C1966" t="s">
        <v>744</v>
      </c>
      <c r="D1966" t="s">
        <v>527</v>
      </c>
      <c r="E1966" s="161">
        <v>274</v>
      </c>
      <c r="F1966" s="161">
        <v>1.67</v>
      </c>
      <c r="G1966" s="162">
        <v>457.58</v>
      </c>
      <c r="H1966" s="67">
        <v>64</v>
      </c>
    </row>
    <row r="1967" spans="1:8" x14ac:dyDescent="0.25">
      <c r="A1967" s="212">
        <v>41984</v>
      </c>
      <c r="B1967" s="160" t="s">
        <v>762</v>
      </c>
      <c r="C1967" t="s">
        <v>744</v>
      </c>
      <c r="D1967" t="s">
        <v>527</v>
      </c>
      <c r="E1967" s="161">
        <v>10980</v>
      </c>
      <c r="F1967" s="161">
        <v>1.67</v>
      </c>
      <c r="G1967" s="162">
        <v>18336.599999999999</v>
      </c>
      <c r="H1967" s="67">
        <v>64</v>
      </c>
    </row>
    <row r="1968" spans="1:8" x14ac:dyDescent="0.25">
      <c r="A1968" s="212">
        <v>41986</v>
      </c>
      <c r="B1968" s="160" t="s">
        <v>1211</v>
      </c>
      <c r="C1968" t="s">
        <v>1233</v>
      </c>
      <c r="D1968" t="s">
        <v>27</v>
      </c>
      <c r="E1968" s="161">
        <v>4.5</v>
      </c>
      <c r="F1968" s="161">
        <v>54.58</v>
      </c>
      <c r="G1968" s="162">
        <v>245.61</v>
      </c>
      <c r="H1968" s="67">
        <v>64</v>
      </c>
    </row>
    <row r="1969" spans="1:8" x14ac:dyDescent="0.25">
      <c r="A1969" s="212">
        <v>41986</v>
      </c>
      <c r="B1969" s="160" t="s">
        <v>653</v>
      </c>
      <c r="C1969" t="s">
        <v>645</v>
      </c>
      <c r="D1969" t="s">
        <v>27</v>
      </c>
      <c r="E1969" s="161">
        <v>5</v>
      </c>
      <c r="F1969" s="161">
        <v>120</v>
      </c>
      <c r="G1969" s="162">
        <v>600</v>
      </c>
      <c r="H1969" s="67">
        <v>64</v>
      </c>
    </row>
    <row r="1970" spans="1:8" x14ac:dyDescent="0.25">
      <c r="A1970" s="212">
        <v>41986</v>
      </c>
      <c r="B1970" s="160" t="s">
        <v>631</v>
      </c>
      <c r="C1970" t="s">
        <v>632</v>
      </c>
      <c r="D1970" t="s">
        <v>27</v>
      </c>
      <c r="E1970" s="161">
        <v>7</v>
      </c>
      <c r="F1970" s="161">
        <v>80</v>
      </c>
      <c r="G1970" s="162">
        <v>560</v>
      </c>
      <c r="H1970" s="67">
        <v>64</v>
      </c>
    </row>
    <row r="1971" spans="1:8" x14ac:dyDescent="0.25">
      <c r="A1971" s="212">
        <v>41989</v>
      </c>
      <c r="B1971" s="160" t="s">
        <v>291</v>
      </c>
      <c r="C1971" t="s">
        <v>746</v>
      </c>
      <c r="D1971" t="s">
        <v>527</v>
      </c>
      <c r="E1971" s="161">
        <v>11.68</v>
      </c>
      <c r="F1971" s="161">
        <v>50</v>
      </c>
      <c r="G1971" s="162">
        <v>584</v>
      </c>
      <c r="H1971" s="67">
        <v>64</v>
      </c>
    </row>
    <row r="1972" spans="1:8" x14ac:dyDescent="0.25">
      <c r="A1972" s="212">
        <v>41990</v>
      </c>
      <c r="B1972" s="160" t="s">
        <v>742</v>
      </c>
      <c r="C1972" t="s">
        <v>741</v>
      </c>
      <c r="D1972" t="s">
        <v>527</v>
      </c>
      <c r="E1972" s="161">
        <v>11.96</v>
      </c>
      <c r="F1972" s="161">
        <v>48</v>
      </c>
      <c r="G1972" s="162">
        <v>574.08000000000004</v>
      </c>
      <c r="H1972" s="67">
        <v>64</v>
      </c>
    </row>
    <row r="1973" spans="1:8" x14ac:dyDescent="0.25">
      <c r="A1973" s="212">
        <v>41990</v>
      </c>
      <c r="B1973" s="160" t="s">
        <v>742</v>
      </c>
      <c r="C1973" t="s">
        <v>741</v>
      </c>
      <c r="D1973" t="s">
        <v>527</v>
      </c>
      <c r="E1973" s="161">
        <v>10.62</v>
      </c>
      <c r="F1973" s="161">
        <v>48</v>
      </c>
      <c r="G1973" s="162">
        <v>509.76</v>
      </c>
      <c r="H1973" s="67">
        <v>64</v>
      </c>
    </row>
    <row r="1974" spans="1:8" x14ac:dyDescent="0.25">
      <c r="A1974" s="212">
        <v>41990</v>
      </c>
      <c r="B1974" s="160" t="s">
        <v>286</v>
      </c>
      <c r="C1974" t="s">
        <v>633</v>
      </c>
      <c r="D1974" t="s">
        <v>27</v>
      </c>
      <c r="E1974" s="161">
        <v>5</v>
      </c>
      <c r="F1974" s="161">
        <v>80</v>
      </c>
      <c r="G1974" s="162">
        <v>400</v>
      </c>
      <c r="H1974" s="67">
        <v>64</v>
      </c>
    </row>
    <row r="1975" spans="1:8" ht="30" x14ac:dyDescent="0.25">
      <c r="A1975" s="212">
        <v>41991</v>
      </c>
      <c r="B1975" s="160" t="s">
        <v>768</v>
      </c>
      <c r="C1975" t="s">
        <v>744</v>
      </c>
      <c r="D1975" t="s">
        <v>527</v>
      </c>
      <c r="E1975" s="161">
        <v>16</v>
      </c>
      <c r="F1975" s="161">
        <v>225.31</v>
      </c>
      <c r="G1975" s="162">
        <v>3604.96</v>
      </c>
      <c r="H1975" s="67">
        <v>64</v>
      </c>
    </row>
    <row r="1976" spans="1:8" ht="30" x14ac:dyDescent="0.25">
      <c r="A1976" s="212">
        <v>41991</v>
      </c>
      <c r="B1976" s="160" t="s">
        <v>767</v>
      </c>
      <c r="C1976" t="s">
        <v>744</v>
      </c>
      <c r="D1976" t="s">
        <v>527</v>
      </c>
      <c r="E1976" s="161">
        <v>2346</v>
      </c>
      <c r="F1976" s="161">
        <v>1.67</v>
      </c>
      <c r="G1976" s="162">
        <v>3917.82</v>
      </c>
      <c r="H1976" s="67">
        <v>64</v>
      </c>
    </row>
    <row r="1977" spans="1:8" x14ac:dyDescent="0.25">
      <c r="A1977" s="212">
        <v>41992</v>
      </c>
      <c r="B1977" s="160" t="s">
        <v>769</v>
      </c>
      <c r="C1977" t="s">
        <v>744</v>
      </c>
      <c r="D1977" t="s">
        <v>527</v>
      </c>
      <c r="E1977" s="161">
        <v>17380</v>
      </c>
      <c r="F1977" s="161">
        <v>1.57</v>
      </c>
      <c r="G1977" s="162">
        <v>27286.6</v>
      </c>
      <c r="H1977" s="67">
        <v>64</v>
      </c>
    </row>
    <row r="1978" spans="1:8" ht="30" x14ac:dyDescent="0.25">
      <c r="A1978" s="212">
        <v>41992</v>
      </c>
      <c r="B1978" s="160" t="s">
        <v>770</v>
      </c>
      <c r="C1978" t="s">
        <v>744</v>
      </c>
      <c r="D1978" t="s">
        <v>527</v>
      </c>
      <c r="E1978" s="161">
        <v>79</v>
      </c>
      <c r="F1978" s="161">
        <v>172.43</v>
      </c>
      <c r="G1978" s="162">
        <v>13621.97</v>
      </c>
      <c r="H1978" s="67">
        <v>64</v>
      </c>
    </row>
    <row r="1979" spans="1:8" x14ac:dyDescent="0.25">
      <c r="A1979" s="212">
        <v>42017</v>
      </c>
      <c r="B1979" s="160" t="s">
        <v>1212</v>
      </c>
      <c r="C1979" t="s">
        <v>7</v>
      </c>
      <c r="D1979" t="s">
        <v>27</v>
      </c>
      <c r="E1979" s="161">
        <v>5</v>
      </c>
      <c r="F1979" s="161">
        <v>42.72</v>
      </c>
      <c r="G1979" s="162">
        <v>213.6</v>
      </c>
      <c r="H1979" s="67">
        <v>64</v>
      </c>
    </row>
    <row r="1980" spans="1:8" x14ac:dyDescent="0.25">
      <c r="A1980" s="212">
        <v>42017</v>
      </c>
      <c r="B1980" s="160" t="s">
        <v>1211</v>
      </c>
      <c r="C1980" t="s">
        <v>1233</v>
      </c>
      <c r="D1980" t="s">
        <v>27</v>
      </c>
      <c r="E1980" s="161">
        <v>10</v>
      </c>
      <c r="F1980" s="161">
        <v>54.58</v>
      </c>
      <c r="G1980" s="162">
        <v>545.79999999999995</v>
      </c>
      <c r="H1980" s="67">
        <v>64</v>
      </c>
    </row>
    <row r="1981" spans="1:8" x14ac:dyDescent="0.25">
      <c r="A1981" s="212">
        <v>42018</v>
      </c>
      <c r="B1981" s="160" t="s">
        <v>1223</v>
      </c>
      <c r="C1981" t="s">
        <v>1224</v>
      </c>
      <c r="D1981" t="s">
        <v>27</v>
      </c>
      <c r="E1981" s="161">
        <v>5.5</v>
      </c>
      <c r="F1981" s="161">
        <v>65</v>
      </c>
      <c r="G1981" s="162">
        <v>357.5</v>
      </c>
      <c r="H1981" s="67">
        <v>64</v>
      </c>
    </row>
    <row r="1982" spans="1:8" x14ac:dyDescent="0.25">
      <c r="A1982" s="212">
        <v>42018</v>
      </c>
      <c r="B1982" s="160" t="s">
        <v>758</v>
      </c>
      <c r="C1982" t="s">
        <v>759</v>
      </c>
      <c r="D1982" t="s">
        <v>527</v>
      </c>
      <c r="E1982" s="161">
        <v>19.8</v>
      </c>
      <c r="F1982" s="161">
        <v>36</v>
      </c>
      <c r="G1982" s="162">
        <v>712.8</v>
      </c>
      <c r="H1982" s="67">
        <v>64</v>
      </c>
    </row>
    <row r="1983" spans="1:8" x14ac:dyDescent="0.25">
      <c r="A1983" s="212">
        <v>42019</v>
      </c>
      <c r="B1983" s="160" t="s">
        <v>1223</v>
      </c>
      <c r="C1983" t="s">
        <v>1224</v>
      </c>
      <c r="D1983" t="s">
        <v>27</v>
      </c>
      <c r="E1983" s="161">
        <v>5.5</v>
      </c>
      <c r="F1983" s="161">
        <v>65</v>
      </c>
      <c r="G1983" s="162">
        <v>357.5</v>
      </c>
      <c r="H1983" s="67">
        <v>64</v>
      </c>
    </row>
    <row r="1984" spans="1:8" x14ac:dyDescent="0.25">
      <c r="A1984" s="212">
        <v>42020</v>
      </c>
      <c r="B1984" s="160" t="s">
        <v>771</v>
      </c>
      <c r="C1984" t="s">
        <v>674</v>
      </c>
      <c r="D1984" t="s">
        <v>527</v>
      </c>
      <c r="E1984" s="161">
        <v>1780</v>
      </c>
      <c r="F1984" s="161">
        <v>1.17</v>
      </c>
      <c r="G1984" s="162">
        <v>2082.6</v>
      </c>
      <c r="H1984" s="67">
        <v>64</v>
      </c>
    </row>
    <row r="1985" spans="1:8" x14ac:dyDescent="0.25">
      <c r="A1985" s="212">
        <v>42023</v>
      </c>
      <c r="B1985" s="160" t="s">
        <v>1209</v>
      </c>
      <c r="C1985" t="s">
        <v>1210</v>
      </c>
      <c r="D1985" t="s">
        <v>27</v>
      </c>
      <c r="E1985" s="161">
        <v>2</v>
      </c>
      <c r="F1985" s="161">
        <v>42.79</v>
      </c>
      <c r="G1985" s="162">
        <v>85.58</v>
      </c>
      <c r="H1985" s="67">
        <v>64</v>
      </c>
    </row>
    <row r="1986" spans="1:8" x14ac:dyDescent="0.25">
      <c r="A1986" s="212">
        <v>42024</v>
      </c>
      <c r="B1986" s="160" t="s">
        <v>758</v>
      </c>
      <c r="C1986" t="s">
        <v>759</v>
      </c>
      <c r="D1986" t="s">
        <v>527</v>
      </c>
      <c r="E1986" s="161">
        <v>6.26</v>
      </c>
      <c r="F1986" s="161">
        <v>36</v>
      </c>
      <c r="G1986" s="162">
        <v>225.36</v>
      </c>
      <c r="H1986" s="67">
        <v>64</v>
      </c>
    </row>
    <row r="1987" spans="1:8" x14ac:dyDescent="0.25">
      <c r="A1987" s="212">
        <v>42024</v>
      </c>
      <c r="B1987" s="160" t="s">
        <v>1211</v>
      </c>
      <c r="C1987" t="s">
        <v>1233</v>
      </c>
      <c r="D1987" t="s">
        <v>27</v>
      </c>
      <c r="E1987" s="161">
        <v>5</v>
      </c>
      <c r="F1987" s="161">
        <v>54.58</v>
      </c>
      <c r="G1987" s="162">
        <v>272.89999999999998</v>
      </c>
      <c r="H1987" s="67">
        <v>64</v>
      </c>
    </row>
    <row r="1988" spans="1:8" x14ac:dyDescent="0.25">
      <c r="A1988" s="212">
        <v>42024</v>
      </c>
      <c r="B1988" s="160" t="s">
        <v>771</v>
      </c>
      <c r="C1988" t="s">
        <v>674</v>
      </c>
      <c r="D1988" t="s">
        <v>527</v>
      </c>
      <c r="E1988" s="161">
        <v>700</v>
      </c>
      <c r="F1988" s="161">
        <v>1.76</v>
      </c>
      <c r="G1988" s="162">
        <v>1232</v>
      </c>
      <c r="H1988" s="67">
        <v>64</v>
      </c>
    </row>
    <row r="1989" spans="1:8" x14ac:dyDescent="0.25">
      <c r="A1989" s="212">
        <v>42024</v>
      </c>
      <c r="B1989" s="160" t="s">
        <v>771</v>
      </c>
      <c r="C1989" t="s">
        <v>674</v>
      </c>
      <c r="D1989" t="s">
        <v>527</v>
      </c>
      <c r="E1989" s="161">
        <v>1800</v>
      </c>
      <c r="F1989" s="161">
        <v>1.17</v>
      </c>
      <c r="G1989" s="162">
        <v>2106</v>
      </c>
      <c r="H1989" s="67">
        <v>64</v>
      </c>
    </row>
    <row r="1990" spans="1:8" x14ac:dyDescent="0.25">
      <c r="A1990" s="212">
        <v>42025</v>
      </c>
      <c r="B1990" s="160" t="s">
        <v>623</v>
      </c>
      <c r="C1990" t="s">
        <v>7</v>
      </c>
      <c r="D1990" t="s">
        <v>27</v>
      </c>
      <c r="E1990" s="161">
        <v>3.5</v>
      </c>
      <c r="F1990" s="161">
        <v>42.6</v>
      </c>
      <c r="G1990" s="162">
        <v>149.1</v>
      </c>
      <c r="H1990" s="67">
        <v>64</v>
      </c>
    </row>
    <row r="1991" spans="1:8" x14ac:dyDescent="0.25">
      <c r="A1991" s="212">
        <v>42025</v>
      </c>
      <c r="B1991" s="160" t="s">
        <v>276</v>
      </c>
      <c r="C1991" t="s">
        <v>1220</v>
      </c>
      <c r="D1991" t="s">
        <v>27</v>
      </c>
      <c r="E1991" s="161">
        <v>4</v>
      </c>
      <c r="F1991" s="161">
        <v>35</v>
      </c>
      <c r="G1991" s="162">
        <v>140</v>
      </c>
      <c r="H1991" s="67">
        <v>64</v>
      </c>
    </row>
    <row r="1992" spans="1:8" x14ac:dyDescent="0.25">
      <c r="A1992" s="212">
        <v>42025</v>
      </c>
      <c r="B1992" s="160" t="s">
        <v>758</v>
      </c>
      <c r="C1992" t="s">
        <v>759</v>
      </c>
      <c r="D1992" t="s">
        <v>527</v>
      </c>
      <c r="E1992" s="161">
        <v>6</v>
      </c>
      <c r="F1992" s="161">
        <v>36</v>
      </c>
      <c r="G1992" s="162">
        <v>216</v>
      </c>
      <c r="H1992" s="67">
        <v>64</v>
      </c>
    </row>
    <row r="1993" spans="1:8" x14ac:dyDescent="0.25">
      <c r="A1993" s="212">
        <v>42025</v>
      </c>
      <c r="B1993" s="160" t="s">
        <v>623</v>
      </c>
      <c r="C1993" t="s">
        <v>7</v>
      </c>
      <c r="D1993" t="s">
        <v>527</v>
      </c>
      <c r="E1993" s="161">
        <v>4</v>
      </c>
      <c r="F1993" s="161">
        <v>49.7</v>
      </c>
      <c r="G1993" s="162">
        <v>198.8</v>
      </c>
      <c r="H1993" s="67">
        <v>64</v>
      </c>
    </row>
    <row r="1994" spans="1:8" x14ac:dyDescent="0.25">
      <c r="A1994" s="212">
        <v>42025</v>
      </c>
      <c r="B1994" s="160" t="s">
        <v>1212</v>
      </c>
      <c r="C1994" t="s">
        <v>7</v>
      </c>
      <c r="D1994" t="s">
        <v>27</v>
      </c>
      <c r="E1994" s="161">
        <v>9.5</v>
      </c>
      <c r="F1994" s="161">
        <v>42.72</v>
      </c>
      <c r="G1994" s="162">
        <v>405.84</v>
      </c>
      <c r="H1994" s="67">
        <v>64</v>
      </c>
    </row>
    <row r="1995" spans="1:8" x14ac:dyDescent="0.25">
      <c r="A1995" s="212">
        <v>42025</v>
      </c>
      <c r="B1995" s="160" t="s">
        <v>758</v>
      </c>
      <c r="C1995" t="s">
        <v>759</v>
      </c>
      <c r="D1995" t="s">
        <v>527</v>
      </c>
      <c r="E1995" s="161">
        <v>5.9</v>
      </c>
      <c r="F1995" s="161">
        <v>36</v>
      </c>
      <c r="G1995" s="162">
        <v>212.4</v>
      </c>
      <c r="H1995" s="67">
        <v>64</v>
      </c>
    </row>
    <row r="1996" spans="1:8" x14ac:dyDescent="0.25">
      <c r="A1996" s="212">
        <v>42025</v>
      </c>
      <c r="B1996" s="160" t="s">
        <v>1223</v>
      </c>
      <c r="C1996" t="s">
        <v>1224</v>
      </c>
      <c r="D1996" t="s">
        <v>27</v>
      </c>
      <c r="E1996" s="161">
        <v>5</v>
      </c>
      <c r="F1996" s="161">
        <v>65</v>
      </c>
      <c r="G1996" s="162">
        <v>325</v>
      </c>
      <c r="H1996" s="67">
        <v>64</v>
      </c>
    </row>
    <row r="1997" spans="1:8" x14ac:dyDescent="0.25">
      <c r="A1997" s="212">
        <v>42025</v>
      </c>
      <c r="B1997" s="160" t="s">
        <v>1211</v>
      </c>
      <c r="C1997" t="s">
        <v>1233</v>
      </c>
      <c r="D1997" t="s">
        <v>27</v>
      </c>
      <c r="E1997" s="161">
        <v>5</v>
      </c>
      <c r="F1997" s="161">
        <v>54.58</v>
      </c>
      <c r="G1997" s="162">
        <v>272.89999999999998</v>
      </c>
      <c r="H1997" s="67">
        <v>64</v>
      </c>
    </row>
    <row r="1998" spans="1:8" x14ac:dyDescent="0.25">
      <c r="A1998" s="212">
        <v>42025</v>
      </c>
      <c r="B1998" s="160" t="s">
        <v>276</v>
      </c>
      <c r="C1998" t="s">
        <v>1220</v>
      </c>
      <c r="D1998" t="s">
        <v>27</v>
      </c>
      <c r="E1998" s="161">
        <v>4</v>
      </c>
      <c r="F1998" s="161">
        <v>35</v>
      </c>
      <c r="G1998" s="162">
        <v>140</v>
      </c>
      <c r="H1998" s="67">
        <v>64</v>
      </c>
    </row>
    <row r="1999" spans="1:8" x14ac:dyDescent="0.25">
      <c r="A1999" s="212">
        <v>42025</v>
      </c>
      <c r="B1999" s="160" t="s">
        <v>1109</v>
      </c>
      <c r="C1999" t="s">
        <v>7</v>
      </c>
      <c r="D1999" t="s">
        <v>27</v>
      </c>
      <c r="E1999" s="161">
        <v>5</v>
      </c>
      <c r="F1999" s="161">
        <v>42.72</v>
      </c>
      <c r="G1999" s="162">
        <v>213.6</v>
      </c>
      <c r="H1999" s="67">
        <v>64</v>
      </c>
    </row>
    <row r="2000" spans="1:8" x14ac:dyDescent="0.25">
      <c r="A2000" s="212">
        <v>42026</v>
      </c>
      <c r="B2000" s="160" t="s">
        <v>1212</v>
      </c>
      <c r="C2000" t="s">
        <v>7</v>
      </c>
      <c r="D2000" t="s">
        <v>27</v>
      </c>
      <c r="E2000" s="161">
        <v>8</v>
      </c>
      <c r="F2000" s="161">
        <v>42.72</v>
      </c>
      <c r="G2000" s="162">
        <v>341.76</v>
      </c>
      <c r="H2000" s="67">
        <v>64</v>
      </c>
    </row>
    <row r="2001" spans="1:8" x14ac:dyDescent="0.25">
      <c r="A2001" s="212">
        <v>42026</v>
      </c>
      <c r="B2001" s="160" t="s">
        <v>1212</v>
      </c>
      <c r="C2001" t="s">
        <v>7</v>
      </c>
      <c r="D2001" t="s">
        <v>27</v>
      </c>
      <c r="E2001" s="161">
        <v>10</v>
      </c>
      <c r="F2001" s="161">
        <v>42.72</v>
      </c>
      <c r="G2001" s="162">
        <v>427.2</v>
      </c>
      <c r="H2001" s="67">
        <v>64</v>
      </c>
    </row>
    <row r="2002" spans="1:8" x14ac:dyDescent="0.25">
      <c r="A2002" s="212">
        <v>42026</v>
      </c>
      <c r="B2002" s="160" t="s">
        <v>623</v>
      </c>
      <c r="C2002" t="s">
        <v>7</v>
      </c>
      <c r="D2002" t="s">
        <v>27</v>
      </c>
      <c r="E2002" s="161">
        <v>10</v>
      </c>
      <c r="F2002" s="161">
        <v>42.6</v>
      </c>
      <c r="G2002" s="162">
        <v>426</v>
      </c>
      <c r="H2002" s="67">
        <v>64</v>
      </c>
    </row>
    <row r="2003" spans="1:8" x14ac:dyDescent="0.25">
      <c r="A2003" s="212">
        <v>42026</v>
      </c>
      <c r="B2003" s="160" t="s">
        <v>758</v>
      </c>
      <c r="C2003" t="s">
        <v>759</v>
      </c>
      <c r="D2003" t="s">
        <v>527</v>
      </c>
      <c r="E2003" s="161">
        <v>3.6</v>
      </c>
      <c r="F2003" s="161">
        <v>36</v>
      </c>
      <c r="G2003" s="162">
        <v>129.6</v>
      </c>
      <c r="H2003" s="67">
        <v>64</v>
      </c>
    </row>
    <row r="2004" spans="1:8" x14ac:dyDescent="0.25">
      <c r="A2004" s="212">
        <v>42026</v>
      </c>
      <c r="B2004" s="160" t="s">
        <v>1109</v>
      </c>
      <c r="C2004" t="s">
        <v>7</v>
      </c>
      <c r="D2004" t="s">
        <v>27</v>
      </c>
      <c r="E2004" s="161">
        <v>11</v>
      </c>
      <c r="F2004" s="161">
        <v>42.72</v>
      </c>
      <c r="G2004" s="162">
        <v>469.92</v>
      </c>
      <c r="H2004" s="67">
        <v>64</v>
      </c>
    </row>
    <row r="2005" spans="1:8" x14ac:dyDescent="0.25">
      <c r="A2005" s="212">
        <v>42026</v>
      </c>
      <c r="B2005" s="160" t="s">
        <v>771</v>
      </c>
      <c r="C2005" t="s">
        <v>674</v>
      </c>
      <c r="D2005" t="s">
        <v>527</v>
      </c>
      <c r="E2005" s="161">
        <v>750</v>
      </c>
      <c r="F2005" s="161">
        <v>1.76</v>
      </c>
      <c r="G2005" s="162">
        <v>1320</v>
      </c>
      <c r="H2005" s="67">
        <v>64</v>
      </c>
    </row>
    <row r="2006" spans="1:8" x14ac:dyDescent="0.25">
      <c r="A2006" s="212">
        <v>42026</v>
      </c>
      <c r="B2006" s="160" t="s">
        <v>623</v>
      </c>
      <c r="C2006" t="s">
        <v>7</v>
      </c>
      <c r="D2006" t="s">
        <v>527</v>
      </c>
      <c r="E2006" s="161">
        <v>10</v>
      </c>
      <c r="F2006" s="161">
        <v>49.7</v>
      </c>
      <c r="G2006" s="162">
        <v>497</v>
      </c>
      <c r="H2006" s="67">
        <v>64</v>
      </c>
    </row>
    <row r="2007" spans="1:8" x14ac:dyDescent="0.25">
      <c r="A2007" s="212">
        <v>42026</v>
      </c>
      <c r="B2007" s="160" t="s">
        <v>1211</v>
      </c>
      <c r="C2007" t="s">
        <v>1233</v>
      </c>
      <c r="D2007" t="s">
        <v>27</v>
      </c>
      <c r="E2007" s="161">
        <v>10</v>
      </c>
      <c r="F2007" s="161">
        <v>54.58</v>
      </c>
      <c r="G2007" s="162">
        <v>545.79999999999995</v>
      </c>
      <c r="H2007" s="67">
        <v>64</v>
      </c>
    </row>
    <row r="2008" spans="1:8" x14ac:dyDescent="0.25">
      <c r="A2008" s="212">
        <v>42026</v>
      </c>
      <c r="B2008" s="160" t="s">
        <v>1223</v>
      </c>
      <c r="C2008" t="s">
        <v>1224</v>
      </c>
      <c r="D2008" t="s">
        <v>27</v>
      </c>
      <c r="E2008" s="161">
        <v>10</v>
      </c>
      <c r="F2008" s="161">
        <v>65</v>
      </c>
      <c r="G2008" s="162">
        <v>650</v>
      </c>
      <c r="H2008" s="67">
        <v>64</v>
      </c>
    </row>
    <row r="2009" spans="1:8" x14ac:dyDescent="0.25">
      <c r="A2009" s="212">
        <v>42027</v>
      </c>
      <c r="B2009" s="160" t="s">
        <v>1223</v>
      </c>
      <c r="C2009" t="s">
        <v>1224</v>
      </c>
      <c r="D2009" t="s">
        <v>27</v>
      </c>
      <c r="E2009" s="161">
        <v>6</v>
      </c>
      <c r="F2009" s="161">
        <v>65</v>
      </c>
      <c r="G2009" s="162">
        <v>390</v>
      </c>
      <c r="H2009" s="67">
        <v>64</v>
      </c>
    </row>
    <row r="2010" spans="1:8" x14ac:dyDescent="0.25">
      <c r="A2010" s="212">
        <v>42027</v>
      </c>
      <c r="B2010" s="160" t="s">
        <v>1211</v>
      </c>
      <c r="C2010" t="s">
        <v>1233</v>
      </c>
      <c r="D2010" t="s">
        <v>27</v>
      </c>
      <c r="E2010" s="161">
        <v>6</v>
      </c>
      <c r="F2010" s="161">
        <v>54.58</v>
      </c>
      <c r="G2010" s="162">
        <v>327.48</v>
      </c>
      <c r="H2010" s="67">
        <v>64</v>
      </c>
    </row>
    <row r="2011" spans="1:8" x14ac:dyDescent="0.25">
      <c r="A2011" s="212">
        <v>42027</v>
      </c>
      <c r="B2011" s="160" t="s">
        <v>1212</v>
      </c>
      <c r="C2011" t="s">
        <v>7</v>
      </c>
      <c r="D2011" t="s">
        <v>27</v>
      </c>
      <c r="E2011" s="161">
        <v>7</v>
      </c>
      <c r="F2011" s="161">
        <v>42.72</v>
      </c>
      <c r="G2011" s="162">
        <v>299.04000000000002</v>
      </c>
      <c r="H2011" s="67">
        <v>64</v>
      </c>
    </row>
    <row r="2012" spans="1:8" x14ac:dyDescent="0.25">
      <c r="A2012" s="212">
        <v>42027</v>
      </c>
      <c r="B2012" s="160" t="s">
        <v>1109</v>
      </c>
      <c r="C2012" t="s">
        <v>7</v>
      </c>
      <c r="D2012" t="s">
        <v>27</v>
      </c>
      <c r="E2012" s="161">
        <v>9.5</v>
      </c>
      <c r="F2012" s="161">
        <v>42.72</v>
      </c>
      <c r="G2012" s="162">
        <v>405.84</v>
      </c>
      <c r="H2012" s="67">
        <v>64</v>
      </c>
    </row>
    <row r="2013" spans="1:8" x14ac:dyDescent="0.25">
      <c r="A2013" s="212">
        <v>42027</v>
      </c>
      <c r="B2013" s="160" t="s">
        <v>623</v>
      </c>
      <c r="C2013" t="s">
        <v>7</v>
      </c>
      <c r="D2013" t="s">
        <v>27</v>
      </c>
      <c r="E2013" s="161">
        <v>2.5</v>
      </c>
      <c r="F2013" s="161">
        <v>46.85</v>
      </c>
      <c r="G2013" s="162">
        <v>117.125</v>
      </c>
      <c r="H2013" s="67">
        <v>64</v>
      </c>
    </row>
    <row r="2014" spans="1:8" x14ac:dyDescent="0.25">
      <c r="A2014" s="212">
        <v>42027</v>
      </c>
      <c r="B2014" s="160" t="s">
        <v>623</v>
      </c>
      <c r="C2014" t="s">
        <v>7</v>
      </c>
      <c r="D2014" t="s">
        <v>527</v>
      </c>
      <c r="E2014" s="161">
        <v>5.5</v>
      </c>
      <c r="F2014" s="161">
        <v>49.7</v>
      </c>
      <c r="G2014" s="162">
        <v>273.35000000000002</v>
      </c>
      <c r="H2014" s="67">
        <v>64</v>
      </c>
    </row>
    <row r="2015" spans="1:8" x14ac:dyDescent="0.25">
      <c r="A2015" s="212">
        <v>42027</v>
      </c>
      <c r="B2015" s="160" t="s">
        <v>1212</v>
      </c>
      <c r="C2015" t="s">
        <v>7</v>
      </c>
      <c r="D2015" t="s">
        <v>27</v>
      </c>
      <c r="E2015" s="161">
        <v>5.5</v>
      </c>
      <c r="F2015" s="161">
        <v>42.72</v>
      </c>
      <c r="G2015" s="162">
        <v>234.96</v>
      </c>
      <c r="H2015" s="67">
        <v>64</v>
      </c>
    </row>
    <row r="2016" spans="1:8" x14ac:dyDescent="0.25">
      <c r="A2016" s="212">
        <v>42027</v>
      </c>
      <c r="B2016" s="160" t="s">
        <v>623</v>
      </c>
      <c r="C2016" t="s">
        <v>7</v>
      </c>
      <c r="D2016" t="s">
        <v>27</v>
      </c>
      <c r="E2016" s="161">
        <v>7</v>
      </c>
      <c r="F2016" s="161">
        <v>42.6</v>
      </c>
      <c r="G2016" s="162">
        <v>298.2</v>
      </c>
      <c r="H2016" s="67">
        <v>64</v>
      </c>
    </row>
    <row r="2017" spans="1:8" x14ac:dyDescent="0.25">
      <c r="A2017" s="212">
        <v>42031</v>
      </c>
      <c r="B2017" s="160" t="s">
        <v>771</v>
      </c>
      <c r="C2017" t="s">
        <v>674</v>
      </c>
      <c r="D2017" t="s">
        <v>527</v>
      </c>
      <c r="E2017" s="161">
        <v>800</v>
      </c>
      <c r="F2017" s="161">
        <v>1.76</v>
      </c>
      <c r="G2017" s="162">
        <v>1408</v>
      </c>
      <c r="H2017" s="67">
        <v>64</v>
      </c>
    </row>
    <row r="2018" spans="1:8" x14ac:dyDescent="0.25">
      <c r="A2018" s="212">
        <v>42031</v>
      </c>
      <c r="B2018" s="160" t="s">
        <v>1223</v>
      </c>
      <c r="C2018" t="s">
        <v>1224</v>
      </c>
      <c r="D2018" t="s">
        <v>27</v>
      </c>
      <c r="E2018" s="161">
        <v>3</v>
      </c>
      <c r="F2018" s="161">
        <v>65</v>
      </c>
      <c r="G2018" s="162">
        <v>195</v>
      </c>
      <c r="H2018" s="67">
        <v>64</v>
      </c>
    </row>
    <row r="2019" spans="1:8" x14ac:dyDescent="0.25">
      <c r="A2019" s="212">
        <v>42033</v>
      </c>
      <c r="B2019" s="160" t="s">
        <v>623</v>
      </c>
      <c r="C2019" t="s">
        <v>7</v>
      </c>
      <c r="D2019" t="s">
        <v>27</v>
      </c>
      <c r="E2019" s="161">
        <v>9</v>
      </c>
      <c r="F2019" s="161">
        <v>46.85</v>
      </c>
      <c r="G2019" s="162">
        <v>421.65</v>
      </c>
      <c r="H2019" s="67">
        <v>64</v>
      </c>
    </row>
    <row r="2020" spans="1:8" x14ac:dyDescent="0.25">
      <c r="A2020" s="212">
        <v>42033</v>
      </c>
      <c r="B2020" s="160" t="s">
        <v>1212</v>
      </c>
      <c r="C2020" t="s">
        <v>7</v>
      </c>
      <c r="D2020" t="s">
        <v>27</v>
      </c>
      <c r="E2020" s="161">
        <v>6</v>
      </c>
      <c r="F2020" s="161">
        <v>42.72</v>
      </c>
      <c r="G2020" s="162">
        <v>256.32</v>
      </c>
      <c r="H2020" s="67">
        <v>64</v>
      </c>
    </row>
    <row r="2021" spans="1:8" x14ac:dyDescent="0.25">
      <c r="A2021" s="212">
        <v>42033</v>
      </c>
      <c r="B2021" s="160" t="s">
        <v>1109</v>
      </c>
      <c r="C2021" t="s">
        <v>7</v>
      </c>
      <c r="D2021" t="s">
        <v>27</v>
      </c>
      <c r="E2021" s="161">
        <v>6</v>
      </c>
      <c r="F2021" s="161">
        <v>42.72</v>
      </c>
      <c r="G2021" s="162">
        <v>256.32</v>
      </c>
      <c r="H2021" s="67">
        <v>64</v>
      </c>
    </row>
    <row r="2022" spans="1:8" x14ac:dyDescent="0.25">
      <c r="A2022" s="212">
        <v>42033</v>
      </c>
      <c r="B2022" s="160" t="s">
        <v>1223</v>
      </c>
      <c r="C2022" t="s">
        <v>1224</v>
      </c>
      <c r="D2022" t="s">
        <v>27</v>
      </c>
      <c r="E2022" s="161">
        <v>5.5</v>
      </c>
      <c r="F2022" s="161">
        <v>65</v>
      </c>
      <c r="G2022" s="162">
        <v>357.5</v>
      </c>
      <c r="H2022" s="67">
        <v>64</v>
      </c>
    </row>
    <row r="2023" spans="1:8" x14ac:dyDescent="0.25">
      <c r="A2023" s="212">
        <v>42033</v>
      </c>
      <c r="B2023" s="160" t="s">
        <v>1211</v>
      </c>
      <c r="C2023" t="s">
        <v>1233</v>
      </c>
      <c r="D2023" t="s">
        <v>27</v>
      </c>
      <c r="E2023" s="161">
        <v>5</v>
      </c>
      <c r="F2023" s="161">
        <v>54.58</v>
      </c>
      <c r="G2023" s="162">
        <v>272.89999999999998</v>
      </c>
      <c r="H2023" s="67">
        <v>64</v>
      </c>
    </row>
    <row r="2024" spans="1:8" x14ac:dyDescent="0.25">
      <c r="A2024" s="212">
        <v>42034</v>
      </c>
      <c r="B2024" s="160" t="s">
        <v>623</v>
      </c>
      <c r="C2024" t="s">
        <v>7</v>
      </c>
      <c r="D2024" t="s">
        <v>527</v>
      </c>
      <c r="E2024" s="161">
        <v>4</v>
      </c>
      <c r="F2024" s="161">
        <v>49.7</v>
      </c>
      <c r="G2024" s="162">
        <v>198.8</v>
      </c>
      <c r="H2024" s="67">
        <v>64</v>
      </c>
    </row>
    <row r="2025" spans="1:8" x14ac:dyDescent="0.25">
      <c r="A2025" s="212">
        <v>42034</v>
      </c>
      <c r="B2025" s="160" t="s">
        <v>772</v>
      </c>
      <c r="C2025" t="s">
        <v>748</v>
      </c>
      <c r="D2025" t="s">
        <v>527</v>
      </c>
      <c r="E2025" s="161">
        <v>6</v>
      </c>
      <c r="F2025" s="161">
        <v>47</v>
      </c>
      <c r="G2025" s="162">
        <v>282</v>
      </c>
      <c r="H2025" s="67">
        <v>64</v>
      </c>
    </row>
    <row r="2026" spans="1:8" x14ac:dyDescent="0.25">
      <c r="A2026" s="212">
        <v>42034</v>
      </c>
      <c r="B2026" s="160" t="s">
        <v>1223</v>
      </c>
      <c r="C2026" t="s">
        <v>1224</v>
      </c>
      <c r="D2026" t="s">
        <v>27</v>
      </c>
      <c r="E2026" s="161">
        <v>6</v>
      </c>
      <c r="F2026" s="161">
        <v>65</v>
      </c>
      <c r="G2026" s="162">
        <v>390</v>
      </c>
      <c r="H2026" s="67">
        <v>64</v>
      </c>
    </row>
    <row r="2027" spans="1:8" x14ac:dyDescent="0.25">
      <c r="A2027" s="212">
        <v>42034</v>
      </c>
      <c r="B2027" s="160" t="s">
        <v>1109</v>
      </c>
      <c r="C2027" t="s">
        <v>7</v>
      </c>
      <c r="D2027" t="s">
        <v>27</v>
      </c>
      <c r="E2027" s="161">
        <v>3</v>
      </c>
      <c r="F2027" s="161">
        <v>42.72</v>
      </c>
      <c r="G2027" s="162">
        <v>128.16</v>
      </c>
      <c r="H2027" s="67">
        <v>64</v>
      </c>
    </row>
    <row r="2028" spans="1:8" x14ac:dyDescent="0.25">
      <c r="A2028" s="212">
        <v>42034</v>
      </c>
      <c r="B2028" s="160" t="s">
        <v>1212</v>
      </c>
      <c r="C2028" t="s">
        <v>7</v>
      </c>
      <c r="D2028" t="s">
        <v>27</v>
      </c>
      <c r="E2028" s="161">
        <v>4</v>
      </c>
      <c r="F2028" s="161">
        <v>42.72</v>
      </c>
      <c r="G2028" s="162">
        <v>170.88</v>
      </c>
      <c r="H2028" s="67">
        <v>64</v>
      </c>
    </row>
    <row r="2029" spans="1:8" x14ac:dyDescent="0.25">
      <c r="A2029" s="212">
        <v>42034</v>
      </c>
      <c r="B2029" s="160" t="s">
        <v>623</v>
      </c>
      <c r="C2029" t="s">
        <v>7</v>
      </c>
      <c r="D2029" t="s">
        <v>27</v>
      </c>
      <c r="E2029" s="161">
        <v>4</v>
      </c>
      <c r="F2029" s="161">
        <v>46.85</v>
      </c>
      <c r="G2029" s="162">
        <v>187.4</v>
      </c>
      <c r="H2029" s="67">
        <v>64</v>
      </c>
    </row>
    <row r="2030" spans="1:8" x14ac:dyDescent="0.25">
      <c r="A2030" s="212">
        <v>42037</v>
      </c>
      <c r="B2030" s="160" t="s">
        <v>1212</v>
      </c>
      <c r="C2030" t="s">
        <v>7</v>
      </c>
      <c r="D2030" t="s">
        <v>27</v>
      </c>
      <c r="E2030" s="161">
        <v>4.5</v>
      </c>
      <c r="F2030" s="161">
        <v>42.72</v>
      </c>
      <c r="G2030" s="162">
        <v>192.24</v>
      </c>
      <c r="H2030" s="67">
        <v>64</v>
      </c>
    </row>
    <row r="2031" spans="1:8" x14ac:dyDescent="0.25">
      <c r="A2031" s="212">
        <v>42037</v>
      </c>
      <c r="B2031" s="160" t="s">
        <v>1209</v>
      </c>
      <c r="C2031" t="s">
        <v>1210</v>
      </c>
      <c r="D2031" t="s">
        <v>27</v>
      </c>
      <c r="E2031" s="161">
        <v>2</v>
      </c>
      <c r="F2031" s="161">
        <v>42.79</v>
      </c>
      <c r="G2031" s="162">
        <v>85.58</v>
      </c>
      <c r="H2031" s="67">
        <v>64</v>
      </c>
    </row>
    <row r="2032" spans="1:8" x14ac:dyDescent="0.25">
      <c r="A2032" s="212">
        <v>42037</v>
      </c>
      <c r="B2032" s="160" t="s">
        <v>623</v>
      </c>
      <c r="C2032" t="s">
        <v>7</v>
      </c>
      <c r="D2032" t="s">
        <v>527</v>
      </c>
      <c r="E2032" s="161">
        <v>10.5</v>
      </c>
      <c r="F2032" s="161">
        <v>49.7</v>
      </c>
      <c r="G2032" s="162">
        <v>521.85</v>
      </c>
      <c r="H2032" s="67">
        <v>64</v>
      </c>
    </row>
    <row r="2033" spans="1:8" x14ac:dyDescent="0.25">
      <c r="A2033" s="212">
        <v>42037</v>
      </c>
      <c r="B2033" s="160" t="s">
        <v>1211</v>
      </c>
      <c r="C2033" t="s">
        <v>1233</v>
      </c>
      <c r="D2033" t="s">
        <v>27</v>
      </c>
      <c r="E2033" s="161">
        <v>5.5</v>
      </c>
      <c r="F2033" s="161">
        <v>54.58</v>
      </c>
      <c r="G2033" s="162">
        <v>300.19</v>
      </c>
      <c r="H2033" s="67">
        <v>64</v>
      </c>
    </row>
    <row r="2034" spans="1:8" x14ac:dyDescent="0.25">
      <c r="A2034" s="212">
        <v>42037</v>
      </c>
      <c r="B2034" s="160" t="s">
        <v>1109</v>
      </c>
      <c r="C2034" t="s">
        <v>7</v>
      </c>
      <c r="D2034" t="s">
        <v>27</v>
      </c>
      <c r="E2034" s="161">
        <v>6</v>
      </c>
      <c r="F2034" s="161">
        <v>42.72</v>
      </c>
      <c r="G2034" s="162">
        <v>256.32</v>
      </c>
      <c r="H2034" s="67">
        <v>64</v>
      </c>
    </row>
    <row r="2035" spans="1:8" x14ac:dyDescent="0.25">
      <c r="A2035" s="212">
        <v>42037</v>
      </c>
      <c r="B2035" s="160" t="s">
        <v>1223</v>
      </c>
      <c r="C2035" t="s">
        <v>1224</v>
      </c>
      <c r="D2035" t="s">
        <v>27</v>
      </c>
      <c r="E2035" s="161">
        <v>3</v>
      </c>
      <c r="F2035" s="161">
        <v>65</v>
      </c>
      <c r="G2035" s="162">
        <v>195</v>
      </c>
      <c r="H2035" s="67">
        <v>64</v>
      </c>
    </row>
    <row r="2036" spans="1:8" x14ac:dyDescent="0.25">
      <c r="A2036" s="212">
        <v>42037</v>
      </c>
      <c r="B2036" s="160" t="s">
        <v>758</v>
      </c>
      <c r="C2036" t="s">
        <v>759</v>
      </c>
      <c r="D2036" t="s">
        <v>527</v>
      </c>
      <c r="E2036" s="161">
        <v>6.54</v>
      </c>
      <c r="F2036" s="161">
        <v>36</v>
      </c>
      <c r="G2036" s="162">
        <v>235.44</v>
      </c>
      <c r="H2036" s="67">
        <v>64</v>
      </c>
    </row>
    <row r="2037" spans="1:8" x14ac:dyDescent="0.25">
      <c r="A2037" s="212">
        <v>42039</v>
      </c>
      <c r="B2037" s="160" t="s">
        <v>771</v>
      </c>
      <c r="C2037" t="s">
        <v>674</v>
      </c>
      <c r="D2037" t="s">
        <v>527</v>
      </c>
      <c r="E2037" s="161">
        <v>500</v>
      </c>
      <c r="F2037" s="161">
        <v>1.76</v>
      </c>
      <c r="G2037" s="162">
        <v>880</v>
      </c>
      <c r="H2037" s="67">
        <v>64</v>
      </c>
    </row>
    <row r="2038" spans="1:8" x14ac:dyDescent="0.25">
      <c r="A2038" s="212">
        <v>42040</v>
      </c>
      <c r="B2038" s="160" t="s">
        <v>623</v>
      </c>
      <c r="C2038" t="s">
        <v>7</v>
      </c>
      <c r="D2038" t="s">
        <v>27</v>
      </c>
      <c r="E2038" s="161">
        <v>6</v>
      </c>
      <c r="F2038" s="161">
        <v>46.85</v>
      </c>
      <c r="G2038" s="162">
        <v>281.10000000000002</v>
      </c>
      <c r="H2038" s="67">
        <v>64</v>
      </c>
    </row>
    <row r="2039" spans="1:8" x14ac:dyDescent="0.25">
      <c r="A2039" s="212">
        <v>42040</v>
      </c>
      <c r="B2039" s="160" t="s">
        <v>623</v>
      </c>
      <c r="C2039" t="s">
        <v>7</v>
      </c>
      <c r="D2039" t="s">
        <v>527</v>
      </c>
      <c r="E2039" s="161">
        <v>11.5</v>
      </c>
      <c r="F2039" s="161">
        <v>49.7</v>
      </c>
      <c r="G2039" s="162">
        <v>571.54999999999995</v>
      </c>
      <c r="H2039" s="67">
        <v>64</v>
      </c>
    </row>
    <row r="2040" spans="1:8" x14ac:dyDescent="0.25">
      <c r="A2040" s="212">
        <v>42040</v>
      </c>
      <c r="B2040" s="160" t="s">
        <v>758</v>
      </c>
      <c r="C2040" t="s">
        <v>759</v>
      </c>
      <c r="D2040" t="s">
        <v>527</v>
      </c>
      <c r="E2040" s="161">
        <v>5.34</v>
      </c>
      <c r="F2040" s="161">
        <v>36</v>
      </c>
      <c r="G2040" s="162">
        <v>192.24</v>
      </c>
      <c r="H2040" s="67">
        <v>64</v>
      </c>
    </row>
    <row r="2041" spans="1:8" x14ac:dyDescent="0.25">
      <c r="A2041" s="212">
        <v>42040</v>
      </c>
      <c r="B2041" s="160" t="s">
        <v>1109</v>
      </c>
      <c r="C2041" t="s">
        <v>7</v>
      </c>
      <c r="D2041" t="s">
        <v>27</v>
      </c>
      <c r="E2041" s="161">
        <v>6</v>
      </c>
      <c r="F2041" s="161">
        <v>42.72</v>
      </c>
      <c r="G2041" s="162">
        <v>256.32</v>
      </c>
      <c r="H2041" s="67">
        <v>64</v>
      </c>
    </row>
    <row r="2042" spans="1:8" x14ac:dyDescent="0.25">
      <c r="A2042" s="212">
        <v>42040</v>
      </c>
      <c r="B2042" s="160" t="s">
        <v>1211</v>
      </c>
      <c r="C2042" t="s">
        <v>1233</v>
      </c>
      <c r="D2042" t="s">
        <v>27</v>
      </c>
      <c r="E2042" s="161">
        <v>8</v>
      </c>
      <c r="F2042" s="161">
        <v>54.58</v>
      </c>
      <c r="G2042" s="162">
        <v>436.64</v>
      </c>
      <c r="H2042" s="67">
        <v>64</v>
      </c>
    </row>
    <row r="2043" spans="1:8" x14ac:dyDescent="0.25">
      <c r="A2043" s="212">
        <v>42040</v>
      </c>
      <c r="B2043" s="160" t="s">
        <v>1212</v>
      </c>
      <c r="C2043" t="s">
        <v>7</v>
      </c>
      <c r="D2043" t="s">
        <v>27</v>
      </c>
      <c r="E2043" s="161">
        <v>6.5</v>
      </c>
      <c r="F2043" s="161">
        <v>42.72</v>
      </c>
      <c r="G2043" s="162">
        <v>277.68</v>
      </c>
      <c r="H2043" s="67">
        <v>64</v>
      </c>
    </row>
    <row r="2044" spans="1:8" x14ac:dyDescent="0.25">
      <c r="A2044" s="212">
        <v>42042</v>
      </c>
      <c r="B2044" s="160" t="s">
        <v>623</v>
      </c>
      <c r="C2044" t="s">
        <v>7</v>
      </c>
      <c r="D2044" t="s">
        <v>527</v>
      </c>
      <c r="E2044" s="161">
        <v>1</v>
      </c>
      <c r="F2044" s="161">
        <v>49.7</v>
      </c>
      <c r="G2044" s="162">
        <v>49.7</v>
      </c>
      <c r="H2044" s="67">
        <v>64</v>
      </c>
    </row>
    <row r="2045" spans="1:8" x14ac:dyDescent="0.25">
      <c r="A2045" s="212">
        <v>42044</v>
      </c>
      <c r="B2045" s="160" t="s">
        <v>1212</v>
      </c>
      <c r="C2045" t="s">
        <v>7</v>
      </c>
      <c r="D2045" t="s">
        <v>27</v>
      </c>
      <c r="E2045" s="161">
        <v>1</v>
      </c>
      <c r="F2045" s="161">
        <v>42.72</v>
      </c>
      <c r="G2045" s="162">
        <v>42.72</v>
      </c>
      <c r="H2045" s="67">
        <v>64</v>
      </c>
    </row>
    <row r="2046" spans="1:8" x14ac:dyDescent="0.25">
      <c r="A2046" s="212">
        <v>42044</v>
      </c>
      <c r="B2046" s="160" t="s">
        <v>1211</v>
      </c>
      <c r="C2046" t="s">
        <v>1233</v>
      </c>
      <c r="D2046" t="s">
        <v>27</v>
      </c>
      <c r="E2046" s="161">
        <v>1</v>
      </c>
      <c r="F2046" s="161">
        <v>54.58</v>
      </c>
      <c r="G2046" s="162">
        <v>54.58</v>
      </c>
      <c r="H2046" s="67">
        <v>64</v>
      </c>
    </row>
    <row r="2047" spans="1:8" x14ac:dyDescent="0.25">
      <c r="A2047" s="212">
        <v>42044</v>
      </c>
      <c r="B2047" s="160" t="s">
        <v>1109</v>
      </c>
      <c r="C2047" t="s">
        <v>7</v>
      </c>
      <c r="D2047" t="s">
        <v>27</v>
      </c>
      <c r="E2047" s="161">
        <v>1</v>
      </c>
      <c r="F2047" s="161">
        <v>42.72</v>
      </c>
      <c r="G2047" s="162">
        <v>42.72</v>
      </c>
      <c r="H2047" s="67">
        <v>64</v>
      </c>
    </row>
    <row r="2048" spans="1:8" x14ac:dyDescent="0.25">
      <c r="A2048" s="212">
        <v>42044</v>
      </c>
      <c r="B2048" s="160" t="s">
        <v>1223</v>
      </c>
      <c r="C2048" t="s">
        <v>1224</v>
      </c>
      <c r="D2048" t="s">
        <v>27</v>
      </c>
      <c r="E2048" s="161">
        <v>1</v>
      </c>
      <c r="F2048" s="161">
        <v>65</v>
      </c>
      <c r="G2048" s="162">
        <v>65</v>
      </c>
      <c r="H2048" s="67">
        <v>64</v>
      </c>
    </row>
    <row r="2049" spans="1:8" x14ac:dyDescent="0.25">
      <c r="A2049" s="212">
        <v>42045</v>
      </c>
      <c r="B2049" s="160" t="s">
        <v>291</v>
      </c>
      <c r="C2049" t="s">
        <v>746</v>
      </c>
      <c r="D2049" t="s">
        <v>527</v>
      </c>
      <c r="E2049" s="161">
        <v>9.92</v>
      </c>
      <c r="F2049" s="161">
        <v>50</v>
      </c>
      <c r="G2049" s="162">
        <v>496</v>
      </c>
      <c r="H2049" s="67">
        <v>64</v>
      </c>
    </row>
    <row r="2050" spans="1:8" x14ac:dyDescent="0.25">
      <c r="A2050" s="212">
        <v>42045</v>
      </c>
      <c r="B2050" s="160" t="s">
        <v>291</v>
      </c>
      <c r="C2050" t="s">
        <v>746</v>
      </c>
      <c r="D2050" t="s">
        <v>527</v>
      </c>
      <c r="E2050" s="161">
        <v>7.04</v>
      </c>
      <c r="F2050" s="161">
        <v>48</v>
      </c>
      <c r="G2050" s="162">
        <v>337.92</v>
      </c>
      <c r="H2050" s="67">
        <v>64</v>
      </c>
    </row>
    <row r="2051" spans="1:8" x14ac:dyDescent="0.25">
      <c r="A2051" s="212">
        <v>42046</v>
      </c>
      <c r="B2051" s="160" t="s">
        <v>742</v>
      </c>
      <c r="C2051" t="s">
        <v>741</v>
      </c>
      <c r="D2051" t="s">
        <v>527</v>
      </c>
      <c r="E2051" s="161">
        <v>10.94</v>
      </c>
      <c r="F2051" s="161">
        <v>48</v>
      </c>
      <c r="G2051" s="162">
        <v>525.12</v>
      </c>
      <c r="H2051" s="67">
        <v>64</v>
      </c>
    </row>
    <row r="2052" spans="1:8" x14ac:dyDescent="0.25">
      <c r="A2052" s="212">
        <v>42046</v>
      </c>
      <c r="B2052" s="160" t="s">
        <v>291</v>
      </c>
      <c r="C2052" t="s">
        <v>746</v>
      </c>
      <c r="D2052" t="s">
        <v>527</v>
      </c>
      <c r="E2052" s="161">
        <v>10.64</v>
      </c>
      <c r="F2052" s="161">
        <v>48</v>
      </c>
      <c r="G2052" s="162">
        <v>510.72</v>
      </c>
      <c r="H2052" s="67">
        <v>64</v>
      </c>
    </row>
    <row r="2053" spans="1:8" x14ac:dyDescent="0.25">
      <c r="A2053" s="212">
        <v>42046</v>
      </c>
      <c r="B2053" s="160" t="s">
        <v>742</v>
      </c>
      <c r="C2053" t="s">
        <v>741</v>
      </c>
      <c r="D2053" t="s">
        <v>527</v>
      </c>
      <c r="E2053" s="161">
        <v>10.94</v>
      </c>
      <c r="F2053" s="161">
        <v>48</v>
      </c>
      <c r="G2053" s="162">
        <v>525.12</v>
      </c>
      <c r="H2053" s="67">
        <v>64</v>
      </c>
    </row>
    <row r="2054" spans="1:8" x14ac:dyDescent="0.25">
      <c r="A2054" s="212">
        <v>42046</v>
      </c>
      <c r="B2054" s="160" t="s">
        <v>291</v>
      </c>
      <c r="C2054" t="s">
        <v>746</v>
      </c>
      <c r="D2054" t="s">
        <v>527</v>
      </c>
      <c r="E2054" s="161">
        <v>9.02</v>
      </c>
      <c r="F2054" s="161">
        <v>50</v>
      </c>
      <c r="G2054" s="162">
        <v>451</v>
      </c>
      <c r="H2054" s="67">
        <v>64</v>
      </c>
    </row>
    <row r="2055" spans="1:8" x14ac:dyDescent="0.25">
      <c r="A2055" s="212">
        <v>42046</v>
      </c>
      <c r="B2055" s="160" t="s">
        <v>291</v>
      </c>
      <c r="C2055" t="s">
        <v>746</v>
      </c>
      <c r="D2055" t="s">
        <v>527</v>
      </c>
      <c r="E2055" s="161">
        <v>10.86</v>
      </c>
      <c r="F2055" s="161">
        <v>50</v>
      </c>
      <c r="G2055" s="162">
        <v>543</v>
      </c>
      <c r="H2055" s="67">
        <v>64</v>
      </c>
    </row>
    <row r="2056" spans="1:8" x14ac:dyDescent="0.25">
      <c r="A2056" s="212">
        <v>42046</v>
      </c>
      <c r="B2056" s="160" t="s">
        <v>291</v>
      </c>
      <c r="C2056" t="s">
        <v>746</v>
      </c>
      <c r="D2056" t="s">
        <v>527</v>
      </c>
      <c r="E2056" s="161">
        <v>11.24</v>
      </c>
      <c r="F2056" s="161">
        <v>50</v>
      </c>
      <c r="G2056" s="162">
        <v>562</v>
      </c>
      <c r="H2056" s="67">
        <v>64</v>
      </c>
    </row>
    <row r="2057" spans="1:8" x14ac:dyDescent="0.25">
      <c r="A2057" s="212">
        <v>42046</v>
      </c>
      <c r="B2057" s="160" t="s">
        <v>291</v>
      </c>
      <c r="C2057" t="s">
        <v>746</v>
      </c>
      <c r="D2057" t="s">
        <v>527</v>
      </c>
      <c r="E2057" s="161">
        <v>11.26</v>
      </c>
      <c r="F2057" s="161">
        <v>50</v>
      </c>
      <c r="G2057" s="162">
        <v>563</v>
      </c>
      <c r="H2057" s="67">
        <v>64</v>
      </c>
    </row>
    <row r="2058" spans="1:8" x14ac:dyDescent="0.25">
      <c r="A2058" s="212">
        <v>42046</v>
      </c>
      <c r="B2058" s="160" t="s">
        <v>291</v>
      </c>
      <c r="C2058" t="s">
        <v>746</v>
      </c>
      <c r="D2058" t="s">
        <v>527</v>
      </c>
      <c r="E2058" s="161">
        <v>11.24</v>
      </c>
      <c r="F2058" s="161">
        <v>50</v>
      </c>
      <c r="G2058" s="162">
        <v>562</v>
      </c>
      <c r="H2058" s="67">
        <v>64</v>
      </c>
    </row>
    <row r="2059" spans="1:8" x14ac:dyDescent="0.25">
      <c r="A2059" s="212">
        <v>42047</v>
      </c>
      <c r="B2059" s="160" t="s">
        <v>1209</v>
      </c>
      <c r="C2059" t="s">
        <v>1210</v>
      </c>
      <c r="D2059" t="s">
        <v>27</v>
      </c>
      <c r="E2059" s="161">
        <v>9.5</v>
      </c>
      <c r="F2059" s="161">
        <v>42.79</v>
      </c>
      <c r="G2059" s="162">
        <v>406.505</v>
      </c>
      <c r="H2059" s="67">
        <v>64</v>
      </c>
    </row>
    <row r="2060" spans="1:8" x14ac:dyDescent="0.25">
      <c r="A2060" s="212">
        <v>42047</v>
      </c>
      <c r="B2060" s="160" t="s">
        <v>1109</v>
      </c>
      <c r="C2060" t="s">
        <v>7</v>
      </c>
      <c r="D2060" t="s">
        <v>27</v>
      </c>
      <c r="E2060" s="161">
        <v>5</v>
      </c>
      <c r="F2060" s="161">
        <v>42.72</v>
      </c>
      <c r="G2060" s="162">
        <v>213.6</v>
      </c>
      <c r="H2060" s="67">
        <v>64</v>
      </c>
    </row>
    <row r="2061" spans="1:8" x14ac:dyDescent="0.25">
      <c r="A2061" s="212">
        <v>42047</v>
      </c>
      <c r="B2061" s="160" t="s">
        <v>1211</v>
      </c>
      <c r="C2061" t="s">
        <v>1233</v>
      </c>
      <c r="D2061" t="s">
        <v>27</v>
      </c>
      <c r="E2061" s="161">
        <v>9.5</v>
      </c>
      <c r="F2061" s="161">
        <v>54.58</v>
      </c>
      <c r="G2061" s="162">
        <v>518.51</v>
      </c>
      <c r="H2061" s="67">
        <v>64</v>
      </c>
    </row>
    <row r="2062" spans="1:8" x14ac:dyDescent="0.25">
      <c r="A2062" s="212">
        <v>42048</v>
      </c>
      <c r="B2062" s="160" t="s">
        <v>781</v>
      </c>
      <c r="C2062" t="s">
        <v>776</v>
      </c>
      <c r="D2062" t="s">
        <v>527</v>
      </c>
      <c r="E2062" s="161">
        <v>538</v>
      </c>
      <c r="F2062" s="161">
        <v>1.57</v>
      </c>
      <c r="G2062" s="162">
        <v>844.66</v>
      </c>
      <c r="H2062" s="67">
        <v>64</v>
      </c>
    </row>
    <row r="2063" spans="1:8" x14ac:dyDescent="0.25">
      <c r="A2063" s="212">
        <v>42048</v>
      </c>
      <c r="B2063" s="160" t="s">
        <v>788</v>
      </c>
      <c r="C2063" t="s">
        <v>744</v>
      </c>
      <c r="D2063" t="s">
        <v>527</v>
      </c>
      <c r="E2063" s="161">
        <v>4.5</v>
      </c>
      <c r="F2063" s="161">
        <v>225.31</v>
      </c>
      <c r="G2063" s="162">
        <v>1013.895</v>
      </c>
      <c r="H2063" s="67">
        <v>64</v>
      </c>
    </row>
    <row r="2064" spans="1:8" x14ac:dyDescent="0.25">
      <c r="A2064" s="212">
        <v>42048</v>
      </c>
      <c r="B2064" s="160" t="s">
        <v>778</v>
      </c>
      <c r="C2064" t="s">
        <v>744</v>
      </c>
      <c r="D2064" t="s">
        <v>527</v>
      </c>
      <c r="E2064" s="161">
        <v>4</v>
      </c>
      <c r="F2064" s="161">
        <v>172.43</v>
      </c>
      <c r="G2064" s="162">
        <v>689.72</v>
      </c>
      <c r="H2064" s="67">
        <v>64</v>
      </c>
    </row>
    <row r="2065" spans="1:8" x14ac:dyDescent="0.25">
      <c r="A2065" s="212">
        <v>42048</v>
      </c>
      <c r="B2065" s="160" t="s">
        <v>783</v>
      </c>
      <c r="C2065" t="s">
        <v>776</v>
      </c>
      <c r="D2065" t="s">
        <v>527</v>
      </c>
      <c r="E2065" s="161">
        <v>8242</v>
      </c>
      <c r="F2065" s="161">
        <v>1.57</v>
      </c>
      <c r="G2065" s="162">
        <v>12939.94</v>
      </c>
      <c r="H2065" s="67">
        <v>64</v>
      </c>
    </row>
    <row r="2066" spans="1:8" x14ac:dyDescent="0.25">
      <c r="A2066" s="212">
        <v>42048</v>
      </c>
      <c r="B2066" s="160" t="s">
        <v>780</v>
      </c>
      <c r="C2066" t="s">
        <v>744</v>
      </c>
      <c r="D2066" t="s">
        <v>527</v>
      </c>
      <c r="E2066" s="161">
        <v>1.5</v>
      </c>
      <c r="F2066" s="161">
        <v>172.43</v>
      </c>
      <c r="G2066" s="162">
        <v>258.64499999999998</v>
      </c>
      <c r="H2066" s="67">
        <v>64</v>
      </c>
    </row>
    <row r="2067" spans="1:8" x14ac:dyDescent="0.25">
      <c r="A2067" s="212">
        <v>42048</v>
      </c>
      <c r="B2067" s="160" t="s">
        <v>779</v>
      </c>
      <c r="C2067" t="s">
        <v>744</v>
      </c>
      <c r="D2067" t="s">
        <v>527</v>
      </c>
      <c r="E2067" s="161">
        <v>32</v>
      </c>
      <c r="F2067" s="161">
        <v>172.43</v>
      </c>
      <c r="G2067" s="162">
        <v>5517.76</v>
      </c>
      <c r="H2067" s="67">
        <v>64</v>
      </c>
    </row>
    <row r="2068" spans="1:8" x14ac:dyDescent="0.25">
      <c r="A2068" s="212">
        <v>42048</v>
      </c>
      <c r="B2068" s="160" t="s">
        <v>775</v>
      </c>
      <c r="C2068" t="s">
        <v>776</v>
      </c>
      <c r="D2068" t="s">
        <v>527</v>
      </c>
      <c r="E2068" s="161">
        <v>1344</v>
      </c>
      <c r="F2068" s="161">
        <v>1.57</v>
      </c>
      <c r="G2068" s="162">
        <v>2110.08</v>
      </c>
      <c r="H2068" s="67">
        <v>64</v>
      </c>
    </row>
    <row r="2069" spans="1:8" x14ac:dyDescent="0.25">
      <c r="A2069" s="212">
        <v>42048</v>
      </c>
      <c r="B2069" s="160" t="s">
        <v>777</v>
      </c>
      <c r="C2069" t="s">
        <v>744</v>
      </c>
      <c r="D2069" t="s">
        <v>527</v>
      </c>
      <c r="E2069" s="161">
        <v>2</v>
      </c>
      <c r="F2069" s="161">
        <v>172.43</v>
      </c>
      <c r="G2069" s="162">
        <v>344.86</v>
      </c>
      <c r="H2069" s="67">
        <v>64</v>
      </c>
    </row>
    <row r="2070" spans="1:8" x14ac:dyDescent="0.25">
      <c r="A2070" s="212">
        <v>42048</v>
      </c>
      <c r="B2070" s="160" t="s">
        <v>774</v>
      </c>
      <c r="C2070" t="s">
        <v>744</v>
      </c>
      <c r="D2070" t="s">
        <v>527</v>
      </c>
      <c r="E2070" s="161">
        <v>1.5</v>
      </c>
      <c r="F2070" s="161">
        <v>172.43</v>
      </c>
      <c r="G2070" s="162">
        <v>258.64499999999998</v>
      </c>
      <c r="H2070" s="67">
        <v>64</v>
      </c>
    </row>
    <row r="2071" spans="1:8" x14ac:dyDescent="0.25">
      <c r="A2071" s="212">
        <v>42048</v>
      </c>
      <c r="B2071" s="160" t="s">
        <v>782</v>
      </c>
      <c r="C2071" t="s">
        <v>776</v>
      </c>
      <c r="D2071" t="s">
        <v>527</v>
      </c>
      <c r="E2071" s="161">
        <v>537</v>
      </c>
      <c r="F2071" s="161">
        <v>1.57</v>
      </c>
      <c r="G2071" s="162">
        <v>843.09</v>
      </c>
      <c r="H2071" s="67">
        <v>64</v>
      </c>
    </row>
    <row r="2072" spans="1:8" x14ac:dyDescent="0.25">
      <c r="A2072" s="212">
        <v>42048</v>
      </c>
      <c r="B2072" s="160" t="s">
        <v>773</v>
      </c>
      <c r="C2072" t="s">
        <v>744</v>
      </c>
      <c r="D2072" t="s">
        <v>527</v>
      </c>
      <c r="E2072" s="161">
        <v>1.5</v>
      </c>
      <c r="F2072" s="161">
        <v>225.31</v>
      </c>
      <c r="G2072" s="162">
        <v>337.96499999999997</v>
      </c>
      <c r="H2072" s="67">
        <v>64</v>
      </c>
    </row>
    <row r="2073" spans="1:8" x14ac:dyDescent="0.25">
      <c r="A2073" s="212">
        <v>42048</v>
      </c>
      <c r="B2073" s="160" t="s">
        <v>773</v>
      </c>
      <c r="C2073" t="s">
        <v>744</v>
      </c>
      <c r="D2073" t="s">
        <v>527</v>
      </c>
      <c r="E2073" s="161">
        <v>1.5</v>
      </c>
      <c r="F2073" s="161">
        <v>225.31</v>
      </c>
      <c r="G2073" s="162">
        <v>337.96499999999997</v>
      </c>
      <c r="H2073" s="67">
        <v>64</v>
      </c>
    </row>
    <row r="2074" spans="1:8" x14ac:dyDescent="0.25">
      <c r="A2074" s="212">
        <v>42048</v>
      </c>
      <c r="B2074" s="160" t="s">
        <v>787</v>
      </c>
      <c r="C2074" t="s">
        <v>776</v>
      </c>
      <c r="D2074" t="s">
        <v>527</v>
      </c>
      <c r="E2074" s="161">
        <v>269</v>
      </c>
      <c r="F2074" s="161">
        <v>1.57</v>
      </c>
      <c r="G2074" s="162">
        <v>422.33</v>
      </c>
      <c r="H2074" s="67">
        <v>64</v>
      </c>
    </row>
    <row r="2075" spans="1:8" x14ac:dyDescent="0.25">
      <c r="A2075" s="212">
        <v>42048</v>
      </c>
      <c r="B2075" s="160" t="s">
        <v>786</v>
      </c>
      <c r="C2075" t="s">
        <v>744</v>
      </c>
      <c r="D2075" t="s">
        <v>527</v>
      </c>
      <c r="E2075" s="161">
        <v>2</v>
      </c>
      <c r="F2075" s="161">
        <v>172.43</v>
      </c>
      <c r="G2075" s="162">
        <v>344.86</v>
      </c>
      <c r="H2075" s="67">
        <v>64</v>
      </c>
    </row>
    <row r="2076" spans="1:8" x14ac:dyDescent="0.25">
      <c r="A2076" s="212">
        <v>42048</v>
      </c>
      <c r="B2076" s="160" t="s">
        <v>785</v>
      </c>
      <c r="C2076" t="s">
        <v>776</v>
      </c>
      <c r="D2076" t="s">
        <v>527</v>
      </c>
      <c r="E2076" s="161">
        <v>539</v>
      </c>
      <c r="F2076" s="161">
        <v>1.57</v>
      </c>
      <c r="G2076" s="162">
        <v>846.23</v>
      </c>
      <c r="H2076" s="67">
        <v>64</v>
      </c>
    </row>
    <row r="2077" spans="1:8" x14ac:dyDescent="0.25">
      <c r="A2077" s="212">
        <v>42048</v>
      </c>
      <c r="B2077" s="160" t="s">
        <v>784</v>
      </c>
      <c r="C2077" t="s">
        <v>744</v>
      </c>
      <c r="D2077" t="s">
        <v>527</v>
      </c>
      <c r="E2077" s="161">
        <v>25</v>
      </c>
      <c r="F2077" s="161">
        <v>225.31</v>
      </c>
      <c r="G2077" s="162">
        <v>5632.75</v>
      </c>
      <c r="H2077" s="67">
        <v>64</v>
      </c>
    </row>
    <row r="2078" spans="1:8" x14ac:dyDescent="0.25">
      <c r="A2078" s="212">
        <v>42052</v>
      </c>
      <c r="B2078" s="160" t="s">
        <v>758</v>
      </c>
      <c r="C2078" t="s">
        <v>759</v>
      </c>
      <c r="D2078" t="s">
        <v>527</v>
      </c>
      <c r="E2078" s="161">
        <v>5</v>
      </c>
      <c r="F2078" s="161">
        <v>36</v>
      </c>
      <c r="G2078" s="162">
        <v>180</v>
      </c>
      <c r="H2078" s="67">
        <v>64</v>
      </c>
    </row>
    <row r="2079" spans="1:8" x14ac:dyDescent="0.25">
      <c r="A2079" s="212">
        <v>42052</v>
      </c>
      <c r="B2079" s="160" t="s">
        <v>1211</v>
      </c>
      <c r="C2079" t="s">
        <v>1233</v>
      </c>
      <c r="D2079" t="s">
        <v>27</v>
      </c>
      <c r="E2079" s="161">
        <v>5.5</v>
      </c>
      <c r="F2079" s="161">
        <v>54.58</v>
      </c>
      <c r="G2079" s="162">
        <v>300.19</v>
      </c>
      <c r="H2079" s="67">
        <v>64</v>
      </c>
    </row>
    <row r="2080" spans="1:8" x14ac:dyDescent="0.25">
      <c r="A2080" s="212">
        <v>42052</v>
      </c>
      <c r="B2080" s="160" t="s">
        <v>1109</v>
      </c>
      <c r="C2080" t="s">
        <v>7</v>
      </c>
      <c r="D2080" t="s">
        <v>27</v>
      </c>
      <c r="E2080" s="161">
        <v>6</v>
      </c>
      <c r="F2080" s="161">
        <v>42.72</v>
      </c>
      <c r="G2080" s="162">
        <v>256.32</v>
      </c>
      <c r="H2080" s="67">
        <v>64</v>
      </c>
    </row>
    <row r="2081" spans="1:8" x14ac:dyDescent="0.25">
      <c r="A2081" s="212">
        <v>42052</v>
      </c>
      <c r="B2081" s="160" t="s">
        <v>1223</v>
      </c>
      <c r="C2081" t="s">
        <v>1224</v>
      </c>
      <c r="D2081" t="s">
        <v>27</v>
      </c>
      <c r="E2081" s="161">
        <v>5</v>
      </c>
      <c r="F2081" s="161">
        <v>65</v>
      </c>
      <c r="G2081" s="162">
        <v>325</v>
      </c>
      <c r="H2081" s="67">
        <v>64</v>
      </c>
    </row>
    <row r="2082" spans="1:8" x14ac:dyDescent="0.25">
      <c r="A2082" s="212">
        <v>42053</v>
      </c>
      <c r="B2082" s="160" t="s">
        <v>1109</v>
      </c>
      <c r="C2082" t="s">
        <v>7</v>
      </c>
      <c r="D2082" t="s">
        <v>27</v>
      </c>
      <c r="E2082" s="161">
        <v>6</v>
      </c>
      <c r="F2082" s="161">
        <v>42.72</v>
      </c>
      <c r="G2082" s="162">
        <v>256.32</v>
      </c>
      <c r="H2082" s="67">
        <v>64</v>
      </c>
    </row>
    <row r="2083" spans="1:8" x14ac:dyDescent="0.25">
      <c r="A2083" s="212">
        <v>42059</v>
      </c>
      <c r="B2083" s="160" t="s">
        <v>1109</v>
      </c>
      <c r="C2083" t="s">
        <v>7</v>
      </c>
      <c r="D2083" t="s">
        <v>27</v>
      </c>
      <c r="E2083" s="161">
        <v>4</v>
      </c>
      <c r="F2083" s="161">
        <v>42.72</v>
      </c>
      <c r="G2083" s="162">
        <v>170.88</v>
      </c>
      <c r="H2083" s="67">
        <v>64</v>
      </c>
    </row>
    <row r="2084" spans="1:8" x14ac:dyDescent="0.25">
      <c r="A2084" s="212">
        <v>42059</v>
      </c>
      <c r="B2084" s="160" t="s">
        <v>619</v>
      </c>
      <c r="C2084" t="s">
        <v>620</v>
      </c>
      <c r="D2084" t="s">
        <v>27</v>
      </c>
      <c r="E2084" s="161">
        <v>4</v>
      </c>
      <c r="F2084" s="161">
        <v>80</v>
      </c>
      <c r="G2084" s="162">
        <v>320</v>
      </c>
      <c r="H2084" s="67">
        <v>64</v>
      </c>
    </row>
    <row r="2085" spans="1:8" x14ac:dyDescent="0.25">
      <c r="A2085" s="212">
        <v>42059</v>
      </c>
      <c r="B2085" s="160" t="s">
        <v>1223</v>
      </c>
      <c r="C2085" t="s">
        <v>1224</v>
      </c>
      <c r="D2085" t="s">
        <v>27</v>
      </c>
      <c r="E2085" s="161">
        <v>2</v>
      </c>
      <c r="F2085" s="161">
        <v>65</v>
      </c>
      <c r="G2085" s="162">
        <v>130</v>
      </c>
      <c r="H2085" s="67">
        <v>64</v>
      </c>
    </row>
    <row r="2086" spans="1:8" x14ac:dyDescent="0.25">
      <c r="A2086" s="212">
        <v>42060</v>
      </c>
      <c r="B2086" s="160" t="s">
        <v>623</v>
      </c>
      <c r="C2086" t="s">
        <v>7</v>
      </c>
      <c r="D2086" t="s">
        <v>27</v>
      </c>
      <c r="E2086" s="161">
        <v>5.5</v>
      </c>
      <c r="F2086" s="161">
        <v>42.6</v>
      </c>
      <c r="G2086" s="162">
        <v>234.3</v>
      </c>
      <c r="H2086" s="67">
        <v>64</v>
      </c>
    </row>
    <row r="2087" spans="1:8" x14ac:dyDescent="0.25">
      <c r="A2087" s="212">
        <v>42060</v>
      </c>
      <c r="B2087" s="160" t="s">
        <v>623</v>
      </c>
      <c r="C2087" t="s">
        <v>7</v>
      </c>
      <c r="D2087" t="s">
        <v>27</v>
      </c>
      <c r="E2087" s="161">
        <v>3.5</v>
      </c>
      <c r="F2087" s="161">
        <v>46.85</v>
      </c>
      <c r="G2087" s="162">
        <v>163.97499999999999</v>
      </c>
      <c r="H2087" s="67">
        <v>64</v>
      </c>
    </row>
    <row r="2088" spans="1:8" x14ac:dyDescent="0.25">
      <c r="A2088" s="212">
        <v>42060</v>
      </c>
      <c r="B2088" s="160" t="s">
        <v>623</v>
      </c>
      <c r="C2088" t="s">
        <v>7</v>
      </c>
      <c r="D2088" t="s">
        <v>27</v>
      </c>
      <c r="E2088" s="161">
        <v>1.5</v>
      </c>
      <c r="F2088" s="161">
        <v>42.6</v>
      </c>
      <c r="G2088" s="162">
        <v>63.9</v>
      </c>
      <c r="H2088" s="67">
        <v>64</v>
      </c>
    </row>
    <row r="2089" spans="1:8" x14ac:dyDescent="0.25">
      <c r="A2089" s="212">
        <v>42060</v>
      </c>
      <c r="B2089" s="160" t="s">
        <v>623</v>
      </c>
      <c r="C2089" t="s">
        <v>7</v>
      </c>
      <c r="D2089" t="s">
        <v>527</v>
      </c>
      <c r="E2089" s="161">
        <v>5.5</v>
      </c>
      <c r="F2089" s="161">
        <v>49.7</v>
      </c>
      <c r="G2089" s="162">
        <v>273.35000000000002</v>
      </c>
      <c r="H2089" s="67">
        <v>64</v>
      </c>
    </row>
    <row r="2090" spans="1:8" x14ac:dyDescent="0.25">
      <c r="A2090" s="212">
        <v>42060</v>
      </c>
      <c r="B2090" s="160" t="s">
        <v>758</v>
      </c>
      <c r="C2090" t="s">
        <v>759</v>
      </c>
      <c r="D2090" t="s">
        <v>527</v>
      </c>
      <c r="E2090" s="161">
        <v>5.2</v>
      </c>
      <c r="F2090" s="161">
        <v>36</v>
      </c>
      <c r="G2090" s="162">
        <v>187.2</v>
      </c>
      <c r="H2090" s="67">
        <v>64</v>
      </c>
    </row>
    <row r="2091" spans="1:8" x14ac:dyDescent="0.25">
      <c r="A2091" s="212">
        <v>42060</v>
      </c>
      <c r="B2091" s="160" t="s">
        <v>1109</v>
      </c>
      <c r="C2091" t="s">
        <v>7</v>
      </c>
      <c r="D2091" t="s">
        <v>27</v>
      </c>
      <c r="E2091" s="161">
        <v>4</v>
      </c>
      <c r="F2091" s="161">
        <v>42.72</v>
      </c>
      <c r="G2091" s="162">
        <v>170.88</v>
      </c>
      <c r="H2091" s="67">
        <v>64</v>
      </c>
    </row>
    <row r="2092" spans="1:8" x14ac:dyDescent="0.25">
      <c r="A2092" s="212">
        <v>42060</v>
      </c>
      <c r="B2092" s="160" t="s">
        <v>276</v>
      </c>
      <c r="C2092" t="s">
        <v>1220</v>
      </c>
      <c r="D2092" t="s">
        <v>27</v>
      </c>
      <c r="E2092" s="161">
        <v>5.5</v>
      </c>
      <c r="F2092" s="161">
        <v>35</v>
      </c>
      <c r="G2092" s="162">
        <v>192.5</v>
      </c>
      <c r="H2092" s="67">
        <v>64</v>
      </c>
    </row>
    <row r="2093" spans="1:8" x14ac:dyDescent="0.25">
      <c r="A2093" s="212">
        <v>42060</v>
      </c>
      <c r="B2093" s="160" t="s">
        <v>1212</v>
      </c>
      <c r="C2093" t="s">
        <v>7</v>
      </c>
      <c r="D2093" t="s">
        <v>27</v>
      </c>
      <c r="E2093" s="161">
        <v>4</v>
      </c>
      <c r="F2093" s="161">
        <v>42.72</v>
      </c>
      <c r="G2093" s="162">
        <v>170.88</v>
      </c>
      <c r="H2093" s="67">
        <v>64</v>
      </c>
    </row>
    <row r="2094" spans="1:8" x14ac:dyDescent="0.25">
      <c r="A2094" s="212">
        <v>42062</v>
      </c>
      <c r="B2094" s="160" t="s">
        <v>789</v>
      </c>
      <c r="C2094" t="s">
        <v>759</v>
      </c>
      <c r="D2094" t="s">
        <v>38</v>
      </c>
      <c r="E2094" s="161">
        <v>5.76</v>
      </c>
      <c r="F2094" s="161">
        <v>60.45</v>
      </c>
      <c r="G2094" s="162">
        <v>348.19200000000001</v>
      </c>
      <c r="H2094" s="67">
        <v>64</v>
      </c>
    </row>
    <row r="2095" spans="1:8" x14ac:dyDescent="0.25">
      <c r="A2095" s="212">
        <v>42062</v>
      </c>
      <c r="B2095" s="160" t="s">
        <v>758</v>
      </c>
      <c r="C2095" t="s">
        <v>759</v>
      </c>
      <c r="D2095" t="s">
        <v>527</v>
      </c>
      <c r="E2095" s="161">
        <v>5.7</v>
      </c>
      <c r="F2095" s="161">
        <v>51</v>
      </c>
      <c r="G2095" s="162">
        <v>290.7</v>
      </c>
      <c r="H2095" s="67">
        <v>64</v>
      </c>
    </row>
    <row r="2096" spans="1:8" x14ac:dyDescent="0.25">
      <c r="A2096" s="212">
        <v>42062</v>
      </c>
      <c r="B2096" s="160" t="s">
        <v>623</v>
      </c>
      <c r="C2096" t="s">
        <v>7</v>
      </c>
      <c r="D2096" t="s">
        <v>27</v>
      </c>
      <c r="E2096" s="161">
        <v>1.5</v>
      </c>
      <c r="F2096" s="161">
        <v>42.6</v>
      </c>
      <c r="G2096" s="162">
        <v>63.9</v>
      </c>
      <c r="H2096" s="67">
        <v>64</v>
      </c>
    </row>
    <row r="2097" spans="1:8" x14ac:dyDescent="0.25">
      <c r="A2097" s="212">
        <v>42062</v>
      </c>
      <c r="B2097" s="160" t="s">
        <v>758</v>
      </c>
      <c r="C2097" t="s">
        <v>759</v>
      </c>
      <c r="D2097" t="s">
        <v>527</v>
      </c>
      <c r="E2097" s="161">
        <v>6.92</v>
      </c>
      <c r="F2097" s="161">
        <v>36</v>
      </c>
      <c r="G2097" s="162">
        <v>249.12</v>
      </c>
      <c r="H2097" s="67">
        <v>64</v>
      </c>
    </row>
    <row r="2098" spans="1:8" x14ac:dyDescent="0.25">
      <c r="A2098" s="212">
        <v>42062</v>
      </c>
      <c r="B2098" s="160" t="s">
        <v>623</v>
      </c>
      <c r="C2098" t="s">
        <v>7</v>
      </c>
      <c r="D2098" t="s">
        <v>27</v>
      </c>
      <c r="E2098" s="161">
        <v>3</v>
      </c>
      <c r="F2098" s="161">
        <v>46.85</v>
      </c>
      <c r="G2098" s="162">
        <v>140.55000000000001</v>
      </c>
      <c r="H2098" s="67">
        <v>64</v>
      </c>
    </row>
    <row r="2099" spans="1:8" x14ac:dyDescent="0.25">
      <c r="A2099" s="212">
        <v>42062</v>
      </c>
      <c r="B2099" s="160" t="s">
        <v>664</v>
      </c>
      <c r="C2099" t="s">
        <v>665</v>
      </c>
      <c r="D2099" t="s">
        <v>527</v>
      </c>
      <c r="E2099" s="161">
        <v>5.5</v>
      </c>
      <c r="F2099" s="161">
        <v>35</v>
      </c>
      <c r="G2099" s="162">
        <v>192.5</v>
      </c>
      <c r="H2099" s="67">
        <v>64</v>
      </c>
    </row>
    <row r="2100" spans="1:8" x14ac:dyDescent="0.25">
      <c r="A2100" s="212">
        <v>42062</v>
      </c>
      <c r="B2100" s="160" t="s">
        <v>623</v>
      </c>
      <c r="C2100" t="s">
        <v>7</v>
      </c>
      <c r="D2100" t="s">
        <v>527</v>
      </c>
      <c r="E2100" s="161">
        <v>10.5</v>
      </c>
      <c r="F2100" s="161">
        <v>49.7</v>
      </c>
      <c r="G2100" s="162">
        <v>521.85</v>
      </c>
      <c r="H2100" s="67">
        <v>64</v>
      </c>
    </row>
    <row r="2101" spans="1:8" x14ac:dyDescent="0.25">
      <c r="A2101" s="212">
        <v>42065</v>
      </c>
      <c r="B2101" s="160" t="s">
        <v>791</v>
      </c>
      <c r="C2101" t="s">
        <v>748</v>
      </c>
      <c r="D2101" t="s">
        <v>527</v>
      </c>
      <c r="E2101" s="161">
        <v>4</v>
      </c>
      <c r="F2101" s="161">
        <v>47</v>
      </c>
      <c r="G2101" s="162">
        <v>188</v>
      </c>
      <c r="H2101" s="67">
        <v>64</v>
      </c>
    </row>
    <row r="2102" spans="1:8" x14ac:dyDescent="0.25">
      <c r="A2102" s="212">
        <v>42065</v>
      </c>
      <c r="B2102" s="160" t="s">
        <v>623</v>
      </c>
      <c r="C2102" t="s">
        <v>7</v>
      </c>
      <c r="D2102" t="s">
        <v>527</v>
      </c>
      <c r="E2102" s="161">
        <v>6</v>
      </c>
      <c r="F2102" s="161">
        <v>49.7</v>
      </c>
      <c r="G2102" s="162">
        <v>298.2</v>
      </c>
      <c r="H2102" s="67">
        <v>64</v>
      </c>
    </row>
    <row r="2103" spans="1:8" x14ac:dyDescent="0.25">
      <c r="A2103" s="212">
        <v>42065</v>
      </c>
      <c r="B2103" s="160" t="s">
        <v>623</v>
      </c>
      <c r="C2103" t="s">
        <v>7</v>
      </c>
      <c r="D2103" t="s">
        <v>27</v>
      </c>
      <c r="E2103" s="161">
        <v>9.5</v>
      </c>
      <c r="F2103" s="161">
        <v>46.85</v>
      </c>
      <c r="G2103" s="162">
        <v>1813.4649999999999</v>
      </c>
      <c r="H2103" s="67">
        <v>64</v>
      </c>
    </row>
    <row r="2104" spans="1:8" x14ac:dyDescent="0.25">
      <c r="A2104" s="212">
        <v>42065</v>
      </c>
      <c r="B2104" s="160" t="s">
        <v>664</v>
      </c>
      <c r="C2104" t="s">
        <v>665</v>
      </c>
      <c r="D2104" t="s">
        <v>527</v>
      </c>
      <c r="E2104" s="161">
        <v>6</v>
      </c>
      <c r="F2104" s="161">
        <v>35</v>
      </c>
      <c r="G2104" s="162">
        <v>210</v>
      </c>
      <c r="H2104" s="67">
        <v>64</v>
      </c>
    </row>
    <row r="2105" spans="1:8" x14ac:dyDescent="0.25">
      <c r="A2105" s="212">
        <v>42065</v>
      </c>
      <c r="B2105" s="160" t="s">
        <v>623</v>
      </c>
      <c r="C2105" t="s">
        <v>7</v>
      </c>
      <c r="D2105" t="s">
        <v>27</v>
      </c>
      <c r="E2105" s="161">
        <v>5.5</v>
      </c>
      <c r="F2105" s="161">
        <v>42.6</v>
      </c>
      <c r="G2105" s="162">
        <v>234.3</v>
      </c>
      <c r="H2105" s="67">
        <v>64</v>
      </c>
    </row>
    <row r="2106" spans="1:8" x14ac:dyDescent="0.25">
      <c r="A2106" s="212">
        <v>42065</v>
      </c>
      <c r="B2106" s="160" t="s">
        <v>1209</v>
      </c>
      <c r="C2106" t="s">
        <v>1210</v>
      </c>
      <c r="D2106" t="s">
        <v>27</v>
      </c>
      <c r="E2106" s="161">
        <v>6</v>
      </c>
      <c r="F2106" s="161">
        <v>42.79</v>
      </c>
      <c r="G2106" s="162">
        <v>256.74</v>
      </c>
      <c r="H2106" s="67">
        <v>64</v>
      </c>
    </row>
    <row r="2107" spans="1:8" x14ac:dyDescent="0.25">
      <c r="A2107" s="212">
        <v>42065</v>
      </c>
      <c r="B2107" s="160" t="s">
        <v>1212</v>
      </c>
      <c r="C2107" t="s">
        <v>7</v>
      </c>
      <c r="D2107" t="s">
        <v>27</v>
      </c>
      <c r="E2107" s="161">
        <v>6</v>
      </c>
      <c r="F2107" s="161">
        <v>42.72</v>
      </c>
      <c r="G2107" s="162">
        <v>256.32</v>
      </c>
      <c r="H2107" s="67">
        <v>64</v>
      </c>
    </row>
    <row r="2108" spans="1:8" x14ac:dyDescent="0.25">
      <c r="A2108" s="212">
        <v>42065</v>
      </c>
      <c r="B2108" s="160" t="s">
        <v>1109</v>
      </c>
      <c r="C2108" t="s">
        <v>7</v>
      </c>
      <c r="D2108" t="s">
        <v>27</v>
      </c>
      <c r="E2108" s="161">
        <v>6.5</v>
      </c>
      <c r="F2108" s="161">
        <v>42.72</v>
      </c>
      <c r="G2108" s="162">
        <v>277.68</v>
      </c>
      <c r="H2108" s="67">
        <v>64</v>
      </c>
    </row>
    <row r="2109" spans="1:8" x14ac:dyDescent="0.25">
      <c r="A2109" s="212">
        <v>42065</v>
      </c>
      <c r="B2109" s="160" t="s">
        <v>790</v>
      </c>
      <c r="C2109" t="s">
        <v>757</v>
      </c>
      <c r="D2109" t="s">
        <v>527</v>
      </c>
      <c r="E2109" s="161">
        <v>400</v>
      </c>
      <c r="F2109" s="161">
        <v>1.76</v>
      </c>
      <c r="G2109" s="162">
        <v>704</v>
      </c>
      <c r="H2109" s="67">
        <v>64</v>
      </c>
    </row>
    <row r="2110" spans="1:8" x14ac:dyDescent="0.25">
      <c r="A2110" s="212">
        <v>42066</v>
      </c>
      <c r="B2110" s="160" t="s">
        <v>291</v>
      </c>
      <c r="C2110" t="s">
        <v>746</v>
      </c>
      <c r="D2110" t="s">
        <v>527</v>
      </c>
      <c r="E2110" s="161">
        <v>9.7200000000000006</v>
      </c>
      <c r="F2110" s="161">
        <v>50</v>
      </c>
      <c r="G2110" s="162">
        <v>486</v>
      </c>
      <c r="H2110" s="67">
        <v>64</v>
      </c>
    </row>
    <row r="2111" spans="1:8" x14ac:dyDescent="0.25">
      <c r="A2111" s="212">
        <v>42066</v>
      </c>
      <c r="B2111" s="160" t="s">
        <v>742</v>
      </c>
      <c r="C2111" t="s">
        <v>741</v>
      </c>
      <c r="D2111" t="s">
        <v>527</v>
      </c>
      <c r="E2111" s="161">
        <v>6.3</v>
      </c>
      <c r="F2111" s="161">
        <v>48</v>
      </c>
      <c r="G2111" s="162">
        <v>302.39999999999998</v>
      </c>
      <c r="H2111" s="67">
        <v>64</v>
      </c>
    </row>
    <row r="2112" spans="1:8" x14ac:dyDescent="0.25">
      <c r="A2112" s="212">
        <v>42066</v>
      </c>
      <c r="B2112" s="160" t="s">
        <v>742</v>
      </c>
      <c r="C2112" t="s">
        <v>741</v>
      </c>
      <c r="D2112" t="s">
        <v>527</v>
      </c>
      <c r="E2112" s="161">
        <v>11.36</v>
      </c>
      <c r="F2112" s="161">
        <v>48</v>
      </c>
      <c r="G2112" s="162">
        <v>545.28</v>
      </c>
      <c r="H2112" s="67">
        <v>64</v>
      </c>
    </row>
    <row r="2113" spans="1:8" x14ac:dyDescent="0.25">
      <c r="A2113" s="212">
        <v>42066</v>
      </c>
      <c r="B2113" s="160" t="s">
        <v>742</v>
      </c>
      <c r="C2113" t="s">
        <v>741</v>
      </c>
      <c r="D2113" t="s">
        <v>527</v>
      </c>
      <c r="E2113" s="161">
        <v>10.24</v>
      </c>
      <c r="F2113" s="161">
        <v>48</v>
      </c>
      <c r="G2113" s="162">
        <v>491.52</v>
      </c>
      <c r="H2113" s="67">
        <v>64</v>
      </c>
    </row>
    <row r="2114" spans="1:8" x14ac:dyDescent="0.25">
      <c r="A2114" s="212">
        <v>42066</v>
      </c>
      <c r="B2114" s="160" t="s">
        <v>792</v>
      </c>
      <c r="C2114" t="s">
        <v>793</v>
      </c>
      <c r="D2114" t="s">
        <v>527</v>
      </c>
      <c r="E2114" s="161">
        <v>7.5</v>
      </c>
      <c r="F2114" s="161">
        <v>106.82</v>
      </c>
      <c r="G2114" s="162">
        <v>801.15</v>
      </c>
      <c r="H2114" s="67">
        <v>64</v>
      </c>
    </row>
    <row r="2115" spans="1:8" x14ac:dyDescent="0.25">
      <c r="A2115" s="212">
        <v>42066</v>
      </c>
      <c r="B2115" s="160" t="s">
        <v>291</v>
      </c>
      <c r="C2115" t="s">
        <v>746</v>
      </c>
      <c r="D2115" t="s">
        <v>527</v>
      </c>
      <c r="E2115" s="161">
        <v>11.32</v>
      </c>
      <c r="F2115" s="161">
        <v>50</v>
      </c>
      <c r="G2115" s="162">
        <v>566</v>
      </c>
      <c r="H2115" s="67">
        <v>64</v>
      </c>
    </row>
    <row r="2116" spans="1:8" x14ac:dyDescent="0.25">
      <c r="A2116" s="212">
        <v>42067</v>
      </c>
      <c r="B2116" s="160" t="s">
        <v>792</v>
      </c>
      <c r="C2116" t="s">
        <v>793</v>
      </c>
      <c r="D2116" t="s">
        <v>527</v>
      </c>
      <c r="E2116" s="161">
        <v>4</v>
      </c>
      <c r="F2116" s="161">
        <v>106.82</v>
      </c>
      <c r="G2116" s="162">
        <v>427.28</v>
      </c>
      <c r="H2116" s="67">
        <v>64</v>
      </c>
    </row>
    <row r="2117" spans="1:8" ht="30" x14ac:dyDescent="0.25">
      <c r="A2117" s="212">
        <v>42081</v>
      </c>
      <c r="B2117" s="160" t="s">
        <v>794</v>
      </c>
      <c r="C2117" t="s">
        <v>746</v>
      </c>
      <c r="D2117" t="s">
        <v>527</v>
      </c>
      <c r="E2117" s="161">
        <v>14</v>
      </c>
      <c r="F2117" s="161">
        <v>172.43</v>
      </c>
      <c r="G2117" s="162">
        <v>2414.02</v>
      </c>
      <c r="H2117" s="67">
        <v>64</v>
      </c>
    </row>
    <row r="2118" spans="1:8" x14ac:dyDescent="0.25">
      <c r="A2118" s="212">
        <v>42081</v>
      </c>
      <c r="B2118" s="160" t="s">
        <v>795</v>
      </c>
      <c r="C2118" t="s">
        <v>776</v>
      </c>
      <c r="D2118" t="s">
        <v>527</v>
      </c>
      <c r="E2118" s="161">
        <v>4927</v>
      </c>
      <c r="F2118" s="161">
        <v>1.57</v>
      </c>
      <c r="G2118" s="162">
        <v>7735.39</v>
      </c>
      <c r="H2118" s="67">
        <v>64</v>
      </c>
    </row>
    <row r="2119" spans="1:8" x14ac:dyDescent="0.25">
      <c r="A2119" s="212">
        <v>42081</v>
      </c>
      <c r="B2119" s="160" t="s">
        <v>795</v>
      </c>
      <c r="C2119" t="s">
        <v>796</v>
      </c>
      <c r="D2119" t="s">
        <v>527</v>
      </c>
      <c r="E2119" s="161">
        <v>1</v>
      </c>
      <c r="F2119" s="161">
        <v>4500</v>
      </c>
      <c r="G2119" s="162">
        <v>4500</v>
      </c>
      <c r="H2119" s="67">
        <v>64</v>
      </c>
    </row>
    <row r="2120" spans="1:8" ht="30" x14ac:dyDescent="0.25">
      <c r="A2120" s="212">
        <v>42081</v>
      </c>
      <c r="B2120" s="160" t="s">
        <v>800</v>
      </c>
      <c r="C2120" t="s">
        <v>741</v>
      </c>
      <c r="D2120" t="s">
        <v>527</v>
      </c>
      <c r="E2120" s="161">
        <v>0.1</v>
      </c>
      <c r="F2120" s="161">
        <v>225.31</v>
      </c>
      <c r="G2120" s="162">
        <v>22.530999999999999</v>
      </c>
      <c r="H2120" s="67">
        <v>64</v>
      </c>
    </row>
    <row r="2121" spans="1:8" x14ac:dyDescent="0.25">
      <c r="A2121" s="212">
        <v>42081</v>
      </c>
      <c r="B2121" s="160" t="s">
        <v>799</v>
      </c>
      <c r="C2121" t="s">
        <v>776</v>
      </c>
      <c r="D2121" t="s">
        <v>527</v>
      </c>
      <c r="E2121" s="161">
        <v>24</v>
      </c>
      <c r="F2121" s="161">
        <v>1.57</v>
      </c>
      <c r="G2121" s="162">
        <v>37.68</v>
      </c>
      <c r="H2121" s="67">
        <v>64</v>
      </c>
    </row>
    <row r="2122" spans="1:8" ht="30" x14ac:dyDescent="0.25">
      <c r="A2122" s="212">
        <v>42081</v>
      </c>
      <c r="B2122" s="160" t="s">
        <v>797</v>
      </c>
      <c r="C2122" t="s">
        <v>741</v>
      </c>
      <c r="D2122" t="s">
        <v>527</v>
      </c>
      <c r="E2122" s="161">
        <v>19</v>
      </c>
      <c r="F2122" s="161">
        <v>225.31</v>
      </c>
      <c r="G2122" s="162">
        <v>4280.8900000000003</v>
      </c>
      <c r="H2122" s="67">
        <v>64</v>
      </c>
    </row>
    <row r="2123" spans="1:8" ht="30" x14ac:dyDescent="0.25">
      <c r="A2123" s="212">
        <v>42081</v>
      </c>
      <c r="B2123" s="160" t="s">
        <v>798</v>
      </c>
      <c r="C2123" t="s">
        <v>746</v>
      </c>
      <c r="D2123" t="s">
        <v>527</v>
      </c>
      <c r="E2123" s="161">
        <v>0.1</v>
      </c>
      <c r="F2123" s="161">
        <v>172.43</v>
      </c>
      <c r="G2123" s="162">
        <v>17.242999999999999</v>
      </c>
      <c r="H2123" s="67">
        <v>64</v>
      </c>
    </row>
    <row r="2124" spans="1:8" x14ac:dyDescent="0.25">
      <c r="A2124" s="212">
        <v>42082</v>
      </c>
      <c r="B2124" s="160" t="s">
        <v>801</v>
      </c>
      <c r="C2124" t="s">
        <v>748</v>
      </c>
      <c r="D2124" t="s">
        <v>527</v>
      </c>
      <c r="E2124" s="161">
        <v>5</v>
      </c>
      <c r="F2124" s="161">
        <v>47</v>
      </c>
      <c r="G2124" s="162">
        <v>235</v>
      </c>
      <c r="H2124" s="67">
        <v>64</v>
      </c>
    </row>
    <row r="2125" spans="1:8" x14ac:dyDescent="0.25">
      <c r="A2125" s="212">
        <v>42086</v>
      </c>
      <c r="B2125" s="160" t="s">
        <v>792</v>
      </c>
      <c r="C2125" t="s">
        <v>793</v>
      </c>
      <c r="D2125" t="s">
        <v>527</v>
      </c>
      <c r="E2125" s="161">
        <v>5</v>
      </c>
      <c r="F2125" s="161">
        <v>117.723</v>
      </c>
      <c r="G2125" s="162">
        <v>588.61500000000001</v>
      </c>
      <c r="H2125" s="67">
        <v>64</v>
      </c>
    </row>
    <row r="2126" spans="1:8" x14ac:dyDescent="0.25">
      <c r="A2126" s="212">
        <v>42093</v>
      </c>
      <c r="B2126" s="160" t="s">
        <v>802</v>
      </c>
      <c r="C2126" t="s">
        <v>776</v>
      </c>
      <c r="D2126" t="s">
        <v>527</v>
      </c>
      <c r="E2126" s="161">
        <v>1</v>
      </c>
      <c r="F2126" s="161">
        <v>13500</v>
      </c>
      <c r="G2126" s="162">
        <v>13500</v>
      </c>
      <c r="H2126" s="67">
        <v>64</v>
      </c>
    </row>
    <row r="2127" spans="1:8" ht="30" x14ac:dyDescent="0.25">
      <c r="A2127" s="212">
        <v>42093</v>
      </c>
      <c r="B2127" s="160" t="s">
        <v>803</v>
      </c>
      <c r="C2127" t="s">
        <v>776</v>
      </c>
      <c r="D2127" t="s">
        <v>527</v>
      </c>
      <c r="E2127" s="161">
        <v>1</v>
      </c>
      <c r="F2127" s="161">
        <v>7500</v>
      </c>
      <c r="G2127" s="162">
        <v>7500</v>
      </c>
      <c r="H2127" s="67">
        <v>64</v>
      </c>
    </row>
    <row r="2128" spans="1:8" x14ac:dyDescent="0.25">
      <c r="A2128" s="213" t="s">
        <v>418</v>
      </c>
      <c r="B2128" s="214" t="s">
        <v>804</v>
      </c>
      <c r="C2128" s="215" t="s">
        <v>418</v>
      </c>
      <c r="D2128" s="215" t="s">
        <v>418</v>
      </c>
      <c r="E2128" s="216"/>
      <c r="F2128" s="216"/>
      <c r="G2128" s="217">
        <v>358171.69800000003</v>
      </c>
      <c r="H2128" s="231" t="s">
        <v>418</v>
      </c>
    </row>
    <row r="2129" spans="1:8" x14ac:dyDescent="0.25">
      <c r="A2129" s="212" t="s">
        <v>418</v>
      </c>
      <c r="B2129" s="160" t="s">
        <v>418</v>
      </c>
      <c r="C2129" t="s">
        <v>418</v>
      </c>
      <c r="D2129" t="s">
        <v>418</v>
      </c>
      <c r="E2129" s="161"/>
      <c r="F2129" s="161"/>
      <c r="G2129" s="162"/>
      <c r="H2129" s="67" t="s">
        <v>418</v>
      </c>
    </row>
    <row r="2130" spans="1:8" x14ac:dyDescent="0.25">
      <c r="A2130" s="209" t="s">
        <v>418</v>
      </c>
      <c r="B2130" s="159" t="s">
        <v>1246</v>
      </c>
      <c r="C2130" s="35" t="s">
        <v>418</v>
      </c>
      <c r="D2130" s="35" t="s">
        <v>418</v>
      </c>
      <c r="E2130" s="210"/>
      <c r="F2130" s="210"/>
      <c r="G2130" s="211"/>
      <c r="H2130" s="229" t="s">
        <v>418</v>
      </c>
    </row>
    <row r="2131" spans="1:8" x14ac:dyDescent="0.25">
      <c r="A2131" s="212">
        <v>42040</v>
      </c>
      <c r="B2131" s="160" t="s">
        <v>623</v>
      </c>
      <c r="C2131" t="s">
        <v>7</v>
      </c>
      <c r="D2131" t="s">
        <v>27</v>
      </c>
      <c r="E2131" s="161">
        <v>6</v>
      </c>
      <c r="F2131" s="161">
        <v>42.6</v>
      </c>
      <c r="G2131" s="162">
        <v>255.6</v>
      </c>
      <c r="H2131" s="67">
        <v>65</v>
      </c>
    </row>
    <row r="2132" spans="1:8" x14ac:dyDescent="0.25">
      <c r="A2132" s="212">
        <v>42060</v>
      </c>
      <c r="B2132" s="160" t="s">
        <v>664</v>
      </c>
      <c r="C2132" t="s">
        <v>665</v>
      </c>
      <c r="D2132" t="s">
        <v>527</v>
      </c>
      <c r="E2132" s="161">
        <v>7</v>
      </c>
      <c r="F2132" s="161">
        <v>35</v>
      </c>
      <c r="G2132" s="162">
        <v>245</v>
      </c>
      <c r="H2132" s="67">
        <v>65</v>
      </c>
    </row>
    <row r="2133" spans="1:8" x14ac:dyDescent="0.25">
      <c r="A2133" s="213" t="s">
        <v>418</v>
      </c>
      <c r="B2133" s="214" t="s">
        <v>805</v>
      </c>
      <c r="C2133" s="215" t="s">
        <v>418</v>
      </c>
      <c r="D2133" s="215" t="s">
        <v>418</v>
      </c>
      <c r="E2133" s="216"/>
      <c r="F2133" s="216"/>
      <c r="G2133" s="217">
        <v>500.6</v>
      </c>
      <c r="H2133" s="231" t="s">
        <v>418</v>
      </c>
    </row>
    <row r="2134" spans="1:8" x14ac:dyDescent="0.25">
      <c r="A2134" s="212" t="s">
        <v>418</v>
      </c>
      <c r="B2134" s="160" t="s">
        <v>418</v>
      </c>
      <c r="C2134" t="s">
        <v>418</v>
      </c>
      <c r="D2134" t="s">
        <v>418</v>
      </c>
      <c r="E2134" s="161"/>
      <c r="F2134" s="161"/>
      <c r="G2134" s="162"/>
      <c r="H2134" s="67" t="s">
        <v>418</v>
      </c>
    </row>
    <row r="2135" spans="1:8" x14ac:dyDescent="0.25">
      <c r="A2135" s="209" t="s">
        <v>418</v>
      </c>
      <c r="B2135" s="159" t="s">
        <v>1247</v>
      </c>
      <c r="C2135" s="35" t="s">
        <v>418</v>
      </c>
      <c r="D2135" s="35" t="s">
        <v>418</v>
      </c>
      <c r="E2135" s="210"/>
      <c r="F2135" s="210"/>
      <c r="G2135" s="211"/>
      <c r="H2135" s="229" t="s">
        <v>418</v>
      </c>
    </row>
    <row r="2136" spans="1:8" x14ac:dyDescent="0.25">
      <c r="A2136" s="212">
        <v>41917</v>
      </c>
      <c r="B2136" s="160" t="s">
        <v>806</v>
      </c>
      <c r="C2136" t="s">
        <v>643</v>
      </c>
      <c r="D2136" t="s">
        <v>527</v>
      </c>
      <c r="E2136" s="161">
        <v>1</v>
      </c>
      <c r="F2136" s="161">
        <v>224.21</v>
      </c>
      <c r="G2136" s="162">
        <v>224.21</v>
      </c>
      <c r="H2136" s="67">
        <v>67</v>
      </c>
    </row>
    <row r="2137" spans="1:8" x14ac:dyDescent="0.25">
      <c r="A2137" s="212">
        <v>41920</v>
      </c>
      <c r="B2137" s="160" t="s">
        <v>807</v>
      </c>
      <c r="C2137" t="s">
        <v>643</v>
      </c>
      <c r="D2137" t="s">
        <v>527</v>
      </c>
      <c r="E2137" s="161">
        <v>1</v>
      </c>
      <c r="F2137" s="161">
        <v>224.21</v>
      </c>
      <c r="G2137" s="162">
        <v>224.21</v>
      </c>
      <c r="H2137" s="67">
        <v>67</v>
      </c>
    </row>
    <row r="2138" spans="1:8" x14ac:dyDescent="0.25">
      <c r="A2138" s="212">
        <v>41950</v>
      </c>
      <c r="B2138" s="160" t="s">
        <v>808</v>
      </c>
      <c r="C2138" t="s">
        <v>643</v>
      </c>
      <c r="D2138" t="s">
        <v>527</v>
      </c>
      <c r="E2138" s="161">
        <v>1</v>
      </c>
      <c r="F2138" s="161">
        <v>2.2599999999999998</v>
      </c>
      <c r="G2138" s="162">
        <v>2.2599999999999998</v>
      </c>
      <c r="H2138" s="67">
        <v>67</v>
      </c>
    </row>
    <row r="2139" spans="1:8" x14ac:dyDescent="0.25">
      <c r="A2139" s="212">
        <v>41971</v>
      </c>
      <c r="B2139" s="160" t="s">
        <v>810</v>
      </c>
      <c r="C2139" t="s">
        <v>811</v>
      </c>
      <c r="D2139" t="s">
        <v>527</v>
      </c>
      <c r="E2139" s="161">
        <v>1</v>
      </c>
      <c r="F2139" s="161">
        <v>60.4</v>
      </c>
      <c r="G2139" s="162">
        <v>60.4</v>
      </c>
      <c r="H2139" s="67">
        <v>67</v>
      </c>
    </row>
    <row r="2140" spans="1:8" x14ac:dyDescent="0.25">
      <c r="A2140" s="212">
        <v>41971</v>
      </c>
      <c r="B2140" s="160" t="s">
        <v>1212</v>
      </c>
      <c r="C2140" t="s">
        <v>7</v>
      </c>
      <c r="D2140" t="s">
        <v>27</v>
      </c>
      <c r="E2140" s="161">
        <v>4</v>
      </c>
      <c r="F2140" s="161">
        <v>42.72</v>
      </c>
      <c r="G2140" s="162">
        <v>170.88</v>
      </c>
      <c r="H2140" s="67">
        <v>67</v>
      </c>
    </row>
    <row r="2141" spans="1:8" x14ac:dyDescent="0.25">
      <c r="A2141" s="212">
        <v>41974</v>
      </c>
      <c r="B2141" s="160" t="s">
        <v>1109</v>
      </c>
      <c r="C2141" t="s">
        <v>7</v>
      </c>
      <c r="D2141" t="s">
        <v>27</v>
      </c>
      <c r="E2141" s="161">
        <v>4.5</v>
      </c>
      <c r="F2141" s="161">
        <v>42.72</v>
      </c>
      <c r="G2141" s="162">
        <v>192.24</v>
      </c>
      <c r="H2141" s="67">
        <v>67</v>
      </c>
    </row>
    <row r="2142" spans="1:8" x14ac:dyDescent="0.25">
      <c r="A2142" s="212">
        <v>41974</v>
      </c>
      <c r="B2142" s="160" t="s">
        <v>1212</v>
      </c>
      <c r="C2142" t="s">
        <v>7</v>
      </c>
      <c r="D2142" t="s">
        <v>27</v>
      </c>
      <c r="E2142" s="161">
        <v>5</v>
      </c>
      <c r="F2142" s="161">
        <v>42.72</v>
      </c>
      <c r="G2142" s="162">
        <v>213.6</v>
      </c>
      <c r="H2142" s="67">
        <v>67</v>
      </c>
    </row>
    <row r="2143" spans="1:8" x14ac:dyDescent="0.25">
      <c r="A2143" s="212">
        <v>41974</v>
      </c>
      <c r="B2143" s="160" t="s">
        <v>1212</v>
      </c>
      <c r="C2143" t="s">
        <v>7</v>
      </c>
      <c r="D2143" t="s">
        <v>27</v>
      </c>
      <c r="E2143" s="161">
        <v>6</v>
      </c>
      <c r="F2143" s="161">
        <v>42.72</v>
      </c>
      <c r="G2143" s="162">
        <v>256.32</v>
      </c>
      <c r="H2143" s="67">
        <v>67</v>
      </c>
    </row>
    <row r="2144" spans="1:8" x14ac:dyDescent="0.25">
      <c r="A2144" s="212">
        <v>41990</v>
      </c>
      <c r="B2144" s="160" t="s">
        <v>1212</v>
      </c>
      <c r="C2144" t="s">
        <v>7</v>
      </c>
      <c r="D2144" t="s">
        <v>27</v>
      </c>
      <c r="E2144" s="161">
        <v>5</v>
      </c>
      <c r="F2144" s="161">
        <v>42.72</v>
      </c>
      <c r="G2144" s="162">
        <v>213.6</v>
      </c>
      <c r="H2144" s="67">
        <v>67</v>
      </c>
    </row>
    <row r="2145" spans="1:8" x14ac:dyDescent="0.25">
      <c r="A2145" s="212">
        <v>41990</v>
      </c>
      <c r="B2145" s="160" t="s">
        <v>1212</v>
      </c>
      <c r="C2145" t="s">
        <v>7</v>
      </c>
      <c r="D2145" t="s">
        <v>27</v>
      </c>
      <c r="E2145" s="161">
        <v>5</v>
      </c>
      <c r="F2145" s="161">
        <v>42.72</v>
      </c>
      <c r="G2145" s="162">
        <v>213.6</v>
      </c>
      <c r="H2145" s="67">
        <v>67</v>
      </c>
    </row>
    <row r="2146" spans="1:8" x14ac:dyDescent="0.25">
      <c r="A2146" s="212">
        <v>41991</v>
      </c>
      <c r="B2146" s="160" t="s">
        <v>1212</v>
      </c>
      <c r="C2146" t="s">
        <v>7</v>
      </c>
      <c r="D2146" t="s">
        <v>27</v>
      </c>
      <c r="E2146" s="161">
        <v>10.5</v>
      </c>
      <c r="F2146" s="161">
        <v>42.72</v>
      </c>
      <c r="G2146" s="162">
        <v>448.56</v>
      </c>
      <c r="H2146" s="67">
        <v>67</v>
      </c>
    </row>
    <row r="2147" spans="1:8" x14ac:dyDescent="0.25">
      <c r="A2147" s="212">
        <v>41991</v>
      </c>
      <c r="B2147" s="160" t="s">
        <v>1212</v>
      </c>
      <c r="C2147" t="s">
        <v>7</v>
      </c>
      <c r="D2147" t="s">
        <v>27</v>
      </c>
      <c r="E2147" s="161">
        <v>10.5</v>
      </c>
      <c r="F2147" s="161">
        <v>42.72</v>
      </c>
      <c r="G2147" s="162">
        <v>448.56</v>
      </c>
      <c r="H2147" s="67">
        <v>67</v>
      </c>
    </row>
    <row r="2148" spans="1:8" x14ac:dyDescent="0.25">
      <c r="A2148" s="212">
        <v>42010</v>
      </c>
      <c r="B2148" s="160" t="s">
        <v>809</v>
      </c>
      <c r="C2148" t="s">
        <v>643</v>
      </c>
      <c r="D2148" t="s">
        <v>527</v>
      </c>
      <c r="E2148" s="161">
        <v>1</v>
      </c>
      <c r="F2148" s="161">
        <v>56.05</v>
      </c>
      <c r="G2148" s="162">
        <v>56.05</v>
      </c>
      <c r="H2148" s="67">
        <v>67</v>
      </c>
    </row>
    <row r="2149" spans="1:8" x14ac:dyDescent="0.25">
      <c r="A2149" s="212">
        <v>42041</v>
      </c>
      <c r="B2149" s="160" t="s">
        <v>1212</v>
      </c>
      <c r="C2149" t="s">
        <v>7</v>
      </c>
      <c r="D2149" t="s">
        <v>27</v>
      </c>
      <c r="E2149" s="161">
        <v>6</v>
      </c>
      <c r="F2149" s="161">
        <v>42.72</v>
      </c>
      <c r="G2149" s="162">
        <v>256.32</v>
      </c>
      <c r="H2149" s="67">
        <v>67</v>
      </c>
    </row>
    <row r="2150" spans="1:8" x14ac:dyDescent="0.25">
      <c r="A2150" s="212">
        <v>42041</v>
      </c>
      <c r="B2150" s="160" t="s">
        <v>1109</v>
      </c>
      <c r="C2150" t="s">
        <v>7</v>
      </c>
      <c r="D2150" t="s">
        <v>27</v>
      </c>
      <c r="E2150" s="161">
        <v>6</v>
      </c>
      <c r="F2150" s="161">
        <v>42.72</v>
      </c>
      <c r="G2150" s="162">
        <v>256.32</v>
      </c>
      <c r="H2150" s="67">
        <v>67</v>
      </c>
    </row>
    <row r="2151" spans="1:8" x14ac:dyDescent="0.25">
      <c r="A2151" s="212">
        <v>42041</v>
      </c>
      <c r="B2151" s="160" t="s">
        <v>623</v>
      </c>
      <c r="C2151" t="s">
        <v>7</v>
      </c>
      <c r="D2151" t="s">
        <v>27</v>
      </c>
      <c r="E2151" s="161">
        <v>5</v>
      </c>
      <c r="F2151" s="161">
        <v>46.85</v>
      </c>
      <c r="G2151" s="162">
        <v>234.25</v>
      </c>
      <c r="H2151" s="67">
        <v>67</v>
      </c>
    </row>
    <row r="2152" spans="1:8" x14ac:dyDescent="0.25">
      <c r="A2152" s="212">
        <v>42041</v>
      </c>
      <c r="B2152" s="160" t="s">
        <v>623</v>
      </c>
      <c r="C2152" t="s">
        <v>7</v>
      </c>
      <c r="D2152" t="s">
        <v>527</v>
      </c>
      <c r="E2152" s="161">
        <v>5</v>
      </c>
      <c r="F2152" s="161">
        <v>49.7</v>
      </c>
      <c r="G2152" s="162">
        <v>248.5</v>
      </c>
      <c r="H2152" s="67">
        <v>67</v>
      </c>
    </row>
    <row r="2153" spans="1:8" x14ac:dyDescent="0.25">
      <c r="A2153" s="213" t="s">
        <v>418</v>
      </c>
      <c r="B2153" s="214" t="s">
        <v>812</v>
      </c>
      <c r="C2153" s="215" t="s">
        <v>418</v>
      </c>
      <c r="D2153" s="215" t="s">
        <v>418</v>
      </c>
      <c r="E2153" s="216"/>
      <c r="F2153" s="216"/>
      <c r="G2153" s="217">
        <v>3719.88</v>
      </c>
      <c r="H2153" s="231" t="s">
        <v>418</v>
      </c>
    </row>
    <row r="2154" spans="1:8" x14ac:dyDescent="0.25">
      <c r="A2154" s="212" t="s">
        <v>418</v>
      </c>
      <c r="B2154" s="160" t="s">
        <v>418</v>
      </c>
      <c r="C2154" t="s">
        <v>418</v>
      </c>
      <c r="D2154" t="s">
        <v>418</v>
      </c>
      <c r="E2154" s="161"/>
      <c r="F2154" s="161"/>
      <c r="G2154" s="162"/>
      <c r="H2154" s="67" t="s">
        <v>418</v>
      </c>
    </row>
    <row r="2155" spans="1:8" x14ac:dyDescent="0.25">
      <c r="A2155" s="209" t="s">
        <v>418</v>
      </c>
      <c r="B2155" s="159" t="s">
        <v>1248</v>
      </c>
      <c r="C2155" s="35" t="s">
        <v>418</v>
      </c>
      <c r="D2155" s="35" t="s">
        <v>418</v>
      </c>
      <c r="E2155" s="210"/>
      <c r="F2155" s="210"/>
      <c r="G2155" s="211"/>
      <c r="H2155" s="229" t="s">
        <v>418</v>
      </c>
    </row>
    <row r="2156" spans="1:8" x14ac:dyDescent="0.25">
      <c r="A2156" s="212">
        <v>42037</v>
      </c>
      <c r="B2156" s="160" t="s">
        <v>285</v>
      </c>
      <c r="C2156" t="s">
        <v>621</v>
      </c>
      <c r="D2156" t="s">
        <v>27</v>
      </c>
      <c r="E2156" s="161">
        <v>6</v>
      </c>
      <c r="F2156" s="161">
        <v>90</v>
      </c>
      <c r="G2156" s="162">
        <v>540</v>
      </c>
      <c r="H2156" s="67">
        <v>72</v>
      </c>
    </row>
    <row r="2157" spans="1:8" x14ac:dyDescent="0.25">
      <c r="A2157" s="212">
        <v>42042</v>
      </c>
      <c r="B2157" s="160" t="s">
        <v>623</v>
      </c>
      <c r="C2157" t="s">
        <v>7</v>
      </c>
      <c r="D2157" t="s">
        <v>27</v>
      </c>
      <c r="E2157" s="161">
        <v>10</v>
      </c>
      <c r="F2157" s="161">
        <v>42.6</v>
      </c>
      <c r="G2157" s="162">
        <v>426</v>
      </c>
      <c r="H2157" s="67">
        <v>72</v>
      </c>
    </row>
    <row r="2158" spans="1:8" ht="45" x14ac:dyDescent="0.25">
      <c r="A2158" s="212">
        <v>42042</v>
      </c>
      <c r="B2158" s="160" t="s">
        <v>813</v>
      </c>
      <c r="C2158" t="s">
        <v>643</v>
      </c>
      <c r="D2158" t="s">
        <v>527</v>
      </c>
      <c r="E2158" s="161">
        <v>1</v>
      </c>
      <c r="F2158" s="161">
        <v>619.37</v>
      </c>
      <c r="G2158" s="162">
        <v>619.37</v>
      </c>
      <c r="H2158" s="67">
        <v>72</v>
      </c>
    </row>
    <row r="2159" spans="1:8" x14ac:dyDescent="0.25">
      <c r="A2159" s="212">
        <v>42042</v>
      </c>
      <c r="B2159" s="160" t="s">
        <v>623</v>
      </c>
      <c r="C2159" t="s">
        <v>7</v>
      </c>
      <c r="D2159" t="s">
        <v>27</v>
      </c>
      <c r="E2159" s="161">
        <v>10</v>
      </c>
      <c r="F2159" s="161">
        <v>42.6</v>
      </c>
      <c r="G2159" s="162">
        <v>426</v>
      </c>
      <c r="H2159" s="67">
        <v>72</v>
      </c>
    </row>
    <row r="2160" spans="1:8" x14ac:dyDescent="0.25">
      <c r="A2160" s="212">
        <v>42044</v>
      </c>
      <c r="B2160" s="160" t="s">
        <v>1212</v>
      </c>
      <c r="C2160" t="s">
        <v>7</v>
      </c>
      <c r="D2160" t="s">
        <v>27</v>
      </c>
      <c r="E2160" s="161">
        <v>8.5</v>
      </c>
      <c r="F2160" s="161">
        <v>42.72</v>
      </c>
      <c r="G2160" s="162">
        <v>363.12</v>
      </c>
      <c r="H2160" s="67">
        <v>72</v>
      </c>
    </row>
    <row r="2161" spans="1:8" x14ac:dyDescent="0.25">
      <c r="A2161" s="212">
        <v>42044</v>
      </c>
      <c r="B2161" s="160" t="s">
        <v>1109</v>
      </c>
      <c r="C2161" t="s">
        <v>7</v>
      </c>
      <c r="D2161" t="s">
        <v>27</v>
      </c>
      <c r="E2161" s="161">
        <v>10</v>
      </c>
      <c r="F2161" s="161">
        <v>42.72</v>
      </c>
      <c r="G2161" s="162">
        <v>427.2</v>
      </c>
      <c r="H2161" s="67">
        <v>72</v>
      </c>
    </row>
    <row r="2162" spans="1:8" x14ac:dyDescent="0.25">
      <c r="A2162" s="212">
        <v>42044</v>
      </c>
      <c r="B2162" s="160" t="s">
        <v>623</v>
      </c>
      <c r="C2162" t="s">
        <v>7</v>
      </c>
      <c r="D2162" t="s">
        <v>27</v>
      </c>
      <c r="E2162" s="161">
        <v>10.5</v>
      </c>
      <c r="F2162" s="161">
        <v>42.6</v>
      </c>
      <c r="G2162" s="162">
        <v>447.3</v>
      </c>
      <c r="H2162" s="67">
        <v>72</v>
      </c>
    </row>
    <row r="2163" spans="1:8" x14ac:dyDescent="0.25">
      <c r="A2163" s="212">
        <v>42044</v>
      </c>
      <c r="B2163" s="160" t="s">
        <v>814</v>
      </c>
      <c r="C2163" t="s">
        <v>815</v>
      </c>
      <c r="D2163" t="s">
        <v>38</v>
      </c>
      <c r="E2163" s="161">
        <v>1</v>
      </c>
      <c r="F2163" s="161">
        <v>478.1</v>
      </c>
      <c r="G2163" s="162">
        <v>478.1</v>
      </c>
      <c r="H2163" s="67">
        <v>72</v>
      </c>
    </row>
    <row r="2164" spans="1:8" x14ac:dyDescent="0.25">
      <c r="A2164" s="212">
        <v>42044</v>
      </c>
      <c r="B2164" s="160" t="s">
        <v>634</v>
      </c>
      <c r="C2164" t="s">
        <v>635</v>
      </c>
      <c r="D2164" t="s">
        <v>27</v>
      </c>
      <c r="E2164" s="161">
        <v>8</v>
      </c>
      <c r="F2164" s="161">
        <v>92.5</v>
      </c>
      <c r="G2164" s="162">
        <v>740</v>
      </c>
      <c r="H2164" s="67">
        <v>72</v>
      </c>
    </row>
    <row r="2165" spans="1:8" x14ac:dyDescent="0.25">
      <c r="A2165" s="212">
        <v>42044</v>
      </c>
      <c r="B2165" s="160" t="s">
        <v>1211</v>
      </c>
      <c r="C2165" t="s">
        <v>1233</v>
      </c>
      <c r="D2165" t="s">
        <v>27</v>
      </c>
      <c r="E2165" s="161">
        <v>9</v>
      </c>
      <c r="F2165" s="161">
        <v>54.58</v>
      </c>
      <c r="G2165" s="162">
        <v>491.22</v>
      </c>
      <c r="H2165" s="67">
        <v>72</v>
      </c>
    </row>
    <row r="2166" spans="1:8" ht="30" x14ac:dyDescent="0.25">
      <c r="A2166" s="212">
        <v>42044</v>
      </c>
      <c r="B2166" s="160" t="s">
        <v>816</v>
      </c>
      <c r="C2166" t="s">
        <v>643</v>
      </c>
      <c r="D2166" t="s">
        <v>527</v>
      </c>
      <c r="E2166" s="161">
        <v>1</v>
      </c>
      <c r="F2166" s="161">
        <v>392.64</v>
      </c>
      <c r="G2166" s="162">
        <v>392.64</v>
      </c>
      <c r="H2166" s="67">
        <v>72</v>
      </c>
    </row>
    <row r="2167" spans="1:8" x14ac:dyDescent="0.25">
      <c r="A2167" s="212">
        <v>42045</v>
      </c>
      <c r="B2167" s="160" t="s">
        <v>634</v>
      </c>
      <c r="C2167" t="s">
        <v>635</v>
      </c>
      <c r="D2167" t="s">
        <v>27</v>
      </c>
      <c r="E2167" s="161">
        <v>3.5</v>
      </c>
      <c r="F2167" s="161">
        <v>92.5</v>
      </c>
      <c r="G2167" s="162">
        <v>323.75</v>
      </c>
      <c r="H2167" s="67">
        <v>72</v>
      </c>
    </row>
    <row r="2168" spans="1:8" x14ac:dyDescent="0.25">
      <c r="A2168" s="212">
        <v>42045</v>
      </c>
      <c r="B2168" s="160" t="s">
        <v>817</v>
      </c>
      <c r="C2168" t="s">
        <v>815</v>
      </c>
      <c r="D2168" t="s">
        <v>38</v>
      </c>
      <c r="E2168" s="161">
        <v>1</v>
      </c>
      <c r="F2168" s="161">
        <v>486.3</v>
      </c>
      <c r="G2168" s="162">
        <v>486.3</v>
      </c>
      <c r="H2168" s="67">
        <v>72</v>
      </c>
    </row>
    <row r="2169" spans="1:8" x14ac:dyDescent="0.25">
      <c r="A2169" s="212">
        <v>42045</v>
      </c>
      <c r="B2169" s="160" t="s">
        <v>818</v>
      </c>
      <c r="C2169" t="s">
        <v>643</v>
      </c>
      <c r="D2169" t="s">
        <v>527</v>
      </c>
      <c r="E2169" s="161">
        <v>1</v>
      </c>
      <c r="F2169" s="161">
        <v>211.2</v>
      </c>
      <c r="G2169" s="162">
        <v>211.2</v>
      </c>
      <c r="H2169" s="67">
        <v>72</v>
      </c>
    </row>
    <row r="2170" spans="1:8" x14ac:dyDescent="0.25">
      <c r="A2170" s="212">
        <v>42045</v>
      </c>
      <c r="B2170" s="160" t="s">
        <v>1211</v>
      </c>
      <c r="C2170" t="s">
        <v>1233</v>
      </c>
      <c r="D2170" t="s">
        <v>27</v>
      </c>
      <c r="E2170" s="161">
        <v>3.5</v>
      </c>
      <c r="F2170" s="161">
        <v>54.58</v>
      </c>
      <c r="G2170" s="162">
        <v>191.03</v>
      </c>
      <c r="H2170" s="67">
        <v>72</v>
      </c>
    </row>
    <row r="2171" spans="1:8" x14ac:dyDescent="0.25">
      <c r="A2171" s="212">
        <v>42045</v>
      </c>
      <c r="B2171" s="160" t="s">
        <v>1212</v>
      </c>
      <c r="C2171" t="s">
        <v>7</v>
      </c>
      <c r="D2171" t="s">
        <v>27</v>
      </c>
      <c r="E2171" s="161">
        <v>9.5</v>
      </c>
      <c r="F2171" s="161">
        <v>42.72</v>
      </c>
      <c r="G2171" s="162">
        <v>405.84</v>
      </c>
      <c r="H2171" s="67">
        <v>72</v>
      </c>
    </row>
    <row r="2172" spans="1:8" x14ac:dyDescent="0.25">
      <c r="A2172" s="212">
        <v>42045</v>
      </c>
      <c r="B2172" s="160" t="s">
        <v>1109</v>
      </c>
      <c r="C2172" t="s">
        <v>7</v>
      </c>
      <c r="D2172" t="s">
        <v>27</v>
      </c>
      <c r="E2172" s="161">
        <v>6</v>
      </c>
      <c r="F2172" s="161">
        <v>42.72</v>
      </c>
      <c r="G2172" s="162">
        <v>256.32</v>
      </c>
      <c r="H2172" s="67">
        <v>72</v>
      </c>
    </row>
    <row r="2173" spans="1:8" x14ac:dyDescent="0.25">
      <c r="A2173" s="212">
        <v>42045</v>
      </c>
      <c r="B2173" s="160" t="s">
        <v>1209</v>
      </c>
      <c r="C2173" t="s">
        <v>1210</v>
      </c>
      <c r="D2173" t="s">
        <v>27</v>
      </c>
      <c r="E2173" s="161">
        <v>3.5</v>
      </c>
      <c r="F2173" s="161">
        <v>42.79</v>
      </c>
      <c r="G2173" s="162">
        <v>149.76499999999999</v>
      </c>
      <c r="H2173" s="67">
        <v>72</v>
      </c>
    </row>
    <row r="2174" spans="1:8" x14ac:dyDescent="0.25">
      <c r="A2174" s="212">
        <v>42045</v>
      </c>
      <c r="B2174" s="160" t="s">
        <v>623</v>
      </c>
      <c r="C2174" t="s">
        <v>7</v>
      </c>
      <c r="D2174" t="s">
        <v>27</v>
      </c>
      <c r="E2174" s="161">
        <v>9.5</v>
      </c>
      <c r="F2174" s="161">
        <v>46.85</v>
      </c>
      <c r="G2174" s="162">
        <v>445.07499999999999</v>
      </c>
      <c r="H2174" s="67">
        <v>72</v>
      </c>
    </row>
    <row r="2175" spans="1:8" x14ac:dyDescent="0.25">
      <c r="A2175" s="212">
        <v>42045</v>
      </c>
      <c r="B2175" s="160" t="s">
        <v>623</v>
      </c>
      <c r="C2175" t="s">
        <v>7</v>
      </c>
      <c r="D2175" t="s">
        <v>27</v>
      </c>
      <c r="E2175" s="161">
        <v>10</v>
      </c>
      <c r="F2175" s="161">
        <v>42.6</v>
      </c>
      <c r="G2175" s="162">
        <v>426</v>
      </c>
      <c r="H2175" s="67">
        <v>72</v>
      </c>
    </row>
    <row r="2176" spans="1:8" x14ac:dyDescent="0.25">
      <c r="A2176" s="212">
        <v>42046</v>
      </c>
      <c r="B2176" s="160" t="s">
        <v>1109</v>
      </c>
      <c r="C2176" t="s">
        <v>7</v>
      </c>
      <c r="D2176" t="s">
        <v>27</v>
      </c>
      <c r="E2176" s="161">
        <v>13</v>
      </c>
      <c r="F2176" s="161">
        <v>42.72</v>
      </c>
      <c r="G2176" s="162">
        <v>555.36</v>
      </c>
      <c r="H2176" s="67">
        <v>72</v>
      </c>
    </row>
    <row r="2177" spans="1:8" x14ac:dyDescent="0.25">
      <c r="A2177" s="212">
        <v>42046</v>
      </c>
      <c r="B2177" s="160" t="s">
        <v>623</v>
      </c>
      <c r="C2177" t="s">
        <v>7</v>
      </c>
      <c r="D2177" t="s">
        <v>27</v>
      </c>
      <c r="E2177" s="161">
        <v>6</v>
      </c>
      <c r="F2177" s="161">
        <v>46.85</v>
      </c>
      <c r="G2177" s="162">
        <v>281.10000000000002</v>
      </c>
      <c r="H2177" s="67">
        <v>72</v>
      </c>
    </row>
    <row r="2178" spans="1:8" x14ac:dyDescent="0.25">
      <c r="A2178" s="212">
        <v>42046</v>
      </c>
      <c r="B2178" s="160" t="s">
        <v>623</v>
      </c>
      <c r="C2178" t="s">
        <v>7</v>
      </c>
      <c r="D2178" t="s">
        <v>27</v>
      </c>
      <c r="E2178" s="161">
        <v>10.5</v>
      </c>
      <c r="F2178" s="161">
        <v>42.6</v>
      </c>
      <c r="G2178" s="162">
        <v>447.3</v>
      </c>
      <c r="H2178" s="67">
        <v>72</v>
      </c>
    </row>
    <row r="2179" spans="1:8" x14ac:dyDescent="0.25">
      <c r="A2179" s="212">
        <v>42046</v>
      </c>
      <c r="B2179" s="160" t="s">
        <v>1211</v>
      </c>
      <c r="C2179" t="s">
        <v>1233</v>
      </c>
      <c r="D2179" t="s">
        <v>27</v>
      </c>
      <c r="E2179" s="161">
        <v>3.5</v>
      </c>
      <c r="F2179" s="161">
        <v>54.58</v>
      </c>
      <c r="G2179" s="162">
        <v>191.03</v>
      </c>
      <c r="H2179" s="67">
        <v>72</v>
      </c>
    </row>
    <row r="2180" spans="1:8" x14ac:dyDescent="0.25">
      <c r="A2180" s="212">
        <v>42046</v>
      </c>
      <c r="B2180" s="160" t="s">
        <v>1212</v>
      </c>
      <c r="C2180" t="s">
        <v>7</v>
      </c>
      <c r="D2180" t="s">
        <v>27</v>
      </c>
      <c r="E2180" s="161">
        <v>10.5</v>
      </c>
      <c r="F2180" s="161">
        <v>42.72</v>
      </c>
      <c r="G2180" s="162">
        <v>448.56</v>
      </c>
      <c r="H2180" s="67">
        <v>72</v>
      </c>
    </row>
    <row r="2181" spans="1:8" x14ac:dyDescent="0.25">
      <c r="A2181" s="212">
        <v>42047</v>
      </c>
      <c r="B2181" s="160" t="s">
        <v>285</v>
      </c>
      <c r="C2181" t="s">
        <v>621</v>
      </c>
      <c r="D2181" t="s">
        <v>27</v>
      </c>
      <c r="E2181" s="161">
        <v>2</v>
      </c>
      <c r="F2181" s="161">
        <v>90</v>
      </c>
      <c r="G2181" s="162">
        <v>180</v>
      </c>
      <c r="H2181" s="67">
        <v>72</v>
      </c>
    </row>
    <row r="2182" spans="1:8" x14ac:dyDescent="0.25">
      <c r="A2182" s="212">
        <v>42047</v>
      </c>
      <c r="B2182" s="160" t="s">
        <v>623</v>
      </c>
      <c r="C2182" t="s">
        <v>7</v>
      </c>
      <c r="D2182" t="s">
        <v>27</v>
      </c>
      <c r="E2182" s="161">
        <v>9</v>
      </c>
      <c r="F2182" s="161">
        <v>42.6</v>
      </c>
      <c r="G2182" s="162">
        <v>383.4</v>
      </c>
      <c r="H2182" s="67">
        <v>72</v>
      </c>
    </row>
    <row r="2183" spans="1:8" x14ac:dyDescent="0.25">
      <c r="A2183" s="212">
        <v>42047</v>
      </c>
      <c r="B2183" s="160" t="s">
        <v>819</v>
      </c>
      <c r="C2183" t="s">
        <v>820</v>
      </c>
      <c r="D2183" t="s">
        <v>38</v>
      </c>
      <c r="E2183" s="161">
        <v>1</v>
      </c>
      <c r="F2183" s="161">
        <v>237.4</v>
      </c>
      <c r="G2183" s="162">
        <v>237.4</v>
      </c>
      <c r="H2183" s="67">
        <v>72</v>
      </c>
    </row>
    <row r="2184" spans="1:8" x14ac:dyDescent="0.25">
      <c r="A2184" s="212">
        <v>42047</v>
      </c>
      <c r="B2184" s="160" t="s">
        <v>634</v>
      </c>
      <c r="C2184" t="s">
        <v>635</v>
      </c>
      <c r="D2184" t="s">
        <v>27</v>
      </c>
      <c r="E2184" s="161">
        <v>2.5</v>
      </c>
      <c r="F2184" s="161">
        <v>92.5</v>
      </c>
      <c r="G2184" s="162">
        <v>231.25</v>
      </c>
      <c r="H2184" s="67">
        <v>72</v>
      </c>
    </row>
    <row r="2185" spans="1:8" x14ac:dyDescent="0.25">
      <c r="A2185" s="212">
        <v>42047</v>
      </c>
      <c r="B2185" s="160" t="s">
        <v>1109</v>
      </c>
      <c r="C2185" t="s">
        <v>7</v>
      </c>
      <c r="D2185" t="s">
        <v>27</v>
      </c>
      <c r="E2185" s="161">
        <v>6</v>
      </c>
      <c r="F2185" s="161">
        <v>42.72</v>
      </c>
      <c r="G2185" s="162">
        <v>256.32</v>
      </c>
      <c r="H2185" s="67">
        <v>72</v>
      </c>
    </row>
    <row r="2186" spans="1:8" x14ac:dyDescent="0.25">
      <c r="A2186" s="212">
        <v>42047</v>
      </c>
      <c r="B2186" s="160" t="s">
        <v>1212</v>
      </c>
      <c r="C2186" t="s">
        <v>7</v>
      </c>
      <c r="D2186" t="s">
        <v>27</v>
      </c>
      <c r="E2186" s="161">
        <v>9</v>
      </c>
      <c r="F2186" s="161">
        <v>42.72</v>
      </c>
      <c r="G2186" s="162">
        <v>384.48</v>
      </c>
      <c r="H2186" s="67">
        <v>72</v>
      </c>
    </row>
    <row r="2187" spans="1:8" x14ac:dyDescent="0.25">
      <c r="A2187" s="212">
        <v>42051</v>
      </c>
      <c r="B2187" s="160" t="s">
        <v>1109</v>
      </c>
      <c r="C2187" t="s">
        <v>7</v>
      </c>
      <c r="D2187" t="s">
        <v>27</v>
      </c>
      <c r="E2187" s="161">
        <v>3.5</v>
      </c>
      <c r="F2187" s="161">
        <v>42.72</v>
      </c>
      <c r="G2187" s="162">
        <v>149.52000000000001</v>
      </c>
      <c r="H2187" s="67">
        <v>72</v>
      </c>
    </row>
    <row r="2188" spans="1:8" x14ac:dyDescent="0.25">
      <c r="A2188" s="212">
        <v>42051</v>
      </c>
      <c r="B2188" s="160" t="s">
        <v>623</v>
      </c>
      <c r="C2188" t="s">
        <v>7</v>
      </c>
      <c r="D2188" t="s">
        <v>27</v>
      </c>
      <c r="E2188" s="161">
        <v>9.5</v>
      </c>
      <c r="F2188" s="161">
        <v>42.6</v>
      </c>
      <c r="G2188" s="162">
        <v>404.7</v>
      </c>
      <c r="H2188" s="67">
        <v>72</v>
      </c>
    </row>
    <row r="2189" spans="1:8" x14ac:dyDescent="0.25">
      <c r="A2189" s="212">
        <v>42051</v>
      </c>
      <c r="B2189" s="160" t="s">
        <v>1212</v>
      </c>
      <c r="C2189" t="s">
        <v>7</v>
      </c>
      <c r="D2189" t="s">
        <v>27</v>
      </c>
      <c r="E2189" s="161">
        <v>9</v>
      </c>
      <c r="F2189" s="161">
        <v>42.72</v>
      </c>
      <c r="G2189" s="162">
        <v>384.48</v>
      </c>
      <c r="H2189" s="67">
        <v>72</v>
      </c>
    </row>
    <row r="2190" spans="1:8" x14ac:dyDescent="0.25">
      <c r="A2190" s="213" t="s">
        <v>418</v>
      </c>
      <c r="B2190" s="214" t="s">
        <v>821</v>
      </c>
      <c r="C2190" s="215" t="s">
        <v>418</v>
      </c>
      <c r="D2190" s="215" t="s">
        <v>418</v>
      </c>
      <c r="E2190" s="216"/>
      <c r="F2190" s="216"/>
      <c r="G2190" s="217">
        <v>12781.13</v>
      </c>
      <c r="H2190" s="231" t="s">
        <v>418</v>
      </c>
    </row>
    <row r="2191" spans="1:8" x14ac:dyDescent="0.25">
      <c r="A2191" s="212" t="s">
        <v>418</v>
      </c>
      <c r="B2191" s="160" t="s">
        <v>418</v>
      </c>
      <c r="C2191" t="s">
        <v>418</v>
      </c>
      <c r="D2191" t="s">
        <v>418</v>
      </c>
      <c r="E2191" s="161"/>
      <c r="F2191" s="161"/>
      <c r="G2191" s="162"/>
      <c r="H2191" s="67" t="s">
        <v>418</v>
      </c>
    </row>
    <row r="2192" spans="1:8" x14ac:dyDescent="0.25">
      <c r="A2192" s="209" t="s">
        <v>418</v>
      </c>
      <c r="B2192" s="159" t="s">
        <v>1249</v>
      </c>
      <c r="C2192" s="35" t="s">
        <v>418</v>
      </c>
      <c r="D2192" s="35" t="s">
        <v>418</v>
      </c>
      <c r="E2192" s="210"/>
      <c r="F2192" s="210"/>
      <c r="G2192" s="211"/>
      <c r="H2192" s="229" t="s">
        <v>418</v>
      </c>
    </row>
    <row r="2193" spans="1:8" x14ac:dyDescent="0.25">
      <c r="A2193" s="212">
        <v>41955</v>
      </c>
      <c r="B2193" s="160" t="s">
        <v>623</v>
      </c>
      <c r="C2193" t="s">
        <v>7</v>
      </c>
      <c r="D2193" t="s">
        <v>527</v>
      </c>
      <c r="E2193" s="161">
        <v>10.5</v>
      </c>
      <c r="F2193" s="161">
        <v>49.7</v>
      </c>
      <c r="G2193" s="162">
        <v>521.85</v>
      </c>
      <c r="H2193" s="67">
        <v>88</v>
      </c>
    </row>
    <row r="2194" spans="1:8" x14ac:dyDescent="0.25">
      <c r="A2194" s="212">
        <v>41955</v>
      </c>
      <c r="B2194" s="160" t="s">
        <v>619</v>
      </c>
      <c r="C2194" t="s">
        <v>620</v>
      </c>
      <c r="D2194" t="s">
        <v>27</v>
      </c>
      <c r="E2194" s="161">
        <v>5</v>
      </c>
      <c r="F2194" s="161">
        <v>80</v>
      </c>
      <c r="G2194" s="162">
        <v>400</v>
      </c>
      <c r="H2194" s="67">
        <v>88</v>
      </c>
    </row>
    <row r="2195" spans="1:8" x14ac:dyDescent="0.25">
      <c r="A2195" s="212">
        <v>41956</v>
      </c>
      <c r="B2195" s="160" t="s">
        <v>822</v>
      </c>
      <c r="C2195" t="s">
        <v>643</v>
      </c>
      <c r="D2195" t="s">
        <v>527</v>
      </c>
      <c r="E2195" s="161">
        <v>1</v>
      </c>
      <c r="F2195" s="161">
        <v>60.14</v>
      </c>
      <c r="G2195" s="162">
        <v>60.14</v>
      </c>
      <c r="H2195" s="67">
        <v>88</v>
      </c>
    </row>
    <row r="2196" spans="1:8" x14ac:dyDescent="0.25">
      <c r="A2196" s="212">
        <v>41970</v>
      </c>
      <c r="B2196" s="160" t="s">
        <v>623</v>
      </c>
      <c r="C2196" t="s">
        <v>7</v>
      </c>
      <c r="D2196" t="s">
        <v>27</v>
      </c>
      <c r="E2196" s="161">
        <v>10</v>
      </c>
      <c r="F2196" s="161">
        <v>42.6</v>
      </c>
      <c r="G2196" s="162">
        <v>426</v>
      </c>
      <c r="H2196" s="67">
        <v>88</v>
      </c>
    </row>
    <row r="2197" spans="1:8" x14ac:dyDescent="0.25">
      <c r="A2197" s="212">
        <v>41970</v>
      </c>
      <c r="B2197" s="160" t="s">
        <v>1212</v>
      </c>
      <c r="C2197" t="s">
        <v>7</v>
      </c>
      <c r="D2197" t="s">
        <v>27</v>
      </c>
      <c r="E2197" s="161">
        <v>10.5</v>
      </c>
      <c r="F2197" s="161">
        <v>42.72</v>
      </c>
      <c r="G2197" s="162">
        <v>448.56</v>
      </c>
      <c r="H2197" s="67">
        <v>88</v>
      </c>
    </row>
    <row r="2198" spans="1:8" x14ac:dyDescent="0.25">
      <c r="A2198" s="212">
        <v>41970</v>
      </c>
      <c r="B2198" s="160" t="s">
        <v>286</v>
      </c>
      <c r="C2198" t="s">
        <v>633</v>
      </c>
      <c r="D2198" t="s">
        <v>27</v>
      </c>
      <c r="E2198" s="161">
        <v>10</v>
      </c>
      <c r="F2198" s="161">
        <v>90</v>
      </c>
      <c r="G2198" s="162">
        <v>900</v>
      </c>
      <c r="H2198" s="67">
        <v>88</v>
      </c>
    </row>
    <row r="2199" spans="1:8" x14ac:dyDescent="0.25">
      <c r="A2199" s="212">
        <v>41970</v>
      </c>
      <c r="B2199" s="160" t="s">
        <v>1212</v>
      </c>
      <c r="C2199" t="s">
        <v>7</v>
      </c>
      <c r="D2199" t="s">
        <v>27</v>
      </c>
      <c r="E2199" s="161">
        <v>10.5</v>
      </c>
      <c r="F2199" s="161">
        <v>42.72</v>
      </c>
      <c r="G2199" s="162">
        <v>448.56</v>
      </c>
      <c r="H2199" s="67">
        <v>88</v>
      </c>
    </row>
    <row r="2200" spans="1:8" x14ac:dyDescent="0.25">
      <c r="A2200" s="212">
        <v>41977</v>
      </c>
      <c r="B2200" s="160" t="s">
        <v>1212</v>
      </c>
      <c r="C2200" t="s">
        <v>7</v>
      </c>
      <c r="D2200" t="s">
        <v>27</v>
      </c>
      <c r="E2200" s="161">
        <v>9</v>
      </c>
      <c r="F2200" s="161">
        <v>42.72</v>
      </c>
      <c r="G2200" s="162">
        <v>384.48</v>
      </c>
      <c r="H2200" s="67">
        <v>88</v>
      </c>
    </row>
    <row r="2201" spans="1:8" x14ac:dyDescent="0.25">
      <c r="A2201" s="212">
        <v>41977</v>
      </c>
      <c r="B2201" s="160" t="s">
        <v>286</v>
      </c>
      <c r="C2201" t="s">
        <v>633</v>
      </c>
      <c r="D2201" t="s">
        <v>27</v>
      </c>
      <c r="E2201" s="161">
        <v>5</v>
      </c>
      <c r="F2201" s="161">
        <v>90</v>
      </c>
      <c r="G2201" s="162">
        <v>450</v>
      </c>
      <c r="H2201" s="67">
        <v>88</v>
      </c>
    </row>
    <row r="2202" spans="1:8" x14ac:dyDescent="0.25">
      <c r="A2202" s="212">
        <v>41977</v>
      </c>
      <c r="B2202" s="160" t="s">
        <v>1212</v>
      </c>
      <c r="C2202" t="s">
        <v>7</v>
      </c>
      <c r="D2202" t="s">
        <v>27</v>
      </c>
      <c r="E2202" s="161">
        <v>9</v>
      </c>
      <c r="F2202" s="161">
        <v>42.72</v>
      </c>
      <c r="G2202" s="162">
        <v>384.48</v>
      </c>
      <c r="H2202" s="67">
        <v>88</v>
      </c>
    </row>
    <row r="2203" spans="1:8" x14ac:dyDescent="0.25">
      <c r="A2203" s="212">
        <v>41986</v>
      </c>
      <c r="B2203" s="160" t="s">
        <v>1109</v>
      </c>
      <c r="C2203" t="s">
        <v>7</v>
      </c>
      <c r="D2203" t="s">
        <v>27</v>
      </c>
      <c r="E2203" s="161">
        <v>3</v>
      </c>
      <c r="F2203" s="161">
        <v>42.72</v>
      </c>
      <c r="G2203" s="162">
        <v>128.16</v>
      </c>
      <c r="H2203" s="67">
        <v>88</v>
      </c>
    </row>
    <row r="2204" spans="1:8" x14ac:dyDescent="0.25">
      <c r="A2204" s="212">
        <v>42027</v>
      </c>
      <c r="B2204" s="160" t="s">
        <v>1212</v>
      </c>
      <c r="C2204" t="s">
        <v>7</v>
      </c>
      <c r="D2204" t="s">
        <v>27</v>
      </c>
      <c r="E2204" s="161">
        <v>2</v>
      </c>
      <c r="F2204" s="161">
        <v>42.72</v>
      </c>
      <c r="G2204" s="162">
        <v>85.44</v>
      </c>
      <c r="H2204" s="67">
        <v>88</v>
      </c>
    </row>
    <row r="2205" spans="1:8" x14ac:dyDescent="0.25">
      <c r="A2205" s="212">
        <v>42027</v>
      </c>
      <c r="B2205" s="160" t="s">
        <v>823</v>
      </c>
      <c r="C2205" t="s">
        <v>655</v>
      </c>
      <c r="D2205" t="s">
        <v>27</v>
      </c>
      <c r="E2205" s="161">
        <v>2</v>
      </c>
      <c r="F2205" s="161">
        <v>90</v>
      </c>
      <c r="G2205" s="162">
        <v>180</v>
      </c>
      <c r="H2205" s="67">
        <v>88</v>
      </c>
    </row>
    <row r="2206" spans="1:8" x14ac:dyDescent="0.25">
      <c r="A2206" s="212">
        <v>42027</v>
      </c>
      <c r="B2206" s="160" t="s">
        <v>634</v>
      </c>
      <c r="C2206" t="s">
        <v>635</v>
      </c>
      <c r="D2206" t="s">
        <v>27</v>
      </c>
      <c r="E2206" s="161">
        <v>3</v>
      </c>
      <c r="F2206" s="161">
        <v>92.5</v>
      </c>
      <c r="G2206" s="162">
        <v>277.5</v>
      </c>
      <c r="H2206" s="67">
        <v>88</v>
      </c>
    </row>
    <row r="2207" spans="1:8" x14ac:dyDescent="0.25">
      <c r="A2207" s="212">
        <v>42027</v>
      </c>
      <c r="B2207" s="160" t="s">
        <v>623</v>
      </c>
      <c r="C2207" t="s">
        <v>7</v>
      </c>
      <c r="D2207" t="s">
        <v>527</v>
      </c>
      <c r="E2207" s="161">
        <v>1.5</v>
      </c>
      <c r="F2207" s="161">
        <v>49.7</v>
      </c>
      <c r="G2207" s="162">
        <v>74.55</v>
      </c>
      <c r="H2207" s="67">
        <v>88</v>
      </c>
    </row>
    <row r="2208" spans="1:8" x14ac:dyDescent="0.25">
      <c r="A2208" s="212">
        <v>42042</v>
      </c>
      <c r="B2208" s="160" t="s">
        <v>634</v>
      </c>
      <c r="C2208" t="s">
        <v>635</v>
      </c>
      <c r="D2208" t="s">
        <v>27</v>
      </c>
      <c r="E2208" s="161">
        <v>7</v>
      </c>
      <c r="F2208" s="161">
        <v>92.5</v>
      </c>
      <c r="G2208" s="162">
        <v>647.5</v>
      </c>
      <c r="H2208" s="67">
        <v>88</v>
      </c>
    </row>
    <row r="2209" spans="1:8" x14ac:dyDescent="0.25">
      <c r="A2209" s="212">
        <v>42042</v>
      </c>
      <c r="B2209" s="160" t="s">
        <v>619</v>
      </c>
      <c r="C2209" t="s">
        <v>620</v>
      </c>
      <c r="D2209" t="s">
        <v>27</v>
      </c>
      <c r="E2209" s="161">
        <v>8</v>
      </c>
      <c r="F2209" s="161">
        <v>80</v>
      </c>
      <c r="G2209" s="162">
        <v>640</v>
      </c>
      <c r="H2209" s="67">
        <v>88</v>
      </c>
    </row>
    <row r="2210" spans="1:8" x14ac:dyDescent="0.25">
      <c r="A2210" s="212">
        <v>42042</v>
      </c>
      <c r="B2210" s="160" t="s">
        <v>623</v>
      </c>
      <c r="C2210" t="s">
        <v>7</v>
      </c>
      <c r="D2210" t="s">
        <v>527</v>
      </c>
      <c r="E2210" s="161">
        <v>7</v>
      </c>
      <c r="F2210" s="161">
        <v>49.7</v>
      </c>
      <c r="G2210" s="162">
        <v>347.9</v>
      </c>
      <c r="H2210" s="67">
        <v>88</v>
      </c>
    </row>
    <row r="2211" spans="1:8" x14ac:dyDescent="0.25">
      <c r="A2211" s="212">
        <v>42042</v>
      </c>
      <c r="B2211" s="160" t="s">
        <v>285</v>
      </c>
      <c r="C2211" t="s">
        <v>621</v>
      </c>
      <c r="D2211" t="s">
        <v>27</v>
      </c>
      <c r="E2211" s="161">
        <v>3</v>
      </c>
      <c r="F2211" s="161">
        <v>90</v>
      </c>
      <c r="G2211" s="162">
        <v>270</v>
      </c>
      <c r="H2211" s="67">
        <v>88</v>
      </c>
    </row>
    <row r="2212" spans="1:8" x14ac:dyDescent="0.25">
      <c r="A2212" s="212">
        <v>42044</v>
      </c>
      <c r="B2212" s="160" t="s">
        <v>619</v>
      </c>
      <c r="C2212" t="s">
        <v>620</v>
      </c>
      <c r="D2212" t="s">
        <v>27</v>
      </c>
      <c r="E2212" s="161">
        <v>11</v>
      </c>
      <c r="F2212" s="161">
        <v>80</v>
      </c>
      <c r="G2212" s="162">
        <v>880</v>
      </c>
      <c r="H2212" s="67">
        <v>88</v>
      </c>
    </row>
    <row r="2213" spans="1:8" x14ac:dyDescent="0.25">
      <c r="A2213" s="212">
        <v>42044</v>
      </c>
      <c r="B2213" s="160" t="s">
        <v>623</v>
      </c>
      <c r="C2213" t="s">
        <v>7</v>
      </c>
      <c r="D2213" t="s">
        <v>27</v>
      </c>
      <c r="E2213" s="161">
        <v>10.25</v>
      </c>
      <c r="F2213" s="161">
        <v>46.85</v>
      </c>
      <c r="G2213" s="162">
        <v>480.21249999999998</v>
      </c>
      <c r="H2213" s="67">
        <v>88</v>
      </c>
    </row>
    <row r="2214" spans="1:8" x14ac:dyDescent="0.25">
      <c r="A2214" s="212">
        <v>42044</v>
      </c>
      <c r="B2214" s="160" t="s">
        <v>623</v>
      </c>
      <c r="C2214" t="s">
        <v>7</v>
      </c>
      <c r="D2214" t="s">
        <v>527</v>
      </c>
      <c r="E2214" s="161">
        <v>11</v>
      </c>
      <c r="F2214" s="161">
        <v>49.7</v>
      </c>
      <c r="G2214" s="162">
        <v>546.70000000000005</v>
      </c>
      <c r="H2214" s="67">
        <v>88</v>
      </c>
    </row>
    <row r="2215" spans="1:8" x14ac:dyDescent="0.25">
      <c r="A2215" s="212">
        <v>42045</v>
      </c>
      <c r="B2215" s="160" t="s">
        <v>619</v>
      </c>
      <c r="C2215" t="s">
        <v>620</v>
      </c>
      <c r="D2215" t="s">
        <v>27</v>
      </c>
      <c r="E2215" s="161">
        <v>9.5</v>
      </c>
      <c r="F2215" s="161">
        <v>80</v>
      </c>
      <c r="G2215" s="162">
        <v>760</v>
      </c>
      <c r="H2215" s="67">
        <v>88</v>
      </c>
    </row>
    <row r="2216" spans="1:8" x14ac:dyDescent="0.25">
      <c r="A2216" s="212">
        <v>42045</v>
      </c>
      <c r="B2216" s="160" t="s">
        <v>1109</v>
      </c>
      <c r="C2216" t="s">
        <v>7</v>
      </c>
      <c r="D2216" t="s">
        <v>27</v>
      </c>
      <c r="E2216" s="161">
        <v>5.5</v>
      </c>
      <c r="F2216" s="161">
        <v>42.72</v>
      </c>
      <c r="G2216" s="162">
        <v>234.96</v>
      </c>
      <c r="H2216" s="67">
        <v>88</v>
      </c>
    </row>
    <row r="2217" spans="1:8" x14ac:dyDescent="0.25">
      <c r="A2217" s="212">
        <v>42045</v>
      </c>
      <c r="B2217" s="160" t="s">
        <v>623</v>
      </c>
      <c r="C2217" t="s">
        <v>7</v>
      </c>
      <c r="D2217" t="s">
        <v>527</v>
      </c>
      <c r="E2217" s="161">
        <v>9.5</v>
      </c>
      <c r="F2217" s="161">
        <v>49.7</v>
      </c>
      <c r="G2217" s="162">
        <v>472.15</v>
      </c>
      <c r="H2217" s="67">
        <v>88</v>
      </c>
    </row>
    <row r="2218" spans="1:8" x14ac:dyDescent="0.25">
      <c r="A2218" s="212">
        <v>42046</v>
      </c>
      <c r="B2218" s="160" t="s">
        <v>634</v>
      </c>
      <c r="C2218" t="s">
        <v>635</v>
      </c>
      <c r="D2218" t="s">
        <v>27</v>
      </c>
      <c r="E2218" s="161">
        <v>4.5</v>
      </c>
      <c r="F2218" s="161">
        <v>92.5</v>
      </c>
      <c r="G2218" s="162">
        <v>416.25</v>
      </c>
      <c r="H2218" s="67">
        <v>88</v>
      </c>
    </row>
    <row r="2219" spans="1:8" x14ac:dyDescent="0.25">
      <c r="A2219" s="212">
        <v>42046</v>
      </c>
      <c r="B2219" s="160" t="s">
        <v>285</v>
      </c>
      <c r="C2219" t="s">
        <v>621</v>
      </c>
      <c r="D2219" t="s">
        <v>27</v>
      </c>
      <c r="E2219" s="161">
        <v>3</v>
      </c>
      <c r="F2219" s="161">
        <v>90</v>
      </c>
      <c r="G2219" s="162">
        <v>270</v>
      </c>
      <c r="H2219" s="67">
        <v>88</v>
      </c>
    </row>
    <row r="2220" spans="1:8" x14ac:dyDescent="0.25">
      <c r="A2220" s="212">
        <v>42050</v>
      </c>
      <c r="B2220" s="160" t="s">
        <v>826</v>
      </c>
      <c r="C2220" t="s">
        <v>7</v>
      </c>
      <c r="D2220" t="s">
        <v>527</v>
      </c>
      <c r="E2220" s="161">
        <v>5</v>
      </c>
      <c r="F2220" s="161">
        <v>20</v>
      </c>
      <c r="G2220" s="162">
        <v>100</v>
      </c>
      <c r="H2220" s="67">
        <v>88</v>
      </c>
    </row>
    <row r="2221" spans="1:8" x14ac:dyDescent="0.25">
      <c r="A2221" s="212">
        <v>42050</v>
      </c>
      <c r="B2221" s="160" t="s">
        <v>825</v>
      </c>
      <c r="C2221" t="s">
        <v>7</v>
      </c>
      <c r="D2221" t="s">
        <v>527</v>
      </c>
      <c r="E2221" s="161">
        <v>6</v>
      </c>
      <c r="F2221" s="161">
        <v>20</v>
      </c>
      <c r="G2221" s="162">
        <v>120</v>
      </c>
      <c r="H2221" s="67">
        <v>88</v>
      </c>
    </row>
    <row r="2222" spans="1:8" x14ac:dyDescent="0.25">
      <c r="A2222" s="212">
        <v>42050</v>
      </c>
      <c r="B2222" s="160" t="s">
        <v>824</v>
      </c>
      <c r="C2222" t="s">
        <v>7</v>
      </c>
      <c r="D2222" t="s">
        <v>527</v>
      </c>
      <c r="E2222" s="161">
        <v>4</v>
      </c>
      <c r="F2222" s="161">
        <v>20</v>
      </c>
      <c r="G2222" s="162">
        <v>80</v>
      </c>
      <c r="H2222" s="67">
        <v>88</v>
      </c>
    </row>
    <row r="2223" spans="1:8" x14ac:dyDescent="0.25">
      <c r="A2223" s="212">
        <v>42078</v>
      </c>
      <c r="B2223" s="160" t="s">
        <v>827</v>
      </c>
      <c r="C2223" t="s">
        <v>7</v>
      </c>
      <c r="D2223" t="s">
        <v>527</v>
      </c>
      <c r="E2223" s="161">
        <v>4</v>
      </c>
      <c r="F2223" s="161">
        <v>20</v>
      </c>
      <c r="G2223" s="162">
        <v>80</v>
      </c>
      <c r="H2223" s="67">
        <v>88</v>
      </c>
    </row>
    <row r="2224" spans="1:8" x14ac:dyDescent="0.25">
      <c r="A2224" s="213" t="s">
        <v>418</v>
      </c>
      <c r="B2224" s="214" t="s">
        <v>828</v>
      </c>
      <c r="C2224" s="215" t="s">
        <v>418</v>
      </c>
      <c r="D2224" s="215" t="s">
        <v>418</v>
      </c>
      <c r="E2224" s="216"/>
      <c r="F2224" s="216"/>
      <c r="G2224" s="217">
        <v>11515.392499999998</v>
      </c>
      <c r="H2224" s="231" t="s">
        <v>418</v>
      </c>
    </row>
    <row r="2225" spans="1:8" x14ac:dyDescent="0.25">
      <c r="A2225" s="212" t="s">
        <v>418</v>
      </c>
      <c r="B2225" s="160" t="s">
        <v>418</v>
      </c>
      <c r="C2225" t="s">
        <v>418</v>
      </c>
      <c r="D2225" t="s">
        <v>418</v>
      </c>
      <c r="E2225" s="161"/>
      <c r="F2225" s="161"/>
      <c r="G2225" s="162"/>
      <c r="H2225" s="67" t="s">
        <v>418</v>
      </c>
    </row>
    <row r="2226" spans="1:8" x14ac:dyDescent="0.25">
      <c r="A2226" s="209" t="s">
        <v>418</v>
      </c>
      <c r="B2226" s="159" t="s">
        <v>1250</v>
      </c>
      <c r="C2226" s="35" t="s">
        <v>418</v>
      </c>
      <c r="D2226" s="35" t="s">
        <v>418</v>
      </c>
      <c r="E2226" s="210"/>
      <c r="F2226" s="210"/>
      <c r="G2226" s="211"/>
      <c r="H2226" s="229" t="s">
        <v>418</v>
      </c>
    </row>
    <row r="2227" spans="1:8" x14ac:dyDescent="0.25">
      <c r="A2227" s="212">
        <v>41897</v>
      </c>
      <c r="B2227" s="160" t="s">
        <v>829</v>
      </c>
      <c r="C2227" t="s">
        <v>830</v>
      </c>
      <c r="D2227" t="s">
        <v>527</v>
      </c>
      <c r="E2227" s="161">
        <v>40</v>
      </c>
      <c r="F2227" s="161">
        <v>1.91</v>
      </c>
      <c r="G2227" s="162">
        <v>76.400000000000006</v>
      </c>
      <c r="H2227" s="67">
        <v>141</v>
      </c>
    </row>
    <row r="2228" spans="1:8" x14ac:dyDescent="0.25">
      <c r="A2228" s="212">
        <v>41906</v>
      </c>
      <c r="B2228" s="160" t="s">
        <v>623</v>
      </c>
      <c r="C2228" t="s">
        <v>7</v>
      </c>
      <c r="D2228" t="s">
        <v>27</v>
      </c>
      <c r="E2228" s="161">
        <v>5.5</v>
      </c>
      <c r="F2228" s="161">
        <v>42.6</v>
      </c>
      <c r="G2228" s="162">
        <v>234.3</v>
      </c>
      <c r="H2228" s="67">
        <v>141</v>
      </c>
    </row>
    <row r="2229" spans="1:8" x14ac:dyDescent="0.25">
      <c r="A2229" s="212">
        <v>41907</v>
      </c>
      <c r="B2229" s="160" t="s">
        <v>1226</v>
      </c>
      <c r="C2229" t="s">
        <v>7</v>
      </c>
      <c r="D2229" t="s">
        <v>27</v>
      </c>
      <c r="E2229" s="161">
        <v>1</v>
      </c>
      <c r="F2229" s="161">
        <v>42.72</v>
      </c>
      <c r="G2229" s="162">
        <v>42.72</v>
      </c>
      <c r="H2229" s="67">
        <v>141</v>
      </c>
    </row>
    <row r="2230" spans="1:8" x14ac:dyDescent="0.25">
      <c r="A2230" s="212">
        <v>41907</v>
      </c>
      <c r="B2230" s="160" t="s">
        <v>623</v>
      </c>
      <c r="C2230" t="s">
        <v>7</v>
      </c>
      <c r="D2230" t="s">
        <v>27</v>
      </c>
      <c r="E2230" s="161">
        <v>10</v>
      </c>
      <c r="F2230" s="161">
        <v>42.6</v>
      </c>
      <c r="G2230" s="162">
        <v>426</v>
      </c>
      <c r="H2230" s="67">
        <v>141</v>
      </c>
    </row>
    <row r="2231" spans="1:8" x14ac:dyDescent="0.25">
      <c r="A2231" s="212">
        <v>41908</v>
      </c>
      <c r="B2231" s="160" t="s">
        <v>623</v>
      </c>
      <c r="C2231" t="s">
        <v>7</v>
      </c>
      <c r="D2231" t="s">
        <v>27</v>
      </c>
      <c r="E2231" s="161">
        <v>11</v>
      </c>
      <c r="F2231" s="161">
        <v>42.6</v>
      </c>
      <c r="G2231" s="162">
        <v>468.6</v>
      </c>
      <c r="H2231" s="67">
        <v>141</v>
      </c>
    </row>
    <row r="2232" spans="1:8" x14ac:dyDescent="0.25">
      <c r="A2232" s="212">
        <v>41909</v>
      </c>
      <c r="B2232" s="160" t="s">
        <v>623</v>
      </c>
      <c r="C2232" t="s">
        <v>7</v>
      </c>
      <c r="D2232" t="s">
        <v>27</v>
      </c>
      <c r="E2232" s="161">
        <v>7</v>
      </c>
      <c r="F2232" s="161">
        <v>42.6</v>
      </c>
      <c r="G2232" s="162">
        <v>298.2</v>
      </c>
      <c r="H2232" s="67">
        <v>141</v>
      </c>
    </row>
    <row r="2233" spans="1:8" x14ac:dyDescent="0.25">
      <c r="A2233" s="212">
        <v>41911</v>
      </c>
      <c r="B2233" s="160" t="s">
        <v>623</v>
      </c>
      <c r="C2233" t="s">
        <v>7</v>
      </c>
      <c r="D2233" t="s">
        <v>27</v>
      </c>
      <c r="E2233" s="161">
        <v>10</v>
      </c>
      <c r="F2233" s="161">
        <v>42.6</v>
      </c>
      <c r="G2233" s="162">
        <v>426</v>
      </c>
      <c r="H2233" s="67">
        <v>141</v>
      </c>
    </row>
    <row r="2234" spans="1:8" x14ac:dyDescent="0.25">
      <c r="A2234" s="212">
        <v>41912</v>
      </c>
      <c r="B2234" s="160" t="s">
        <v>623</v>
      </c>
      <c r="C2234" t="s">
        <v>7</v>
      </c>
      <c r="D2234" t="s">
        <v>27</v>
      </c>
      <c r="E2234" s="161">
        <v>10</v>
      </c>
      <c r="F2234" s="161">
        <v>42.6</v>
      </c>
      <c r="G2234" s="162">
        <v>426</v>
      </c>
      <c r="H2234" s="67">
        <v>141</v>
      </c>
    </row>
    <row r="2235" spans="1:8" ht="30" x14ac:dyDescent="0.25">
      <c r="A2235" s="212">
        <v>41912</v>
      </c>
      <c r="B2235" s="160" t="s">
        <v>857</v>
      </c>
      <c r="C2235" t="s">
        <v>858</v>
      </c>
      <c r="D2235" t="s">
        <v>527</v>
      </c>
      <c r="E2235" s="161">
        <v>1</v>
      </c>
      <c r="F2235" s="161">
        <v>801.16</v>
      </c>
      <c r="G2235" s="162">
        <v>801.16</v>
      </c>
      <c r="H2235" s="67">
        <v>141</v>
      </c>
    </row>
    <row r="2236" spans="1:8" x14ac:dyDescent="0.25">
      <c r="A2236" s="212">
        <v>41912</v>
      </c>
      <c r="B2236" s="160" t="s">
        <v>855</v>
      </c>
      <c r="C2236" t="s">
        <v>856</v>
      </c>
      <c r="D2236" t="s">
        <v>527</v>
      </c>
      <c r="E2236" s="161">
        <v>1</v>
      </c>
      <c r="F2236" s="161">
        <v>304.5</v>
      </c>
      <c r="G2236" s="162">
        <v>304.5</v>
      </c>
      <c r="H2236" s="67">
        <v>141</v>
      </c>
    </row>
    <row r="2237" spans="1:8" ht="30" x14ac:dyDescent="0.25">
      <c r="A2237" s="212">
        <v>41912</v>
      </c>
      <c r="B2237" s="160" t="s">
        <v>857</v>
      </c>
      <c r="C2237" t="s">
        <v>858</v>
      </c>
      <c r="D2237" t="s">
        <v>527</v>
      </c>
      <c r="E2237" s="161">
        <v>1</v>
      </c>
      <c r="F2237" s="161">
        <v>801.16</v>
      </c>
      <c r="G2237" s="162">
        <v>801.16</v>
      </c>
      <c r="H2237" s="67">
        <v>141</v>
      </c>
    </row>
    <row r="2238" spans="1:8" x14ac:dyDescent="0.25">
      <c r="A2238" s="212">
        <v>41913</v>
      </c>
      <c r="B2238" s="160" t="s">
        <v>623</v>
      </c>
      <c r="C2238" t="s">
        <v>7</v>
      </c>
      <c r="D2238" t="s">
        <v>27</v>
      </c>
      <c r="E2238" s="161">
        <v>11.5</v>
      </c>
      <c r="F2238" s="161">
        <v>42.6</v>
      </c>
      <c r="G2238" s="162">
        <v>489.9</v>
      </c>
      <c r="H2238" s="67">
        <v>141</v>
      </c>
    </row>
    <row r="2239" spans="1:8" x14ac:dyDescent="0.25">
      <c r="A2239" s="212">
        <v>41914</v>
      </c>
      <c r="B2239" s="160" t="s">
        <v>623</v>
      </c>
      <c r="C2239" t="s">
        <v>7</v>
      </c>
      <c r="D2239" t="s">
        <v>27</v>
      </c>
      <c r="E2239" s="161">
        <v>10</v>
      </c>
      <c r="F2239" s="161">
        <v>42.6</v>
      </c>
      <c r="G2239" s="162">
        <v>426</v>
      </c>
      <c r="H2239" s="67">
        <v>141</v>
      </c>
    </row>
    <row r="2240" spans="1:8" x14ac:dyDescent="0.25">
      <c r="A2240" s="212">
        <v>41915</v>
      </c>
      <c r="B2240" s="160" t="s">
        <v>623</v>
      </c>
      <c r="C2240" t="s">
        <v>7</v>
      </c>
      <c r="D2240" t="s">
        <v>27</v>
      </c>
      <c r="E2240" s="161">
        <v>4.5</v>
      </c>
      <c r="F2240" s="161">
        <v>42.6</v>
      </c>
      <c r="G2240" s="162">
        <v>191.7</v>
      </c>
      <c r="H2240" s="67">
        <v>141</v>
      </c>
    </row>
    <row r="2241" spans="1:8" x14ac:dyDescent="0.25">
      <c r="A2241" s="212">
        <v>41919</v>
      </c>
      <c r="B2241" s="160" t="s">
        <v>623</v>
      </c>
      <c r="C2241" t="s">
        <v>7</v>
      </c>
      <c r="D2241" t="s">
        <v>27</v>
      </c>
      <c r="E2241" s="161">
        <v>10</v>
      </c>
      <c r="F2241" s="161">
        <v>42.6</v>
      </c>
      <c r="G2241" s="162">
        <v>426</v>
      </c>
      <c r="H2241" s="67">
        <v>141</v>
      </c>
    </row>
    <row r="2242" spans="1:8" x14ac:dyDescent="0.25">
      <c r="A2242" s="212">
        <v>41920</v>
      </c>
      <c r="B2242" s="160" t="s">
        <v>623</v>
      </c>
      <c r="C2242" t="s">
        <v>7</v>
      </c>
      <c r="D2242" t="s">
        <v>27</v>
      </c>
      <c r="E2242" s="161">
        <v>10</v>
      </c>
      <c r="F2242" s="161">
        <v>42.6</v>
      </c>
      <c r="G2242" s="162">
        <v>426</v>
      </c>
      <c r="H2242" s="67">
        <v>141</v>
      </c>
    </row>
    <row r="2243" spans="1:8" x14ac:dyDescent="0.25">
      <c r="A2243" s="212">
        <v>41921</v>
      </c>
      <c r="B2243" s="160" t="s">
        <v>623</v>
      </c>
      <c r="C2243" t="s">
        <v>7</v>
      </c>
      <c r="D2243" t="s">
        <v>27</v>
      </c>
      <c r="E2243" s="161">
        <v>10</v>
      </c>
      <c r="F2243" s="161">
        <v>42.6</v>
      </c>
      <c r="G2243" s="162">
        <v>426</v>
      </c>
      <c r="H2243" s="67">
        <v>141</v>
      </c>
    </row>
    <row r="2244" spans="1:8" x14ac:dyDescent="0.25">
      <c r="A2244" s="212">
        <v>41922</v>
      </c>
      <c r="B2244" s="160" t="s">
        <v>623</v>
      </c>
      <c r="C2244" t="s">
        <v>7</v>
      </c>
      <c r="D2244" t="s">
        <v>27</v>
      </c>
      <c r="E2244" s="161">
        <v>10.5</v>
      </c>
      <c r="F2244" s="161">
        <v>42.6</v>
      </c>
      <c r="G2244" s="162">
        <v>447.3</v>
      </c>
      <c r="H2244" s="67">
        <v>141</v>
      </c>
    </row>
    <row r="2245" spans="1:8" x14ac:dyDescent="0.25">
      <c r="A2245" s="212">
        <v>41923</v>
      </c>
      <c r="B2245" s="160" t="s">
        <v>623</v>
      </c>
      <c r="C2245" t="s">
        <v>7</v>
      </c>
      <c r="D2245" t="s">
        <v>27</v>
      </c>
      <c r="E2245" s="161">
        <v>3</v>
      </c>
      <c r="F2245" s="161">
        <v>42.6</v>
      </c>
      <c r="G2245" s="162">
        <v>127.8</v>
      </c>
      <c r="H2245" s="67">
        <v>141</v>
      </c>
    </row>
    <row r="2246" spans="1:8" x14ac:dyDescent="0.25">
      <c r="A2246" s="212">
        <v>41924</v>
      </c>
      <c r="B2246" s="160" t="s">
        <v>623</v>
      </c>
      <c r="C2246" t="s">
        <v>7</v>
      </c>
      <c r="D2246" t="s">
        <v>27</v>
      </c>
      <c r="E2246" s="161">
        <v>4</v>
      </c>
      <c r="F2246" s="161">
        <v>42.6</v>
      </c>
      <c r="G2246" s="162">
        <v>170.4</v>
      </c>
      <c r="H2246" s="67">
        <v>141</v>
      </c>
    </row>
    <row r="2247" spans="1:8" x14ac:dyDescent="0.25">
      <c r="A2247" s="212">
        <v>41925</v>
      </c>
      <c r="B2247" s="160" t="s">
        <v>623</v>
      </c>
      <c r="C2247" t="s">
        <v>7</v>
      </c>
      <c r="D2247" t="s">
        <v>27</v>
      </c>
      <c r="E2247" s="161">
        <v>10.5</v>
      </c>
      <c r="F2247" s="161">
        <v>42.6</v>
      </c>
      <c r="G2247" s="162">
        <v>447.3</v>
      </c>
      <c r="H2247" s="67">
        <v>141</v>
      </c>
    </row>
    <row r="2248" spans="1:8" x14ac:dyDescent="0.25">
      <c r="A2248" s="212">
        <v>41926</v>
      </c>
      <c r="B2248" s="160" t="s">
        <v>623</v>
      </c>
      <c r="C2248" t="s">
        <v>7</v>
      </c>
      <c r="D2248" t="s">
        <v>27</v>
      </c>
      <c r="E2248" s="161">
        <v>10</v>
      </c>
      <c r="F2248" s="161">
        <v>42.6</v>
      </c>
      <c r="G2248" s="162">
        <v>426</v>
      </c>
      <c r="H2248" s="67">
        <v>141</v>
      </c>
    </row>
    <row r="2249" spans="1:8" x14ac:dyDescent="0.25">
      <c r="A2249" s="212">
        <v>41927</v>
      </c>
      <c r="B2249" s="160" t="s">
        <v>623</v>
      </c>
      <c r="C2249" t="s">
        <v>7</v>
      </c>
      <c r="D2249" t="s">
        <v>27</v>
      </c>
      <c r="E2249" s="161">
        <v>10</v>
      </c>
      <c r="F2249" s="161">
        <v>42.6</v>
      </c>
      <c r="G2249" s="162">
        <v>426</v>
      </c>
      <c r="H2249" s="67">
        <v>141</v>
      </c>
    </row>
    <row r="2250" spans="1:8" x14ac:dyDescent="0.25">
      <c r="A2250" s="212">
        <v>41928</v>
      </c>
      <c r="B2250" s="160" t="s">
        <v>623</v>
      </c>
      <c r="C2250" t="s">
        <v>7</v>
      </c>
      <c r="D2250" t="s">
        <v>27</v>
      </c>
      <c r="E2250" s="161">
        <v>10</v>
      </c>
      <c r="F2250" s="161">
        <v>42.6</v>
      </c>
      <c r="G2250" s="162">
        <v>426</v>
      </c>
      <c r="H2250" s="67">
        <v>141</v>
      </c>
    </row>
    <row r="2251" spans="1:8" x14ac:dyDescent="0.25">
      <c r="A2251" s="212">
        <v>41929</v>
      </c>
      <c r="B2251" s="160" t="s">
        <v>623</v>
      </c>
      <c r="C2251" t="s">
        <v>7</v>
      </c>
      <c r="D2251" t="s">
        <v>27</v>
      </c>
      <c r="E2251" s="161">
        <v>10.5</v>
      </c>
      <c r="F2251" s="161">
        <v>42.6</v>
      </c>
      <c r="G2251" s="162">
        <v>447.3</v>
      </c>
      <c r="H2251" s="67">
        <v>141</v>
      </c>
    </row>
    <row r="2252" spans="1:8" x14ac:dyDescent="0.25">
      <c r="A2252" s="212">
        <v>41930</v>
      </c>
      <c r="B2252" s="160" t="s">
        <v>623</v>
      </c>
      <c r="C2252" t="s">
        <v>7</v>
      </c>
      <c r="D2252" t="s">
        <v>27</v>
      </c>
      <c r="E2252" s="161">
        <v>6.5</v>
      </c>
      <c r="F2252" s="161">
        <v>42.6</v>
      </c>
      <c r="G2252" s="162">
        <v>276.89999999999998</v>
      </c>
      <c r="H2252" s="67">
        <v>141</v>
      </c>
    </row>
    <row r="2253" spans="1:8" ht="30" x14ac:dyDescent="0.25">
      <c r="A2253" s="212">
        <v>41931</v>
      </c>
      <c r="B2253" s="160" t="s">
        <v>831</v>
      </c>
      <c r="C2253" t="s">
        <v>630</v>
      </c>
      <c r="D2253" t="s">
        <v>527</v>
      </c>
      <c r="E2253" s="161">
        <v>6</v>
      </c>
      <c r="F2253" s="161">
        <v>20</v>
      </c>
      <c r="G2253" s="162">
        <v>120</v>
      </c>
      <c r="H2253" s="67">
        <v>141</v>
      </c>
    </row>
    <row r="2254" spans="1:8" x14ac:dyDescent="0.25">
      <c r="A2254" s="212">
        <v>41932</v>
      </c>
      <c r="B2254" s="160" t="s">
        <v>623</v>
      </c>
      <c r="C2254" t="s">
        <v>7</v>
      </c>
      <c r="D2254" t="s">
        <v>27</v>
      </c>
      <c r="E2254" s="161">
        <v>10</v>
      </c>
      <c r="F2254" s="161">
        <v>42.6</v>
      </c>
      <c r="G2254" s="162">
        <v>426</v>
      </c>
      <c r="H2254" s="67">
        <v>141</v>
      </c>
    </row>
    <row r="2255" spans="1:8" x14ac:dyDescent="0.25">
      <c r="A2255" s="212">
        <v>41933</v>
      </c>
      <c r="B2255" s="160" t="s">
        <v>623</v>
      </c>
      <c r="C2255" t="s">
        <v>7</v>
      </c>
      <c r="D2255" t="s">
        <v>27</v>
      </c>
      <c r="E2255" s="161">
        <v>10</v>
      </c>
      <c r="F2255" s="161">
        <v>42.6</v>
      </c>
      <c r="G2255" s="162">
        <v>426</v>
      </c>
      <c r="H2255" s="67">
        <v>141</v>
      </c>
    </row>
    <row r="2256" spans="1:8" x14ac:dyDescent="0.25">
      <c r="A2256" s="212">
        <v>41934</v>
      </c>
      <c r="B2256" s="160" t="s">
        <v>623</v>
      </c>
      <c r="C2256" t="s">
        <v>7</v>
      </c>
      <c r="D2256" t="s">
        <v>27</v>
      </c>
      <c r="E2256" s="161">
        <v>10</v>
      </c>
      <c r="F2256" s="161">
        <v>42.6</v>
      </c>
      <c r="G2256" s="162">
        <v>426</v>
      </c>
      <c r="H2256" s="67">
        <v>141</v>
      </c>
    </row>
    <row r="2257" spans="1:8" x14ac:dyDescent="0.25">
      <c r="A2257" s="212">
        <v>41935</v>
      </c>
      <c r="B2257" s="160" t="s">
        <v>623</v>
      </c>
      <c r="C2257" t="s">
        <v>7</v>
      </c>
      <c r="D2257" t="s">
        <v>27</v>
      </c>
      <c r="E2257" s="161">
        <v>10</v>
      </c>
      <c r="F2257" s="161">
        <v>42.6</v>
      </c>
      <c r="G2257" s="162">
        <v>426</v>
      </c>
      <c r="H2257" s="67">
        <v>141</v>
      </c>
    </row>
    <row r="2258" spans="1:8" x14ac:dyDescent="0.25">
      <c r="A2258" s="212">
        <v>41936</v>
      </c>
      <c r="B2258" s="160" t="s">
        <v>623</v>
      </c>
      <c r="C2258" t="s">
        <v>7</v>
      </c>
      <c r="D2258" t="s">
        <v>27</v>
      </c>
      <c r="E2258" s="161">
        <v>10.5</v>
      </c>
      <c r="F2258" s="161">
        <v>42.6</v>
      </c>
      <c r="G2258" s="162">
        <v>447.3</v>
      </c>
      <c r="H2258" s="67">
        <v>141</v>
      </c>
    </row>
    <row r="2259" spans="1:8" x14ac:dyDescent="0.25">
      <c r="A2259" s="212">
        <v>41937</v>
      </c>
      <c r="B2259" s="160" t="s">
        <v>1109</v>
      </c>
      <c r="C2259" t="s">
        <v>7</v>
      </c>
      <c r="D2259" t="s">
        <v>27</v>
      </c>
      <c r="E2259" s="161">
        <v>2</v>
      </c>
      <c r="F2259" s="161">
        <v>42.72</v>
      </c>
      <c r="G2259" s="162">
        <v>85.44</v>
      </c>
      <c r="H2259" s="67">
        <v>141</v>
      </c>
    </row>
    <row r="2260" spans="1:8" x14ac:dyDescent="0.25">
      <c r="A2260" s="212">
        <v>41938</v>
      </c>
      <c r="B2260" s="160" t="s">
        <v>1109</v>
      </c>
      <c r="C2260" t="s">
        <v>7</v>
      </c>
      <c r="D2260" t="s">
        <v>27</v>
      </c>
      <c r="E2260" s="161">
        <v>2</v>
      </c>
      <c r="F2260" s="161">
        <v>42.72</v>
      </c>
      <c r="G2260" s="162">
        <v>85.44</v>
      </c>
      <c r="H2260" s="67">
        <v>141</v>
      </c>
    </row>
    <row r="2261" spans="1:8" ht="30" x14ac:dyDescent="0.25">
      <c r="A2261" s="212">
        <v>41938</v>
      </c>
      <c r="B2261" s="160" t="s">
        <v>832</v>
      </c>
      <c r="C2261" t="s">
        <v>630</v>
      </c>
      <c r="D2261" t="s">
        <v>527</v>
      </c>
      <c r="E2261" s="161">
        <v>1</v>
      </c>
      <c r="F2261" s="161">
        <v>384</v>
      </c>
      <c r="G2261" s="162">
        <v>384</v>
      </c>
      <c r="H2261" s="67">
        <v>141</v>
      </c>
    </row>
    <row r="2262" spans="1:8" x14ac:dyDescent="0.25">
      <c r="A2262" s="212">
        <v>41939</v>
      </c>
      <c r="B2262" s="160" t="s">
        <v>623</v>
      </c>
      <c r="C2262" t="s">
        <v>7</v>
      </c>
      <c r="D2262" t="s">
        <v>27</v>
      </c>
      <c r="E2262" s="161">
        <v>10</v>
      </c>
      <c r="F2262" s="161">
        <v>42.6</v>
      </c>
      <c r="G2262" s="162">
        <v>426</v>
      </c>
      <c r="H2262" s="67">
        <v>141</v>
      </c>
    </row>
    <row r="2263" spans="1:8" x14ac:dyDescent="0.25">
      <c r="A2263" s="212">
        <v>41940</v>
      </c>
      <c r="B2263" s="160" t="s">
        <v>623</v>
      </c>
      <c r="C2263" t="s">
        <v>7</v>
      </c>
      <c r="D2263" t="s">
        <v>27</v>
      </c>
      <c r="E2263" s="161">
        <v>10</v>
      </c>
      <c r="F2263" s="161">
        <v>42.6</v>
      </c>
      <c r="G2263" s="162">
        <v>426</v>
      </c>
      <c r="H2263" s="67">
        <v>141</v>
      </c>
    </row>
    <row r="2264" spans="1:8" x14ac:dyDescent="0.25">
      <c r="A2264" s="212">
        <v>41941</v>
      </c>
      <c r="B2264" s="160" t="s">
        <v>623</v>
      </c>
      <c r="C2264" t="s">
        <v>7</v>
      </c>
      <c r="D2264" t="s">
        <v>27</v>
      </c>
      <c r="E2264" s="161">
        <v>11</v>
      </c>
      <c r="F2264" s="161">
        <v>42.6</v>
      </c>
      <c r="G2264" s="162">
        <v>468.6</v>
      </c>
      <c r="H2264" s="67">
        <v>141</v>
      </c>
    </row>
    <row r="2265" spans="1:8" x14ac:dyDescent="0.25">
      <c r="A2265" s="212">
        <v>41942</v>
      </c>
      <c r="B2265" s="160" t="s">
        <v>623</v>
      </c>
      <c r="C2265" t="s">
        <v>7</v>
      </c>
      <c r="D2265" t="s">
        <v>27</v>
      </c>
      <c r="E2265" s="161">
        <v>10.5</v>
      </c>
      <c r="F2265" s="161">
        <v>42.6</v>
      </c>
      <c r="G2265" s="162">
        <v>447.3</v>
      </c>
      <c r="H2265" s="67">
        <v>141</v>
      </c>
    </row>
    <row r="2266" spans="1:8" x14ac:dyDescent="0.25">
      <c r="A2266" s="212">
        <v>41942</v>
      </c>
      <c r="B2266" s="160" t="s">
        <v>623</v>
      </c>
      <c r="C2266" t="s">
        <v>7</v>
      </c>
      <c r="D2266" t="s">
        <v>27</v>
      </c>
      <c r="E2266" s="161">
        <v>10.5</v>
      </c>
      <c r="F2266" s="161">
        <v>42.6</v>
      </c>
      <c r="G2266" s="162">
        <v>447.3</v>
      </c>
      <c r="H2266" s="67">
        <v>141</v>
      </c>
    </row>
    <row r="2267" spans="1:8" x14ac:dyDescent="0.25">
      <c r="A2267" s="212">
        <v>41943</v>
      </c>
      <c r="B2267" s="160" t="s">
        <v>623</v>
      </c>
      <c r="C2267" t="s">
        <v>7</v>
      </c>
      <c r="D2267" t="s">
        <v>27</v>
      </c>
      <c r="E2267" s="161">
        <v>10.5</v>
      </c>
      <c r="F2267" s="161">
        <v>42.6</v>
      </c>
      <c r="G2267" s="162">
        <v>447.3</v>
      </c>
      <c r="H2267" s="67">
        <v>141</v>
      </c>
    </row>
    <row r="2268" spans="1:8" x14ac:dyDescent="0.25">
      <c r="A2268" s="212">
        <v>41943</v>
      </c>
      <c r="B2268" s="160" t="s">
        <v>623</v>
      </c>
      <c r="C2268" t="s">
        <v>7</v>
      </c>
      <c r="D2268" t="s">
        <v>27</v>
      </c>
      <c r="E2268" s="161">
        <v>10.5</v>
      </c>
      <c r="F2268" s="161">
        <v>42.6</v>
      </c>
      <c r="G2268" s="162">
        <v>447.3</v>
      </c>
      <c r="H2268" s="67">
        <v>141</v>
      </c>
    </row>
    <row r="2269" spans="1:8" x14ac:dyDescent="0.25">
      <c r="A2269" s="212">
        <v>41943</v>
      </c>
      <c r="B2269" s="160" t="s">
        <v>859</v>
      </c>
      <c r="C2269" t="s">
        <v>856</v>
      </c>
      <c r="D2269" t="s">
        <v>527</v>
      </c>
      <c r="E2269" s="161">
        <v>1</v>
      </c>
      <c r="F2269" s="161">
        <v>1009</v>
      </c>
      <c r="G2269" s="162">
        <v>1009</v>
      </c>
      <c r="H2269" s="67">
        <v>141</v>
      </c>
    </row>
    <row r="2270" spans="1:8" ht="30" x14ac:dyDescent="0.25">
      <c r="A2270" s="212">
        <v>41943</v>
      </c>
      <c r="B2270" s="160" t="s">
        <v>861</v>
      </c>
      <c r="C2270" t="s">
        <v>858</v>
      </c>
      <c r="D2270" t="s">
        <v>527</v>
      </c>
      <c r="E2270" s="161">
        <v>1</v>
      </c>
      <c r="F2270" s="161">
        <v>489.88</v>
      </c>
      <c r="G2270" s="162">
        <v>489.88</v>
      </c>
      <c r="H2270" s="67">
        <v>141</v>
      </c>
    </row>
    <row r="2271" spans="1:8" x14ac:dyDescent="0.25">
      <c r="A2271" s="212">
        <v>41943</v>
      </c>
      <c r="B2271" s="160" t="s">
        <v>860</v>
      </c>
      <c r="C2271" t="s">
        <v>856</v>
      </c>
      <c r="D2271" t="s">
        <v>527</v>
      </c>
      <c r="E2271" s="161">
        <v>1</v>
      </c>
      <c r="F2271" s="161">
        <v>1573.25</v>
      </c>
      <c r="G2271" s="162">
        <v>1573.25</v>
      </c>
      <c r="H2271" s="67">
        <v>141</v>
      </c>
    </row>
    <row r="2272" spans="1:8" x14ac:dyDescent="0.25">
      <c r="A2272" s="212">
        <v>41944</v>
      </c>
      <c r="B2272" s="160" t="s">
        <v>623</v>
      </c>
      <c r="C2272" t="s">
        <v>7</v>
      </c>
      <c r="D2272" t="s">
        <v>27</v>
      </c>
      <c r="E2272" s="161">
        <v>10.5</v>
      </c>
      <c r="F2272" s="161">
        <v>42.6</v>
      </c>
      <c r="G2272" s="162">
        <v>447.3</v>
      </c>
      <c r="H2272" s="67">
        <v>141</v>
      </c>
    </row>
    <row r="2273" spans="1:8" x14ac:dyDescent="0.25">
      <c r="A2273" s="212">
        <v>41944</v>
      </c>
      <c r="B2273" s="160" t="s">
        <v>623</v>
      </c>
      <c r="C2273" t="s">
        <v>7</v>
      </c>
      <c r="D2273" t="s">
        <v>27</v>
      </c>
      <c r="E2273" s="161">
        <v>8</v>
      </c>
      <c r="F2273" s="161">
        <v>42.6</v>
      </c>
      <c r="G2273" s="162">
        <v>340.8</v>
      </c>
      <c r="H2273" s="67">
        <v>141</v>
      </c>
    </row>
    <row r="2274" spans="1:8" x14ac:dyDescent="0.25">
      <c r="A2274" s="212">
        <v>41946</v>
      </c>
      <c r="B2274" s="160" t="s">
        <v>623</v>
      </c>
      <c r="C2274" t="s">
        <v>7</v>
      </c>
      <c r="D2274" t="s">
        <v>27</v>
      </c>
      <c r="E2274" s="161">
        <v>10.5</v>
      </c>
      <c r="F2274" s="161">
        <v>42.6</v>
      </c>
      <c r="G2274" s="162">
        <v>447.3</v>
      </c>
      <c r="H2274" s="67">
        <v>141</v>
      </c>
    </row>
    <row r="2275" spans="1:8" x14ac:dyDescent="0.25">
      <c r="A2275" s="212">
        <v>41946</v>
      </c>
      <c r="B2275" s="160" t="s">
        <v>623</v>
      </c>
      <c r="C2275" t="s">
        <v>7</v>
      </c>
      <c r="D2275" t="s">
        <v>27</v>
      </c>
      <c r="E2275" s="161">
        <v>10.5</v>
      </c>
      <c r="F2275" s="161">
        <v>42.6</v>
      </c>
      <c r="G2275" s="162">
        <v>447.3</v>
      </c>
      <c r="H2275" s="67">
        <v>141</v>
      </c>
    </row>
    <row r="2276" spans="1:8" x14ac:dyDescent="0.25">
      <c r="A2276" s="212">
        <v>41947</v>
      </c>
      <c r="B2276" s="160" t="s">
        <v>623</v>
      </c>
      <c r="C2276" t="s">
        <v>7</v>
      </c>
      <c r="D2276" t="s">
        <v>27</v>
      </c>
      <c r="E2276" s="161">
        <v>11.5</v>
      </c>
      <c r="F2276" s="161">
        <v>42.6</v>
      </c>
      <c r="G2276" s="162">
        <v>489.9</v>
      </c>
      <c r="H2276" s="67">
        <v>141</v>
      </c>
    </row>
    <row r="2277" spans="1:8" x14ac:dyDescent="0.25">
      <c r="A2277" s="212">
        <v>41947</v>
      </c>
      <c r="B2277" s="160" t="s">
        <v>623</v>
      </c>
      <c r="C2277" t="s">
        <v>7</v>
      </c>
      <c r="D2277" t="s">
        <v>27</v>
      </c>
      <c r="E2277" s="161">
        <v>11</v>
      </c>
      <c r="F2277" s="161">
        <v>42.6</v>
      </c>
      <c r="G2277" s="162">
        <v>468.6</v>
      </c>
      <c r="H2277" s="67">
        <v>141</v>
      </c>
    </row>
    <row r="2278" spans="1:8" x14ac:dyDescent="0.25">
      <c r="A2278" s="212">
        <v>41948</v>
      </c>
      <c r="B2278" s="160" t="s">
        <v>623</v>
      </c>
      <c r="C2278" t="s">
        <v>7</v>
      </c>
      <c r="D2278" t="s">
        <v>27</v>
      </c>
      <c r="E2278" s="161">
        <v>10</v>
      </c>
      <c r="F2278" s="161">
        <v>42.6</v>
      </c>
      <c r="G2278" s="162">
        <v>426</v>
      </c>
      <c r="H2278" s="67">
        <v>141</v>
      </c>
    </row>
    <row r="2279" spans="1:8" x14ac:dyDescent="0.25">
      <c r="A2279" s="212">
        <v>41949</v>
      </c>
      <c r="B2279" s="160" t="s">
        <v>623</v>
      </c>
      <c r="C2279" t="s">
        <v>7</v>
      </c>
      <c r="D2279" t="s">
        <v>27</v>
      </c>
      <c r="E2279" s="161">
        <v>10.5</v>
      </c>
      <c r="F2279" s="161">
        <v>42.6</v>
      </c>
      <c r="G2279" s="162">
        <v>447.3</v>
      </c>
      <c r="H2279" s="67">
        <v>141</v>
      </c>
    </row>
    <row r="2280" spans="1:8" x14ac:dyDescent="0.25">
      <c r="A2280" s="212">
        <v>41950</v>
      </c>
      <c r="B2280" s="160" t="s">
        <v>623</v>
      </c>
      <c r="C2280" t="s">
        <v>7</v>
      </c>
      <c r="D2280" t="s">
        <v>27</v>
      </c>
      <c r="E2280" s="161">
        <v>10</v>
      </c>
      <c r="F2280" s="161">
        <v>42.6</v>
      </c>
      <c r="G2280" s="162">
        <v>426</v>
      </c>
      <c r="H2280" s="67">
        <v>141</v>
      </c>
    </row>
    <row r="2281" spans="1:8" x14ac:dyDescent="0.25">
      <c r="A2281" s="212">
        <v>41951</v>
      </c>
      <c r="B2281" s="160" t="s">
        <v>623</v>
      </c>
      <c r="C2281" t="s">
        <v>7</v>
      </c>
      <c r="D2281" t="s">
        <v>27</v>
      </c>
      <c r="E2281" s="161">
        <v>7</v>
      </c>
      <c r="F2281" s="161">
        <v>42.6</v>
      </c>
      <c r="G2281" s="162">
        <v>298.2</v>
      </c>
      <c r="H2281" s="67">
        <v>141</v>
      </c>
    </row>
    <row r="2282" spans="1:8" x14ac:dyDescent="0.25">
      <c r="A2282" s="212">
        <v>41953</v>
      </c>
      <c r="B2282" s="160" t="s">
        <v>1227</v>
      </c>
      <c r="C2282" t="s">
        <v>834</v>
      </c>
      <c r="D2282" t="s">
        <v>27</v>
      </c>
      <c r="E2282" s="161">
        <v>7.75</v>
      </c>
      <c r="F2282" s="161"/>
      <c r="G2282" s="162"/>
      <c r="H2282" s="67">
        <v>141</v>
      </c>
    </row>
    <row r="2283" spans="1:8" x14ac:dyDescent="0.25">
      <c r="A2283" s="212">
        <v>41953</v>
      </c>
      <c r="B2283" s="160" t="s">
        <v>623</v>
      </c>
      <c r="C2283" t="s">
        <v>7</v>
      </c>
      <c r="D2283" t="s">
        <v>27</v>
      </c>
      <c r="E2283" s="161">
        <v>10</v>
      </c>
      <c r="F2283" s="161">
        <v>42.6</v>
      </c>
      <c r="G2283" s="162">
        <v>426</v>
      </c>
      <c r="H2283" s="67">
        <v>141</v>
      </c>
    </row>
    <row r="2284" spans="1:8" x14ac:dyDescent="0.25">
      <c r="A2284" s="212">
        <v>41953</v>
      </c>
      <c r="B2284" s="160" t="s">
        <v>1227</v>
      </c>
      <c r="C2284" t="s">
        <v>834</v>
      </c>
      <c r="D2284" t="s">
        <v>27</v>
      </c>
      <c r="E2284" s="161">
        <v>7.75</v>
      </c>
      <c r="F2284" s="161"/>
      <c r="G2284" s="162"/>
      <c r="H2284" s="67">
        <v>141</v>
      </c>
    </row>
    <row r="2285" spans="1:8" x14ac:dyDescent="0.25">
      <c r="A2285" s="212">
        <v>41953</v>
      </c>
      <c r="B2285" s="160" t="s">
        <v>1227</v>
      </c>
      <c r="C2285" t="s">
        <v>834</v>
      </c>
      <c r="D2285" t="s">
        <v>27</v>
      </c>
      <c r="E2285" s="161">
        <v>7.75</v>
      </c>
      <c r="F2285" s="161"/>
      <c r="G2285" s="162"/>
      <c r="H2285" s="67">
        <v>141</v>
      </c>
    </row>
    <row r="2286" spans="1:8" x14ac:dyDescent="0.25">
      <c r="A2286" s="212">
        <v>41954</v>
      </c>
      <c r="B2286" s="160" t="s">
        <v>623</v>
      </c>
      <c r="C2286" t="s">
        <v>7</v>
      </c>
      <c r="D2286" t="s">
        <v>27</v>
      </c>
      <c r="E2286" s="161">
        <v>10</v>
      </c>
      <c r="F2286" s="161">
        <v>42.6</v>
      </c>
      <c r="G2286" s="162">
        <v>426</v>
      </c>
      <c r="H2286" s="67">
        <v>141</v>
      </c>
    </row>
    <row r="2287" spans="1:8" x14ac:dyDescent="0.25">
      <c r="A2287" s="212">
        <v>41955</v>
      </c>
      <c r="B2287" s="160" t="s">
        <v>1226</v>
      </c>
      <c r="C2287" t="s">
        <v>7</v>
      </c>
      <c r="D2287" t="s">
        <v>27</v>
      </c>
      <c r="E2287" s="161">
        <v>1.5</v>
      </c>
      <c r="F2287" s="161">
        <v>42.72</v>
      </c>
      <c r="G2287" s="162">
        <v>64.08</v>
      </c>
      <c r="H2287" s="67">
        <v>141</v>
      </c>
    </row>
    <row r="2288" spans="1:8" x14ac:dyDescent="0.25">
      <c r="A2288" s="212">
        <v>41955</v>
      </c>
      <c r="B2288" s="160" t="s">
        <v>1227</v>
      </c>
      <c r="C2288" t="s">
        <v>834</v>
      </c>
      <c r="D2288" t="s">
        <v>27</v>
      </c>
      <c r="E2288" s="161">
        <v>9</v>
      </c>
      <c r="F2288" s="161"/>
      <c r="G2288" s="162"/>
      <c r="H2288" s="67">
        <v>141</v>
      </c>
    </row>
    <row r="2289" spans="1:8" x14ac:dyDescent="0.25">
      <c r="A2289" s="212">
        <v>41955</v>
      </c>
      <c r="B2289" s="160" t="s">
        <v>1227</v>
      </c>
      <c r="C2289" t="s">
        <v>834</v>
      </c>
      <c r="D2289" t="s">
        <v>27</v>
      </c>
      <c r="E2289" s="161">
        <v>9</v>
      </c>
      <c r="F2289" s="161"/>
      <c r="G2289" s="162"/>
      <c r="H2289" s="67">
        <v>141</v>
      </c>
    </row>
    <row r="2290" spans="1:8" x14ac:dyDescent="0.25">
      <c r="A2290" s="212">
        <v>41955</v>
      </c>
      <c r="B2290" s="160" t="s">
        <v>623</v>
      </c>
      <c r="C2290" t="s">
        <v>7</v>
      </c>
      <c r="D2290" t="s">
        <v>27</v>
      </c>
      <c r="E2290" s="161">
        <v>10</v>
      </c>
      <c r="F2290" s="161">
        <v>42.6</v>
      </c>
      <c r="G2290" s="162">
        <v>426</v>
      </c>
      <c r="H2290" s="67">
        <v>141</v>
      </c>
    </row>
    <row r="2291" spans="1:8" x14ac:dyDescent="0.25">
      <c r="A2291" s="212">
        <v>41956</v>
      </c>
      <c r="B2291" s="160" t="s">
        <v>623</v>
      </c>
      <c r="C2291" t="s">
        <v>7</v>
      </c>
      <c r="D2291" t="s">
        <v>27</v>
      </c>
      <c r="E2291" s="161">
        <v>10.5</v>
      </c>
      <c r="F2291" s="161">
        <v>42.6</v>
      </c>
      <c r="G2291" s="162">
        <v>447.3</v>
      </c>
      <c r="H2291" s="67">
        <v>141</v>
      </c>
    </row>
    <row r="2292" spans="1:8" x14ac:dyDescent="0.25">
      <c r="A2292" s="212">
        <v>41957</v>
      </c>
      <c r="B2292" s="160" t="s">
        <v>623</v>
      </c>
      <c r="C2292" t="s">
        <v>7</v>
      </c>
      <c r="D2292" t="s">
        <v>27</v>
      </c>
      <c r="E2292" s="161">
        <v>10</v>
      </c>
      <c r="F2292" s="161">
        <v>42.6</v>
      </c>
      <c r="G2292" s="162">
        <v>426</v>
      </c>
      <c r="H2292" s="67">
        <v>141</v>
      </c>
    </row>
    <row r="2293" spans="1:8" x14ac:dyDescent="0.25">
      <c r="A2293" s="212">
        <v>41958</v>
      </c>
      <c r="B2293" s="160" t="s">
        <v>1227</v>
      </c>
      <c r="C2293" t="s">
        <v>834</v>
      </c>
      <c r="D2293" t="s">
        <v>27</v>
      </c>
      <c r="E2293" s="161">
        <v>9</v>
      </c>
      <c r="F2293" s="161"/>
      <c r="G2293" s="162"/>
      <c r="H2293" s="67">
        <v>141</v>
      </c>
    </row>
    <row r="2294" spans="1:8" x14ac:dyDescent="0.25">
      <c r="A2294" s="212">
        <v>41958</v>
      </c>
      <c r="B2294" s="160" t="s">
        <v>1227</v>
      </c>
      <c r="C2294" t="s">
        <v>834</v>
      </c>
      <c r="D2294" t="s">
        <v>27</v>
      </c>
      <c r="E2294" s="161">
        <v>10.5</v>
      </c>
      <c r="F2294" s="161"/>
      <c r="G2294" s="162"/>
      <c r="H2294" s="67">
        <v>141</v>
      </c>
    </row>
    <row r="2295" spans="1:8" x14ac:dyDescent="0.25">
      <c r="A2295" s="212">
        <v>41958</v>
      </c>
      <c r="B2295" s="160" t="s">
        <v>623</v>
      </c>
      <c r="C2295" t="s">
        <v>7</v>
      </c>
      <c r="D2295" t="s">
        <v>27</v>
      </c>
      <c r="E2295" s="161">
        <v>9.5</v>
      </c>
      <c r="F2295" s="161">
        <v>42.6</v>
      </c>
      <c r="G2295" s="162">
        <v>404.7</v>
      </c>
      <c r="H2295" s="67">
        <v>141</v>
      </c>
    </row>
    <row r="2296" spans="1:8" x14ac:dyDescent="0.25">
      <c r="A2296" s="212">
        <v>41959</v>
      </c>
      <c r="B2296" s="160" t="s">
        <v>623</v>
      </c>
      <c r="C2296" t="s">
        <v>7</v>
      </c>
      <c r="D2296" t="s">
        <v>27</v>
      </c>
      <c r="E2296" s="161">
        <v>4</v>
      </c>
      <c r="F2296" s="161">
        <v>42.6</v>
      </c>
      <c r="G2296" s="162">
        <v>170.4</v>
      </c>
      <c r="H2296" s="67">
        <v>141</v>
      </c>
    </row>
    <row r="2297" spans="1:8" ht="30" x14ac:dyDescent="0.25">
      <c r="A2297" s="212">
        <v>41959</v>
      </c>
      <c r="B2297" s="160" t="s">
        <v>833</v>
      </c>
      <c r="C2297" t="s">
        <v>834</v>
      </c>
      <c r="D2297" t="s">
        <v>527</v>
      </c>
      <c r="E2297" s="161">
        <v>1</v>
      </c>
      <c r="F2297" s="161">
        <v>3189.38</v>
      </c>
      <c r="G2297" s="162">
        <v>3189.38</v>
      </c>
      <c r="H2297" s="67">
        <v>141</v>
      </c>
    </row>
    <row r="2298" spans="1:8" x14ac:dyDescent="0.25">
      <c r="A2298" s="212">
        <v>41960</v>
      </c>
      <c r="B2298" s="160" t="s">
        <v>1227</v>
      </c>
      <c r="C2298" t="s">
        <v>834</v>
      </c>
      <c r="D2298" t="s">
        <v>27</v>
      </c>
      <c r="E2298" s="161">
        <v>11</v>
      </c>
      <c r="F2298" s="161"/>
      <c r="G2298" s="162"/>
      <c r="H2298" s="67">
        <v>141</v>
      </c>
    </row>
    <row r="2299" spans="1:8" x14ac:dyDescent="0.25">
      <c r="A2299" s="212">
        <v>41960</v>
      </c>
      <c r="B2299" s="160" t="s">
        <v>623</v>
      </c>
      <c r="C2299" t="s">
        <v>7</v>
      </c>
      <c r="D2299" t="s">
        <v>27</v>
      </c>
      <c r="E2299" s="161">
        <v>10</v>
      </c>
      <c r="F2299" s="161">
        <v>42.6</v>
      </c>
      <c r="G2299" s="162">
        <v>426</v>
      </c>
      <c r="H2299" s="67">
        <v>141</v>
      </c>
    </row>
    <row r="2300" spans="1:8" x14ac:dyDescent="0.25">
      <c r="A2300" s="212">
        <v>41960</v>
      </c>
      <c r="B2300" s="160" t="s">
        <v>1227</v>
      </c>
      <c r="C2300" t="s">
        <v>834</v>
      </c>
      <c r="D2300" t="s">
        <v>27</v>
      </c>
      <c r="E2300" s="161">
        <v>11</v>
      </c>
      <c r="F2300" s="161"/>
      <c r="G2300" s="162"/>
      <c r="H2300" s="67">
        <v>141</v>
      </c>
    </row>
    <row r="2301" spans="1:8" x14ac:dyDescent="0.25">
      <c r="A2301" s="212">
        <v>41961</v>
      </c>
      <c r="B2301" s="160" t="s">
        <v>1227</v>
      </c>
      <c r="C2301" t="s">
        <v>834</v>
      </c>
      <c r="D2301" t="s">
        <v>27</v>
      </c>
      <c r="E2301" s="161">
        <v>11</v>
      </c>
      <c r="F2301" s="161"/>
      <c r="G2301" s="162"/>
      <c r="H2301" s="67">
        <v>141</v>
      </c>
    </row>
    <row r="2302" spans="1:8" x14ac:dyDescent="0.25">
      <c r="A2302" s="212">
        <v>41961</v>
      </c>
      <c r="B2302" s="160" t="s">
        <v>1227</v>
      </c>
      <c r="C2302" t="s">
        <v>834</v>
      </c>
      <c r="D2302" t="s">
        <v>27</v>
      </c>
      <c r="E2302" s="161">
        <v>11</v>
      </c>
      <c r="F2302" s="161"/>
      <c r="G2302" s="162"/>
      <c r="H2302" s="67">
        <v>141</v>
      </c>
    </row>
    <row r="2303" spans="1:8" x14ac:dyDescent="0.25">
      <c r="A2303" s="212">
        <v>41961</v>
      </c>
      <c r="B2303" s="160" t="s">
        <v>623</v>
      </c>
      <c r="C2303" t="s">
        <v>7</v>
      </c>
      <c r="D2303" t="s">
        <v>27</v>
      </c>
      <c r="E2303" s="161">
        <v>10</v>
      </c>
      <c r="F2303" s="161">
        <v>42.6</v>
      </c>
      <c r="G2303" s="162">
        <v>426</v>
      </c>
      <c r="H2303" s="67">
        <v>141</v>
      </c>
    </row>
    <row r="2304" spans="1:8" x14ac:dyDescent="0.25">
      <c r="A2304" s="212">
        <v>41962</v>
      </c>
      <c r="B2304" s="160" t="s">
        <v>1227</v>
      </c>
      <c r="C2304" t="s">
        <v>834</v>
      </c>
      <c r="D2304" t="s">
        <v>27</v>
      </c>
      <c r="E2304" s="161">
        <v>11</v>
      </c>
      <c r="F2304" s="161"/>
      <c r="G2304" s="162"/>
      <c r="H2304" s="67">
        <v>141</v>
      </c>
    </row>
    <row r="2305" spans="1:8" x14ac:dyDescent="0.25">
      <c r="A2305" s="212">
        <v>41962</v>
      </c>
      <c r="B2305" s="160" t="s">
        <v>623</v>
      </c>
      <c r="C2305" t="s">
        <v>7</v>
      </c>
      <c r="D2305" t="s">
        <v>27</v>
      </c>
      <c r="E2305" s="161">
        <v>10</v>
      </c>
      <c r="F2305" s="161">
        <v>42.6</v>
      </c>
      <c r="G2305" s="162">
        <v>426</v>
      </c>
      <c r="H2305" s="67">
        <v>141</v>
      </c>
    </row>
    <row r="2306" spans="1:8" x14ac:dyDescent="0.25">
      <c r="A2306" s="212">
        <v>41962</v>
      </c>
      <c r="B2306" s="160" t="s">
        <v>1227</v>
      </c>
      <c r="C2306" t="s">
        <v>834</v>
      </c>
      <c r="D2306" t="s">
        <v>27</v>
      </c>
      <c r="E2306" s="161">
        <v>11.5</v>
      </c>
      <c r="F2306" s="161"/>
      <c r="G2306" s="162"/>
      <c r="H2306" s="67">
        <v>141</v>
      </c>
    </row>
    <row r="2307" spans="1:8" x14ac:dyDescent="0.25">
      <c r="A2307" s="212">
        <v>41963</v>
      </c>
      <c r="B2307" s="160" t="s">
        <v>1227</v>
      </c>
      <c r="C2307" t="s">
        <v>834</v>
      </c>
      <c r="D2307" t="s">
        <v>27</v>
      </c>
      <c r="E2307" s="161">
        <v>8</v>
      </c>
      <c r="F2307" s="161"/>
      <c r="G2307" s="162"/>
      <c r="H2307" s="67">
        <v>141</v>
      </c>
    </row>
    <row r="2308" spans="1:8" x14ac:dyDescent="0.25">
      <c r="A2308" s="212">
        <v>41963</v>
      </c>
      <c r="B2308" s="160" t="s">
        <v>623</v>
      </c>
      <c r="C2308" t="s">
        <v>7</v>
      </c>
      <c r="D2308" t="s">
        <v>27</v>
      </c>
      <c r="E2308" s="161">
        <v>10</v>
      </c>
      <c r="F2308" s="161">
        <v>42.6</v>
      </c>
      <c r="G2308" s="162">
        <v>426</v>
      </c>
      <c r="H2308" s="67">
        <v>141</v>
      </c>
    </row>
    <row r="2309" spans="1:8" x14ac:dyDescent="0.25">
      <c r="A2309" s="212">
        <v>41963</v>
      </c>
      <c r="B2309" s="160" t="s">
        <v>1227</v>
      </c>
      <c r="C2309" t="s">
        <v>834</v>
      </c>
      <c r="D2309" t="s">
        <v>27</v>
      </c>
      <c r="E2309" s="161">
        <v>8</v>
      </c>
      <c r="F2309" s="161"/>
      <c r="G2309" s="162"/>
      <c r="H2309" s="67">
        <v>141</v>
      </c>
    </row>
    <row r="2310" spans="1:8" x14ac:dyDescent="0.25">
      <c r="A2310" s="212">
        <v>41964</v>
      </c>
      <c r="B2310" s="160" t="s">
        <v>1227</v>
      </c>
      <c r="C2310" t="s">
        <v>834</v>
      </c>
      <c r="D2310" t="s">
        <v>27</v>
      </c>
      <c r="E2310" s="161">
        <v>5.5</v>
      </c>
      <c r="F2310" s="161"/>
      <c r="G2310" s="162"/>
      <c r="H2310" s="67">
        <v>141</v>
      </c>
    </row>
    <row r="2311" spans="1:8" x14ac:dyDescent="0.25">
      <c r="A2311" s="212">
        <v>41964</v>
      </c>
      <c r="B2311" s="160" t="s">
        <v>623</v>
      </c>
      <c r="C2311" t="s">
        <v>7</v>
      </c>
      <c r="D2311" t="s">
        <v>27</v>
      </c>
      <c r="E2311" s="161">
        <v>5</v>
      </c>
      <c r="F2311" s="161">
        <v>42.6</v>
      </c>
      <c r="G2311" s="162">
        <v>213</v>
      </c>
      <c r="H2311" s="67">
        <v>141</v>
      </c>
    </row>
    <row r="2312" spans="1:8" x14ac:dyDescent="0.25">
      <c r="A2312" s="212">
        <v>41964</v>
      </c>
      <c r="B2312" s="160" t="s">
        <v>1227</v>
      </c>
      <c r="C2312" t="s">
        <v>834</v>
      </c>
      <c r="D2312" t="s">
        <v>27</v>
      </c>
      <c r="E2312" s="161">
        <v>11</v>
      </c>
      <c r="F2312" s="161"/>
      <c r="G2312" s="162"/>
      <c r="H2312" s="67">
        <v>141</v>
      </c>
    </row>
    <row r="2313" spans="1:8" ht="30" x14ac:dyDescent="0.25">
      <c r="A2313" s="212">
        <v>41966</v>
      </c>
      <c r="B2313" s="160" t="s">
        <v>835</v>
      </c>
      <c r="C2313" t="s">
        <v>834</v>
      </c>
      <c r="D2313" t="s">
        <v>527</v>
      </c>
      <c r="E2313" s="161">
        <v>1</v>
      </c>
      <c r="F2313" s="161">
        <v>4865</v>
      </c>
      <c r="G2313" s="162">
        <v>4865</v>
      </c>
      <c r="H2313" s="67">
        <v>141</v>
      </c>
    </row>
    <row r="2314" spans="1:8" x14ac:dyDescent="0.25">
      <c r="A2314" s="212">
        <v>41967</v>
      </c>
      <c r="B2314" s="160" t="s">
        <v>1227</v>
      </c>
      <c r="C2314" t="s">
        <v>834</v>
      </c>
      <c r="D2314" t="s">
        <v>27</v>
      </c>
      <c r="E2314" s="161">
        <v>11</v>
      </c>
      <c r="F2314" s="161"/>
      <c r="G2314" s="162"/>
      <c r="H2314" s="67">
        <v>141</v>
      </c>
    </row>
    <row r="2315" spans="1:8" x14ac:dyDescent="0.25">
      <c r="A2315" s="212">
        <v>41967</v>
      </c>
      <c r="B2315" s="160" t="s">
        <v>1227</v>
      </c>
      <c r="C2315" t="s">
        <v>834</v>
      </c>
      <c r="D2315" t="s">
        <v>27</v>
      </c>
      <c r="E2315" s="161">
        <v>11</v>
      </c>
      <c r="F2315" s="161"/>
      <c r="G2315" s="162"/>
      <c r="H2315" s="67">
        <v>141</v>
      </c>
    </row>
    <row r="2316" spans="1:8" x14ac:dyDescent="0.25">
      <c r="A2316" s="212">
        <v>41968</v>
      </c>
      <c r="B2316" s="160" t="s">
        <v>1227</v>
      </c>
      <c r="C2316" t="s">
        <v>834</v>
      </c>
      <c r="D2316" t="s">
        <v>27</v>
      </c>
      <c r="E2316" s="161">
        <v>11.5</v>
      </c>
      <c r="F2316" s="161"/>
      <c r="G2316" s="162"/>
      <c r="H2316" s="67">
        <v>141</v>
      </c>
    </row>
    <row r="2317" spans="1:8" x14ac:dyDescent="0.25">
      <c r="A2317" s="212">
        <v>41968</v>
      </c>
      <c r="B2317" s="160" t="s">
        <v>1227</v>
      </c>
      <c r="C2317" t="s">
        <v>834</v>
      </c>
      <c r="D2317" t="s">
        <v>27</v>
      </c>
      <c r="E2317" s="161">
        <v>11.5</v>
      </c>
      <c r="F2317" s="161"/>
      <c r="G2317" s="162"/>
      <c r="H2317" s="67">
        <v>141</v>
      </c>
    </row>
    <row r="2318" spans="1:8" x14ac:dyDescent="0.25">
      <c r="A2318" s="212">
        <v>41968</v>
      </c>
      <c r="B2318" s="160" t="s">
        <v>623</v>
      </c>
      <c r="C2318" t="s">
        <v>7</v>
      </c>
      <c r="D2318" t="s">
        <v>27</v>
      </c>
      <c r="E2318" s="161">
        <v>10</v>
      </c>
      <c r="F2318" s="161">
        <v>42.6</v>
      </c>
      <c r="G2318" s="162">
        <v>426</v>
      </c>
      <c r="H2318" s="67">
        <v>141</v>
      </c>
    </row>
    <row r="2319" spans="1:8" x14ac:dyDescent="0.25">
      <c r="A2319" s="212">
        <v>41969</v>
      </c>
      <c r="B2319" s="160" t="s">
        <v>623</v>
      </c>
      <c r="C2319" t="s">
        <v>7</v>
      </c>
      <c r="D2319" t="s">
        <v>27</v>
      </c>
      <c r="E2319" s="161">
        <v>10.5</v>
      </c>
      <c r="F2319" s="161">
        <v>42.6</v>
      </c>
      <c r="G2319" s="162">
        <v>447.3</v>
      </c>
      <c r="H2319" s="67">
        <v>141</v>
      </c>
    </row>
    <row r="2320" spans="1:8" x14ac:dyDescent="0.25">
      <c r="A2320" s="212">
        <v>41970</v>
      </c>
      <c r="B2320" s="160" t="s">
        <v>623</v>
      </c>
      <c r="C2320" t="s">
        <v>7</v>
      </c>
      <c r="D2320" t="s">
        <v>27</v>
      </c>
      <c r="E2320" s="161">
        <v>10</v>
      </c>
      <c r="F2320" s="161">
        <v>42.6</v>
      </c>
      <c r="G2320" s="162">
        <v>426</v>
      </c>
      <c r="H2320" s="67">
        <v>141</v>
      </c>
    </row>
    <row r="2321" spans="1:8" x14ac:dyDescent="0.25">
      <c r="A2321" s="212">
        <v>41970</v>
      </c>
      <c r="B2321" s="160" t="s">
        <v>862</v>
      </c>
      <c r="C2321" t="s">
        <v>856</v>
      </c>
      <c r="D2321" t="s">
        <v>527</v>
      </c>
      <c r="E2321" s="161">
        <v>1</v>
      </c>
      <c r="F2321" s="161">
        <v>1319.5</v>
      </c>
      <c r="G2321" s="162">
        <v>1319.5</v>
      </c>
      <c r="H2321" s="67">
        <v>141</v>
      </c>
    </row>
    <row r="2322" spans="1:8" x14ac:dyDescent="0.25">
      <c r="A2322" s="212">
        <v>41971</v>
      </c>
      <c r="B2322" s="160" t="s">
        <v>623</v>
      </c>
      <c r="C2322" t="s">
        <v>7</v>
      </c>
      <c r="D2322" t="s">
        <v>27</v>
      </c>
      <c r="E2322" s="161">
        <v>9.5</v>
      </c>
      <c r="F2322" s="161">
        <v>42.6</v>
      </c>
      <c r="G2322" s="162">
        <v>404.7</v>
      </c>
      <c r="H2322" s="67">
        <v>141</v>
      </c>
    </row>
    <row r="2323" spans="1:8" x14ac:dyDescent="0.25">
      <c r="A2323" s="212">
        <v>41972</v>
      </c>
      <c r="B2323" s="160" t="s">
        <v>623</v>
      </c>
      <c r="C2323" t="s">
        <v>7</v>
      </c>
      <c r="D2323" t="s">
        <v>27</v>
      </c>
      <c r="E2323" s="161">
        <v>7</v>
      </c>
      <c r="F2323" s="161">
        <v>42.6</v>
      </c>
      <c r="G2323" s="162">
        <v>298.2</v>
      </c>
      <c r="H2323" s="67">
        <v>141</v>
      </c>
    </row>
    <row r="2324" spans="1:8" ht="30" x14ac:dyDescent="0.25">
      <c r="A2324" s="212">
        <v>41973</v>
      </c>
      <c r="B2324" s="160" t="s">
        <v>836</v>
      </c>
      <c r="C2324" t="s">
        <v>834</v>
      </c>
      <c r="D2324" t="s">
        <v>527</v>
      </c>
      <c r="E2324" s="161">
        <v>1</v>
      </c>
      <c r="F2324" s="161">
        <v>2386.75</v>
      </c>
      <c r="G2324" s="162">
        <v>2386.75</v>
      </c>
      <c r="H2324" s="67">
        <v>141</v>
      </c>
    </row>
    <row r="2325" spans="1:8" ht="30" x14ac:dyDescent="0.25">
      <c r="A2325" s="212">
        <v>41973</v>
      </c>
      <c r="B2325" s="160" t="s">
        <v>863</v>
      </c>
      <c r="C2325" t="s">
        <v>858</v>
      </c>
      <c r="D2325" t="s">
        <v>527</v>
      </c>
      <c r="E2325" s="161">
        <v>1</v>
      </c>
      <c r="F2325" s="161">
        <v>127.12</v>
      </c>
      <c r="G2325" s="162">
        <v>127.12</v>
      </c>
      <c r="H2325" s="67">
        <v>141</v>
      </c>
    </row>
    <row r="2326" spans="1:8" x14ac:dyDescent="0.25">
      <c r="A2326" s="212">
        <v>41973</v>
      </c>
      <c r="B2326" s="160" t="s">
        <v>864</v>
      </c>
      <c r="C2326" t="s">
        <v>856</v>
      </c>
      <c r="D2326" t="s">
        <v>527</v>
      </c>
      <c r="E2326" s="161">
        <v>1</v>
      </c>
      <c r="F2326" s="161">
        <v>1522.5</v>
      </c>
      <c r="G2326" s="162">
        <v>1522.5</v>
      </c>
      <c r="H2326" s="67">
        <v>141</v>
      </c>
    </row>
    <row r="2327" spans="1:8" x14ac:dyDescent="0.25">
      <c r="A2327" s="212">
        <v>41974</v>
      </c>
      <c r="B2327" s="160" t="s">
        <v>623</v>
      </c>
      <c r="C2327" t="s">
        <v>7</v>
      </c>
      <c r="D2327" t="s">
        <v>27</v>
      </c>
      <c r="E2327" s="161">
        <v>10</v>
      </c>
      <c r="F2327" s="161">
        <v>42.6</v>
      </c>
      <c r="G2327" s="162">
        <v>426</v>
      </c>
      <c r="H2327" s="67">
        <v>141</v>
      </c>
    </row>
    <row r="2328" spans="1:8" x14ac:dyDescent="0.25">
      <c r="A2328" s="212">
        <v>41975</v>
      </c>
      <c r="B2328" s="160" t="s">
        <v>623</v>
      </c>
      <c r="C2328" t="s">
        <v>7</v>
      </c>
      <c r="D2328" t="s">
        <v>27</v>
      </c>
      <c r="E2328" s="161">
        <v>6</v>
      </c>
      <c r="F2328" s="161">
        <v>42.6</v>
      </c>
      <c r="G2328" s="162">
        <v>255.6</v>
      </c>
      <c r="H2328" s="67">
        <v>141</v>
      </c>
    </row>
    <row r="2329" spans="1:8" x14ac:dyDescent="0.25">
      <c r="A2329" s="212">
        <v>41976</v>
      </c>
      <c r="B2329" s="160" t="s">
        <v>623</v>
      </c>
      <c r="C2329" t="s">
        <v>7</v>
      </c>
      <c r="D2329" t="s">
        <v>27</v>
      </c>
      <c r="E2329" s="161">
        <v>9</v>
      </c>
      <c r="F2329" s="161">
        <v>42.6</v>
      </c>
      <c r="G2329" s="162">
        <v>383.4</v>
      </c>
      <c r="H2329" s="67">
        <v>141</v>
      </c>
    </row>
    <row r="2330" spans="1:8" x14ac:dyDescent="0.25">
      <c r="A2330" s="212">
        <v>41977</v>
      </c>
      <c r="B2330" s="160" t="s">
        <v>1227</v>
      </c>
      <c r="C2330" t="s">
        <v>834</v>
      </c>
      <c r="D2330" t="s">
        <v>27</v>
      </c>
      <c r="E2330" s="161">
        <v>7</v>
      </c>
      <c r="F2330" s="161"/>
      <c r="G2330" s="162"/>
      <c r="H2330" s="67">
        <v>141</v>
      </c>
    </row>
    <row r="2331" spans="1:8" x14ac:dyDescent="0.25">
      <c r="A2331" s="212">
        <v>41977</v>
      </c>
      <c r="B2331" s="160" t="s">
        <v>623</v>
      </c>
      <c r="C2331" t="s">
        <v>7</v>
      </c>
      <c r="D2331" t="s">
        <v>27</v>
      </c>
      <c r="E2331" s="161">
        <v>10</v>
      </c>
      <c r="F2331" s="161">
        <v>42.6</v>
      </c>
      <c r="G2331" s="162">
        <v>426</v>
      </c>
      <c r="H2331" s="67">
        <v>141</v>
      </c>
    </row>
    <row r="2332" spans="1:8" x14ac:dyDescent="0.25">
      <c r="A2332" s="212">
        <v>41977</v>
      </c>
      <c r="B2332" s="160" t="s">
        <v>1227</v>
      </c>
      <c r="C2332" t="s">
        <v>834</v>
      </c>
      <c r="D2332" t="s">
        <v>27</v>
      </c>
      <c r="E2332" s="161">
        <v>7</v>
      </c>
      <c r="F2332" s="161"/>
      <c r="G2332" s="162"/>
      <c r="H2332" s="67">
        <v>141</v>
      </c>
    </row>
    <row r="2333" spans="1:8" x14ac:dyDescent="0.25">
      <c r="A2333" s="212">
        <v>41978</v>
      </c>
      <c r="B2333" s="160" t="s">
        <v>1227</v>
      </c>
      <c r="C2333" t="s">
        <v>834</v>
      </c>
      <c r="D2333" t="s">
        <v>27</v>
      </c>
      <c r="E2333" s="161">
        <v>7</v>
      </c>
      <c r="F2333" s="161"/>
      <c r="G2333" s="162"/>
      <c r="H2333" s="67">
        <v>141</v>
      </c>
    </row>
    <row r="2334" spans="1:8" x14ac:dyDescent="0.25">
      <c r="A2334" s="212">
        <v>41978</v>
      </c>
      <c r="B2334" s="160" t="s">
        <v>623</v>
      </c>
      <c r="C2334" t="s">
        <v>7</v>
      </c>
      <c r="D2334" t="s">
        <v>27</v>
      </c>
      <c r="E2334" s="161">
        <v>10</v>
      </c>
      <c r="F2334" s="161">
        <v>42.6</v>
      </c>
      <c r="G2334" s="162">
        <v>426</v>
      </c>
      <c r="H2334" s="67">
        <v>141</v>
      </c>
    </row>
    <row r="2335" spans="1:8" x14ac:dyDescent="0.25">
      <c r="A2335" s="212">
        <v>41978</v>
      </c>
      <c r="B2335" s="160" t="s">
        <v>1227</v>
      </c>
      <c r="C2335" t="s">
        <v>834</v>
      </c>
      <c r="D2335" t="s">
        <v>27</v>
      </c>
      <c r="E2335" s="161">
        <v>6</v>
      </c>
      <c r="F2335" s="161"/>
      <c r="G2335" s="162"/>
      <c r="H2335" s="67">
        <v>141</v>
      </c>
    </row>
    <row r="2336" spans="1:8" ht="30" x14ac:dyDescent="0.25">
      <c r="A2336" s="212">
        <v>41978</v>
      </c>
      <c r="B2336" s="160" t="s">
        <v>865</v>
      </c>
      <c r="C2336" t="s">
        <v>858</v>
      </c>
      <c r="D2336" t="s">
        <v>527</v>
      </c>
      <c r="E2336" s="161">
        <v>1</v>
      </c>
      <c r="F2336" s="161">
        <v>19.07</v>
      </c>
      <c r="G2336" s="162">
        <v>19.07</v>
      </c>
      <c r="H2336" s="67">
        <v>141</v>
      </c>
    </row>
    <row r="2337" spans="1:8" x14ac:dyDescent="0.25">
      <c r="A2337" s="212">
        <v>41979</v>
      </c>
      <c r="B2337" s="160" t="s">
        <v>623</v>
      </c>
      <c r="C2337" t="s">
        <v>7</v>
      </c>
      <c r="D2337" t="s">
        <v>27</v>
      </c>
      <c r="E2337" s="161">
        <v>7</v>
      </c>
      <c r="F2337" s="161">
        <v>42.6</v>
      </c>
      <c r="G2337" s="162">
        <v>298.2</v>
      </c>
      <c r="H2337" s="67">
        <v>141</v>
      </c>
    </row>
    <row r="2338" spans="1:8" ht="30" x14ac:dyDescent="0.25">
      <c r="A2338" s="212">
        <v>41980</v>
      </c>
      <c r="B2338" s="160" t="s">
        <v>837</v>
      </c>
      <c r="C2338" t="s">
        <v>834</v>
      </c>
      <c r="D2338" t="s">
        <v>527</v>
      </c>
      <c r="E2338" s="161">
        <v>1</v>
      </c>
      <c r="F2338" s="161">
        <v>1211.5</v>
      </c>
      <c r="G2338" s="162">
        <v>1211.5</v>
      </c>
      <c r="H2338" s="67">
        <v>141</v>
      </c>
    </row>
    <row r="2339" spans="1:8" x14ac:dyDescent="0.25">
      <c r="A2339" s="212">
        <v>41981</v>
      </c>
      <c r="B2339" s="160" t="s">
        <v>623</v>
      </c>
      <c r="C2339" t="s">
        <v>7</v>
      </c>
      <c r="D2339" t="s">
        <v>27</v>
      </c>
      <c r="E2339" s="161">
        <v>10</v>
      </c>
      <c r="F2339" s="161">
        <v>42.6</v>
      </c>
      <c r="G2339" s="162">
        <v>426</v>
      </c>
      <c r="H2339" s="67">
        <v>141</v>
      </c>
    </row>
    <row r="2340" spans="1:8" x14ac:dyDescent="0.25">
      <c r="A2340" s="212">
        <v>41982</v>
      </c>
      <c r="B2340" s="160" t="s">
        <v>623</v>
      </c>
      <c r="C2340" t="s">
        <v>7</v>
      </c>
      <c r="D2340" t="s">
        <v>27</v>
      </c>
      <c r="E2340" s="161">
        <v>10</v>
      </c>
      <c r="F2340" s="161">
        <v>42.6</v>
      </c>
      <c r="G2340" s="162">
        <v>426</v>
      </c>
      <c r="H2340" s="67">
        <v>141</v>
      </c>
    </row>
    <row r="2341" spans="1:8" x14ac:dyDescent="0.25">
      <c r="A2341" s="212">
        <v>41983</v>
      </c>
      <c r="B2341" s="160" t="s">
        <v>623</v>
      </c>
      <c r="C2341" t="s">
        <v>7</v>
      </c>
      <c r="D2341" t="s">
        <v>27</v>
      </c>
      <c r="E2341" s="161">
        <v>10</v>
      </c>
      <c r="F2341" s="161">
        <v>42.6</v>
      </c>
      <c r="G2341" s="162">
        <v>426</v>
      </c>
      <c r="H2341" s="67">
        <v>141</v>
      </c>
    </row>
    <row r="2342" spans="1:8" x14ac:dyDescent="0.25">
      <c r="A2342" s="212">
        <v>41984</v>
      </c>
      <c r="B2342" s="160" t="s">
        <v>623</v>
      </c>
      <c r="C2342" t="s">
        <v>7</v>
      </c>
      <c r="D2342" t="s">
        <v>27</v>
      </c>
      <c r="E2342" s="161">
        <v>10</v>
      </c>
      <c r="F2342" s="161">
        <v>42.6</v>
      </c>
      <c r="G2342" s="162">
        <v>426</v>
      </c>
      <c r="H2342" s="67">
        <v>141</v>
      </c>
    </row>
    <row r="2343" spans="1:8" x14ac:dyDescent="0.25">
      <c r="A2343" s="212">
        <v>41985</v>
      </c>
      <c r="B2343" s="160" t="s">
        <v>623</v>
      </c>
      <c r="C2343" t="s">
        <v>7</v>
      </c>
      <c r="D2343" t="s">
        <v>27</v>
      </c>
      <c r="E2343" s="161">
        <v>9.5</v>
      </c>
      <c r="F2343" s="161">
        <v>42.6</v>
      </c>
      <c r="G2343" s="162">
        <v>404.7</v>
      </c>
      <c r="H2343" s="67">
        <v>141</v>
      </c>
    </row>
    <row r="2344" spans="1:8" x14ac:dyDescent="0.25">
      <c r="A2344" s="212">
        <v>41986</v>
      </c>
      <c r="B2344" s="160" t="s">
        <v>623</v>
      </c>
      <c r="C2344" t="s">
        <v>7</v>
      </c>
      <c r="D2344" t="s">
        <v>27</v>
      </c>
      <c r="E2344" s="161">
        <v>10.5</v>
      </c>
      <c r="F2344" s="161">
        <v>42.6</v>
      </c>
      <c r="G2344" s="162">
        <v>447.3</v>
      </c>
      <c r="H2344" s="67">
        <v>141</v>
      </c>
    </row>
    <row r="2345" spans="1:8" x14ac:dyDescent="0.25">
      <c r="A2345" s="212">
        <v>41988</v>
      </c>
      <c r="B2345" s="160" t="s">
        <v>623</v>
      </c>
      <c r="C2345" t="s">
        <v>7</v>
      </c>
      <c r="D2345" t="s">
        <v>27</v>
      </c>
      <c r="E2345" s="161">
        <v>10.5</v>
      </c>
      <c r="F2345" s="161">
        <v>42.6</v>
      </c>
      <c r="G2345" s="162">
        <v>447.3</v>
      </c>
      <c r="H2345" s="67">
        <v>141</v>
      </c>
    </row>
    <row r="2346" spans="1:8" x14ac:dyDescent="0.25">
      <c r="A2346" s="212">
        <v>41989</v>
      </c>
      <c r="B2346" s="160" t="s">
        <v>623</v>
      </c>
      <c r="C2346" t="s">
        <v>7</v>
      </c>
      <c r="D2346" t="s">
        <v>27</v>
      </c>
      <c r="E2346" s="161">
        <v>8.5</v>
      </c>
      <c r="F2346" s="161">
        <v>42.6</v>
      </c>
      <c r="G2346" s="162">
        <v>362.1</v>
      </c>
      <c r="H2346" s="67">
        <v>141</v>
      </c>
    </row>
    <row r="2347" spans="1:8" x14ac:dyDescent="0.25">
      <c r="A2347" s="212">
        <v>41990</v>
      </c>
      <c r="B2347" s="160" t="s">
        <v>623</v>
      </c>
      <c r="C2347" t="s">
        <v>7</v>
      </c>
      <c r="D2347" t="s">
        <v>27</v>
      </c>
      <c r="E2347" s="161">
        <v>7.5</v>
      </c>
      <c r="F2347" s="161">
        <v>42.6</v>
      </c>
      <c r="G2347" s="162">
        <v>319.5</v>
      </c>
      <c r="H2347" s="67">
        <v>141</v>
      </c>
    </row>
    <row r="2348" spans="1:8" x14ac:dyDescent="0.25">
      <c r="A2348" s="212">
        <v>42004</v>
      </c>
      <c r="B2348" s="160" t="s">
        <v>866</v>
      </c>
      <c r="C2348" t="s">
        <v>856</v>
      </c>
      <c r="D2348" t="s">
        <v>527</v>
      </c>
      <c r="E2348" s="161">
        <v>1</v>
      </c>
      <c r="F2348" s="161">
        <v>1116.5</v>
      </c>
      <c r="G2348" s="162">
        <v>1116.5</v>
      </c>
      <c r="H2348" s="67">
        <v>141</v>
      </c>
    </row>
    <row r="2349" spans="1:8" x14ac:dyDescent="0.25">
      <c r="A2349" s="212">
        <v>42009</v>
      </c>
      <c r="B2349" s="160" t="s">
        <v>623</v>
      </c>
      <c r="C2349" t="s">
        <v>7</v>
      </c>
      <c r="D2349" t="s">
        <v>27</v>
      </c>
      <c r="E2349" s="161">
        <v>11</v>
      </c>
      <c r="F2349" s="161">
        <v>42.6</v>
      </c>
      <c r="G2349" s="162">
        <v>468.6</v>
      </c>
      <c r="H2349" s="67">
        <v>141</v>
      </c>
    </row>
    <row r="2350" spans="1:8" x14ac:dyDescent="0.25">
      <c r="A2350" s="212">
        <v>42010</v>
      </c>
      <c r="B2350" s="160" t="s">
        <v>623</v>
      </c>
      <c r="C2350" t="s">
        <v>7</v>
      </c>
      <c r="D2350" t="s">
        <v>27</v>
      </c>
      <c r="E2350" s="161">
        <v>8.5</v>
      </c>
      <c r="F2350" s="161">
        <v>42.6</v>
      </c>
      <c r="G2350" s="162">
        <v>362.1</v>
      </c>
      <c r="H2350" s="67">
        <v>141</v>
      </c>
    </row>
    <row r="2351" spans="1:8" x14ac:dyDescent="0.25">
      <c r="A2351" s="212">
        <v>42011</v>
      </c>
      <c r="B2351" s="160" t="s">
        <v>623</v>
      </c>
      <c r="C2351" t="s">
        <v>7</v>
      </c>
      <c r="D2351" t="s">
        <v>27</v>
      </c>
      <c r="E2351" s="161">
        <v>10.5</v>
      </c>
      <c r="F2351" s="161">
        <v>42.6</v>
      </c>
      <c r="G2351" s="162">
        <v>447.3</v>
      </c>
      <c r="H2351" s="67">
        <v>141</v>
      </c>
    </row>
    <row r="2352" spans="1:8" x14ac:dyDescent="0.25">
      <c r="A2352" s="212">
        <v>42011</v>
      </c>
      <c r="B2352" s="160" t="s">
        <v>623</v>
      </c>
      <c r="C2352" t="s">
        <v>7</v>
      </c>
      <c r="D2352" t="s">
        <v>27</v>
      </c>
      <c r="E2352" s="161">
        <v>6.5</v>
      </c>
      <c r="F2352" s="161">
        <v>42.6</v>
      </c>
      <c r="G2352" s="162">
        <v>276.89999999999998</v>
      </c>
      <c r="H2352" s="67">
        <v>141</v>
      </c>
    </row>
    <row r="2353" spans="1:8" x14ac:dyDescent="0.25">
      <c r="A2353" s="212">
        <v>42012</v>
      </c>
      <c r="B2353" s="160" t="s">
        <v>623</v>
      </c>
      <c r="C2353" t="s">
        <v>7</v>
      </c>
      <c r="D2353" t="s">
        <v>27</v>
      </c>
      <c r="E2353" s="161">
        <v>7</v>
      </c>
      <c r="F2353" s="161">
        <v>42.6</v>
      </c>
      <c r="G2353" s="162">
        <v>298.2</v>
      </c>
      <c r="H2353" s="67">
        <v>141</v>
      </c>
    </row>
    <row r="2354" spans="1:8" x14ac:dyDescent="0.25">
      <c r="A2354" s="212">
        <v>42012</v>
      </c>
      <c r="B2354" s="160" t="s">
        <v>623</v>
      </c>
      <c r="C2354" t="s">
        <v>7</v>
      </c>
      <c r="D2354" t="s">
        <v>27</v>
      </c>
      <c r="E2354" s="161">
        <v>10.75</v>
      </c>
      <c r="F2354" s="161">
        <v>42.6</v>
      </c>
      <c r="G2354" s="162">
        <v>457.95</v>
      </c>
      <c r="H2354" s="67">
        <v>141</v>
      </c>
    </row>
    <row r="2355" spans="1:8" x14ac:dyDescent="0.25">
      <c r="A2355" s="212">
        <v>42013</v>
      </c>
      <c r="B2355" s="160" t="s">
        <v>623</v>
      </c>
      <c r="C2355" t="s">
        <v>7</v>
      </c>
      <c r="D2355" t="s">
        <v>27</v>
      </c>
      <c r="E2355" s="161">
        <v>10</v>
      </c>
      <c r="F2355" s="161">
        <v>42.6</v>
      </c>
      <c r="G2355" s="162">
        <v>426</v>
      </c>
      <c r="H2355" s="67">
        <v>141</v>
      </c>
    </row>
    <row r="2356" spans="1:8" x14ac:dyDescent="0.25">
      <c r="A2356" s="212">
        <v>42014</v>
      </c>
      <c r="B2356" s="160" t="s">
        <v>623</v>
      </c>
      <c r="C2356" t="s">
        <v>7</v>
      </c>
      <c r="D2356" t="s">
        <v>27</v>
      </c>
      <c r="E2356" s="161">
        <v>8.5</v>
      </c>
      <c r="F2356" s="161">
        <v>42.6</v>
      </c>
      <c r="G2356" s="162">
        <v>362.1</v>
      </c>
      <c r="H2356" s="67">
        <v>141</v>
      </c>
    </row>
    <row r="2357" spans="1:8" x14ac:dyDescent="0.25">
      <c r="A2357" s="212">
        <v>42016</v>
      </c>
      <c r="B2357" s="160" t="s">
        <v>623</v>
      </c>
      <c r="C2357" t="s">
        <v>7</v>
      </c>
      <c r="D2357" t="s">
        <v>27</v>
      </c>
      <c r="E2357" s="161">
        <v>10.5</v>
      </c>
      <c r="F2357" s="161">
        <v>42.6</v>
      </c>
      <c r="G2357" s="162">
        <v>447.3</v>
      </c>
      <c r="H2357" s="67">
        <v>141</v>
      </c>
    </row>
    <row r="2358" spans="1:8" x14ac:dyDescent="0.25">
      <c r="A2358" s="212">
        <v>42017</v>
      </c>
      <c r="B2358" s="160" t="s">
        <v>623</v>
      </c>
      <c r="C2358" t="s">
        <v>7</v>
      </c>
      <c r="D2358" t="s">
        <v>27</v>
      </c>
      <c r="E2358" s="161">
        <v>10</v>
      </c>
      <c r="F2358" s="161">
        <v>42.6</v>
      </c>
      <c r="G2358" s="162">
        <v>426</v>
      </c>
      <c r="H2358" s="67">
        <v>141</v>
      </c>
    </row>
    <row r="2359" spans="1:8" x14ac:dyDescent="0.25">
      <c r="A2359" s="212">
        <v>42018</v>
      </c>
      <c r="B2359" s="160" t="s">
        <v>623</v>
      </c>
      <c r="C2359" t="s">
        <v>7</v>
      </c>
      <c r="D2359" t="s">
        <v>27</v>
      </c>
      <c r="E2359" s="161">
        <v>10.5</v>
      </c>
      <c r="F2359" s="161">
        <v>42.6</v>
      </c>
      <c r="G2359" s="162">
        <v>447.3</v>
      </c>
      <c r="H2359" s="67">
        <v>141</v>
      </c>
    </row>
    <row r="2360" spans="1:8" x14ac:dyDescent="0.25">
      <c r="A2360" s="212">
        <v>42019</v>
      </c>
      <c r="B2360" s="160" t="s">
        <v>623</v>
      </c>
      <c r="C2360" t="s">
        <v>7</v>
      </c>
      <c r="D2360" t="s">
        <v>27</v>
      </c>
      <c r="E2360" s="161">
        <v>10</v>
      </c>
      <c r="F2360" s="161">
        <v>42.6</v>
      </c>
      <c r="G2360" s="162">
        <v>426</v>
      </c>
      <c r="H2360" s="67">
        <v>141</v>
      </c>
    </row>
    <row r="2361" spans="1:8" x14ac:dyDescent="0.25">
      <c r="A2361" s="212">
        <v>42019</v>
      </c>
      <c r="B2361" s="160" t="s">
        <v>838</v>
      </c>
      <c r="C2361" t="s">
        <v>7</v>
      </c>
      <c r="D2361" t="s">
        <v>27</v>
      </c>
      <c r="E2361" s="161">
        <v>54</v>
      </c>
      <c r="F2361" s="161">
        <v>20</v>
      </c>
      <c r="G2361" s="162">
        <v>1080</v>
      </c>
      <c r="H2361" s="67">
        <v>141</v>
      </c>
    </row>
    <row r="2362" spans="1:8" x14ac:dyDescent="0.25">
      <c r="A2362" s="212">
        <v>42020</v>
      </c>
      <c r="B2362" s="160" t="s">
        <v>839</v>
      </c>
      <c r="C2362" t="s">
        <v>7</v>
      </c>
      <c r="D2362" t="s">
        <v>27</v>
      </c>
      <c r="E2362" s="161">
        <v>3</v>
      </c>
      <c r="F2362" s="161">
        <v>20</v>
      </c>
      <c r="G2362" s="162">
        <v>60</v>
      </c>
      <c r="H2362" s="67">
        <v>141</v>
      </c>
    </row>
    <row r="2363" spans="1:8" x14ac:dyDescent="0.25">
      <c r="A2363" s="212">
        <v>42021</v>
      </c>
      <c r="B2363" s="160" t="s">
        <v>623</v>
      </c>
      <c r="C2363" t="s">
        <v>7</v>
      </c>
      <c r="D2363" t="s">
        <v>27</v>
      </c>
      <c r="E2363" s="161">
        <v>4</v>
      </c>
      <c r="F2363" s="161">
        <v>42.6</v>
      </c>
      <c r="G2363" s="162">
        <v>170.4</v>
      </c>
      <c r="H2363" s="67">
        <v>141</v>
      </c>
    </row>
    <row r="2364" spans="1:8" x14ac:dyDescent="0.25">
      <c r="A2364" s="212">
        <v>42022</v>
      </c>
      <c r="B2364" s="160" t="s">
        <v>623</v>
      </c>
      <c r="C2364" t="s">
        <v>7</v>
      </c>
      <c r="D2364" t="s">
        <v>27</v>
      </c>
      <c r="E2364" s="161">
        <v>4</v>
      </c>
      <c r="F2364" s="161">
        <v>42.6</v>
      </c>
      <c r="G2364" s="162">
        <v>170.4</v>
      </c>
      <c r="H2364" s="67">
        <v>141</v>
      </c>
    </row>
    <row r="2365" spans="1:8" x14ac:dyDescent="0.25">
      <c r="A2365" s="212">
        <v>42023</v>
      </c>
      <c r="B2365" s="160" t="s">
        <v>623</v>
      </c>
      <c r="C2365" t="s">
        <v>7</v>
      </c>
      <c r="D2365" t="s">
        <v>27</v>
      </c>
      <c r="E2365" s="161">
        <v>4</v>
      </c>
      <c r="F2365" s="161">
        <v>42.6</v>
      </c>
      <c r="G2365" s="162">
        <v>170.4</v>
      </c>
      <c r="H2365" s="67">
        <v>141</v>
      </c>
    </row>
    <row r="2366" spans="1:8" x14ac:dyDescent="0.25">
      <c r="A2366" s="212">
        <v>42024</v>
      </c>
      <c r="B2366" s="160" t="s">
        <v>623</v>
      </c>
      <c r="C2366" t="s">
        <v>7</v>
      </c>
      <c r="D2366" t="s">
        <v>27</v>
      </c>
      <c r="E2366" s="161">
        <v>10</v>
      </c>
      <c r="F2366" s="161">
        <v>42.6</v>
      </c>
      <c r="G2366" s="162">
        <v>426</v>
      </c>
      <c r="H2366" s="67">
        <v>141</v>
      </c>
    </row>
    <row r="2367" spans="1:8" x14ac:dyDescent="0.25">
      <c r="A2367" s="212">
        <v>42025</v>
      </c>
      <c r="B2367" s="160" t="s">
        <v>623</v>
      </c>
      <c r="C2367" t="s">
        <v>7</v>
      </c>
      <c r="D2367" t="s">
        <v>27</v>
      </c>
      <c r="E2367" s="161">
        <v>10</v>
      </c>
      <c r="F2367" s="161">
        <v>42.6</v>
      </c>
      <c r="G2367" s="162">
        <v>426</v>
      </c>
      <c r="H2367" s="67">
        <v>141</v>
      </c>
    </row>
    <row r="2368" spans="1:8" x14ac:dyDescent="0.25">
      <c r="A2368" s="212">
        <v>42026</v>
      </c>
      <c r="B2368" s="160" t="s">
        <v>840</v>
      </c>
      <c r="C2368" t="s">
        <v>7</v>
      </c>
      <c r="D2368" t="s">
        <v>27</v>
      </c>
      <c r="E2368" s="161">
        <v>3</v>
      </c>
      <c r="F2368" s="161">
        <v>20</v>
      </c>
      <c r="G2368" s="162">
        <v>60</v>
      </c>
      <c r="H2368" s="67">
        <v>141</v>
      </c>
    </row>
    <row r="2369" spans="1:8" x14ac:dyDescent="0.25">
      <c r="A2369" s="212">
        <v>42026</v>
      </c>
      <c r="B2369" s="160" t="s">
        <v>838</v>
      </c>
      <c r="C2369" t="s">
        <v>7</v>
      </c>
      <c r="D2369" t="s">
        <v>27</v>
      </c>
      <c r="E2369" s="161">
        <v>2</v>
      </c>
      <c r="F2369" s="161">
        <v>20</v>
      </c>
      <c r="G2369" s="162">
        <v>40</v>
      </c>
      <c r="H2369" s="67">
        <v>141</v>
      </c>
    </row>
    <row r="2370" spans="1:8" x14ac:dyDescent="0.25">
      <c r="A2370" s="212">
        <v>42026</v>
      </c>
      <c r="B2370" s="160" t="s">
        <v>623</v>
      </c>
      <c r="C2370" t="s">
        <v>7</v>
      </c>
      <c r="D2370" t="s">
        <v>27</v>
      </c>
      <c r="E2370" s="161">
        <v>10</v>
      </c>
      <c r="F2370" s="161">
        <v>42.6</v>
      </c>
      <c r="G2370" s="162">
        <v>426</v>
      </c>
      <c r="H2370" s="67">
        <v>141</v>
      </c>
    </row>
    <row r="2371" spans="1:8" x14ac:dyDescent="0.25">
      <c r="A2371" s="212">
        <v>42026</v>
      </c>
      <c r="B2371" s="160" t="s">
        <v>1212</v>
      </c>
      <c r="C2371" t="s">
        <v>7</v>
      </c>
      <c r="D2371" t="s">
        <v>27</v>
      </c>
      <c r="E2371" s="161">
        <v>2</v>
      </c>
      <c r="F2371" s="161">
        <v>42.72</v>
      </c>
      <c r="G2371" s="162">
        <v>85.44</v>
      </c>
      <c r="H2371" s="67">
        <v>141</v>
      </c>
    </row>
    <row r="2372" spans="1:8" x14ac:dyDescent="0.25">
      <c r="A2372" s="212">
        <v>42027</v>
      </c>
      <c r="B2372" s="160" t="s">
        <v>1212</v>
      </c>
      <c r="C2372" t="s">
        <v>7</v>
      </c>
      <c r="D2372" t="s">
        <v>27</v>
      </c>
      <c r="E2372" s="161">
        <v>2</v>
      </c>
      <c r="F2372" s="161">
        <v>42.72</v>
      </c>
      <c r="G2372" s="162">
        <v>85.44</v>
      </c>
      <c r="H2372" s="67">
        <v>141</v>
      </c>
    </row>
    <row r="2373" spans="1:8" x14ac:dyDescent="0.25">
      <c r="A2373" s="212">
        <v>42027</v>
      </c>
      <c r="B2373" s="160" t="s">
        <v>623</v>
      </c>
      <c r="C2373" t="s">
        <v>7</v>
      </c>
      <c r="D2373" t="s">
        <v>27</v>
      </c>
      <c r="E2373" s="161">
        <v>7</v>
      </c>
      <c r="F2373" s="161">
        <v>42.6</v>
      </c>
      <c r="G2373" s="162">
        <v>298.2</v>
      </c>
      <c r="H2373" s="67">
        <v>141</v>
      </c>
    </row>
    <row r="2374" spans="1:8" x14ac:dyDescent="0.25">
      <c r="A2374" s="212">
        <v>42031</v>
      </c>
      <c r="B2374" s="160" t="s">
        <v>623</v>
      </c>
      <c r="C2374" t="s">
        <v>7</v>
      </c>
      <c r="D2374" t="s">
        <v>27</v>
      </c>
      <c r="E2374" s="161">
        <v>11</v>
      </c>
      <c r="F2374" s="161">
        <v>42.6</v>
      </c>
      <c r="G2374" s="162">
        <v>468.6</v>
      </c>
      <c r="H2374" s="67">
        <v>141</v>
      </c>
    </row>
    <row r="2375" spans="1:8" x14ac:dyDescent="0.25">
      <c r="A2375" s="212">
        <v>42032</v>
      </c>
      <c r="B2375" s="160" t="s">
        <v>623</v>
      </c>
      <c r="C2375" t="s">
        <v>7</v>
      </c>
      <c r="D2375" t="s">
        <v>27</v>
      </c>
      <c r="E2375" s="161">
        <v>9.5</v>
      </c>
      <c r="F2375" s="161">
        <v>42.6</v>
      </c>
      <c r="G2375" s="162">
        <v>404.7</v>
      </c>
      <c r="H2375" s="67">
        <v>141</v>
      </c>
    </row>
    <row r="2376" spans="1:8" x14ac:dyDescent="0.25">
      <c r="A2376" s="212">
        <v>42033</v>
      </c>
      <c r="B2376" s="160" t="s">
        <v>735</v>
      </c>
      <c r="C2376" t="s">
        <v>7</v>
      </c>
      <c r="D2376" t="s">
        <v>27</v>
      </c>
      <c r="E2376" s="161">
        <v>5</v>
      </c>
      <c r="F2376" s="161">
        <v>20</v>
      </c>
      <c r="G2376" s="162">
        <v>100</v>
      </c>
      <c r="H2376" s="67">
        <v>141</v>
      </c>
    </row>
    <row r="2377" spans="1:8" x14ac:dyDescent="0.25">
      <c r="A2377" s="212">
        <v>42033</v>
      </c>
      <c r="B2377" s="160" t="s">
        <v>1226</v>
      </c>
      <c r="C2377" t="s">
        <v>7</v>
      </c>
      <c r="D2377" t="s">
        <v>27</v>
      </c>
      <c r="E2377" s="161">
        <v>2</v>
      </c>
      <c r="F2377" s="161">
        <v>42.72</v>
      </c>
      <c r="G2377" s="162">
        <v>85.44</v>
      </c>
      <c r="H2377" s="67">
        <v>141</v>
      </c>
    </row>
    <row r="2378" spans="1:8" x14ac:dyDescent="0.25">
      <c r="A2378" s="212">
        <v>42033</v>
      </c>
      <c r="B2378" s="160" t="s">
        <v>623</v>
      </c>
      <c r="C2378" t="s">
        <v>7</v>
      </c>
      <c r="D2378" t="s">
        <v>27</v>
      </c>
      <c r="E2378" s="161">
        <v>10.75</v>
      </c>
      <c r="F2378" s="161">
        <v>42.6</v>
      </c>
      <c r="G2378" s="162">
        <v>457.95</v>
      </c>
      <c r="H2378" s="67">
        <v>141</v>
      </c>
    </row>
    <row r="2379" spans="1:8" x14ac:dyDescent="0.25">
      <c r="A2379" s="212">
        <v>42034</v>
      </c>
      <c r="B2379" s="160" t="s">
        <v>842</v>
      </c>
      <c r="C2379" t="s">
        <v>7</v>
      </c>
      <c r="D2379" t="s">
        <v>27</v>
      </c>
      <c r="E2379" s="161">
        <v>4</v>
      </c>
      <c r="F2379" s="161">
        <v>20</v>
      </c>
      <c r="G2379" s="162">
        <v>80</v>
      </c>
      <c r="H2379" s="67">
        <v>141</v>
      </c>
    </row>
    <row r="2380" spans="1:8" x14ac:dyDescent="0.25">
      <c r="A2380" s="212">
        <v>42034</v>
      </c>
      <c r="B2380" s="160" t="s">
        <v>734</v>
      </c>
      <c r="C2380" t="s">
        <v>7</v>
      </c>
      <c r="D2380" t="s">
        <v>27</v>
      </c>
      <c r="E2380" s="161">
        <v>1</v>
      </c>
      <c r="F2380" s="161">
        <v>20</v>
      </c>
      <c r="G2380" s="162">
        <v>20</v>
      </c>
      <c r="H2380" s="67">
        <v>141</v>
      </c>
    </row>
    <row r="2381" spans="1:8" x14ac:dyDescent="0.25">
      <c r="A2381" s="212">
        <v>42034</v>
      </c>
      <c r="B2381" s="160" t="s">
        <v>734</v>
      </c>
      <c r="C2381" t="s">
        <v>7</v>
      </c>
      <c r="D2381" t="s">
        <v>27</v>
      </c>
      <c r="E2381" s="161">
        <v>7</v>
      </c>
      <c r="F2381" s="161">
        <v>20</v>
      </c>
      <c r="G2381" s="162">
        <v>140</v>
      </c>
      <c r="H2381" s="67">
        <v>141</v>
      </c>
    </row>
    <row r="2382" spans="1:8" x14ac:dyDescent="0.25">
      <c r="A2382" s="212">
        <v>42034</v>
      </c>
      <c r="B2382" s="160" t="s">
        <v>623</v>
      </c>
      <c r="C2382" t="s">
        <v>7</v>
      </c>
      <c r="D2382" t="s">
        <v>27</v>
      </c>
      <c r="E2382" s="161">
        <v>7</v>
      </c>
      <c r="F2382" s="161">
        <v>42.6</v>
      </c>
      <c r="G2382" s="162">
        <v>298.2</v>
      </c>
      <c r="H2382" s="67">
        <v>141</v>
      </c>
    </row>
    <row r="2383" spans="1:8" x14ac:dyDescent="0.25">
      <c r="A2383" s="212">
        <v>42034</v>
      </c>
      <c r="B2383" s="160" t="s">
        <v>841</v>
      </c>
      <c r="C2383" t="s">
        <v>7</v>
      </c>
      <c r="D2383" t="s">
        <v>27</v>
      </c>
      <c r="E2383" s="161">
        <v>17</v>
      </c>
      <c r="F2383" s="161">
        <v>20</v>
      </c>
      <c r="G2383" s="162">
        <v>340</v>
      </c>
      <c r="H2383" s="67">
        <v>141</v>
      </c>
    </row>
    <row r="2384" spans="1:8" x14ac:dyDescent="0.25">
      <c r="A2384" s="212">
        <v>42034</v>
      </c>
      <c r="B2384" s="160" t="s">
        <v>623</v>
      </c>
      <c r="C2384" t="s">
        <v>7</v>
      </c>
      <c r="D2384" t="s">
        <v>27</v>
      </c>
      <c r="E2384" s="161">
        <v>7.5</v>
      </c>
      <c r="F2384" s="161">
        <v>42.6</v>
      </c>
      <c r="G2384" s="162">
        <v>319.5</v>
      </c>
      <c r="H2384" s="67">
        <v>141</v>
      </c>
    </row>
    <row r="2385" spans="1:8" x14ac:dyDescent="0.25">
      <c r="A2385" s="212">
        <v>42035</v>
      </c>
      <c r="B2385" s="160" t="s">
        <v>867</v>
      </c>
      <c r="C2385" t="s">
        <v>856</v>
      </c>
      <c r="D2385" t="s">
        <v>527</v>
      </c>
      <c r="E2385" s="161">
        <v>1</v>
      </c>
      <c r="F2385" s="161">
        <v>1268.75</v>
      </c>
      <c r="G2385" s="162">
        <v>1268.75</v>
      </c>
      <c r="H2385" s="67">
        <v>141</v>
      </c>
    </row>
    <row r="2386" spans="1:8" x14ac:dyDescent="0.25">
      <c r="A2386" s="212">
        <v>42037</v>
      </c>
      <c r="B2386" s="160" t="s">
        <v>623</v>
      </c>
      <c r="C2386" t="s">
        <v>7</v>
      </c>
      <c r="D2386" t="s">
        <v>27</v>
      </c>
      <c r="E2386" s="161">
        <v>10.5</v>
      </c>
      <c r="F2386" s="161">
        <v>42.6</v>
      </c>
      <c r="G2386" s="162">
        <v>447.3</v>
      </c>
      <c r="H2386" s="67">
        <v>141</v>
      </c>
    </row>
    <row r="2387" spans="1:8" x14ac:dyDescent="0.25">
      <c r="A2387" s="212">
        <v>42037</v>
      </c>
      <c r="B2387" s="160" t="s">
        <v>843</v>
      </c>
      <c r="C2387" t="s">
        <v>7</v>
      </c>
      <c r="D2387" t="s">
        <v>27</v>
      </c>
      <c r="E2387" s="161">
        <v>10</v>
      </c>
      <c r="F2387" s="161">
        <v>42.6</v>
      </c>
      <c r="G2387" s="162">
        <v>426</v>
      </c>
      <c r="H2387" s="67">
        <v>141</v>
      </c>
    </row>
    <row r="2388" spans="1:8" x14ac:dyDescent="0.25">
      <c r="A2388" s="212">
        <v>42038</v>
      </c>
      <c r="B2388" s="160" t="s">
        <v>623</v>
      </c>
      <c r="C2388" t="s">
        <v>7</v>
      </c>
      <c r="D2388" t="s">
        <v>27</v>
      </c>
      <c r="E2388" s="161">
        <v>11.5</v>
      </c>
      <c r="F2388" s="161">
        <v>42.6</v>
      </c>
      <c r="G2388" s="162">
        <v>489.9</v>
      </c>
      <c r="H2388" s="67">
        <v>141</v>
      </c>
    </row>
    <row r="2389" spans="1:8" x14ac:dyDescent="0.25">
      <c r="A2389" s="212">
        <v>42039</v>
      </c>
      <c r="B2389" s="160" t="s">
        <v>623</v>
      </c>
      <c r="C2389" t="s">
        <v>7</v>
      </c>
      <c r="D2389" t="s">
        <v>27</v>
      </c>
      <c r="E2389" s="161">
        <v>8.5</v>
      </c>
      <c r="F2389" s="161">
        <v>42.6</v>
      </c>
      <c r="G2389" s="162">
        <v>362.1</v>
      </c>
      <c r="H2389" s="67">
        <v>141</v>
      </c>
    </row>
    <row r="2390" spans="1:8" x14ac:dyDescent="0.25">
      <c r="A2390" s="212">
        <v>42040</v>
      </c>
      <c r="B2390" s="160" t="s">
        <v>623</v>
      </c>
      <c r="C2390" t="s">
        <v>7</v>
      </c>
      <c r="D2390" t="s">
        <v>27</v>
      </c>
      <c r="E2390" s="161">
        <v>11.5</v>
      </c>
      <c r="F2390" s="161">
        <v>42.6</v>
      </c>
      <c r="G2390" s="162">
        <v>489.9</v>
      </c>
      <c r="H2390" s="67">
        <v>141</v>
      </c>
    </row>
    <row r="2391" spans="1:8" x14ac:dyDescent="0.25">
      <c r="A2391" s="212">
        <v>42040</v>
      </c>
      <c r="B2391" s="160" t="s">
        <v>845</v>
      </c>
      <c r="C2391" t="s">
        <v>7</v>
      </c>
      <c r="D2391" t="s">
        <v>27</v>
      </c>
      <c r="E2391" s="161">
        <v>4</v>
      </c>
      <c r="F2391" s="161">
        <v>20</v>
      </c>
      <c r="G2391" s="162">
        <v>80</v>
      </c>
      <c r="H2391" s="67">
        <v>141</v>
      </c>
    </row>
    <row r="2392" spans="1:8" x14ac:dyDescent="0.25">
      <c r="A2392" s="212">
        <v>42040</v>
      </c>
      <c r="B2392" s="160" t="s">
        <v>1227</v>
      </c>
      <c r="C2392" t="s">
        <v>834</v>
      </c>
      <c r="D2392" t="s">
        <v>27</v>
      </c>
      <c r="E2392" s="161">
        <v>8</v>
      </c>
      <c r="F2392" s="161"/>
      <c r="G2392" s="162"/>
      <c r="H2392" s="67">
        <v>141</v>
      </c>
    </row>
    <row r="2393" spans="1:8" x14ac:dyDescent="0.25">
      <c r="A2393" s="212">
        <v>42040</v>
      </c>
      <c r="B2393" s="160" t="s">
        <v>844</v>
      </c>
      <c r="C2393" t="s">
        <v>7</v>
      </c>
      <c r="D2393" t="s">
        <v>27</v>
      </c>
      <c r="E2393" s="161">
        <v>4</v>
      </c>
      <c r="F2393" s="161">
        <v>20</v>
      </c>
      <c r="G2393" s="162">
        <v>80</v>
      </c>
      <c r="H2393" s="67">
        <v>141</v>
      </c>
    </row>
    <row r="2394" spans="1:8" x14ac:dyDescent="0.25">
      <c r="A2394" s="212">
        <v>42041</v>
      </c>
      <c r="B2394" s="160" t="s">
        <v>1228</v>
      </c>
      <c r="C2394" t="s">
        <v>834</v>
      </c>
      <c r="D2394" t="s">
        <v>27</v>
      </c>
      <c r="E2394" s="161">
        <v>16</v>
      </c>
      <c r="F2394" s="161"/>
      <c r="G2394" s="162"/>
      <c r="H2394" s="67">
        <v>141</v>
      </c>
    </row>
    <row r="2395" spans="1:8" x14ac:dyDescent="0.25">
      <c r="A2395" s="212">
        <v>42042</v>
      </c>
      <c r="B2395" s="160" t="s">
        <v>846</v>
      </c>
      <c r="C2395" t="s">
        <v>7</v>
      </c>
      <c r="D2395" t="s">
        <v>27</v>
      </c>
      <c r="E2395" s="161">
        <v>2</v>
      </c>
      <c r="F2395" s="161">
        <v>20</v>
      </c>
      <c r="G2395" s="162">
        <v>40</v>
      </c>
      <c r="H2395" s="67">
        <v>141</v>
      </c>
    </row>
    <row r="2396" spans="1:8" x14ac:dyDescent="0.25">
      <c r="A2396" s="212">
        <v>42042</v>
      </c>
      <c r="B2396" s="160" t="s">
        <v>847</v>
      </c>
      <c r="C2396" t="s">
        <v>7</v>
      </c>
      <c r="D2396" t="s">
        <v>27</v>
      </c>
      <c r="E2396" s="161">
        <v>5</v>
      </c>
      <c r="F2396" s="161">
        <v>20</v>
      </c>
      <c r="G2396" s="162">
        <v>100</v>
      </c>
      <c r="H2396" s="67">
        <v>141</v>
      </c>
    </row>
    <row r="2397" spans="1:8" ht="30" x14ac:dyDescent="0.25">
      <c r="A2397" s="212">
        <v>42043</v>
      </c>
      <c r="B2397" s="160" t="s">
        <v>837</v>
      </c>
      <c r="C2397" t="s">
        <v>834</v>
      </c>
      <c r="D2397" t="s">
        <v>527</v>
      </c>
      <c r="E2397" s="161">
        <v>1</v>
      </c>
      <c r="F2397" s="161">
        <v>1786.63</v>
      </c>
      <c r="G2397" s="162">
        <v>1786.63</v>
      </c>
      <c r="H2397" s="67">
        <v>141</v>
      </c>
    </row>
    <row r="2398" spans="1:8" x14ac:dyDescent="0.25">
      <c r="A2398" s="212">
        <v>42044</v>
      </c>
      <c r="B2398" s="160" t="s">
        <v>843</v>
      </c>
      <c r="C2398" t="s">
        <v>7</v>
      </c>
      <c r="D2398" t="s">
        <v>27</v>
      </c>
      <c r="E2398" s="161"/>
      <c r="F2398" s="161">
        <v>42.6</v>
      </c>
      <c r="G2398" s="162"/>
      <c r="H2398" s="67">
        <v>141</v>
      </c>
    </row>
    <row r="2399" spans="1:8" x14ac:dyDescent="0.25">
      <c r="A2399" s="212">
        <v>42044</v>
      </c>
      <c r="B2399" s="160" t="s">
        <v>623</v>
      </c>
      <c r="C2399" t="s">
        <v>7</v>
      </c>
      <c r="D2399" t="s">
        <v>27</v>
      </c>
      <c r="E2399" s="161">
        <v>11</v>
      </c>
      <c r="F2399" s="161">
        <v>42.6</v>
      </c>
      <c r="G2399" s="162">
        <v>468.6</v>
      </c>
      <c r="H2399" s="67">
        <v>141</v>
      </c>
    </row>
    <row r="2400" spans="1:8" x14ac:dyDescent="0.25">
      <c r="A2400" s="212">
        <v>42045</v>
      </c>
      <c r="B2400" s="160" t="s">
        <v>623</v>
      </c>
      <c r="C2400" t="s">
        <v>7</v>
      </c>
      <c r="D2400" t="s">
        <v>27</v>
      </c>
      <c r="E2400" s="161">
        <v>9.5</v>
      </c>
      <c r="F2400" s="161">
        <v>42.6</v>
      </c>
      <c r="G2400" s="162">
        <v>404.7</v>
      </c>
      <c r="H2400" s="67">
        <v>141</v>
      </c>
    </row>
    <row r="2401" spans="1:8" x14ac:dyDescent="0.25">
      <c r="A2401" s="212">
        <v>42046</v>
      </c>
      <c r="B2401" s="160" t="s">
        <v>623</v>
      </c>
      <c r="C2401" t="s">
        <v>7</v>
      </c>
      <c r="D2401" t="s">
        <v>27</v>
      </c>
      <c r="E2401" s="161">
        <v>10.5</v>
      </c>
      <c r="F2401" s="161">
        <v>42.6</v>
      </c>
      <c r="G2401" s="162">
        <v>447.3</v>
      </c>
      <c r="H2401" s="67">
        <v>141</v>
      </c>
    </row>
    <row r="2402" spans="1:8" x14ac:dyDescent="0.25">
      <c r="A2402" s="212">
        <v>42047</v>
      </c>
      <c r="B2402" s="160" t="s">
        <v>623</v>
      </c>
      <c r="C2402" t="s">
        <v>7</v>
      </c>
      <c r="D2402" t="s">
        <v>27</v>
      </c>
      <c r="E2402" s="161">
        <v>9</v>
      </c>
      <c r="F2402" s="161">
        <v>42.6</v>
      </c>
      <c r="G2402" s="162">
        <v>383.4</v>
      </c>
      <c r="H2402" s="67">
        <v>141</v>
      </c>
    </row>
    <row r="2403" spans="1:8" x14ac:dyDescent="0.25">
      <c r="A2403" s="212">
        <v>42050</v>
      </c>
      <c r="B2403" s="160" t="s">
        <v>848</v>
      </c>
      <c r="C2403" t="s">
        <v>7</v>
      </c>
      <c r="D2403" t="s">
        <v>27</v>
      </c>
      <c r="E2403" s="161">
        <v>4</v>
      </c>
      <c r="F2403" s="161">
        <v>42.6</v>
      </c>
      <c r="G2403" s="162">
        <v>170.4</v>
      </c>
      <c r="H2403" s="67">
        <v>141</v>
      </c>
    </row>
    <row r="2404" spans="1:8" x14ac:dyDescent="0.25">
      <c r="A2404" s="212">
        <v>42051</v>
      </c>
      <c r="B2404" s="160" t="s">
        <v>623</v>
      </c>
      <c r="C2404" t="s">
        <v>7</v>
      </c>
      <c r="D2404" t="s">
        <v>27</v>
      </c>
      <c r="E2404" s="161">
        <v>2</v>
      </c>
      <c r="F2404" s="161">
        <v>42.6</v>
      </c>
      <c r="G2404" s="162">
        <v>85.2</v>
      </c>
      <c r="H2404" s="67">
        <v>141</v>
      </c>
    </row>
    <row r="2405" spans="1:8" x14ac:dyDescent="0.25">
      <c r="A2405" s="212">
        <v>42052</v>
      </c>
      <c r="B2405" s="160" t="s">
        <v>623</v>
      </c>
      <c r="C2405" t="s">
        <v>7</v>
      </c>
      <c r="D2405" t="s">
        <v>27</v>
      </c>
      <c r="E2405" s="161">
        <v>10.5</v>
      </c>
      <c r="F2405" s="161">
        <v>42.6</v>
      </c>
      <c r="G2405" s="162">
        <v>447.3</v>
      </c>
      <c r="H2405" s="67">
        <v>141</v>
      </c>
    </row>
    <row r="2406" spans="1:8" x14ac:dyDescent="0.25">
      <c r="A2406" s="212">
        <v>42053</v>
      </c>
      <c r="B2406" s="160" t="s">
        <v>1229</v>
      </c>
      <c r="C2406" t="s">
        <v>834</v>
      </c>
      <c r="D2406" t="s">
        <v>27</v>
      </c>
      <c r="E2406" s="161">
        <v>9</v>
      </c>
      <c r="F2406" s="161"/>
      <c r="G2406" s="162"/>
      <c r="H2406" s="67">
        <v>141</v>
      </c>
    </row>
    <row r="2407" spans="1:8" x14ac:dyDescent="0.25">
      <c r="A2407" s="212">
        <v>42053</v>
      </c>
      <c r="B2407" s="160" t="s">
        <v>623</v>
      </c>
      <c r="C2407" t="s">
        <v>7</v>
      </c>
      <c r="D2407" t="s">
        <v>27</v>
      </c>
      <c r="E2407" s="161">
        <v>11.25</v>
      </c>
      <c r="F2407" s="161">
        <v>42.6</v>
      </c>
      <c r="G2407" s="162">
        <v>479.25</v>
      </c>
      <c r="H2407" s="67">
        <v>141</v>
      </c>
    </row>
    <row r="2408" spans="1:8" x14ac:dyDescent="0.25">
      <c r="A2408" s="212">
        <v>42054</v>
      </c>
      <c r="B2408" s="160" t="s">
        <v>1228</v>
      </c>
      <c r="C2408" t="s">
        <v>834</v>
      </c>
      <c r="D2408" t="s">
        <v>27</v>
      </c>
      <c r="E2408" s="161">
        <v>10</v>
      </c>
      <c r="F2408" s="161"/>
      <c r="G2408" s="162"/>
      <c r="H2408" s="67">
        <v>141</v>
      </c>
    </row>
    <row r="2409" spans="1:8" x14ac:dyDescent="0.25">
      <c r="A2409" s="212">
        <v>42054</v>
      </c>
      <c r="B2409" s="160" t="s">
        <v>623</v>
      </c>
      <c r="C2409" t="s">
        <v>7</v>
      </c>
      <c r="D2409" t="s">
        <v>27</v>
      </c>
      <c r="E2409" s="161">
        <v>10.5</v>
      </c>
      <c r="F2409" s="161">
        <v>42.6</v>
      </c>
      <c r="G2409" s="162">
        <v>447.3</v>
      </c>
      <c r="H2409" s="67">
        <v>141</v>
      </c>
    </row>
    <row r="2410" spans="1:8" x14ac:dyDescent="0.25">
      <c r="A2410" s="212">
        <v>42055</v>
      </c>
      <c r="B2410" s="160" t="s">
        <v>1229</v>
      </c>
      <c r="C2410" t="s">
        <v>834</v>
      </c>
      <c r="D2410" t="s">
        <v>27</v>
      </c>
      <c r="E2410" s="161">
        <v>10.5</v>
      </c>
      <c r="F2410" s="161"/>
      <c r="G2410" s="162"/>
      <c r="H2410" s="67">
        <v>141</v>
      </c>
    </row>
    <row r="2411" spans="1:8" x14ac:dyDescent="0.25">
      <c r="A2411" s="212">
        <v>42055</v>
      </c>
      <c r="B2411" s="160" t="s">
        <v>1229</v>
      </c>
      <c r="C2411" t="s">
        <v>834</v>
      </c>
      <c r="D2411" t="s">
        <v>27</v>
      </c>
      <c r="E2411" s="161">
        <v>11</v>
      </c>
      <c r="F2411" s="161"/>
      <c r="G2411" s="162"/>
      <c r="H2411" s="67">
        <v>141</v>
      </c>
    </row>
    <row r="2412" spans="1:8" x14ac:dyDescent="0.25">
      <c r="A2412" s="212">
        <v>42055</v>
      </c>
      <c r="B2412" s="160" t="s">
        <v>623</v>
      </c>
      <c r="C2412" t="s">
        <v>7</v>
      </c>
      <c r="D2412" t="s">
        <v>27</v>
      </c>
      <c r="E2412" s="161">
        <v>10.5</v>
      </c>
      <c r="F2412" s="161">
        <v>42.6</v>
      </c>
      <c r="G2412" s="162">
        <v>447.3</v>
      </c>
      <c r="H2412" s="67">
        <v>141</v>
      </c>
    </row>
    <row r="2413" spans="1:8" x14ac:dyDescent="0.25">
      <c r="A2413" s="212">
        <v>42056</v>
      </c>
      <c r="B2413" s="160" t="s">
        <v>623</v>
      </c>
      <c r="C2413" t="s">
        <v>7</v>
      </c>
      <c r="D2413" t="s">
        <v>27</v>
      </c>
      <c r="E2413" s="161">
        <v>4</v>
      </c>
      <c r="F2413" s="161">
        <v>42.6</v>
      </c>
      <c r="G2413" s="162">
        <v>170.4</v>
      </c>
      <c r="H2413" s="67">
        <v>141</v>
      </c>
    </row>
    <row r="2414" spans="1:8" x14ac:dyDescent="0.25">
      <c r="A2414" s="212">
        <v>42057</v>
      </c>
      <c r="B2414" s="160" t="s">
        <v>849</v>
      </c>
      <c r="C2414" t="s">
        <v>834</v>
      </c>
      <c r="D2414" t="s">
        <v>527</v>
      </c>
      <c r="E2414" s="161">
        <v>1</v>
      </c>
      <c r="F2414" s="161">
        <v>1792.25</v>
      </c>
      <c r="G2414" s="162">
        <v>1792.25</v>
      </c>
      <c r="H2414" s="67">
        <v>141</v>
      </c>
    </row>
    <row r="2415" spans="1:8" x14ac:dyDescent="0.25">
      <c r="A2415" s="212">
        <v>42058</v>
      </c>
      <c r="B2415" s="160" t="s">
        <v>623</v>
      </c>
      <c r="C2415" t="s">
        <v>7</v>
      </c>
      <c r="D2415" t="s">
        <v>27</v>
      </c>
      <c r="E2415" s="161">
        <v>9</v>
      </c>
      <c r="F2415" s="161">
        <v>42.6</v>
      </c>
      <c r="G2415" s="162">
        <v>383.4</v>
      </c>
      <c r="H2415" s="67">
        <v>141</v>
      </c>
    </row>
    <row r="2416" spans="1:8" x14ac:dyDescent="0.25">
      <c r="A2416" s="212">
        <v>42059</v>
      </c>
      <c r="B2416" s="160" t="s">
        <v>623</v>
      </c>
      <c r="C2416" t="s">
        <v>7</v>
      </c>
      <c r="D2416" t="s">
        <v>27</v>
      </c>
      <c r="E2416" s="161">
        <v>11.5</v>
      </c>
      <c r="F2416" s="161">
        <v>42.6</v>
      </c>
      <c r="G2416" s="162">
        <v>489.9</v>
      </c>
      <c r="H2416" s="67">
        <v>141</v>
      </c>
    </row>
    <row r="2417" spans="1:8" x14ac:dyDescent="0.25">
      <c r="A2417" s="212">
        <v>42060</v>
      </c>
      <c r="B2417" s="160" t="s">
        <v>623</v>
      </c>
      <c r="C2417" t="s">
        <v>7</v>
      </c>
      <c r="D2417" t="s">
        <v>27</v>
      </c>
      <c r="E2417" s="161">
        <v>10.5</v>
      </c>
      <c r="F2417" s="161">
        <v>42.6</v>
      </c>
      <c r="G2417" s="162">
        <v>447.3</v>
      </c>
      <c r="H2417" s="67">
        <v>141</v>
      </c>
    </row>
    <row r="2418" spans="1:8" x14ac:dyDescent="0.25">
      <c r="A2418" s="212">
        <v>42061</v>
      </c>
      <c r="B2418" s="160" t="s">
        <v>623</v>
      </c>
      <c r="C2418" t="s">
        <v>7</v>
      </c>
      <c r="D2418" t="s">
        <v>27</v>
      </c>
      <c r="E2418" s="161">
        <v>10</v>
      </c>
      <c r="F2418" s="161">
        <v>42.6</v>
      </c>
      <c r="G2418" s="162">
        <v>426</v>
      </c>
      <c r="H2418" s="67">
        <v>141</v>
      </c>
    </row>
    <row r="2419" spans="1:8" x14ac:dyDescent="0.25">
      <c r="A2419" s="212">
        <v>42062</v>
      </c>
      <c r="B2419" s="160" t="s">
        <v>623</v>
      </c>
      <c r="C2419" t="s">
        <v>7</v>
      </c>
      <c r="D2419" t="s">
        <v>27</v>
      </c>
      <c r="E2419" s="161">
        <v>9</v>
      </c>
      <c r="F2419" s="161">
        <v>42.6</v>
      </c>
      <c r="G2419" s="162">
        <v>383.4</v>
      </c>
      <c r="H2419" s="67">
        <v>141</v>
      </c>
    </row>
    <row r="2420" spans="1:8" x14ac:dyDescent="0.25">
      <c r="A2420" s="212">
        <v>42063</v>
      </c>
      <c r="B2420" s="160" t="s">
        <v>868</v>
      </c>
      <c r="C2420" t="s">
        <v>856</v>
      </c>
      <c r="D2420" t="s">
        <v>527</v>
      </c>
      <c r="E2420" s="161">
        <v>1</v>
      </c>
      <c r="F2420" s="161">
        <v>482.13</v>
      </c>
      <c r="G2420" s="162">
        <v>482.13</v>
      </c>
      <c r="H2420" s="67">
        <v>141</v>
      </c>
    </row>
    <row r="2421" spans="1:8" x14ac:dyDescent="0.25">
      <c r="A2421" s="212">
        <v>42063</v>
      </c>
      <c r="B2421" s="160" t="s">
        <v>868</v>
      </c>
      <c r="C2421" t="s">
        <v>856</v>
      </c>
      <c r="D2421" t="s">
        <v>527</v>
      </c>
      <c r="E2421" s="161">
        <v>1</v>
      </c>
      <c r="F2421" s="161">
        <v>482.13</v>
      </c>
      <c r="G2421" s="162">
        <v>482.13</v>
      </c>
      <c r="H2421" s="67">
        <v>141</v>
      </c>
    </row>
    <row r="2422" spans="1:8" x14ac:dyDescent="0.25">
      <c r="A2422" s="212">
        <v>42064</v>
      </c>
      <c r="B2422" s="160" t="s">
        <v>852</v>
      </c>
      <c r="C2422" t="s">
        <v>7</v>
      </c>
      <c r="D2422" t="s">
        <v>27</v>
      </c>
      <c r="E2422" s="161">
        <v>3</v>
      </c>
      <c r="F2422" s="161">
        <v>20</v>
      </c>
      <c r="G2422" s="162">
        <v>60</v>
      </c>
      <c r="H2422" s="67">
        <v>141</v>
      </c>
    </row>
    <row r="2423" spans="1:8" x14ac:dyDescent="0.25">
      <c r="A2423" s="212">
        <v>42064</v>
      </c>
      <c r="B2423" s="160" t="s">
        <v>850</v>
      </c>
      <c r="C2423" t="s">
        <v>7</v>
      </c>
      <c r="D2423" t="s">
        <v>27</v>
      </c>
      <c r="E2423" s="161">
        <v>2</v>
      </c>
      <c r="F2423" s="161">
        <v>20</v>
      </c>
      <c r="G2423" s="162">
        <v>40</v>
      </c>
      <c r="H2423" s="67">
        <v>141</v>
      </c>
    </row>
    <row r="2424" spans="1:8" x14ac:dyDescent="0.25">
      <c r="A2424" s="212">
        <v>42064</v>
      </c>
      <c r="B2424" s="160" t="s">
        <v>850</v>
      </c>
      <c r="C2424" t="s">
        <v>7</v>
      </c>
      <c r="D2424" t="s">
        <v>27</v>
      </c>
      <c r="E2424" s="161">
        <v>2</v>
      </c>
      <c r="F2424" s="161">
        <v>20</v>
      </c>
      <c r="G2424" s="162">
        <v>40</v>
      </c>
      <c r="H2424" s="67">
        <v>141</v>
      </c>
    </row>
    <row r="2425" spans="1:8" ht="30" x14ac:dyDescent="0.25">
      <c r="A2425" s="212">
        <v>42064</v>
      </c>
      <c r="B2425" s="160" t="s">
        <v>851</v>
      </c>
      <c r="C2425" t="s">
        <v>834</v>
      </c>
      <c r="D2425" t="s">
        <v>527</v>
      </c>
      <c r="E2425" s="161">
        <v>1</v>
      </c>
      <c r="F2425" s="161">
        <v>3447.75</v>
      </c>
      <c r="G2425" s="162">
        <v>3447.75</v>
      </c>
      <c r="H2425" s="67">
        <v>141</v>
      </c>
    </row>
    <row r="2426" spans="1:8" x14ac:dyDescent="0.25">
      <c r="A2426" s="212">
        <v>42065</v>
      </c>
      <c r="B2426" s="160" t="s">
        <v>623</v>
      </c>
      <c r="C2426" t="s">
        <v>7</v>
      </c>
      <c r="D2426" t="s">
        <v>27</v>
      </c>
      <c r="E2426" s="161">
        <v>9.5</v>
      </c>
      <c r="F2426" s="161">
        <v>42.6</v>
      </c>
      <c r="G2426" s="162">
        <v>404.7</v>
      </c>
      <c r="H2426" s="67">
        <v>141</v>
      </c>
    </row>
    <row r="2427" spans="1:8" x14ac:dyDescent="0.25">
      <c r="A2427" s="212">
        <v>42065</v>
      </c>
      <c r="B2427" s="160" t="s">
        <v>1227</v>
      </c>
      <c r="C2427" t="s">
        <v>834</v>
      </c>
      <c r="D2427" t="s">
        <v>27</v>
      </c>
      <c r="E2427" s="161">
        <v>10.5</v>
      </c>
      <c r="F2427" s="161"/>
      <c r="G2427" s="162"/>
      <c r="H2427" s="67">
        <v>141</v>
      </c>
    </row>
    <row r="2428" spans="1:8" x14ac:dyDescent="0.25">
      <c r="A2428" s="212">
        <v>42066</v>
      </c>
      <c r="B2428" s="160" t="s">
        <v>623</v>
      </c>
      <c r="C2428" t="s">
        <v>7</v>
      </c>
      <c r="D2428" t="s">
        <v>27</v>
      </c>
      <c r="E2428" s="161">
        <v>5</v>
      </c>
      <c r="F2428" s="161">
        <v>42.6</v>
      </c>
      <c r="G2428" s="162">
        <v>213</v>
      </c>
      <c r="H2428" s="67">
        <v>141</v>
      </c>
    </row>
    <row r="2429" spans="1:8" x14ac:dyDescent="0.25">
      <c r="A2429" s="212">
        <v>42066</v>
      </c>
      <c r="B2429" s="160" t="s">
        <v>1227</v>
      </c>
      <c r="C2429" t="s">
        <v>834</v>
      </c>
      <c r="D2429" t="s">
        <v>27</v>
      </c>
      <c r="E2429" s="161">
        <v>5</v>
      </c>
      <c r="F2429" s="161"/>
      <c r="G2429" s="162"/>
      <c r="H2429" s="67">
        <v>141</v>
      </c>
    </row>
    <row r="2430" spans="1:8" x14ac:dyDescent="0.25">
      <c r="A2430" s="212">
        <v>42066</v>
      </c>
      <c r="B2430" s="160" t="s">
        <v>869</v>
      </c>
      <c r="C2430" t="s">
        <v>856</v>
      </c>
      <c r="D2430" t="s">
        <v>527</v>
      </c>
      <c r="E2430" s="161">
        <v>1</v>
      </c>
      <c r="F2430" s="161">
        <v>80</v>
      </c>
      <c r="G2430" s="162">
        <v>80</v>
      </c>
      <c r="H2430" s="67">
        <v>141</v>
      </c>
    </row>
    <row r="2431" spans="1:8" ht="30" x14ac:dyDescent="0.25">
      <c r="A2431" s="212">
        <v>42071</v>
      </c>
      <c r="B2431" s="160" t="s">
        <v>854</v>
      </c>
      <c r="C2431" t="s">
        <v>834</v>
      </c>
      <c r="D2431" t="s">
        <v>527</v>
      </c>
      <c r="E2431" s="161">
        <v>1</v>
      </c>
      <c r="F2431" s="161">
        <v>228</v>
      </c>
      <c r="G2431" s="162">
        <v>228</v>
      </c>
      <c r="H2431" s="67">
        <v>141</v>
      </c>
    </row>
    <row r="2432" spans="1:8" ht="30" x14ac:dyDescent="0.25">
      <c r="A2432" s="212">
        <v>42071</v>
      </c>
      <c r="B2432" s="160" t="s">
        <v>853</v>
      </c>
      <c r="C2432" t="s">
        <v>834</v>
      </c>
      <c r="D2432" t="s">
        <v>527</v>
      </c>
      <c r="E2432" s="161">
        <v>1</v>
      </c>
      <c r="F2432" s="161">
        <v>615</v>
      </c>
      <c r="G2432" s="162">
        <v>615</v>
      </c>
      <c r="H2432" s="67">
        <v>141</v>
      </c>
    </row>
    <row r="2433" spans="1:8" x14ac:dyDescent="0.25">
      <c r="A2433" s="213" t="s">
        <v>418</v>
      </c>
      <c r="B2433" s="214" t="s">
        <v>1269</v>
      </c>
      <c r="C2433" s="215" t="s">
        <v>418</v>
      </c>
      <c r="D2433" s="215" t="s">
        <v>418</v>
      </c>
      <c r="E2433" s="216"/>
      <c r="F2433" s="216"/>
      <c r="G2433" s="217">
        <f>SUM(G2227:G2432)</f>
        <v>82094.659999999989</v>
      </c>
      <c r="H2433" s="231" t="s">
        <v>418</v>
      </c>
    </row>
    <row r="2434" spans="1:8" x14ac:dyDescent="0.25">
      <c r="A2434" s="212" t="s">
        <v>418</v>
      </c>
      <c r="B2434" s="160" t="s">
        <v>418</v>
      </c>
      <c r="C2434" t="s">
        <v>418</v>
      </c>
      <c r="D2434" t="s">
        <v>418</v>
      </c>
      <c r="E2434" s="161"/>
      <c r="F2434" s="161"/>
      <c r="G2434" s="162"/>
      <c r="H2434" s="67" t="s">
        <v>418</v>
      </c>
    </row>
    <row r="2435" spans="1:8" x14ac:dyDescent="0.25">
      <c r="A2435" s="209" t="s">
        <v>418</v>
      </c>
      <c r="B2435" s="159" t="s">
        <v>1251</v>
      </c>
      <c r="C2435" s="35" t="s">
        <v>418</v>
      </c>
      <c r="D2435" s="35" t="s">
        <v>418</v>
      </c>
      <c r="E2435" s="210"/>
      <c r="F2435" s="210"/>
      <c r="G2435" s="211"/>
      <c r="H2435" s="229" t="s">
        <v>418</v>
      </c>
    </row>
    <row r="2436" spans="1:8" x14ac:dyDescent="0.25">
      <c r="A2436" s="212">
        <v>41904</v>
      </c>
      <c r="B2436" s="160" t="s">
        <v>1109</v>
      </c>
      <c r="C2436" t="s">
        <v>7</v>
      </c>
      <c r="D2436" t="s">
        <v>27</v>
      </c>
      <c r="E2436" s="161">
        <v>2.5</v>
      </c>
      <c r="F2436" s="161">
        <v>42.72</v>
      </c>
      <c r="G2436" s="162">
        <v>106.8</v>
      </c>
      <c r="H2436" s="67">
        <v>151</v>
      </c>
    </row>
    <row r="2437" spans="1:8" x14ac:dyDescent="0.25">
      <c r="A2437" s="212">
        <v>41904</v>
      </c>
      <c r="B2437" s="160" t="s">
        <v>1212</v>
      </c>
      <c r="C2437" t="s">
        <v>7</v>
      </c>
      <c r="D2437" t="s">
        <v>27</v>
      </c>
      <c r="E2437" s="161">
        <v>4</v>
      </c>
      <c r="F2437" s="161">
        <v>42.72</v>
      </c>
      <c r="G2437" s="162">
        <v>170.88</v>
      </c>
      <c r="H2437" s="67">
        <v>151</v>
      </c>
    </row>
    <row r="2438" spans="1:8" x14ac:dyDescent="0.25">
      <c r="A2438" s="212">
        <v>41904</v>
      </c>
      <c r="B2438" s="160" t="s">
        <v>623</v>
      </c>
      <c r="C2438" t="s">
        <v>7</v>
      </c>
      <c r="D2438" t="s">
        <v>27</v>
      </c>
      <c r="E2438" s="161">
        <v>5</v>
      </c>
      <c r="F2438" s="161">
        <v>42.6</v>
      </c>
      <c r="G2438" s="162">
        <v>213</v>
      </c>
      <c r="H2438" s="67">
        <v>151</v>
      </c>
    </row>
    <row r="2439" spans="1:8" x14ac:dyDescent="0.25">
      <c r="A2439" s="212">
        <v>41906</v>
      </c>
      <c r="B2439" s="160" t="s">
        <v>1212</v>
      </c>
      <c r="C2439" t="s">
        <v>7</v>
      </c>
      <c r="D2439" t="s">
        <v>27</v>
      </c>
      <c r="E2439" s="161">
        <v>4</v>
      </c>
      <c r="F2439" s="161">
        <v>42.72</v>
      </c>
      <c r="G2439" s="162">
        <v>170.88</v>
      </c>
      <c r="H2439" s="67">
        <v>151</v>
      </c>
    </row>
    <row r="2440" spans="1:8" x14ac:dyDescent="0.25">
      <c r="A2440" s="212">
        <v>41906</v>
      </c>
      <c r="B2440" s="160" t="s">
        <v>623</v>
      </c>
      <c r="C2440" t="s">
        <v>7</v>
      </c>
      <c r="D2440" t="s">
        <v>27</v>
      </c>
      <c r="E2440" s="161">
        <v>3</v>
      </c>
      <c r="F2440" s="161">
        <v>42.6</v>
      </c>
      <c r="G2440" s="162">
        <v>127.8</v>
      </c>
      <c r="H2440" s="67">
        <v>151</v>
      </c>
    </row>
    <row r="2441" spans="1:8" x14ac:dyDescent="0.25">
      <c r="A2441" s="212">
        <v>41906</v>
      </c>
      <c r="B2441" s="160" t="s">
        <v>634</v>
      </c>
      <c r="C2441" t="s">
        <v>635</v>
      </c>
      <c r="D2441" t="s">
        <v>27</v>
      </c>
      <c r="E2441" s="161">
        <v>4</v>
      </c>
      <c r="F2441" s="161">
        <v>45</v>
      </c>
      <c r="G2441" s="162">
        <v>180</v>
      </c>
      <c r="H2441" s="67">
        <v>151</v>
      </c>
    </row>
    <row r="2442" spans="1:8" x14ac:dyDescent="0.25">
      <c r="A2442" s="212">
        <v>41913</v>
      </c>
      <c r="B2442" s="160" t="s">
        <v>1212</v>
      </c>
      <c r="C2442" t="s">
        <v>7</v>
      </c>
      <c r="D2442" t="s">
        <v>27</v>
      </c>
      <c r="E2442" s="161">
        <v>5</v>
      </c>
      <c r="F2442" s="161">
        <v>42.72</v>
      </c>
      <c r="G2442" s="162">
        <v>213.6</v>
      </c>
      <c r="H2442" s="67">
        <v>151</v>
      </c>
    </row>
    <row r="2443" spans="1:8" x14ac:dyDescent="0.25">
      <c r="A2443" s="212">
        <v>41913</v>
      </c>
      <c r="B2443" s="160" t="s">
        <v>7</v>
      </c>
      <c r="C2443" t="s">
        <v>622</v>
      </c>
      <c r="D2443" t="s">
        <v>27</v>
      </c>
      <c r="E2443" s="161">
        <v>5</v>
      </c>
      <c r="F2443" s="161">
        <v>45</v>
      </c>
      <c r="G2443" s="162">
        <v>225</v>
      </c>
      <c r="H2443" s="67">
        <v>151</v>
      </c>
    </row>
    <row r="2444" spans="1:8" x14ac:dyDescent="0.25">
      <c r="A2444" s="212">
        <v>41975</v>
      </c>
      <c r="B2444" s="160" t="s">
        <v>1212</v>
      </c>
      <c r="C2444" t="s">
        <v>7</v>
      </c>
      <c r="D2444" t="s">
        <v>27</v>
      </c>
      <c r="E2444" s="161">
        <v>4</v>
      </c>
      <c r="F2444" s="161">
        <v>42.72</v>
      </c>
      <c r="G2444" s="162">
        <v>170.88</v>
      </c>
      <c r="H2444" s="67">
        <v>151</v>
      </c>
    </row>
    <row r="2445" spans="1:8" x14ac:dyDescent="0.25">
      <c r="A2445" s="212">
        <v>41975</v>
      </c>
      <c r="B2445" s="160" t="s">
        <v>623</v>
      </c>
      <c r="C2445" t="s">
        <v>7</v>
      </c>
      <c r="D2445" t="s">
        <v>527</v>
      </c>
      <c r="E2445" s="161">
        <v>5.5</v>
      </c>
      <c r="F2445" s="161">
        <v>49.7</v>
      </c>
      <c r="G2445" s="162">
        <v>273.35000000000002</v>
      </c>
      <c r="H2445" s="67">
        <v>151</v>
      </c>
    </row>
    <row r="2446" spans="1:8" x14ac:dyDescent="0.25">
      <c r="A2446" s="212">
        <v>41975</v>
      </c>
      <c r="B2446" s="160" t="s">
        <v>1212</v>
      </c>
      <c r="C2446" t="s">
        <v>7</v>
      </c>
      <c r="D2446" t="s">
        <v>27</v>
      </c>
      <c r="E2446" s="161">
        <v>4</v>
      </c>
      <c r="F2446" s="161">
        <v>42.72</v>
      </c>
      <c r="G2446" s="162">
        <v>170.88</v>
      </c>
      <c r="H2446" s="67">
        <v>151</v>
      </c>
    </row>
    <row r="2447" spans="1:8" x14ac:dyDescent="0.25">
      <c r="A2447" s="212">
        <v>41977</v>
      </c>
      <c r="B2447" s="160" t="s">
        <v>623</v>
      </c>
      <c r="C2447" t="s">
        <v>7</v>
      </c>
      <c r="D2447" t="s">
        <v>527</v>
      </c>
      <c r="E2447" s="161">
        <v>10.5</v>
      </c>
      <c r="F2447" s="161">
        <v>49.7</v>
      </c>
      <c r="G2447" s="162">
        <v>521.85</v>
      </c>
      <c r="H2447" s="67">
        <v>151</v>
      </c>
    </row>
    <row r="2448" spans="1:8" x14ac:dyDescent="0.25">
      <c r="A2448" s="212">
        <v>42032</v>
      </c>
      <c r="B2448" s="160" t="s">
        <v>870</v>
      </c>
      <c r="C2448" t="s">
        <v>871</v>
      </c>
      <c r="D2448" t="s">
        <v>527</v>
      </c>
      <c r="E2448" s="161">
        <v>5</v>
      </c>
      <c r="F2448" s="161">
        <v>150</v>
      </c>
      <c r="G2448" s="162">
        <v>750</v>
      </c>
      <c r="H2448" s="67">
        <v>151</v>
      </c>
    </row>
    <row r="2449" spans="1:8" x14ac:dyDescent="0.25">
      <c r="A2449" s="213" t="s">
        <v>418</v>
      </c>
      <c r="B2449" s="214" t="s">
        <v>872</v>
      </c>
      <c r="C2449" s="215" t="s">
        <v>418</v>
      </c>
      <c r="D2449" s="215" t="s">
        <v>418</v>
      </c>
      <c r="E2449" s="216"/>
      <c r="F2449" s="216"/>
      <c r="G2449" s="217">
        <v>3294.9199999999996</v>
      </c>
      <c r="H2449" s="231" t="s">
        <v>418</v>
      </c>
    </row>
    <row r="2450" spans="1:8" x14ac:dyDescent="0.25">
      <c r="A2450" s="212" t="s">
        <v>418</v>
      </c>
      <c r="B2450" s="160" t="s">
        <v>418</v>
      </c>
      <c r="C2450" t="s">
        <v>418</v>
      </c>
      <c r="D2450" t="s">
        <v>418</v>
      </c>
      <c r="E2450" s="161"/>
      <c r="F2450" s="161"/>
      <c r="G2450" s="162"/>
      <c r="H2450" s="67" t="s">
        <v>418</v>
      </c>
    </row>
    <row r="2451" spans="1:8" x14ac:dyDescent="0.25">
      <c r="A2451" s="209" t="s">
        <v>418</v>
      </c>
      <c r="B2451" s="159" t="s">
        <v>1252</v>
      </c>
      <c r="C2451" s="35" t="s">
        <v>418</v>
      </c>
      <c r="D2451" s="35" t="s">
        <v>418</v>
      </c>
      <c r="E2451" s="210"/>
      <c r="F2451" s="210"/>
      <c r="G2451" s="211"/>
      <c r="H2451" s="229" t="s">
        <v>418</v>
      </c>
    </row>
    <row r="2452" spans="1:8" x14ac:dyDescent="0.25">
      <c r="A2452" s="212">
        <v>41898</v>
      </c>
      <c r="B2452" s="160" t="s">
        <v>873</v>
      </c>
      <c r="C2452" t="s">
        <v>874</v>
      </c>
      <c r="D2452" t="s">
        <v>527</v>
      </c>
      <c r="E2452" s="161">
        <v>1</v>
      </c>
      <c r="F2452" s="161">
        <v>5312.5</v>
      </c>
      <c r="G2452" s="162">
        <v>5312.5</v>
      </c>
      <c r="H2452" s="67">
        <v>222</v>
      </c>
    </row>
    <row r="2453" spans="1:8" x14ac:dyDescent="0.25">
      <c r="A2453" s="212">
        <v>41947</v>
      </c>
      <c r="B2453" s="160" t="s">
        <v>623</v>
      </c>
      <c r="C2453" t="s">
        <v>7</v>
      </c>
      <c r="D2453" t="s">
        <v>27</v>
      </c>
      <c r="E2453" s="161">
        <v>11</v>
      </c>
      <c r="F2453" s="161">
        <v>42.6</v>
      </c>
      <c r="G2453" s="162">
        <v>468.6</v>
      </c>
      <c r="H2453" s="67">
        <v>222</v>
      </c>
    </row>
    <row r="2454" spans="1:8" x14ac:dyDescent="0.25">
      <c r="A2454" s="212">
        <v>41948</v>
      </c>
      <c r="B2454" s="160" t="s">
        <v>1212</v>
      </c>
      <c r="C2454" t="s">
        <v>7</v>
      </c>
      <c r="D2454" t="s">
        <v>27</v>
      </c>
      <c r="E2454" s="161">
        <v>5</v>
      </c>
      <c r="F2454" s="161">
        <v>42.72</v>
      </c>
      <c r="G2454" s="162">
        <v>213.6</v>
      </c>
      <c r="H2454" s="67">
        <v>222</v>
      </c>
    </row>
    <row r="2455" spans="1:8" x14ac:dyDescent="0.25">
      <c r="A2455" s="212">
        <v>41950</v>
      </c>
      <c r="B2455" s="160" t="s">
        <v>623</v>
      </c>
      <c r="C2455" t="s">
        <v>7</v>
      </c>
      <c r="D2455" t="s">
        <v>27</v>
      </c>
      <c r="E2455" s="161">
        <v>1.5</v>
      </c>
      <c r="F2455" s="161">
        <v>42.6</v>
      </c>
      <c r="G2455" s="162">
        <v>63.9</v>
      </c>
      <c r="H2455" s="67">
        <v>222</v>
      </c>
    </row>
    <row r="2456" spans="1:8" x14ac:dyDescent="0.25">
      <c r="A2456" s="212">
        <v>41951</v>
      </c>
      <c r="B2456" s="160" t="s">
        <v>623</v>
      </c>
      <c r="C2456" t="s">
        <v>7</v>
      </c>
      <c r="D2456" t="s">
        <v>27</v>
      </c>
      <c r="E2456" s="161">
        <v>1.5</v>
      </c>
      <c r="F2456" s="161">
        <v>42.6</v>
      </c>
      <c r="G2456" s="162">
        <v>63.9</v>
      </c>
      <c r="H2456" s="67">
        <v>222</v>
      </c>
    </row>
    <row r="2457" spans="1:8" x14ac:dyDescent="0.25">
      <c r="A2457" s="212">
        <v>41957</v>
      </c>
      <c r="B2457" s="160" t="s">
        <v>1212</v>
      </c>
      <c r="C2457" t="s">
        <v>7</v>
      </c>
      <c r="D2457" t="s">
        <v>27</v>
      </c>
      <c r="E2457" s="161">
        <v>5</v>
      </c>
      <c r="F2457" s="161">
        <v>42.72</v>
      </c>
      <c r="G2457" s="162">
        <v>213.6</v>
      </c>
      <c r="H2457" s="67">
        <v>222</v>
      </c>
    </row>
    <row r="2458" spans="1:8" x14ac:dyDescent="0.25">
      <c r="A2458" s="212">
        <v>41957</v>
      </c>
      <c r="B2458" s="160" t="s">
        <v>1212</v>
      </c>
      <c r="C2458" t="s">
        <v>7</v>
      </c>
      <c r="D2458" t="s">
        <v>27</v>
      </c>
      <c r="E2458" s="161">
        <v>10</v>
      </c>
      <c r="F2458" s="161">
        <v>42.72</v>
      </c>
      <c r="G2458" s="162">
        <v>427.2</v>
      </c>
      <c r="H2458" s="67">
        <v>222</v>
      </c>
    </row>
    <row r="2459" spans="1:8" x14ac:dyDescent="0.25">
      <c r="A2459" s="212">
        <v>41957</v>
      </c>
      <c r="B2459" s="160" t="s">
        <v>875</v>
      </c>
      <c r="C2459" t="s">
        <v>876</v>
      </c>
      <c r="D2459" t="s">
        <v>527</v>
      </c>
      <c r="E2459" s="161">
        <v>1</v>
      </c>
      <c r="F2459" s="161">
        <v>6330</v>
      </c>
      <c r="G2459" s="162">
        <v>6330</v>
      </c>
      <c r="H2459" s="67">
        <v>222</v>
      </c>
    </row>
    <row r="2460" spans="1:8" x14ac:dyDescent="0.25">
      <c r="A2460" s="212">
        <v>41958</v>
      </c>
      <c r="B2460" s="160" t="s">
        <v>1212</v>
      </c>
      <c r="C2460" t="s">
        <v>7</v>
      </c>
      <c r="D2460" t="s">
        <v>27</v>
      </c>
      <c r="E2460" s="161">
        <v>9.5</v>
      </c>
      <c r="F2460" s="161">
        <v>42.72</v>
      </c>
      <c r="G2460" s="162">
        <v>405.84</v>
      </c>
      <c r="H2460" s="67">
        <v>222</v>
      </c>
    </row>
    <row r="2461" spans="1:8" x14ac:dyDescent="0.25">
      <c r="A2461" s="212">
        <v>41958</v>
      </c>
      <c r="B2461" s="160" t="s">
        <v>1213</v>
      </c>
      <c r="C2461" t="s">
        <v>1214</v>
      </c>
      <c r="D2461" t="s">
        <v>27</v>
      </c>
      <c r="E2461" s="161">
        <v>1</v>
      </c>
      <c r="F2461" s="161">
        <v>35</v>
      </c>
      <c r="G2461" s="162">
        <v>35</v>
      </c>
      <c r="H2461" s="67">
        <v>222</v>
      </c>
    </row>
    <row r="2462" spans="1:8" x14ac:dyDescent="0.25">
      <c r="A2462" s="212">
        <v>41960</v>
      </c>
      <c r="B2462" s="160" t="s">
        <v>1212</v>
      </c>
      <c r="C2462" t="s">
        <v>7</v>
      </c>
      <c r="D2462" t="s">
        <v>27</v>
      </c>
      <c r="E2462" s="161">
        <v>10</v>
      </c>
      <c r="F2462" s="161">
        <v>42.72</v>
      </c>
      <c r="G2462" s="162">
        <v>427.2</v>
      </c>
      <c r="H2462" s="67">
        <v>222</v>
      </c>
    </row>
    <row r="2463" spans="1:8" x14ac:dyDescent="0.25">
      <c r="A2463" s="212">
        <v>41960</v>
      </c>
      <c r="B2463" s="160" t="s">
        <v>1213</v>
      </c>
      <c r="C2463" t="s">
        <v>1214</v>
      </c>
      <c r="D2463" t="s">
        <v>27</v>
      </c>
      <c r="E2463" s="161">
        <v>1</v>
      </c>
      <c r="F2463" s="161">
        <v>35</v>
      </c>
      <c r="G2463" s="162">
        <v>35</v>
      </c>
      <c r="H2463" s="67">
        <v>222</v>
      </c>
    </row>
    <row r="2464" spans="1:8" x14ac:dyDescent="0.25">
      <c r="A2464" s="212">
        <v>41960</v>
      </c>
      <c r="B2464" s="160" t="s">
        <v>1212</v>
      </c>
      <c r="C2464" t="s">
        <v>7</v>
      </c>
      <c r="D2464" t="s">
        <v>27</v>
      </c>
      <c r="E2464" s="161">
        <v>7</v>
      </c>
      <c r="F2464" s="161">
        <v>42.72</v>
      </c>
      <c r="G2464" s="162">
        <v>299.04000000000002</v>
      </c>
      <c r="H2464" s="67">
        <v>222</v>
      </c>
    </row>
    <row r="2465" spans="1:8" x14ac:dyDescent="0.25">
      <c r="A2465" s="212">
        <v>41960</v>
      </c>
      <c r="B2465" s="160" t="s">
        <v>623</v>
      </c>
      <c r="C2465" t="s">
        <v>7</v>
      </c>
      <c r="D2465" t="s">
        <v>27</v>
      </c>
      <c r="E2465" s="161">
        <v>4</v>
      </c>
      <c r="F2465" s="161">
        <v>42.6</v>
      </c>
      <c r="G2465" s="162">
        <v>170.4</v>
      </c>
      <c r="H2465" s="67">
        <v>222</v>
      </c>
    </row>
    <row r="2466" spans="1:8" x14ac:dyDescent="0.25">
      <c r="A2466" s="212">
        <v>41961</v>
      </c>
      <c r="B2466" s="160" t="s">
        <v>623</v>
      </c>
      <c r="C2466" t="s">
        <v>7</v>
      </c>
      <c r="D2466" t="s">
        <v>27</v>
      </c>
      <c r="E2466" s="161">
        <v>10</v>
      </c>
      <c r="F2466" s="161">
        <v>42.6</v>
      </c>
      <c r="G2466" s="162">
        <v>426</v>
      </c>
      <c r="H2466" s="67">
        <v>222</v>
      </c>
    </row>
    <row r="2467" spans="1:8" x14ac:dyDescent="0.25">
      <c r="A2467" s="212">
        <v>41964</v>
      </c>
      <c r="B2467" s="160" t="s">
        <v>1211</v>
      </c>
      <c r="C2467" t="s">
        <v>1233</v>
      </c>
      <c r="D2467" t="s">
        <v>27</v>
      </c>
      <c r="E2467" s="161">
        <v>1.5</v>
      </c>
      <c r="F2467" s="161">
        <v>54.58</v>
      </c>
      <c r="G2467" s="162">
        <v>81.87</v>
      </c>
      <c r="H2467" s="67">
        <v>222</v>
      </c>
    </row>
    <row r="2468" spans="1:8" x14ac:dyDescent="0.25">
      <c r="A2468" s="212">
        <v>41964</v>
      </c>
      <c r="B2468" s="160" t="s">
        <v>1212</v>
      </c>
      <c r="C2468" t="s">
        <v>7</v>
      </c>
      <c r="D2468" t="s">
        <v>27</v>
      </c>
      <c r="E2468" s="161">
        <v>6</v>
      </c>
      <c r="F2468" s="161">
        <v>42.72</v>
      </c>
      <c r="G2468" s="162">
        <v>256.32</v>
      </c>
      <c r="H2468" s="67">
        <v>222</v>
      </c>
    </row>
    <row r="2469" spans="1:8" x14ac:dyDescent="0.25">
      <c r="A2469" s="212">
        <v>41964</v>
      </c>
      <c r="B2469" s="160" t="s">
        <v>1212</v>
      </c>
      <c r="C2469" t="s">
        <v>7</v>
      </c>
      <c r="D2469" t="s">
        <v>27</v>
      </c>
      <c r="E2469" s="161">
        <v>6</v>
      </c>
      <c r="F2469" s="161">
        <v>42.72</v>
      </c>
      <c r="G2469" s="162">
        <v>256.32</v>
      </c>
      <c r="H2469" s="67">
        <v>222</v>
      </c>
    </row>
    <row r="2470" spans="1:8" x14ac:dyDescent="0.25">
      <c r="A2470" s="212">
        <v>41964</v>
      </c>
      <c r="B2470" s="160" t="s">
        <v>877</v>
      </c>
      <c r="C2470" t="s">
        <v>874</v>
      </c>
      <c r="D2470" t="s">
        <v>527</v>
      </c>
      <c r="E2470" s="161">
        <v>1</v>
      </c>
      <c r="F2470" s="161">
        <v>5100</v>
      </c>
      <c r="G2470" s="162">
        <v>5100</v>
      </c>
      <c r="H2470" s="67">
        <v>222</v>
      </c>
    </row>
    <row r="2471" spans="1:8" x14ac:dyDescent="0.25">
      <c r="A2471" s="212">
        <v>41964</v>
      </c>
      <c r="B2471" s="160" t="s">
        <v>1209</v>
      </c>
      <c r="C2471" t="s">
        <v>1210</v>
      </c>
      <c r="D2471" t="s">
        <v>27</v>
      </c>
      <c r="E2471" s="161">
        <v>1.5</v>
      </c>
      <c r="F2471" s="161">
        <v>42.79</v>
      </c>
      <c r="G2471" s="162">
        <v>64.185000000000002</v>
      </c>
      <c r="H2471" s="67">
        <v>222</v>
      </c>
    </row>
    <row r="2472" spans="1:8" x14ac:dyDescent="0.25">
      <c r="A2472" s="212">
        <v>41969</v>
      </c>
      <c r="B2472" s="160" t="s">
        <v>1212</v>
      </c>
      <c r="C2472" t="s">
        <v>7</v>
      </c>
      <c r="D2472" t="s">
        <v>27</v>
      </c>
      <c r="E2472" s="161">
        <v>8</v>
      </c>
      <c r="F2472" s="161">
        <v>42.72</v>
      </c>
      <c r="G2472" s="162">
        <v>341.76</v>
      </c>
      <c r="H2472" s="67">
        <v>222</v>
      </c>
    </row>
    <row r="2473" spans="1:8" x14ac:dyDescent="0.25">
      <c r="A2473" s="212">
        <v>41969</v>
      </c>
      <c r="B2473" s="160" t="s">
        <v>1212</v>
      </c>
      <c r="C2473" t="s">
        <v>7</v>
      </c>
      <c r="D2473" t="s">
        <v>27</v>
      </c>
      <c r="E2473" s="161">
        <v>6</v>
      </c>
      <c r="F2473" s="161">
        <v>42.72</v>
      </c>
      <c r="G2473" s="162">
        <v>256.32</v>
      </c>
      <c r="H2473" s="67">
        <v>222</v>
      </c>
    </row>
    <row r="2474" spans="1:8" x14ac:dyDescent="0.25">
      <c r="A2474" s="212">
        <v>41969</v>
      </c>
      <c r="B2474" s="160" t="s">
        <v>1212</v>
      </c>
      <c r="C2474" t="s">
        <v>7</v>
      </c>
      <c r="D2474" t="s">
        <v>27</v>
      </c>
      <c r="E2474" s="161">
        <v>6</v>
      </c>
      <c r="F2474" s="161">
        <v>42.72</v>
      </c>
      <c r="G2474" s="162">
        <v>256.32</v>
      </c>
      <c r="H2474" s="67">
        <v>222</v>
      </c>
    </row>
    <row r="2475" spans="1:8" x14ac:dyDescent="0.25">
      <c r="A2475" s="212">
        <v>41969</v>
      </c>
      <c r="B2475" s="160" t="s">
        <v>1212</v>
      </c>
      <c r="C2475" t="s">
        <v>7</v>
      </c>
      <c r="D2475" t="s">
        <v>27</v>
      </c>
      <c r="E2475" s="161">
        <v>8</v>
      </c>
      <c r="F2475" s="161">
        <v>42.72</v>
      </c>
      <c r="G2475" s="162">
        <v>341.76</v>
      </c>
      <c r="H2475" s="67">
        <v>222</v>
      </c>
    </row>
    <row r="2476" spans="1:8" x14ac:dyDescent="0.25">
      <c r="A2476" s="212">
        <v>41971</v>
      </c>
      <c r="B2476" s="160" t="s">
        <v>1212</v>
      </c>
      <c r="C2476" t="s">
        <v>7</v>
      </c>
      <c r="D2476" t="s">
        <v>27</v>
      </c>
      <c r="E2476" s="161">
        <v>5</v>
      </c>
      <c r="F2476" s="161">
        <v>42.72</v>
      </c>
      <c r="G2476" s="162">
        <v>213.6</v>
      </c>
      <c r="H2476" s="67">
        <v>222</v>
      </c>
    </row>
    <row r="2477" spans="1:8" x14ac:dyDescent="0.25">
      <c r="A2477" s="212">
        <v>41974</v>
      </c>
      <c r="B2477" s="160" t="s">
        <v>878</v>
      </c>
      <c r="C2477" t="s">
        <v>876</v>
      </c>
      <c r="D2477" t="s">
        <v>527</v>
      </c>
      <c r="E2477" s="161">
        <v>1</v>
      </c>
      <c r="F2477" s="161">
        <v>633</v>
      </c>
      <c r="G2477" s="162">
        <v>633</v>
      </c>
      <c r="H2477" s="67">
        <v>222</v>
      </c>
    </row>
    <row r="2478" spans="1:8" x14ac:dyDescent="0.25">
      <c r="A2478" s="212">
        <v>41982</v>
      </c>
      <c r="B2478" s="160" t="s">
        <v>879</v>
      </c>
      <c r="C2478" t="s">
        <v>876</v>
      </c>
      <c r="D2478" t="s">
        <v>527</v>
      </c>
      <c r="E2478" s="161">
        <v>1</v>
      </c>
      <c r="F2478" s="161">
        <v>7650</v>
      </c>
      <c r="G2478" s="162">
        <v>7650</v>
      </c>
      <c r="H2478" s="67">
        <v>222</v>
      </c>
    </row>
    <row r="2479" spans="1:8" x14ac:dyDescent="0.25">
      <c r="A2479" s="212">
        <v>41986</v>
      </c>
      <c r="B2479" s="160" t="s">
        <v>1212</v>
      </c>
      <c r="C2479" t="s">
        <v>7</v>
      </c>
      <c r="D2479" t="s">
        <v>27</v>
      </c>
      <c r="E2479" s="161">
        <v>10</v>
      </c>
      <c r="F2479" s="161">
        <v>42.72</v>
      </c>
      <c r="G2479" s="162">
        <v>427.2</v>
      </c>
      <c r="H2479" s="67">
        <v>222</v>
      </c>
    </row>
    <row r="2480" spans="1:8" x14ac:dyDescent="0.25">
      <c r="A2480" s="212">
        <v>41988</v>
      </c>
      <c r="B2480" s="160" t="s">
        <v>1212</v>
      </c>
      <c r="C2480" t="s">
        <v>7</v>
      </c>
      <c r="D2480" t="s">
        <v>27</v>
      </c>
      <c r="E2480" s="161">
        <v>5.5</v>
      </c>
      <c r="F2480" s="161">
        <v>42.72</v>
      </c>
      <c r="G2480" s="162">
        <v>234.96</v>
      </c>
      <c r="H2480" s="67">
        <v>222</v>
      </c>
    </row>
    <row r="2481" spans="1:8" x14ac:dyDescent="0.25">
      <c r="A2481" s="212">
        <v>41988</v>
      </c>
      <c r="B2481" s="160" t="s">
        <v>1212</v>
      </c>
      <c r="C2481" t="s">
        <v>7</v>
      </c>
      <c r="D2481" t="s">
        <v>27</v>
      </c>
      <c r="E2481" s="161">
        <v>3</v>
      </c>
      <c r="F2481" s="161">
        <v>42.72</v>
      </c>
      <c r="G2481" s="162">
        <v>128.16</v>
      </c>
      <c r="H2481" s="67">
        <v>222</v>
      </c>
    </row>
    <row r="2482" spans="1:8" x14ac:dyDescent="0.25">
      <c r="A2482" s="212">
        <v>42004</v>
      </c>
      <c r="B2482" s="160" t="s">
        <v>719</v>
      </c>
      <c r="C2482" t="s">
        <v>677</v>
      </c>
      <c r="D2482" t="s">
        <v>527</v>
      </c>
      <c r="E2482" s="161">
        <v>1</v>
      </c>
      <c r="F2482" s="161">
        <v>142.1</v>
      </c>
      <c r="G2482" s="162">
        <v>142.1</v>
      </c>
      <c r="H2482" s="67">
        <v>222</v>
      </c>
    </row>
    <row r="2483" spans="1:8" x14ac:dyDescent="0.25">
      <c r="A2483" s="212">
        <v>42011</v>
      </c>
      <c r="B2483" s="160" t="s">
        <v>1212</v>
      </c>
      <c r="C2483" t="s">
        <v>7</v>
      </c>
      <c r="D2483" t="s">
        <v>27</v>
      </c>
      <c r="E2483" s="161">
        <v>3.5</v>
      </c>
      <c r="F2483" s="161">
        <v>42.72</v>
      </c>
      <c r="G2483" s="162">
        <v>149.52000000000001</v>
      </c>
      <c r="H2483" s="67">
        <v>222</v>
      </c>
    </row>
    <row r="2484" spans="1:8" x14ac:dyDescent="0.25">
      <c r="A2484" s="212">
        <v>42011</v>
      </c>
      <c r="B2484" s="160" t="s">
        <v>880</v>
      </c>
      <c r="C2484" t="s">
        <v>643</v>
      </c>
      <c r="D2484" t="s">
        <v>527</v>
      </c>
      <c r="E2484" s="161">
        <v>1</v>
      </c>
      <c r="F2484" s="161">
        <v>25.89</v>
      </c>
      <c r="G2484" s="162">
        <v>25.89</v>
      </c>
      <c r="H2484" s="67">
        <v>222</v>
      </c>
    </row>
    <row r="2485" spans="1:8" x14ac:dyDescent="0.25">
      <c r="A2485" s="212">
        <v>42012</v>
      </c>
      <c r="B2485" s="160" t="s">
        <v>1212</v>
      </c>
      <c r="C2485" t="s">
        <v>7</v>
      </c>
      <c r="D2485" t="s">
        <v>27</v>
      </c>
      <c r="E2485" s="161">
        <v>4</v>
      </c>
      <c r="F2485" s="161">
        <v>42.72</v>
      </c>
      <c r="G2485" s="162">
        <v>170.88</v>
      </c>
      <c r="H2485" s="67">
        <v>222</v>
      </c>
    </row>
    <row r="2486" spans="1:8" x14ac:dyDescent="0.25">
      <c r="A2486" s="212">
        <v>42013</v>
      </c>
      <c r="B2486" s="160" t="s">
        <v>1212</v>
      </c>
      <c r="C2486" t="s">
        <v>7</v>
      </c>
      <c r="D2486" t="s">
        <v>27</v>
      </c>
      <c r="E2486" s="161">
        <v>5</v>
      </c>
      <c r="F2486" s="161">
        <v>42.72</v>
      </c>
      <c r="G2486" s="162">
        <v>213.6</v>
      </c>
      <c r="H2486" s="67">
        <v>222</v>
      </c>
    </row>
    <row r="2487" spans="1:8" x14ac:dyDescent="0.25">
      <c r="A2487" s="212">
        <v>42014</v>
      </c>
      <c r="B2487" s="160" t="s">
        <v>1212</v>
      </c>
      <c r="C2487" t="s">
        <v>7</v>
      </c>
      <c r="D2487" t="s">
        <v>27</v>
      </c>
      <c r="E2487" s="161">
        <v>3.5</v>
      </c>
      <c r="F2487" s="161">
        <v>42.72</v>
      </c>
      <c r="G2487" s="162">
        <v>149.52000000000001</v>
      </c>
      <c r="H2487" s="67">
        <v>222</v>
      </c>
    </row>
    <row r="2488" spans="1:8" x14ac:dyDescent="0.25">
      <c r="A2488" s="212">
        <v>42014</v>
      </c>
      <c r="B2488" s="160" t="s">
        <v>1212</v>
      </c>
      <c r="C2488" t="s">
        <v>7</v>
      </c>
      <c r="D2488" t="s">
        <v>27</v>
      </c>
      <c r="E2488" s="161">
        <v>5</v>
      </c>
      <c r="F2488" s="161">
        <v>42.72</v>
      </c>
      <c r="G2488" s="162">
        <v>213.6</v>
      </c>
      <c r="H2488" s="67">
        <v>222</v>
      </c>
    </row>
    <row r="2489" spans="1:8" x14ac:dyDescent="0.25">
      <c r="A2489" s="212">
        <v>42052</v>
      </c>
      <c r="B2489" s="160" t="s">
        <v>623</v>
      </c>
      <c r="C2489" t="s">
        <v>7</v>
      </c>
      <c r="D2489" t="s">
        <v>27</v>
      </c>
      <c r="E2489" s="161">
        <v>10.75</v>
      </c>
      <c r="F2489" s="161">
        <v>46.85</v>
      </c>
      <c r="G2489" s="162">
        <v>503.63749999999999</v>
      </c>
      <c r="H2489" s="67">
        <v>222</v>
      </c>
    </row>
    <row r="2490" spans="1:8" x14ac:dyDescent="0.25">
      <c r="A2490" s="212">
        <v>42052</v>
      </c>
      <c r="B2490" s="160" t="s">
        <v>619</v>
      </c>
      <c r="C2490" t="s">
        <v>620</v>
      </c>
      <c r="D2490" t="s">
        <v>27</v>
      </c>
      <c r="E2490" s="161">
        <v>3.5</v>
      </c>
      <c r="F2490" s="161">
        <v>80</v>
      </c>
      <c r="G2490" s="162">
        <v>280</v>
      </c>
      <c r="H2490" s="67">
        <v>222</v>
      </c>
    </row>
    <row r="2491" spans="1:8" x14ac:dyDescent="0.25">
      <c r="A2491" s="212">
        <v>42052</v>
      </c>
      <c r="B2491" s="160" t="s">
        <v>1212</v>
      </c>
      <c r="C2491" t="s">
        <v>7</v>
      </c>
      <c r="D2491" t="s">
        <v>27</v>
      </c>
      <c r="E2491" s="161">
        <v>3.5</v>
      </c>
      <c r="F2491" s="161">
        <v>42.72</v>
      </c>
      <c r="G2491" s="162">
        <v>149.52000000000001</v>
      </c>
      <c r="H2491" s="67">
        <v>222</v>
      </c>
    </row>
    <row r="2492" spans="1:8" x14ac:dyDescent="0.25">
      <c r="A2492" s="212">
        <v>42054</v>
      </c>
      <c r="B2492" s="160" t="s">
        <v>881</v>
      </c>
      <c r="C2492" t="s">
        <v>874</v>
      </c>
      <c r="D2492" t="s">
        <v>527</v>
      </c>
      <c r="E2492" s="161">
        <v>1</v>
      </c>
      <c r="F2492" s="161">
        <v>1062.5</v>
      </c>
      <c r="G2492" s="162">
        <v>1062.5</v>
      </c>
      <c r="H2492" s="67">
        <v>222</v>
      </c>
    </row>
    <row r="2493" spans="1:8" x14ac:dyDescent="0.25">
      <c r="A2493" s="212">
        <v>42054</v>
      </c>
      <c r="B2493" s="160" t="s">
        <v>881</v>
      </c>
      <c r="C2493" t="s">
        <v>874</v>
      </c>
      <c r="D2493" t="s">
        <v>527</v>
      </c>
      <c r="E2493" s="161">
        <v>1</v>
      </c>
      <c r="F2493" s="161">
        <v>3400</v>
      </c>
      <c r="G2493" s="162">
        <v>3400</v>
      </c>
      <c r="H2493" s="67">
        <v>222</v>
      </c>
    </row>
    <row r="2494" spans="1:8" x14ac:dyDescent="0.25">
      <c r="A2494" s="213" t="s">
        <v>418</v>
      </c>
      <c r="B2494" s="214" t="s">
        <v>882</v>
      </c>
      <c r="C2494" s="215" t="s">
        <v>418</v>
      </c>
      <c r="D2494" s="215" t="s">
        <v>418</v>
      </c>
      <c r="E2494" s="216"/>
      <c r="F2494" s="216"/>
      <c r="G2494" s="217">
        <v>37594.322499999987</v>
      </c>
      <c r="H2494" s="231" t="s">
        <v>418</v>
      </c>
    </row>
    <row r="2495" spans="1:8" x14ac:dyDescent="0.25">
      <c r="A2495" s="212" t="s">
        <v>418</v>
      </c>
      <c r="B2495" s="160" t="s">
        <v>418</v>
      </c>
      <c r="C2495" t="s">
        <v>418</v>
      </c>
      <c r="D2495" t="s">
        <v>418</v>
      </c>
      <c r="E2495" s="161"/>
      <c r="F2495" s="161"/>
      <c r="G2495" s="162"/>
      <c r="H2495" s="67" t="s">
        <v>418</v>
      </c>
    </row>
    <row r="2496" spans="1:8" x14ac:dyDescent="0.25">
      <c r="A2496" s="209" t="s">
        <v>418</v>
      </c>
      <c r="B2496" s="159" t="s">
        <v>1253</v>
      </c>
      <c r="C2496" s="35" t="s">
        <v>418</v>
      </c>
      <c r="D2496" s="35" t="s">
        <v>418</v>
      </c>
      <c r="E2496" s="210"/>
      <c r="F2496" s="210"/>
      <c r="G2496" s="211"/>
      <c r="H2496" s="229" t="s">
        <v>418</v>
      </c>
    </row>
    <row r="2497" spans="1:8" x14ac:dyDescent="0.25">
      <c r="A2497" s="212">
        <v>41889</v>
      </c>
      <c r="B2497" s="160" t="s">
        <v>885</v>
      </c>
      <c r="C2497" t="s">
        <v>1174</v>
      </c>
      <c r="D2497" t="s">
        <v>527</v>
      </c>
      <c r="E2497" s="161">
        <v>38</v>
      </c>
      <c r="F2497" s="161">
        <v>74.63</v>
      </c>
      <c r="G2497" s="162">
        <v>2835.94</v>
      </c>
      <c r="H2497" s="67">
        <v>901</v>
      </c>
    </row>
    <row r="2498" spans="1:8" x14ac:dyDescent="0.25">
      <c r="A2498" s="212">
        <v>41889</v>
      </c>
      <c r="B2498" s="160" t="s">
        <v>883</v>
      </c>
      <c r="C2498" t="s">
        <v>884</v>
      </c>
      <c r="D2498" t="s">
        <v>527</v>
      </c>
      <c r="E2498" s="161">
        <v>76</v>
      </c>
      <c r="F2498" s="161">
        <v>106.25</v>
      </c>
      <c r="G2498" s="162">
        <v>8075</v>
      </c>
      <c r="H2498" s="67">
        <v>901</v>
      </c>
    </row>
    <row r="2499" spans="1:8" x14ac:dyDescent="0.25">
      <c r="A2499" s="212">
        <v>41903</v>
      </c>
      <c r="B2499" s="160" t="s">
        <v>887</v>
      </c>
      <c r="C2499" t="s">
        <v>1174</v>
      </c>
      <c r="D2499" t="s">
        <v>527</v>
      </c>
      <c r="E2499" s="161">
        <v>38</v>
      </c>
      <c r="F2499" s="161">
        <v>74.63</v>
      </c>
      <c r="G2499" s="162">
        <v>2835.94</v>
      </c>
      <c r="H2499" s="67">
        <v>901</v>
      </c>
    </row>
    <row r="2500" spans="1:8" ht="30" x14ac:dyDescent="0.25">
      <c r="A2500" s="212">
        <v>41903</v>
      </c>
      <c r="B2500" s="160" t="s">
        <v>886</v>
      </c>
      <c r="C2500" t="s">
        <v>884</v>
      </c>
      <c r="D2500" t="s">
        <v>527</v>
      </c>
      <c r="E2500" s="161">
        <v>76</v>
      </c>
      <c r="F2500" s="161">
        <v>106.25</v>
      </c>
      <c r="G2500" s="162">
        <v>8075</v>
      </c>
      <c r="H2500" s="67">
        <v>901</v>
      </c>
    </row>
    <row r="2501" spans="1:8" x14ac:dyDescent="0.25">
      <c r="A2501" s="212">
        <v>41917</v>
      </c>
      <c r="B2501" s="160" t="s">
        <v>888</v>
      </c>
      <c r="C2501" t="s">
        <v>884</v>
      </c>
      <c r="D2501" t="s">
        <v>527</v>
      </c>
      <c r="E2501" s="161">
        <v>76</v>
      </c>
      <c r="F2501" s="161">
        <v>106.25</v>
      </c>
      <c r="G2501" s="162">
        <v>8075</v>
      </c>
      <c r="H2501" s="67">
        <v>901</v>
      </c>
    </row>
    <row r="2502" spans="1:8" ht="30" x14ac:dyDescent="0.25">
      <c r="A2502" s="212">
        <v>41931</v>
      </c>
      <c r="B2502" s="160" t="s">
        <v>889</v>
      </c>
      <c r="C2502" t="s">
        <v>884</v>
      </c>
      <c r="D2502" t="s">
        <v>527</v>
      </c>
      <c r="E2502" s="161">
        <v>76</v>
      </c>
      <c r="F2502" s="161">
        <v>106.25</v>
      </c>
      <c r="G2502" s="162">
        <v>8075</v>
      </c>
      <c r="H2502" s="67">
        <v>901</v>
      </c>
    </row>
    <row r="2503" spans="1:8" x14ac:dyDescent="0.25">
      <c r="A2503" s="212">
        <v>41945</v>
      </c>
      <c r="B2503" s="160" t="s">
        <v>890</v>
      </c>
      <c r="C2503" t="s">
        <v>884</v>
      </c>
      <c r="D2503" t="s">
        <v>527</v>
      </c>
      <c r="E2503" s="161">
        <v>76</v>
      </c>
      <c r="F2503" s="161">
        <v>106.25</v>
      </c>
      <c r="G2503" s="162">
        <v>8075</v>
      </c>
      <c r="H2503" s="67">
        <v>901</v>
      </c>
    </row>
    <row r="2504" spans="1:8" ht="30" x14ac:dyDescent="0.25">
      <c r="A2504" s="212">
        <v>41959</v>
      </c>
      <c r="B2504" s="160" t="s">
        <v>891</v>
      </c>
      <c r="C2504" t="s">
        <v>884</v>
      </c>
      <c r="D2504" t="s">
        <v>527</v>
      </c>
      <c r="E2504" s="161">
        <v>76</v>
      </c>
      <c r="F2504" s="161">
        <v>106.25</v>
      </c>
      <c r="G2504" s="162">
        <v>8075</v>
      </c>
      <c r="H2504" s="67">
        <v>901</v>
      </c>
    </row>
    <row r="2505" spans="1:8" x14ac:dyDescent="0.25">
      <c r="A2505" s="212">
        <v>41967</v>
      </c>
      <c r="B2505" s="160" t="s">
        <v>267</v>
      </c>
      <c r="C2505" t="s">
        <v>1230</v>
      </c>
      <c r="D2505" t="s">
        <v>27</v>
      </c>
      <c r="E2505" s="161">
        <v>10</v>
      </c>
      <c r="F2505" s="161">
        <v>90</v>
      </c>
      <c r="G2505" s="162">
        <v>900</v>
      </c>
      <c r="H2505" s="67">
        <v>901</v>
      </c>
    </row>
    <row r="2506" spans="1:8" x14ac:dyDescent="0.25">
      <c r="A2506" s="212">
        <v>41973</v>
      </c>
      <c r="B2506" s="160" t="s">
        <v>892</v>
      </c>
      <c r="C2506" t="s">
        <v>884</v>
      </c>
      <c r="D2506" t="s">
        <v>527</v>
      </c>
      <c r="E2506" s="161">
        <v>76</v>
      </c>
      <c r="F2506" s="161">
        <v>106.25</v>
      </c>
      <c r="G2506" s="162">
        <v>8075</v>
      </c>
      <c r="H2506" s="67">
        <v>901</v>
      </c>
    </row>
    <row r="2507" spans="1:8" x14ac:dyDescent="0.25">
      <c r="A2507" s="212">
        <v>41980</v>
      </c>
      <c r="B2507" s="160" t="s">
        <v>893</v>
      </c>
      <c r="C2507" t="s">
        <v>884</v>
      </c>
      <c r="D2507" t="s">
        <v>527</v>
      </c>
      <c r="E2507" s="161">
        <v>76</v>
      </c>
      <c r="F2507" s="161">
        <v>106.25</v>
      </c>
      <c r="G2507" s="162">
        <v>8075</v>
      </c>
      <c r="H2507" s="67">
        <v>901</v>
      </c>
    </row>
    <row r="2508" spans="1:8" x14ac:dyDescent="0.25">
      <c r="A2508" s="212">
        <v>41994</v>
      </c>
      <c r="B2508" s="160" t="s">
        <v>894</v>
      </c>
      <c r="C2508" t="s">
        <v>884</v>
      </c>
      <c r="D2508" t="s">
        <v>527</v>
      </c>
      <c r="E2508" s="161">
        <v>76</v>
      </c>
      <c r="F2508" s="161">
        <v>106.25</v>
      </c>
      <c r="G2508" s="162">
        <v>8075</v>
      </c>
      <c r="H2508" s="67">
        <v>901</v>
      </c>
    </row>
    <row r="2509" spans="1:8" ht="30" x14ac:dyDescent="0.25">
      <c r="A2509" s="212">
        <v>42015</v>
      </c>
      <c r="B2509" s="160" t="s">
        <v>895</v>
      </c>
      <c r="C2509" t="s">
        <v>884</v>
      </c>
      <c r="D2509" t="s">
        <v>527</v>
      </c>
      <c r="E2509" s="161">
        <v>38</v>
      </c>
      <c r="F2509" s="161">
        <v>106.25</v>
      </c>
      <c r="G2509" s="162">
        <v>4037.5</v>
      </c>
      <c r="H2509" s="67">
        <v>901</v>
      </c>
    </row>
    <row r="2510" spans="1:8" x14ac:dyDescent="0.25">
      <c r="A2510" s="212">
        <v>42029</v>
      </c>
      <c r="B2510" s="160" t="s">
        <v>896</v>
      </c>
      <c r="C2510" t="s">
        <v>884</v>
      </c>
      <c r="D2510" t="s">
        <v>527</v>
      </c>
      <c r="E2510" s="161">
        <v>76</v>
      </c>
      <c r="F2510" s="161">
        <v>106.25</v>
      </c>
      <c r="G2510" s="162">
        <v>8075</v>
      </c>
      <c r="H2510" s="67">
        <v>901</v>
      </c>
    </row>
    <row r="2511" spans="1:8" x14ac:dyDescent="0.25">
      <c r="A2511" s="212">
        <v>42043</v>
      </c>
      <c r="B2511" s="160" t="s">
        <v>897</v>
      </c>
      <c r="C2511" t="s">
        <v>884</v>
      </c>
      <c r="D2511" t="s">
        <v>527</v>
      </c>
      <c r="E2511" s="161">
        <v>76</v>
      </c>
      <c r="F2511" s="161">
        <v>106.25</v>
      </c>
      <c r="G2511" s="162">
        <v>8075</v>
      </c>
      <c r="H2511" s="67">
        <v>901</v>
      </c>
    </row>
    <row r="2512" spans="1:8" x14ac:dyDescent="0.25">
      <c r="A2512" s="212">
        <v>42057</v>
      </c>
      <c r="B2512" s="160" t="s">
        <v>898</v>
      </c>
      <c r="C2512" t="s">
        <v>884</v>
      </c>
      <c r="D2512" t="s">
        <v>527</v>
      </c>
      <c r="E2512" s="161">
        <v>76</v>
      </c>
      <c r="F2512" s="161">
        <v>106.25</v>
      </c>
      <c r="G2512" s="162">
        <v>8075</v>
      </c>
      <c r="H2512" s="67">
        <v>901</v>
      </c>
    </row>
    <row r="2513" spans="1:8" x14ac:dyDescent="0.25">
      <c r="A2513" s="212">
        <v>42071</v>
      </c>
      <c r="B2513" s="160" t="s">
        <v>900</v>
      </c>
      <c r="C2513" t="s">
        <v>884</v>
      </c>
      <c r="D2513" t="s">
        <v>527</v>
      </c>
      <c r="E2513" s="161">
        <v>71</v>
      </c>
      <c r="F2513" s="161">
        <v>106.25</v>
      </c>
      <c r="G2513" s="162">
        <v>7543.75</v>
      </c>
      <c r="H2513" s="67">
        <v>901</v>
      </c>
    </row>
    <row r="2514" spans="1:8" x14ac:dyDescent="0.25">
      <c r="A2514" s="212">
        <v>42071</v>
      </c>
      <c r="B2514" s="160" t="s">
        <v>899</v>
      </c>
      <c r="C2514" t="s">
        <v>884</v>
      </c>
      <c r="D2514" t="s">
        <v>527</v>
      </c>
      <c r="E2514" s="161">
        <v>76</v>
      </c>
      <c r="F2514" s="161">
        <v>106.25</v>
      </c>
      <c r="G2514" s="162">
        <v>8075</v>
      </c>
      <c r="H2514" s="67">
        <v>901</v>
      </c>
    </row>
    <row r="2515" spans="1:8" x14ac:dyDescent="0.25">
      <c r="A2515" s="213" t="s">
        <v>418</v>
      </c>
      <c r="B2515" s="214" t="s">
        <v>901</v>
      </c>
      <c r="C2515" s="215" t="s">
        <v>418</v>
      </c>
      <c r="D2515" s="215" t="s">
        <v>418</v>
      </c>
      <c r="E2515" s="216"/>
      <c r="F2515" s="216"/>
      <c r="G2515" s="217">
        <v>123128.13</v>
      </c>
      <c r="H2515" s="231" t="s">
        <v>418</v>
      </c>
    </row>
    <row r="2516" spans="1:8" x14ac:dyDescent="0.25">
      <c r="A2516" s="212" t="s">
        <v>418</v>
      </c>
      <c r="B2516" s="160" t="s">
        <v>418</v>
      </c>
      <c r="C2516" t="s">
        <v>418</v>
      </c>
      <c r="D2516" t="s">
        <v>418</v>
      </c>
      <c r="E2516" s="161"/>
      <c r="F2516" s="161"/>
      <c r="G2516" s="162"/>
      <c r="H2516" s="67" t="s">
        <v>418</v>
      </c>
    </row>
    <row r="2517" spans="1:8" x14ac:dyDescent="0.25">
      <c r="A2517" s="209" t="s">
        <v>418</v>
      </c>
      <c r="B2517" s="159" t="s">
        <v>1254</v>
      </c>
      <c r="C2517" s="35" t="s">
        <v>418</v>
      </c>
      <c r="D2517" s="35" t="s">
        <v>418</v>
      </c>
      <c r="E2517" s="210"/>
      <c r="F2517" s="210"/>
      <c r="G2517" s="211"/>
      <c r="H2517" s="229" t="s">
        <v>418</v>
      </c>
    </row>
    <row r="2518" spans="1:8" x14ac:dyDescent="0.25">
      <c r="A2518" s="212">
        <v>41890</v>
      </c>
      <c r="B2518" s="160" t="s">
        <v>267</v>
      </c>
      <c r="C2518" t="s">
        <v>1230</v>
      </c>
      <c r="D2518" t="s">
        <v>27</v>
      </c>
      <c r="E2518" s="161">
        <v>8.5</v>
      </c>
      <c r="F2518" s="161">
        <v>90</v>
      </c>
      <c r="G2518" s="162">
        <v>765</v>
      </c>
      <c r="H2518" s="67">
        <v>902</v>
      </c>
    </row>
    <row r="2519" spans="1:8" x14ac:dyDescent="0.25">
      <c r="A2519" s="212">
        <v>41891</v>
      </c>
      <c r="B2519" s="160" t="s">
        <v>267</v>
      </c>
      <c r="C2519" t="s">
        <v>1230</v>
      </c>
      <c r="D2519" t="s">
        <v>27</v>
      </c>
      <c r="E2519" s="161"/>
      <c r="F2519" s="161">
        <v>90</v>
      </c>
      <c r="G2519" s="162"/>
      <c r="H2519" s="67">
        <v>902</v>
      </c>
    </row>
    <row r="2520" spans="1:8" x14ac:dyDescent="0.25">
      <c r="A2520" s="212">
        <v>41905</v>
      </c>
      <c r="B2520" s="160" t="s">
        <v>267</v>
      </c>
      <c r="C2520" t="s">
        <v>1230</v>
      </c>
      <c r="D2520" t="s">
        <v>27</v>
      </c>
      <c r="E2520" s="161">
        <v>2.5</v>
      </c>
      <c r="F2520" s="161">
        <v>90</v>
      </c>
      <c r="G2520" s="162">
        <v>225</v>
      </c>
      <c r="H2520" s="67">
        <v>902</v>
      </c>
    </row>
    <row r="2521" spans="1:8" x14ac:dyDescent="0.25">
      <c r="A2521" s="212">
        <v>41906</v>
      </c>
      <c r="B2521" s="160" t="s">
        <v>267</v>
      </c>
      <c r="C2521" t="s">
        <v>1230</v>
      </c>
      <c r="D2521" t="s">
        <v>27</v>
      </c>
      <c r="E2521" s="161">
        <v>6.25</v>
      </c>
      <c r="F2521" s="161">
        <v>90</v>
      </c>
      <c r="G2521" s="162">
        <v>562.5</v>
      </c>
      <c r="H2521" s="67">
        <v>902</v>
      </c>
    </row>
    <row r="2522" spans="1:8" x14ac:dyDescent="0.25">
      <c r="A2522" s="212">
        <v>41907</v>
      </c>
      <c r="B2522" s="160" t="s">
        <v>267</v>
      </c>
      <c r="C2522" t="s">
        <v>1230</v>
      </c>
      <c r="D2522" t="s">
        <v>27</v>
      </c>
      <c r="E2522" s="161">
        <v>10.15</v>
      </c>
      <c r="F2522" s="161">
        <v>90</v>
      </c>
      <c r="G2522" s="162">
        <v>913.5</v>
      </c>
      <c r="H2522" s="67">
        <v>902</v>
      </c>
    </row>
    <row r="2523" spans="1:8" x14ac:dyDescent="0.25">
      <c r="A2523" s="212">
        <v>41908</v>
      </c>
      <c r="B2523" s="160" t="s">
        <v>267</v>
      </c>
      <c r="C2523" t="s">
        <v>1230</v>
      </c>
      <c r="D2523" t="s">
        <v>27</v>
      </c>
      <c r="E2523" s="161">
        <v>10</v>
      </c>
      <c r="F2523" s="161">
        <v>90</v>
      </c>
      <c r="G2523" s="162">
        <v>900</v>
      </c>
      <c r="H2523" s="67">
        <v>902</v>
      </c>
    </row>
    <row r="2524" spans="1:8" x14ac:dyDescent="0.25">
      <c r="A2524" s="212">
        <v>41911</v>
      </c>
      <c r="B2524" s="160" t="s">
        <v>1231</v>
      </c>
      <c r="C2524" t="s">
        <v>267</v>
      </c>
      <c r="D2524" t="s">
        <v>27</v>
      </c>
      <c r="E2524" s="161">
        <v>10.75</v>
      </c>
      <c r="F2524" s="161"/>
      <c r="G2524" s="162"/>
      <c r="H2524" s="67">
        <v>902</v>
      </c>
    </row>
    <row r="2525" spans="1:8" x14ac:dyDescent="0.25">
      <c r="A2525" s="212">
        <v>41912</v>
      </c>
      <c r="B2525" s="160" t="s">
        <v>1231</v>
      </c>
      <c r="C2525" t="s">
        <v>267</v>
      </c>
      <c r="D2525" t="s">
        <v>27</v>
      </c>
      <c r="E2525" s="161">
        <v>10.5</v>
      </c>
      <c r="F2525" s="161"/>
      <c r="G2525" s="162"/>
      <c r="H2525" s="67">
        <v>902</v>
      </c>
    </row>
    <row r="2526" spans="1:8" x14ac:dyDescent="0.25">
      <c r="A2526" s="212">
        <v>41913</v>
      </c>
      <c r="B2526" s="160" t="s">
        <v>267</v>
      </c>
      <c r="C2526" t="s">
        <v>1230</v>
      </c>
      <c r="D2526" t="s">
        <v>27</v>
      </c>
      <c r="E2526" s="161">
        <v>10</v>
      </c>
      <c r="F2526" s="161">
        <v>90</v>
      </c>
      <c r="G2526" s="162">
        <v>900</v>
      </c>
      <c r="H2526" s="67">
        <v>902</v>
      </c>
    </row>
    <row r="2527" spans="1:8" x14ac:dyDescent="0.25">
      <c r="A2527" s="212">
        <v>41914</v>
      </c>
      <c r="B2527" s="160" t="s">
        <v>267</v>
      </c>
      <c r="C2527" t="s">
        <v>1230</v>
      </c>
      <c r="D2527" t="s">
        <v>27</v>
      </c>
      <c r="E2527" s="161">
        <v>10.75</v>
      </c>
      <c r="F2527" s="161">
        <v>90</v>
      </c>
      <c r="G2527" s="162">
        <v>967.5</v>
      </c>
      <c r="H2527" s="67">
        <v>902</v>
      </c>
    </row>
    <row r="2528" spans="1:8" x14ac:dyDescent="0.25">
      <c r="A2528" s="212">
        <v>41915</v>
      </c>
      <c r="B2528" s="160" t="s">
        <v>1231</v>
      </c>
      <c r="C2528" t="s">
        <v>267</v>
      </c>
      <c r="D2528" t="s">
        <v>27</v>
      </c>
      <c r="E2528" s="161">
        <v>5</v>
      </c>
      <c r="F2528" s="161"/>
      <c r="G2528" s="162"/>
      <c r="H2528" s="67">
        <v>902</v>
      </c>
    </row>
    <row r="2529" spans="1:8" x14ac:dyDescent="0.25">
      <c r="A2529" s="212">
        <v>41919</v>
      </c>
      <c r="B2529" s="160" t="s">
        <v>267</v>
      </c>
      <c r="C2529" t="s">
        <v>1230</v>
      </c>
      <c r="D2529" t="s">
        <v>27</v>
      </c>
      <c r="E2529" s="161">
        <v>10</v>
      </c>
      <c r="F2529" s="161">
        <v>90</v>
      </c>
      <c r="G2529" s="162">
        <v>900</v>
      </c>
      <c r="H2529" s="67">
        <v>902</v>
      </c>
    </row>
    <row r="2530" spans="1:8" x14ac:dyDescent="0.25">
      <c r="A2530" s="212">
        <v>41920</v>
      </c>
      <c r="B2530" s="160" t="s">
        <v>267</v>
      </c>
      <c r="C2530" t="s">
        <v>1230</v>
      </c>
      <c r="D2530" t="s">
        <v>27</v>
      </c>
      <c r="E2530" s="161">
        <v>10</v>
      </c>
      <c r="F2530" s="161">
        <v>90</v>
      </c>
      <c r="G2530" s="162">
        <v>900</v>
      </c>
      <c r="H2530" s="67">
        <v>902</v>
      </c>
    </row>
    <row r="2531" spans="1:8" x14ac:dyDescent="0.25">
      <c r="A2531" s="212">
        <v>41922</v>
      </c>
      <c r="B2531" s="160" t="s">
        <v>267</v>
      </c>
      <c r="C2531" t="s">
        <v>1230</v>
      </c>
      <c r="D2531" t="s">
        <v>27</v>
      </c>
      <c r="E2531" s="161">
        <v>10.5</v>
      </c>
      <c r="F2531" s="161">
        <v>90</v>
      </c>
      <c r="G2531" s="162">
        <v>945</v>
      </c>
      <c r="H2531" s="67">
        <v>902</v>
      </c>
    </row>
    <row r="2532" spans="1:8" x14ac:dyDescent="0.25">
      <c r="A2532" s="212">
        <v>41923</v>
      </c>
      <c r="B2532" s="160" t="s">
        <v>267</v>
      </c>
      <c r="C2532" t="s">
        <v>1230</v>
      </c>
      <c r="D2532" t="s">
        <v>27</v>
      </c>
      <c r="E2532" s="161">
        <v>3</v>
      </c>
      <c r="F2532" s="161">
        <v>90</v>
      </c>
      <c r="G2532" s="162">
        <v>270</v>
      </c>
      <c r="H2532" s="67">
        <v>902</v>
      </c>
    </row>
    <row r="2533" spans="1:8" x14ac:dyDescent="0.25">
      <c r="A2533" s="212">
        <v>41925</v>
      </c>
      <c r="B2533" s="160" t="s">
        <v>267</v>
      </c>
      <c r="C2533" t="s">
        <v>1230</v>
      </c>
      <c r="D2533" t="s">
        <v>27</v>
      </c>
      <c r="E2533" s="161">
        <v>10.5</v>
      </c>
      <c r="F2533" s="161">
        <v>90</v>
      </c>
      <c r="G2533" s="162">
        <v>945</v>
      </c>
      <c r="H2533" s="67">
        <v>902</v>
      </c>
    </row>
    <row r="2534" spans="1:8" x14ac:dyDescent="0.25">
      <c r="A2534" s="212">
        <v>41926</v>
      </c>
      <c r="B2534" s="160" t="s">
        <v>267</v>
      </c>
      <c r="C2534" t="s">
        <v>1230</v>
      </c>
      <c r="D2534" t="s">
        <v>27</v>
      </c>
      <c r="E2534" s="161">
        <v>10</v>
      </c>
      <c r="F2534" s="161">
        <v>90</v>
      </c>
      <c r="G2534" s="162">
        <v>900</v>
      </c>
      <c r="H2534" s="67">
        <v>902</v>
      </c>
    </row>
    <row r="2535" spans="1:8" x14ac:dyDescent="0.25">
      <c r="A2535" s="212">
        <v>41927</v>
      </c>
      <c r="B2535" s="160" t="s">
        <v>267</v>
      </c>
      <c r="C2535" t="s">
        <v>1230</v>
      </c>
      <c r="D2535" t="s">
        <v>27</v>
      </c>
      <c r="E2535" s="161">
        <v>9.5</v>
      </c>
      <c r="F2535" s="161">
        <v>90</v>
      </c>
      <c r="G2535" s="162">
        <v>855</v>
      </c>
      <c r="H2535" s="67">
        <v>902</v>
      </c>
    </row>
    <row r="2536" spans="1:8" x14ac:dyDescent="0.25">
      <c r="A2536" s="212">
        <v>41928</v>
      </c>
      <c r="B2536" s="160" t="s">
        <v>267</v>
      </c>
      <c r="C2536" t="s">
        <v>1230</v>
      </c>
      <c r="D2536" t="s">
        <v>27</v>
      </c>
      <c r="E2536" s="161">
        <v>9</v>
      </c>
      <c r="F2536" s="161">
        <v>90</v>
      </c>
      <c r="G2536" s="162">
        <v>810</v>
      </c>
      <c r="H2536" s="67">
        <v>902</v>
      </c>
    </row>
    <row r="2537" spans="1:8" x14ac:dyDescent="0.25">
      <c r="A2537" s="212">
        <v>41929</v>
      </c>
      <c r="B2537" s="160" t="s">
        <v>267</v>
      </c>
      <c r="C2537" t="s">
        <v>1230</v>
      </c>
      <c r="D2537" t="s">
        <v>27</v>
      </c>
      <c r="E2537" s="161">
        <v>10.5</v>
      </c>
      <c r="F2537" s="161">
        <v>90</v>
      </c>
      <c r="G2537" s="162">
        <v>945</v>
      </c>
      <c r="H2537" s="67">
        <v>902</v>
      </c>
    </row>
    <row r="2538" spans="1:8" x14ac:dyDescent="0.25">
      <c r="A2538" s="212">
        <v>41930</v>
      </c>
      <c r="B2538" s="160" t="s">
        <v>267</v>
      </c>
      <c r="C2538" t="s">
        <v>1230</v>
      </c>
      <c r="D2538" t="s">
        <v>27</v>
      </c>
      <c r="E2538" s="161">
        <v>6.75</v>
      </c>
      <c r="F2538" s="161">
        <v>90</v>
      </c>
      <c r="G2538" s="162">
        <v>607.5</v>
      </c>
      <c r="H2538" s="67">
        <v>902</v>
      </c>
    </row>
    <row r="2539" spans="1:8" x14ac:dyDescent="0.25">
      <c r="A2539" s="212">
        <v>41932</v>
      </c>
      <c r="B2539" s="160" t="s">
        <v>267</v>
      </c>
      <c r="C2539" t="s">
        <v>1230</v>
      </c>
      <c r="D2539" t="s">
        <v>27</v>
      </c>
      <c r="E2539" s="161">
        <v>9.75</v>
      </c>
      <c r="F2539" s="161">
        <v>90</v>
      </c>
      <c r="G2539" s="162">
        <v>877.5</v>
      </c>
      <c r="H2539" s="67">
        <v>902</v>
      </c>
    </row>
    <row r="2540" spans="1:8" x14ac:dyDescent="0.25">
      <c r="A2540" s="212">
        <v>41933</v>
      </c>
      <c r="B2540" s="160" t="s">
        <v>267</v>
      </c>
      <c r="C2540" t="s">
        <v>1230</v>
      </c>
      <c r="D2540" t="s">
        <v>27</v>
      </c>
      <c r="E2540" s="161">
        <v>8.5</v>
      </c>
      <c r="F2540" s="161">
        <v>90</v>
      </c>
      <c r="G2540" s="162">
        <v>765</v>
      </c>
      <c r="H2540" s="67">
        <v>902</v>
      </c>
    </row>
    <row r="2541" spans="1:8" x14ac:dyDescent="0.25">
      <c r="A2541" s="212">
        <v>41941</v>
      </c>
      <c r="B2541" s="160" t="s">
        <v>267</v>
      </c>
      <c r="C2541" t="s">
        <v>1230</v>
      </c>
      <c r="D2541" t="s">
        <v>27</v>
      </c>
      <c r="E2541" s="161">
        <v>11</v>
      </c>
      <c r="F2541" s="161">
        <v>90</v>
      </c>
      <c r="G2541" s="162">
        <v>990</v>
      </c>
      <c r="H2541" s="67">
        <v>902</v>
      </c>
    </row>
    <row r="2542" spans="1:8" x14ac:dyDescent="0.25">
      <c r="A2542" s="212">
        <v>41942</v>
      </c>
      <c r="B2542" s="160" t="s">
        <v>267</v>
      </c>
      <c r="C2542" t="s">
        <v>1230</v>
      </c>
      <c r="D2542" t="s">
        <v>27</v>
      </c>
      <c r="E2542" s="161">
        <v>11.5</v>
      </c>
      <c r="F2542" s="161">
        <v>90</v>
      </c>
      <c r="G2542" s="162">
        <v>1035</v>
      </c>
      <c r="H2542" s="67">
        <v>902</v>
      </c>
    </row>
    <row r="2543" spans="1:8" x14ac:dyDescent="0.25">
      <c r="A2543" s="212">
        <v>41943</v>
      </c>
      <c r="B2543" s="160" t="s">
        <v>267</v>
      </c>
      <c r="C2543" t="s">
        <v>1230</v>
      </c>
      <c r="D2543" t="s">
        <v>27</v>
      </c>
      <c r="E2543" s="161">
        <v>11.5</v>
      </c>
      <c r="F2543" s="161">
        <v>90</v>
      </c>
      <c r="G2543" s="162">
        <v>1035</v>
      </c>
      <c r="H2543" s="67">
        <v>902</v>
      </c>
    </row>
    <row r="2544" spans="1:8" x14ac:dyDescent="0.25">
      <c r="A2544" s="212">
        <v>41944</v>
      </c>
      <c r="B2544" s="160" t="s">
        <v>267</v>
      </c>
      <c r="C2544" t="s">
        <v>1230</v>
      </c>
      <c r="D2544" t="s">
        <v>27</v>
      </c>
      <c r="E2544" s="161">
        <v>10.5</v>
      </c>
      <c r="F2544" s="161">
        <v>90</v>
      </c>
      <c r="G2544" s="162">
        <v>945</v>
      </c>
      <c r="H2544" s="67">
        <v>902</v>
      </c>
    </row>
    <row r="2545" spans="1:8" x14ac:dyDescent="0.25">
      <c r="A2545" s="212">
        <v>41946</v>
      </c>
      <c r="B2545" s="160" t="s">
        <v>267</v>
      </c>
      <c r="C2545" t="s">
        <v>1230</v>
      </c>
      <c r="D2545" t="s">
        <v>27</v>
      </c>
      <c r="E2545" s="161">
        <v>10</v>
      </c>
      <c r="F2545" s="161">
        <v>90</v>
      </c>
      <c r="G2545" s="162">
        <v>900</v>
      </c>
      <c r="H2545" s="67">
        <v>902</v>
      </c>
    </row>
    <row r="2546" spans="1:8" x14ac:dyDescent="0.25">
      <c r="A2546" s="212">
        <v>41947</v>
      </c>
      <c r="B2546" s="160" t="s">
        <v>267</v>
      </c>
      <c r="C2546" t="s">
        <v>1230</v>
      </c>
      <c r="D2546" t="s">
        <v>27</v>
      </c>
      <c r="E2546" s="161">
        <v>10.5</v>
      </c>
      <c r="F2546" s="161">
        <v>90</v>
      </c>
      <c r="G2546" s="162">
        <v>945</v>
      </c>
      <c r="H2546" s="67">
        <v>902</v>
      </c>
    </row>
    <row r="2547" spans="1:8" x14ac:dyDescent="0.25">
      <c r="A2547" s="212">
        <v>41948</v>
      </c>
      <c r="B2547" s="160" t="s">
        <v>267</v>
      </c>
      <c r="C2547" t="s">
        <v>1230</v>
      </c>
      <c r="D2547" t="s">
        <v>27</v>
      </c>
      <c r="E2547" s="161">
        <v>10.5</v>
      </c>
      <c r="F2547" s="161">
        <v>90</v>
      </c>
      <c r="G2547" s="162">
        <v>945</v>
      </c>
      <c r="H2547" s="67">
        <v>902</v>
      </c>
    </row>
    <row r="2548" spans="1:8" x14ac:dyDescent="0.25">
      <c r="A2548" s="212">
        <v>41949</v>
      </c>
      <c r="B2548" s="160" t="s">
        <v>267</v>
      </c>
      <c r="C2548" t="s">
        <v>1230</v>
      </c>
      <c r="D2548" t="s">
        <v>27</v>
      </c>
      <c r="E2548" s="161">
        <v>10.25</v>
      </c>
      <c r="F2548" s="161">
        <v>90</v>
      </c>
      <c r="G2548" s="162">
        <v>922.5</v>
      </c>
      <c r="H2548" s="67">
        <v>902</v>
      </c>
    </row>
    <row r="2549" spans="1:8" x14ac:dyDescent="0.25">
      <c r="A2549" s="212">
        <v>41950</v>
      </c>
      <c r="B2549" s="160" t="s">
        <v>267</v>
      </c>
      <c r="C2549" t="s">
        <v>1230</v>
      </c>
      <c r="D2549" t="s">
        <v>27</v>
      </c>
      <c r="E2549" s="161">
        <v>5.5</v>
      </c>
      <c r="F2549" s="161">
        <v>90</v>
      </c>
      <c r="G2549" s="162">
        <v>495</v>
      </c>
      <c r="H2549" s="67">
        <v>902</v>
      </c>
    </row>
    <row r="2550" spans="1:8" x14ac:dyDescent="0.25">
      <c r="A2550" s="212">
        <v>41953</v>
      </c>
      <c r="B2550" s="160" t="s">
        <v>267</v>
      </c>
      <c r="C2550" t="s">
        <v>1230</v>
      </c>
      <c r="D2550" t="s">
        <v>27</v>
      </c>
      <c r="E2550" s="161">
        <v>10.15</v>
      </c>
      <c r="F2550" s="161">
        <v>90</v>
      </c>
      <c r="G2550" s="162">
        <v>913.5</v>
      </c>
      <c r="H2550" s="67">
        <v>902</v>
      </c>
    </row>
    <row r="2551" spans="1:8" x14ac:dyDescent="0.25">
      <c r="A2551" s="212">
        <v>41954</v>
      </c>
      <c r="B2551" s="160" t="s">
        <v>267</v>
      </c>
      <c r="C2551" t="s">
        <v>1230</v>
      </c>
      <c r="D2551" t="s">
        <v>27</v>
      </c>
      <c r="E2551" s="161">
        <v>7</v>
      </c>
      <c r="F2551" s="161">
        <v>90</v>
      </c>
      <c r="G2551" s="162">
        <v>630</v>
      </c>
      <c r="H2551" s="67">
        <v>902</v>
      </c>
    </row>
    <row r="2552" spans="1:8" x14ac:dyDescent="0.25">
      <c r="A2552" s="212">
        <v>41955</v>
      </c>
      <c r="B2552" s="160" t="s">
        <v>267</v>
      </c>
      <c r="C2552" t="s">
        <v>1230</v>
      </c>
      <c r="D2552" t="s">
        <v>27</v>
      </c>
      <c r="E2552" s="161">
        <v>7.25</v>
      </c>
      <c r="F2552" s="161">
        <v>90</v>
      </c>
      <c r="G2552" s="162">
        <v>652.5</v>
      </c>
      <c r="H2552" s="67">
        <v>902</v>
      </c>
    </row>
    <row r="2553" spans="1:8" x14ac:dyDescent="0.25">
      <c r="A2553" s="212">
        <v>41956</v>
      </c>
      <c r="B2553" s="160" t="s">
        <v>267</v>
      </c>
      <c r="C2553" t="s">
        <v>1230</v>
      </c>
      <c r="D2553" t="s">
        <v>27</v>
      </c>
      <c r="E2553" s="161">
        <v>10.5</v>
      </c>
      <c r="F2553" s="161">
        <v>90</v>
      </c>
      <c r="G2553" s="162">
        <v>945</v>
      </c>
      <c r="H2553" s="67">
        <v>902</v>
      </c>
    </row>
    <row r="2554" spans="1:8" x14ac:dyDescent="0.25">
      <c r="A2554" s="212">
        <v>41957</v>
      </c>
      <c r="B2554" s="160" t="s">
        <v>267</v>
      </c>
      <c r="C2554" t="s">
        <v>1230</v>
      </c>
      <c r="D2554" t="s">
        <v>27</v>
      </c>
      <c r="E2554" s="161">
        <v>9</v>
      </c>
      <c r="F2554" s="161">
        <v>90</v>
      </c>
      <c r="G2554" s="162">
        <v>810</v>
      </c>
      <c r="H2554" s="67">
        <v>902</v>
      </c>
    </row>
    <row r="2555" spans="1:8" x14ac:dyDescent="0.25">
      <c r="A2555" s="212">
        <v>41958</v>
      </c>
      <c r="B2555" s="160" t="s">
        <v>267</v>
      </c>
      <c r="C2555" t="s">
        <v>1230</v>
      </c>
      <c r="D2555" t="s">
        <v>27</v>
      </c>
      <c r="E2555" s="161">
        <v>8.75</v>
      </c>
      <c r="F2555" s="161">
        <v>90</v>
      </c>
      <c r="G2555" s="162">
        <v>787.5</v>
      </c>
      <c r="H2555" s="67">
        <v>902</v>
      </c>
    </row>
    <row r="2556" spans="1:8" x14ac:dyDescent="0.25">
      <c r="A2556" s="212">
        <v>41960</v>
      </c>
      <c r="B2556" s="160" t="s">
        <v>267</v>
      </c>
      <c r="C2556" t="s">
        <v>1230</v>
      </c>
      <c r="D2556" t="s">
        <v>27</v>
      </c>
      <c r="E2556" s="161">
        <v>10</v>
      </c>
      <c r="F2556" s="161">
        <v>90</v>
      </c>
      <c r="G2556" s="162">
        <v>900</v>
      </c>
      <c r="H2556" s="67">
        <v>902</v>
      </c>
    </row>
    <row r="2557" spans="1:8" x14ac:dyDescent="0.25">
      <c r="A2557" s="212">
        <v>41961</v>
      </c>
      <c r="B2557" s="160" t="s">
        <v>267</v>
      </c>
      <c r="C2557" t="s">
        <v>1230</v>
      </c>
      <c r="D2557" t="s">
        <v>27</v>
      </c>
      <c r="E2557" s="161">
        <v>10.25</v>
      </c>
      <c r="F2557" s="161">
        <v>90</v>
      </c>
      <c r="G2557" s="162">
        <v>922.5</v>
      </c>
      <c r="H2557" s="67">
        <v>902</v>
      </c>
    </row>
    <row r="2558" spans="1:8" x14ac:dyDescent="0.25">
      <c r="A2558" s="212">
        <v>41962</v>
      </c>
      <c r="B2558" s="160" t="s">
        <v>267</v>
      </c>
      <c r="C2558" t="s">
        <v>1230</v>
      </c>
      <c r="D2558" t="s">
        <v>27</v>
      </c>
      <c r="E2558" s="161">
        <v>9</v>
      </c>
      <c r="F2558" s="161">
        <v>90</v>
      </c>
      <c r="G2558" s="162">
        <v>810</v>
      </c>
      <c r="H2558" s="67">
        <v>902</v>
      </c>
    </row>
    <row r="2559" spans="1:8" x14ac:dyDescent="0.25">
      <c r="A2559" s="212">
        <v>41963</v>
      </c>
      <c r="B2559" s="160" t="s">
        <v>267</v>
      </c>
      <c r="C2559" t="s">
        <v>1230</v>
      </c>
      <c r="D2559" t="s">
        <v>27</v>
      </c>
      <c r="E2559" s="161">
        <v>10.45</v>
      </c>
      <c r="F2559" s="161">
        <v>90</v>
      </c>
      <c r="G2559" s="162">
        <v>940.5</v>
      </c>
      <c r="H2559" s="67">
        <v>902</v>
      </c>
    </row>
    <row r="2560" spans="1:8" x14ac:dyDescent="0.25">
      <c r="A2560" s="212">
        <v>41964</v>
      </c>
      <c r="B2560" s="160" t="s">
        <v>267</v>
      </c>
      <c r="C2560" t="s">
        <v>1230</v>
      </c>
      <c r="D2560" t="s">
        <v>27</v>
      </c>
      <c r="E2560" s="161">
        <v>5.5</v>
      </c>
      <c r="F2560" s="161">
        <v>90</v>
      </c>
      <c r="G2560" s="162">
        <v>495</v>
      </c>
      <c r="H2560" s="67">
        <v>902</v>
      </c>
    </row>
    <row r="2561" spans="1:8" x14ac:dyDescent="0.25">
      <c r="A2561" s="212">
        <v>41969</v>
      </c>
      <c r="B2561" s="160" t="s">
        <v>267</v>
      </c>
      <c r="C2561" t="s">
        <v>1230</v>
      </c>
      <c r="D2561" t="s">
        <v>27</v>
      </c>
      <c r="E2561" s="161">
        <v>10.25</v>
      </c>
      <c r="F2561" s="161">
        <v>90</v>
      </c>
      <c r="G2561" s="162">
        <v>922.5</v>
      </c>
      <c r="H2561" s="67">
        <v>902</v>
      </c>
    </row>
    <row r="2562" spans="1:8" x14ac:dyDescent="0.25">
      <c r="A2562" s="212">
        <v>41969</v>
      </c>
      <c r="B2562" s="160" t="s">
        <v>267</v>
      </c>
      <c r="C2562" t="s">
        <v>1230</v>
      </c>
      <c r="D2562" t="s">
        <v>27</v>
      </c>
      <c r="E2562" s="161">
        <v>10.5</v>
      </c>
      <c r="F2562" s="161">
        <v>90</v>
      </c>
      <c r="G2562" s="162">
        <v>945</v>
      </c>
      <c r="H2562" s="67">
        <v>902</v>
      </c>
    </row>
    <row r="2563" spans="1:8" x14ac:dyDescent="0.25">
      <c r="A2563" s="212">
        <v>41970</v>
      </c>
      <c r="B2563" s="160" t="s">
        <v>267</v>
      </c>
      <c r="C2563" t="s">
        <v>1230</v>
      </c>
      <c r="D2563" t="s">
        <v>27</v>
      </c>
      <c r="E2563" s="161">
        <v>8.5</v>
      </c>
      <c r="F2563" s="161">
        <v>90</v>
      </c>
      <c r="G2563" s="162">
        <v>765</v>
      </c>
      <c r="H2563" s="67">
        <v>902</v>
      </c>
    </row>
    <row r="2564" spans="1:8" x14ac:dyDescent="0.25">
      <c r="A2564" s="212">
        <v>41975</v>
      </c>
      <c r="B2564" s="160" t="s">
        <v>267</v>
      </c>
      <c r="C2564" t="s">
        <v>1230</v>
      </c>
      <c r="D2564" t="s">
        <v>27</v>
      </c>
      <c r="E2564" s="161">
        <v>6.5</v>
      </c>
      <c r="F2564" s="161">
        <v>90</v>
      </c>
      <c r="G2564" s="162">
        <v>585</v>
      </c>
      <c r="H2564" s="67">
        <v>902</v>
      </c>
    </row>
    <row r="2565" spans="1:8" x14ac:dyDescent="0.25">
      <c r="A2565" s="212">
        <v>41976</v>
      </c>
      <c r="B2565" s="160" t="s">
        <v>267</v>
      </c>
      <c r="C2565" t="s">
        <v>1230</v>
      </c>
      <c r="D2565" t="s">
        <v>27</v>
      </c>
      <c r="E2565" s="161">
        <v>10</v>
      </c>
      <c r="F2565" s="161">
        <v>90</v>
      </c>
      <c r="G2565" s="162">
        <v>900</v>
      </c>
      <c r="H2565" s="67">
        <v>902</v>
      </c>
    </row>
    <row r="2566" spans="1:8" x14ac:dyDescent="0.25">
      <c r="A2566" s="212">
        <v>41977</v>
      </c>
      <c r="B2566" s="160" t="s">
        <v>267</v>
      </c>
      <c r="C2566" t="s">
        <v>1230</v>
      </c>
      <c r="D2566" t="s">
        <v>27</v>
      </c>
      <c r="E2566" s="161">
        <v>9.5</v>
      </c>
      <c r="F2566" s="161">
        <v>90</v>
      </c>
      <c r="G2566" s="162">
        <v>855</v>
      </c>
      <c r="H2566" s="67">
        <v>902</v>
      </c>
    </row>
    <row r="2567" spans="1:8" x14ac:dyDescent="0.25">
      <c r="A2567" s="212">
        <v>41984</v>
      </c>
      <c r="B2567" s="160" t="s">
        <v>267</v>
      </c>
      <c r="C2567" t="s">
        <v>1230</v>
      </c>
      <c r="D2567" t="s">
        <v>27</v>
      </c>
      <c r="E2567" s="161">
        <v>10.5</v>
      </c>
      <c r="F2567" s="161">
        <v>90</v>
      </c>
      <c r="G2567" s="162">
        <v>945</v>
      </c>
      <c r="H2567" s="67">
        <v>902</v>
      </c>
    </row>
    <row r="2568" spans="1:8" x14ac:dyDescent="0.25">
      <c r="A2568" s="212">
        <v>41985</v>
      </c>
      <c r="B2568" s="160" t="s">
        <v>267</v>
      </c>
      <c r="C2568" t="s">
        <v>1230</v>
      </c>
      <c r="D2568" t="s">
        <v>27</v>
      </c>
      <c r="E2568" s="161">
        <v>7.5</v>
      </c>
      <c r="F2568" s="161">
        <v>90</v>
      </c>
      <c r="G2568" s="162">
        <v>675</v>
      </c>
      <c r="H2568" s="67">
        <v>902</v>
      </c>
    </row>
    <row r="2569" spans="1:8" x14ac:dyDescent="0.25">
      <c r="A2569" s="212">
        <v>41986</v>
      </c>
      <c r="B2569" s="160" t="s">
        <v>267</v>
      </c>
      <c r="C2569" t="s">
        <v>1230</v>
      </c>
      <c r="D2569" t="s">
        <v>27</v>
      </c>
      <c r="E2569" s="161">
        <v>10</v>
      </c>
      <c r="F2569" s="161">
        <v>90</v>
      </c>
      <c r="G2569" s="162">
        <v>900</v>
      </c>
      <c r="H2569" s="67">
        <v>902</v>
      </c>
    </row>
    <row r="2570" spans="1:8" x14ac:dyDescent="0.25">
      <c r="A2570" s="212">
        <v>41988</v>
      </c>
      <c r="B2570" s="160" t="s">
        <v>267</v>
      </c>
      <c r="C2570" t="s">
        <v>1230</v>
      </c>
      <c r="D2570" t="s">
        <v>27</v>
      </c>
      <c r="E2570" s="161">
        <v>10</v>
      </c>
      <c r="F2570" s="161">
        <v>90</v>
      </c>
      <c r="G2570" s="162">
        <v>900</v>
      </c>
      <c r="H2570" s="67">
        <v>902</v>
      </c>
    </row>
    <row r="2571" spans="1:8" x14ac:dyDescent="0.25">
      <c r="A2571" s="212">
        <v>41989</v>
      </c>
      <c r="B2571" s="160" t="s">
        <v>267</v>
      </c>
      <c r="C2571" t="s">
        <v>1230</v>
      </c>
      <c r="D2571" t="s">
        <v>27</v>
      </c>
      <c r="E2571" s="161">
        <v>7</v>
      </c>
      <c r="F2571" s="161">
        <v>90</v>
      </c>
      <c r="G2571" s="162">
        <v>630</v>
      </c>
      <c r="H2571" s="67">
        <v>902</v>
      </c>
    </row>
    <row r="2572" spans="1:8" x14ac:dyDescent="0.25">
      <c r="A2572" s="212">
        <v>42010</v>
      </c>
      <c r="B2572" s="160" t="s">
        <v>267</v>
      </c>
      <c r="C2572" t="s">
        <v>1230</v>
      </c>
      <c r="D2572" t="s">
        <v>27</v>
      </c>
      <c r="E2572" s="161">
        <v>3.5</v>
      </c>
      <c r="F2572" s="161">
        <v>90</v>
      </c>
      <c r="G2572" s="162">
        <v>315</v>
      </c>
      <c r="H2572" s="67">
        <v>902</v>
      </c>
    </row>
    <row r="2573" spans="1:8" x14ac:dyDescent="0.25">
      <c r="A2573" s="212">
        <v>42011</v>
      </c>
      <c r="B2573" s="160" t="s">
        <v>267</v>
      </c>
      <c r="C2573" t="s">
        <v>1230</v>
      </c>
      <c r="D2573" t="s">
        <v>27</v>
      </c>
      <c r="E2573" s="161">
        <v>10.25</v>
      </c>
      <c r="F2573" s="161">
        <v>90</v>
      </c>
      <c r="G2573" s="162">
        <v>922.5</v>
      </c>
      <c r="H2573" s="67">
        <v>902</v>
      </c>
    </row>
    <row r="2574" spans="1:8" x14ac:dyDescent="0.25">
      <c r="A2574" s="212">
        <v>42012</v>
      </c>
      <c r="B2574" s="160" t="s">
        <v>267</v>
      </c>
      <c r="C2574" t="s">
        <v>1230</v>
      </c>
      <c r="D2574" t="s">
        <v>27</v>
      </c>
      <c r="E2574" s="161">
        <v>10.5</v>
      </c>
      <c r="F2574" s="161">
        <v>90</v>
      </c>
      <c r="G2574" s="162">
        <v>945</v>
      </c>
      <c r="H2574" s="67">
        <v>902</v>
      </c>
    </row>
    <row r="2575" spans="1:8" x14ac:dyDescent="0.25">
      <c r="A2575" s="212">
        <v>42013</v>
      </c>
      <c r="B2575" s="160" t="s">
        <v>267</v>
      </c>
      <c r="C2575" t="s">
        <v>1230</v>
      </c>
      <c r="D2575" t="s">
        <v>27</v>
      </c>
      <c r="E2575" s="161">
        <v>10</v>
      </c>
      <c r="F2575" s="161">
        <v>90</v>
      </c>
      <c r="G2575" s="162">
        <v>900</v>
      </c>
      <c r="H2575" s="67">
        <v>902</v>
      </c>
    </row>
    <row r="2576" spans="1:8" x14ac:dyDescent="0.25">
      <c r="A2576" s="212">
        <v>42014</v>
      </c>
      <c r="B2576" s="160" t="s">
        <v>267</v>
      </c>
      <c r="C2576" t="s">
        <v>1230</v>
      </c>
      <c r="D2576" t="s">
        <v>27</v>
      </c>
      <c r="E2576" s="161">
        <v>8</v>
      </c>
      <c r="F2576" s="161">
        <v>90</v>
      </c>
      <c r="G2576" s="162">
        <v>720</v>
      </c>
      <c r="H2576" s="67">
        <v>902</v>
      </c>
    </row>
    <row r="2577" spans="1:8" x14ac:dyDescent="0.25">
      <c r="A2577" s="212">
        <v>42016</v>
      </c>
      <c r="B2577" s="160" t="s">
        <v>267</v>
      </c>
      <c r="C2577" t="s">
        <v>1230</v>
      </c>
      <c r="D2577" t="s">
        <v>27</v>
      </c>
      <c r="E2577" s="161">
        <v>10.45</v>
      </c>
      <c r="F2577" s="161">
        <v>90</v>
      </c>
      <c r="G2577" s="162">
        <v>940.5</v>
      </c>
      <c r="H2577" s="67">
        <v>902</v>
      </c>
    </row>
    <row r="2578" spans="1:8" x14ac:dyDescent="0.25">
      <c r="A2578" s="212">
        <v>42017</v>
      </c>
      <c r="B2578" s="160" t="s">
        <v>267</v>
      </c>
      <c r="C2578" t="s">
        <v>1230</v>
      </c>
      <c r="D2578" t="s">
        <v>27</v>
      </c>
      <c r="E2578" s="161">
        <v>10</v>
      </c>
      <c r="F2578" s="161">
        <v>90</v>
      </c>
      <c r="G2578" s="162">
        <v>900</v>
      </c>
      <c r="H2578" s="67">
        <v>902</v>
      </c>
    </row>
    <row r="2579" spans="1:8" x14ac:dyDescent="0.25">
      <c r="A2579" s="212">
        <v>42018</v>
      </c>
      <c r="B2579" s="160" t="s">
        <v>267</v>
      </c>
      <c r="C2579" t="s">
        <v>1230</v>
      </c>
      <c r="D2579" t="s">
        <v>27</v>
      </c>
      <c r="E2579" s="161">
        <v>9.5</v>
      </c>
      <c r="F2579" s="161">
        <v>90</v>
      </c>
      <c r="G2579" s="162">
        <v>855</v>
      </c>
      <c r="H2579" s="67">
        <v>902</v>
      </c>
    </row>
    <row r="2580" spans="1:8" x14ac:dyDescent="0.25">
      <c r="A2580" s="212">
        <v>42019</v>
      </c>
      <c r="B2580" s="160" t="s">
        <v>267</v>
      </c>
      <c r="C2580" t="s">
        <v>1230</v>
      </c>
      <c r="D2580" t="s">
        <v>27</v>
      </c>
      <c r="E2580" s="161">
        <v>9</v>
      </c>
      <c r="F2580" s="161">
        <v>90</v>
      </c>
      <c r="G2580" s="162">
        <v>810</v>
      </c>
      <c r="H2580" s="67">
        <v>902</v>
      </c>
    </row>
    <row r="2581" spans="1:8" x14ac:dyDescent="0.25">
      <c r="A2581" s="212">
        <v>42020</v>
      </c>
      <c r="B2581" s="160" t="s">
        <v>267</v>
      </c>
      <c r="C2581" t="s">
        <v>1230</v>
      </c>
      <c r="D2581" t="s">
        <v>27</v>
      </c>
      <c r="E2581" s="161">
        <v>5.5</v>
      </c>
      <c r="F2581" s="161">
        <v>90</v>
      </c>
      <c r="G2581" s="162">
        <v>495</v>
      </c>
      <c r="H2581" s="67">
        <v>902</v>
      </c>
    </row>
    <row r="2582" spans="1:8" x14ac:dyDescent="0.25">
      <c r="A2582" s="212">
        <v>42023</v>
      </c>
      <c r="B2582" s="160" t="s">
        <v>267</v>
      </c>
      <c r="C2582" t="s">
        <v>1230</v>
      </c>
      <c r="D2582" t="s">
        <v>27</v>
      </c>
      <c r="E2582" s="161">
        <v>10</v>
      </c>
      <c r="F2582" s="161">
        <v>90</v>
      </c>
      <c r="G2582" s="162">
        <v>900</v>
      </c>
      <c r="H2582" s="67">
        <v>902</v>
      </c>
    </row>
    <row r="2583" spans="1:8" x14ac:dyDescent="0.25">
      <c r="A2583" s="212">
        <v>42024</v>
      </c>
      <c r="B2583" s="160" t="s">
        <v>267</v>
      </c>
      <c r="C2583" t="s">
        <v>1230</v>
      </c>
      <c r="D2583" t="s">
        <v>27</v>
      </c>
      <c r="E2583" s="161">
        <v>10.25</v>
      </c>
      <c r="F2583" s="161">
        <v>90</v>
      </c>
      <c r="G2583" s="162">
        <v>922.5</v>
      </c>
      <c r="H2583" s="67">
        <v>902</v>
      </c>
    </row>
    <row r="2584" spans="1:8" x14ac:dyDescent="0.25">
      <c r="A2584" s="212">
        <v>42025</v>
      </c>
      <c r="B2584" s="160" t="s">
        <v>267</v>
      </c>
      <c r="C2584" t="s">
        <v>1230</v>
      </c>
      <c r="D2584" t="s">
        <v>27</v>
      </c>
      <c r="E2584" s="161">
        <v>9.5</v>
      </c>
      <c r="F2584" s="161">
        <v>90</v>
      </c>
      <c r="G2584" s="162">
        <v>855</v>
      </c>
      <c r="H2584" s="67">
        <v>902</v>
      </c>
    </row>
    <row r="2585" spans="1:8" x14ac:dyDescent="0.25">
      <c r="A2585" s="212">
        <v>42026</v>
      </c>
      <c r="B2585" s="160" t="s">
        <v>267</v>
      </c>
      <c r="C2585" t="s">
        <v>1230</v>
      </c>
      <c r="D2585" t="s">
        <v>27</v>
      </c>
      <c r="E2585" s="161">
        <v>10</v>
      </c>
      <c r="F2585" s="161">
        <v>90</v>
      </c>
      <c r="G2585" s="162">
        <v>900</v>
      </c>
      <c r="H2585" s="67">
        <v>902</v>
      </c>
    </row>
    <row r="2586" spans="1:8" x14ac:dyDescent="0.25">
      <c r="A2586" s="212">
        <v>42027</v>
      </c>
      <c r="B2586" s="160" t="s">
        <v>267</v>
      </c>
      <c r="C2586" t="s">
        <v>1230</v>
      </c>
      <c r="D2586" t="s">
        <v>27</v>
      </c>
      <c r="E2586" s="161">
        <v>1.5</v>
      </c>
      <c r="F2586" s="161">
        <v>90</v>
      </c>
      <c r="G2586" s="162">
        <v>135</v>
      </c>
      <c r="H2586" s="67">
        <v>902</v>
      </c>
    </row>
    <row r="2587" spans="1:8" x14ac:dyDescent="0.25">
      <c r="A2587" s="212">
        <v>42031</v>
      </c>
      <c r="B2587" s="160" t="s">
        <v>267</v>
      </c>
      <c r="C2587" t="s">
        <v>1230</v>
      </c>
      <c r="D2587" t="s">
        <v>27</v>
      </c>
      <c r="E2587" s="161"/>
      <c r="F2587" s="161">
        <v>90</v>
      </c>
      <c r="G2587" s="162"/>
      <c r="H2587" s="67">
        <v>902</v>
      </c>
    </row>
    <row r="2588" spans="1:8" x14ac:dyDescent="0.25">
      <c r="A2588" s="212">
        <v>42032</v>
      </c>
      <c r="B2588" s="160" t="s">
        <v>267</v>
      </c>
      <c r="C2588" t="s">
        <v>1230</v>
      </c>
      <c r="D2588" t="s">
        <v>27</v>
      </c>
      <c r="E2588" s="161">
        <v>9</v>
      </c>
      <c r="F2588" s="161">
        <v>90</v>
      </c>
      <c r="G2588" s="162">
        <v>810</v>
      </c>
      <c r="H2588" s="67">
        <v>902</v>
      </c>
    </row>
    <row r="2589" spans="1:8" x14ac:dyDescent="0.25">
      <c r="A2589" s="212">
        <v>42037</v>
      </c>
      <c r="B2589" s="160" t="s">
        <v>267</v>
      </c>
      <c r="C2589" t="s">
        <v>1230</v>
      </c>
      <c r="D2589" t="s">
        <v>27</v>
      </c>
      <c r="E2589" s="161">
        <v>10</v>
      </c>
      <c r="F2589" s="161">
        <v>90</v>
      </c>
      <c r="G2589" s="162">
        <v>900</v>
      </c>
      <c r="H2589" s="67">
        <v>902</v>
      </c>
    </row>
    <row r="2590" spans="1:8" x14ac:dyDescent="0.25">
      <c r="A2590" s="212">
        <v>42038</v>
      </c>
      <c r="B2590" s="160" t="s">
        <v>267</v>
      </c>
      <c r="C2590" t="s">
        <v>1230</v>
      </c>
      <c r="D2590" t="s">
        <v>27</v>
      </c>
      <c r="E2590" s="161">
        <v>11.5</v>
      </c>
      <c r="F2590" s="161">
        <v>90</v>
      </c>
      <c r="G2590" s="162">
        <v>1035</v>
      </c>
      <c r="H2590" s="67">
        <v>902</v>
      </c>
    </row>
    <row r="2591" spans="1:8" x14ac:dyDescent="0.25">
      <c r="A2591" s="212">
        <v>42039</v>
      </c>
      <c r="B2591" s="160" t="s">
        <v>267</v>
      </c>
      <c r="C2591" t="s">
        <v>1230</v>
      </c>
      <c r="D2591" t="s">
        <v>27</v>
      </c>
      <c r="E2591" s="161">
        <v>10</v>
      </c>
      <c r="F2591" s="161">
        <v>90</v>
      </c>
      <c r="G2591" s="162">
        <v>900</v>
      </c>
      <c r="H2591" s="67">
        <v>902</v>
      </c>
    </row>
    <row r="2592" spans="1:8" x14ac:dyDescent="0.25">
      <c r="A2592" s="212">
        <v>42040</v>
      </c>
      <c r="B2592" s="160" t="s">
        <v>267</v>
      </c>
      <c r="C2592" t="s">
        <v>1230</v>
      </c>
      <c r="D2592" t="s">
        <v>27</v>
      </c>
      <c r="E2592" s="161">
        <v>11.5</v>
      </c>
      <c r="F2592" s="161">
        <v>90</v>
      </c>
      <c r="G2592" s="162">
        <v>1035</v>
      </c>
      <c r="H2592" s="67">
        <v>902</v>
      </c>
    </row>
    <row r="2593" spans="1:8" x14ac:dyDescent="0.25">
      <c r="A2593" s="212">
        <v>42041</v>
      </c>
      <c r="B2593" s="160" t="s">
        <v>267</v>
      </c>
      <c r="C2593" t="s">
        <v>1230</v>
      </c>
      <c r="D2593" t="s">
        <v>27</v>
      </c>
      <c r="E2593" s="161">
        <v>3</v>
      </c>
      <c r="F2593" s="161">
        <v>90</v>
      </c>
      <c r="G2593" s="162">
        <v>270</v>
      </c>
      <c r="H2593" s="67">
        <v>902</v>
      </c>
    </row>
    <row r="2594" spans="1:8" x14ac:dyDescent="0.25">
      <c r="A2594" s="212">
        <v>42053</v>
      </c>
      <c r="B2594" s="160" t="s">
        <v>267</v>
      </c>
      <c r="C2594" t="s">
        <v>1230</v>
      </c>
      <c r="D2594" t="s">
        <v>27</v>
      </c>
      <c r="E2594" s="161">
        <v>11.5</v>
      </c>
      <c r="F2594" s="161">
        <v>90</v>
      </c>
      <c r="G2594" s="162">
        <v>1035</v>
      </c>
      <c r="H2594" s="67">
        <v>902</v>
      </c>
    </row>
    <row r="2595" spans="1:8" x14ac:dyDescent="0.25">
      <c r="A2595" s="212">
        <v>42054</v>
      </c>
      <c r="B2595" s="160" t="s">
        <v>267</v>
      </c>
      <c r="C2595" t="s">
        <v>1230</v>
      </c>
      <c r="D2595" t="s">
        <v>27</v>
      </c>
      <c r="E2595" s="161">
        <v>10.5</v>
      </c>
      <c r="F2595" s="161">
        <v>90</v>
      </c>
      <c r="G2595" s="162">
        <v>945</v>
      </c>
      <c r="H2595" s="67">
        <v>902</v>
      </c>
    </row>
    <row r="2596" spans="1:8" x14ac:dyDescent="0.25">
      <c r="A2596" s="212">
        <v>42055</v>
      </c>
      <c r="B2596" s="160" t="s">
        <v>267</v>
      </c>
      <c r="C2596" t="s">
        <v>1230</v>
      </c>
      <c r="D2596" t="s">
        <v>27</v>
      </c>
      <c r="E2596" s="161">
        <v>10.5</v>
      </c>
      <c r="F2596" s="161">
        <v>90</v>
      </c>
      <c r="G2596" s="162">
        <v>945</v>
      </c>
      <c r="H2596" s="67">
        <v>902</v>
      </c>
    </row>
    <row r="2597" spans="1:8" x14ac:dyDescent="0.25">
      <c r="A2597" s="212">
        <v>42058</v>
      </c>
      <c r="B2597" s="160" t="s">
        <v>267</v>
      </c>
      <c r="C2597" t="s">
        <v>1230</v>
      </c>
      <c r="D2597" t="s">
        <v>27</v>
      </c>
      <c r="E2597" s="161">
        <v>9</v>
      </c>
      <c r="F2597" s="161">
        <v>90</v>
      </c>
      <c r="G2597" s="162">
        <v>810</v>
      </c>
      <c r="H2597" s="67">
        <v>902</v>
      </c>
    </row>
    <row r="2598" spans="1:8" x14ac:dyDescent="0.25">
      <c r="A2598" s="212">
        <v>42059</v>
      </c>
      <c r="B2598" s="160" t="s">
        <v>267</v>
      </c>
      <c r="C2598" t="s">
        <v>1230</v>
      </c>
      <c r="D2598" t="s">
        <v>27</v>
      </c>
      <c r="E2598" s="161">
        <v>11</v>
      </c>
      <c r="F2598" s="161">
        <v>90</v>
      </c>
      <c r="G2598" s="162">
        <v>990</v>
      </c>
      <c r="H2598" s="67">
        <v>902</v>
      </c>
    </row>
    <row r="2599" spans="1:8" x14ac:dyDescent="0.25">
      <c r="A2599" s="212">
        <v>42060</v>
      </c>
      <c r="B2599" s="160" t="s">
        <v>267</v>
      </c>
      <c r="C2599" t="s">
        <v>1230</v>
      </c>
      <c r="D2599" t="s">
        <v>27</v>
      </c>
      <c r="E2599" s="161">
        <v>10.5</v>
      </c>
      <c r="F2599" s="161">
        <v>90</v>
      </c>
      <c r="G2599" s="162">
        <v>945</v>
      </c>
      <c r="H2599" s="67">
        <v>902</v>
      </c>
    </row>
    <row r="2600" spans="1:8" x14ac:dyDescent="0.25">
      <c r="A2600" s="212">
        <v>42065</v>
      </c>
      <c r="B2600" s="160" t="s">
        <v>267</v>
      </c>
      <c r="C2600" t="s">
        <v>1230</v>
      </c>
      <c r="D2600" t="s">
        <v>27</v>
      </c>
      <c r="E2600" s="161">
        <v>9.5</v>
      </c>
      <c r="F2600" s="161">
        <v>90</v>
      </c>
      <c r="G2600" s="162">
        <v>855</v>
      </c>
      <c r="H2600" s="67">
        <v>902</v>
      </c>
    </row>
    <row r="2601" spans="1:8" x14ac:dyDescent="0.25">
      <c r="A2601" s="212">
        <v>42067</v>
      </c>
      <c r="B2601" s="160" t="s">
        <v>267</v>
      </c>
      <c r="C2601" t="s">
        <v>1230</v>
      </c>
      <c r="D2601" t="s">
        <v>27</v>
      </c>
      <c r="E2601" s="161">
        <v>9.5</v>
      </c>
      <c r="F2601" s="161">
        <v>90</v>
      </c>
      <c r="G2601" s="162">
        <v>855</v>
      </c>
      <c r="H2601" s="67">
        <v>902</v>
      </c>
    </row>
    <row r="2602" spans="1:8" x14ac:dyDescent="0.25">
      <c r="A2602" s="213" t="s">
        <v>418</v>
      </c>
      <c r="B2602" s="214" t="s">
        <v>1232</v>
      </c>
      <c r="C2602" s="215" t="s">
        <v>418</v>
      </c>
      <c r="D2602" s="215" t="s">
        <v>418</v>
      </c>
      <c r="E2602" s="216"/>
      <c r="F2602" s="216"/>
      <c r="G2602" s="217">
        <v>64840.5</v>
      </c>
      <c r="H2602" s="231" t="s">
        <v>418</v>
      </c>
    </row>
    <row r="2603" spans="1:8" x14ac:dyDescent="0.25">
      <c r="A2603" s="212" t="s">
        <v>418</v>
      </c>
      <c r="B2603" s="160" t="s">
        <v>418</v>
      </c>
      <c r="C2603" t="s">
        <v>418</v>
      </c>
      <c r="D2603" t="s">
        <v>418</v>
      </c>
      <c r="E2603" s="161"/>
      <c r="F2603" s="161"/>
      <c r="G2603" s="162"/>
      <c r="H2603" s="67" t="s">
        <v>418</v>
      </c>
    </row>
    <row r="2604" spans="1:8" x14ac:dyDescent="0.25">
      <c r="A2604" s="209" t="s">
        <v>418</v>
      </c>
      <c r="B2604" s="159" t="s">
        <v>1255</v>
      </c>
      <c r="C2604" s="35" t="s">
        <v>418</v>
      </c>
      <c r="D2604" s="35" t="s">
        <v>418</v>
      </c>
      <c r="E2604" s="210"/>
      <c r="F2604" s="210"/>
      <c r="G2604" s="211"/>
      <c r="H2604" s="229" t="s">
        <v>418</v>
      </c>
    </row>
    <row r="2605" spans="1:8" x14ac:dyDescent="0.25">
      <c r="A2605" s="212">
        <v>41887</v>
      </c>
      <c r="B2605" s="160" t="s">
        <v>902</v>
      </c>
      <c r="C2605" t="s">
        <v>903</v>
      </c>
      <c r="D2605" t="s">
        <v>527</v>
      </c>
      <c r="E2605" s="161">
        <v>1</v>
      </c>
      <c r="F2605" s="161">
        <v>90</v>
      </c>
      <c r="G2605" s="162">
        <v>90</v>
      </c>
      <c r="H2605" s="67">
        <v>903</v>
      </c>
    </row>
    <row r="2606" spans="1:8" x14ac:dyDescent="0.25">
      <c r="A2606" s="212">
        <v>41887</v>
      </c>
      <c r="B2606" s="160" t="s">
        <v>904</v>
      </c>
      <c r="C2606" t="s">
        <v>905</v>
      </c>
      <c r="D2606" t="s">
        <v>527</v>
      </c>
      <c r="E2606" s="161">
        <v>1</v>
      </c>
      <c r="F2606" s="161">
        <v>52.79</v>
      </c>
      <c r="G2606" s="162">
        <v>52.79</v>
      </c>
      <c r="H2606" s="67">
        <v>903</v>
      </c>
    </row>
    <row r="2607" spans="1:8" x14ac:dyDescent="0.25">
      <c r="A2607" s="212">
        <v>41895</v>
      </c>
      <c r="B2607" s="160" t="s">
        <v>906</v>
      </c>
      <c r="C2607" t="s">
        <v>643</v>
      </c>
      <c r="D2607" t="s">
        <v>527</v>
      </c>
      <c r="E2607" s="161">
        <v>1</v>
      </c>
      <c r="F2607" s="161">
        <v>29.01</v>
      </c>
      <c r="G2607" s="162">
        <v>29.01</v>
      </c>
      <c r="H2607" s="67">
        <v>903</v>
      </c>
    </row>
    <row r="2608" spans="1:8" x14ac:dyDescent="0.25">
      <c r="A2608" s="212">
        <v>41897</v>
      </c>
      <c r="B2608" s="160" t="s">
        <v>1166</v>
      </c>
      <c r="C2608" t="s">
        <v>830</v>
      </c>
      <c r="D2608" t="s">
        <v>527</v>
      </c>
      <c r="E2608" s="161">
        <v>1</v>
      </c>
      <c r="F2608" s="161">
        <v>389.25</v>
      </c>
      <c r="G2608" s="162">
        <v>389.25</v>
      </c>
      <c r="H2608" s="67">
        <v>903</v>
      </c>
    </row>
    <row r="2609" spans="1:8" ht="60" x14ac:dyDescent="0.25">
      <c r="A2609" s="212">
        <v>41898</v>
      </c>
      <c r="B2609" s="160" t="s">
        <v>910</v>
      </c>
      <c r="C2609" t="s">
        <v>903</v>
      </c>
      <c r="D2609" t="s">
        <v>527</v>
      </c>
      <c r="E2609" s="161">
        <v>1</v>
      </c>
      <c r="F2609" s="161">
        <v>113.64</v>
      </c>
      <c r="G2609" s="162">
        <v>113.64</v>
      </c>
      <c r="H2609" s="67">
        <v>903</v>
      </c>
    </row>
    <row r="2610" spans="1:8" x14ac:dyDescent="0.25">
      <c r="A2610" s="212">
        <v>41898</v>
      </c>
      <c r="B2610" s="160" t="s">
        <v>908</v>
      </c>
      <c r="C2610" t="s">
        <v>905</v>
      </c>
      <c r="D2610" t="s">
        <v>527</v>
      </c>
      <c r="E2610" s="161">
        <v>1</v>
      </c>
      <c r="F2610" s="161">
        <v>23.95</v>
      </c>
      <c r="G2610" s="162">
        <v>23.95</v>
      </c>
      <c r="H2610" s="67">
        <v>903</v>
      </c>
    </row>
    <row r="2611" spans="1:8" x14ac:dyDescent="0.25">
      <c r="A2611" s="212">
        <v>41898</v>
      </c>
      <c r="B2611" s="160" t="s">
        <v>909</v>
      </c>
      <c r="C2611" t="s">
        <v>643</v>
      </c>
      <c r="D2611" t="s">
        <v>527</v>
      </c>
      <c r="E2611" s="161">
        <v>1</v>
      </c>
      <c r="F2611" s="161">
        <v>44.5</v>
      </c>
      <c r="G2611" s="162">
        <v>44.5</v>
      </c>
      <c r="H2611" s="67">
        <v>903</v>
      </c>
    </row>
    <row r="2612" spans="1:8" x14ac:dyDescent="0.25">
      <c r="A2612" s="212">
        <v>41898</v>
      </c>
      <c r="B2612" s="160" t="s">
        <v>912</v>
      </c>
      <c r="C2612" t="s">
        <v>903</v>
      </c>
      <c r="D2612" t="s">
        <v>527</v>
      </c>
      <c r="E2612" s="161">
        <v>1</v>
      </c>
      <c r="F2612" s="161">
        <v>80.91</v>
      </c>
      <c r="G2612" s="162">
        <v>80.91</v>
      </c>
      <c r="H2612" s="67">
        <v>903</v>
      </c>
    </row>
    <row r="2613" spans="1:8" x14ac:dyDescent="0.25">
      <c r="A2613" s="212">
        <v>41898</v>
      </c>
      <c r="B2613" s="160" t="s">
        <v>907</v>
      </c>
      <c r="C2613" t="s">
        <v>643</v>
      </c>
      <c r="D2613" t="s">
        <v>527</v>
      </c>
      <c r="E2613" s="161">
        <v>1</v>
      </c>
      <c r="F2613" s="161">
        <v>51.55</v>
      </c>
      <c r="G2613" s="162">
        <v>51.55</v>
      </c>
      <c r="H2613" s="67">
        <v>903</v>
      </c>
    </row>
    <row r="2614" spans="1:8" x14ac:dyDescent="0.25">
      <c r="A2614" s="212">
        <v>41898</v>
      </c>
      <c r="B2614" s="160" t="s">
        <v>911</v>
      </c>
      <c r="C2614" t="s">
        <v>643</v>
      </c>
      <c r="D2614" t="s">
        <v>527</v>
      </c>
      <c r="E2614" s="161">
        <v>1</v>
      </c>
      <c r="F2614" s="161">
        <v>72.709999999999994</v>
      </c>
      <c r="G2614" s="162">
        <v>72.709999999999994</v>
      </c>
      <c r="H2614" s="67">
        <v>903</v>
      </c>
    </row>
    <row r="2615" spans="1:8" ht="30" x14ac:dyDescent="0.25">
      <c r="A2615" s="212">
        <v>41899</v>
      </c>
      <c r="B2615" s="160" t="s">
        <v>914</v>
      </c>
      <c r="C2615" t="s">
        <v>915</v>
      </c>
      <c r="D2615" t="s">
        <v>527</v>
      </c>
      <c r="E2615" s="161">
        <v>1</v>
      </c>
      <c r="F2615" s="161">
        <v>2734.4</v>
      </c>
      <c r="G2615" s="162">
        <v>2734.4</v>
      </c>
      <c r="H2615" s="67">
        <v>903</v>
      </c>
    </row>
    <row r="2616" spans="1:8" x14ac:dyDescent="0.25">
      <c r="A2616" s="212">
        <v>41899</v>
      </c>
      <c r="B2616" s="160" t="s">
        <v>916</v>
      </c>
      <c r="C2616" t="s">
        <v>643</v>
      </c>
      <c r="D2616" t="s">
        <v>527</v>
      </c>
      <c r="E2616" s="161">
        <v>1</v>
      </c>
      <c r="F2616" s="161">
        <v>8</v>
      </c>
      <c r="G2616" s="162">
        <v>8</v>
      </c>
      <c r="H2616" s="67">
        <v>903</v>
      </c>
    </row>
    <row r="2617" spans="1:8" x14ac:dyDescent="0.25">
      <c r="A2617" s="212">
        <v>41899</v>
      </c>
      <c r="B2617" s="160" t="s">
        <v>913</v>
      </c>
      <c r="C2617" t="s">
        <v>903</v>
      </c>
      <c r="D2617" t="s">
        <v>527</v>
      </c>
      <c r="E2617" s="161">
        <v>1</v>
      </c>
      <c r="F2617" s="161">
        <v>3.64</v>
      </c>
      <c r="G2617" s="162">
        <v>3.64</v>
      </c>
      <c r="H2617" s="67">
        <v>903</v>
      </c>
    </row>
    <row r="2618" spans="1:8" x14ac:dyDescent="0.25">
      <c r="A2618" s="212">
        <v>41899</v>
      </c>
      <c r="B2618" s="160" t="s">
        <v>917</v>
      </c>
      <c r="C2618" t="s">
        <v>643</v>
      </c>
      <c r="D2618" t="s">
        <v>527</v>
      </c>
      <c r="E2618" s="161">
        <v>1</v>
      </c>
      <c r="F2618" s="161">
        <v>38.18</v>
      </c>
      <c r="G2618" s="162">
        <v>38.18</v>
      </c>
      <c r="H2618" s="67">
        <v>903</v>
      </c>
    </row>
    <row r="2619" spans="1:8" ht="60" x14ac:dyDescent="0.25">
      <c r="A2619" s="212">
        <v>41900</v>
      </c>
      <c r="B2619" s="160" t="s">
        <v>918</v>
      </c>
      <c r="C2619" t="s">
        <v>903</v>
      </c>
      <c r="D2619" t="s">
        <v>527</v>
      </c>
      <c r="E2619" s="161">
        <v>1</v>
      </c>
      <c r="F2619" s="161">
        <v>113.64</v>
      </c>
      <c r="G2619" s="162">
        <v>113.64</v>
      </c>
      <c r="H2619" s="67">
        <v>903</v>
      </c>
    </row>
    <row r="2620" spans="1:8" x14ac:dyDescent="0.25">
      <c r="A2620" s="212">
        <v>41901</v>
      </c>
      <c r="B2620" s="160" t="s">
        <v>919</v>
      </c>
      <c r="C2620" t="s">
        <v>920</v>
      </c>
      <c r="D2620" t="s">
        <v>527</v>
      </c>
      <c r="E2620" s="161">
        <v>1</v>
      </c>
      <c r="F2620" s="161">
        <v>2504</v>
      </c>
      <c r="G2620" s="162">
        <v>2504</v>
      </c>
      <c r="H2620" s="67">
        <v>903</v>
      </c>
    </row>
    <row r="2621" spans="1:8" ht="30" x14ac:dyDescent="0.25">
      <c r="A2621" s="212">
        <v>41904</v>
      </c>
      <c r="B2621" s="160" t="s">
        <v>921</v>
      </c>
      <c r="C2621" t="s">
        <v>643</v>
      </c>
      <c r="D2621" t="s">
        <v>527</v>
      </c>
      <c r="E2621" s="161">
        <v>1</v>
      </c>
      <c r="F2621" s="161">
        <v>43.05</v>
      </c>
      <c r="G2621" s="162">
        <v>43.05</v>
      </c>
      <c r="H2621" s="67">
        <v>903</v>
      </c>
    </row>
    <row r="2622" spans="1:8" x14ac:dyDescent="0.25">
      <c r="A2622" s="212">
        <v>41904</v>
      </c>
      <c r="B2622" s="160" t="s">
        <v>1167</v>
      </c>
      <c r="C2622" t="s">
        <v>830</v>
      </c>
      <c r="D2622" t="s">
        <v>527</v>
      </c>
      <c r="E2622" s="161">
        <v>1</v>
      </c>
      <c r="F2622" s="161">
        <v>730.32</v>
      </c>
      <c r="G2622" s="162">
        <v>730.32</v>
      </c>
      <c r="H2622" s="67">
        <v>903</v>
      </c>
    </row>
    <row r="2623" spans="1:8" x14ac:dyDescent="0.25">
      <c r="A2623" s="212">
        <v>41905</v>
      </c>
      <c r="B2623" s="160" t="s">
        <v>922</v>
      </c>
      <c r="C2623" t="s">
        <v>915</v>
      </c>
      <c r="D2623" t="s">
        <v>527</v>
      </c>
      <c r="E2623" s="161">
        <v>1</v>
      </c>
      <c r="F2623" s="161">
        <v>111.6</v>
      </c>
      <c r="G2623" s="162">
        <v>111.6</v>
      </c>
      <c r="H2623" s="67">
        <v>903</v>
      </c>
    </row>
    <row r="2624" spans="1:8" x14ac:dyDescent="0.25">
      <c r="A2624" s="212">
        <v>41905</v>
      </c>
      <c r="B2624" s="160" t="s">
        <v>923</v>
      </c>
      <c r="C2624" t="s">
        <v>903</v>
      </c>
      <c r="D2624" t="s">
        <v>527</v>
      </c>
      <c r="E2624" s="161">
        <v>1</v>
      </c>
      <c r="F2624" s="161">
        <v>4.55</v>
      </c>
      <c r="G2624" s="162">
        <v>4.55</v>
      </c>
      <c r="H2624" s="67">
        <v>903</v>
      </c>
    </row>
    <row r="2625" spans="1:8" x14ac:dyDescent="0.25">
      <c r="A2625" s="212">
        <v>41907</v>
      </c>
      <c r="B2625" s="160" t="s">
        <v>927</v>
      </c>
      <c r="C2625" t="s">
        <v>925</v>
      </c>
      <c r="D2625" t="s">
        <v>527</v>
      </c>
      <c r="E2625" s="161">
        <v>1</v>
      </c>
      <c r="F2625" s="161">
        <v>18.690000000000001</v>
      </c>
      <c r="G2625" s="162">
        <v>18.690000000000001</v>
      </c>
      <c r="H2625" s="67">
        <v>903</v>
      </c>
    </row>
    <row r="2626" spans="1:8" ht="30" x14ac:dyDescent="0.25">
      <c r="A2626" s="212">
        <v>41907</v>
      </c>
      <c r="B2626" s="160" t="s">
        <v>924</v>
      </c>
      <c r="C2626" t="s">
        <v>925</v>
      </c>
      <c r="D2626" t="s">
        <v>527</v>
      </c>
      <c r="E2626" s="161">
        <v>1</v>
      </c>
      <c r="F2626" s="161">
        <v>1706.58</v>
      </c>
      <c r="G2626" s="162">
        <v>1706.58</v>
      </c>
      <c r="H2626" s="67">
        <v>903</v>
      </c>
    </row>
    <row r="2627" spans="1:8" x14ac:dyDescent="0.25">
      <c r="A2627" s="212">
        <v>41907</v>
      </c>
      <c r="B2627" s="160" t="s">
        <v>926</v>
      </c>
      <c r="C2627" t="s">
        <v>903</v>
      </c>
      <c r="D2627" t="s">
        <v>527</v>
      </c>
      <c r="E2627" s="161">
        <v>1</v>
      </c>
      <c r="F2627" s="161">
        <v>60.92</v>
      </c>
      <c r="G2627" s="162">
        <v>60.92</v>
      </c>
      <c r="H2627" s="67">
        <v>903</v>
      </c>
    </row>
    <row r="2628" spans="1:8" x14ac:dyDescent="0.25">
      <c r="A2628" s="212">
        <v>41911</v>
      </c>
      <c r="B2628" s="160" t="s">
        <v>929</v>
      </c>
      <c r="C2628" t="s">
        <v>643</v>
      </c>
      <c r="D2628" t="s">
        <v>527</v>
      </c>
      <c r="E2628" s="161">
        <v>1</v>
      </c>
      <c r="F2628" s="161">
        <v>171.64</v>
      </c>
      <c r="G2628" s="162">
        <v>171.64</v>
      </c>
      <c r="H2628" s="67">
        <v>903</v>
      </c>
    </row>
    <row r="2629" spans="1:8" x14ac:dyDescent="0.25">
      <c r="A2629" s="212">
        <v>41911</v>
      </c>
      <c r="B2629" s="160" t="s">
        <v>928</v>
      </c>
      <c r="C2629" t="s">
        <v>643</v>
      </c>
      <c r="D2629" t="s">
        <v>527</v>
      </c>
      <c r="E2629" s="161">
        <v>1</v>
      </c>
      <c r="F2629" s="161">
        <v>90</v>
      </c>
      <c r="G2629" s="162">
        <v>90</v>
      </c>
      <c r="H2629" s="67">
        <v>903</v>
      </c>
    </row>
    <row r="2630" spans="1:8" x14ac:dyDescent="0.25">
      <c r="A2630" s="212">
        <v>41912</v>
      </c>
      <c r="B2630" s="160" t="s">
        <v>930</v>
      </c>
      <c r="C2630" t="s">
        <v>931</v>
      </c>
      <c r="D2630" t="s">
        <v>527</v>
      </c>
      <c r="E2630" s="161">
        <v>1</v>
      </c>
      <c r="F2630" s="161">
        <v>516.74</v>
      </c>
      <c r="G2630" s="162">
        <v>516.74</v>
      </c>
      <c r="H2630" s="67">
        <v>903</v>
      </c>
    </row>
    <row r="2631" spans="1:8" ht="30" x14ac:dyDescent="0.25">
      <c r="A2631" s="212">
        <v>41913</v>
      </c>
      <c r="B2631" s="160" t="s">
        <v>932</v>
      </c>
      <c r="C2631" t="s">
        <v>933</v>
      </c>
      <c r="D2631" t="s">
        <v>527</v>
      </c>
      <c r="E2631" s="161">
        <v>1</v>
      </c>
      <c r="F2631" s="161">
        <v>132.30000000000001</v>
      </c>
      <c r="G2631" s="162">
        <v>132.30000000000001</v>
      </c>
      <c r="H2631" s="67">
        <v>903</v>
      </c>
    </row>
    <row r="2632" spans="1:8" x14ac:dyDescent="0.25">
      <c r="A2632" s="212">
        <v>41925</v>
      </c>
      <c r="B2632" s="160" t="s">
        <v>934</v>
      </c>
      <c r="C2632" t="s">
        <v>643</v>
      </c>
      <c r="D2632" t="s">
        <v>527</v>
      </c>
      <c r="E2632" s="161">
        <v>1</v>
      </c>
      <c r="F2632" s="161">
        <v>36.18</v>
      </c>
      <c r="G2632" s="162">
        <v>36.18</v>
      </c>
      <c r="H2632" s="67">
        <v>903</v>
      </c>
    </row>
    <row r="2633" spans="1:8" ht="45" x14ac:dyDescent="0.25">
      <c r="A2633" s="212">
        <v>41932</v>
      </c>
      <c r="B2633" s="160" t="s">
        <v>1168</v>
      </c>
      <c r="C2633" t="s">
        <v>830</v>
      </c>
      <c r="D2633" t="s">
        <v>527</v>
      </c>
      <c r="E2633" s="161">
        <v>1</v>
      </c>
      <c r="F2633" s="161">
        <v>1015.41</v>
      </c>
      <c r="G2633" s="162">
        <v>1015.41</v>
      </c>
      <c r="H2633" s="67">
        <v>903</v>
      </c>
    </row>
    <row r="2634" spans="1:8" x14ac:dyDescent="0.25">
      <c r="A2634" s="212">
        <v>41933</v>
      </c>
      <c r="B2634" s="160" t="s">
        <v>935</v>
      </c>
      <c r="C2634" t="s">
        <v>643</v>
      </c>
      <c r="D2634" t="s">
        <v>527</v>
      </c>
      <c r="E2634" s="161">
        <v>1</v>
      </c>
      <c r="F2634" s="161">
        <v>54.16</v>
      </c>
      <c r="G2634" s="162">
        <v>54.16</v>
      </c>
      <c r="H2634" s="67">
        <v>903</v>
      </c>
    </row>
    <row r="2635" spans="1:8" ht="30" x14ac:dyDescent="0.25">
      <c r="A2635" s="212">
        <v>41933</v>
      </c>
      <c r="B2635" s="160" t="s">
        <v>1169</v>
      </c>
      <c r="C2635" t="s">
        <v>830</v>
      </c>
      <c r="D2635" t="s">
        <v>527</v>
      </c>
      <c r="E2635" s="161">
        <v>1</v>
      </c>
      <c r="F2635" s="161">
        <v>188.76</v>
      </c>
      <c r="G2635" s="162">
        <v>188.76</v>
      </c>
      <c r="H2635" s="67">
        <v>903</v>
      </c>
    </row>
    <row r="2636" spans="1:8" x14ac:dyDescent="0.25">
      <c r="A2636" s="212">
        <v>41939</v>
      </c>
      <c r="B2636" s="160" t="s">
        <v>936</v>
      </c>
      <c r="C2636" t="s">
        <v>937</v>
      </c>
      <c r="D2636" t="s">
        <v>527</v>
      </c>
      <c r="E2636" s="161">
        <v>1</v>
      </c>
      <c r="F2636" s="161">
        <v>103.64</v>
      </c>
      <c r="G2636" s="162">
        <v>103.64</v>
      </c>
      <c r="H2636" s="67">
        <v>903</v>
      </c>
    </row>
    <row r="2637" spans="1:8" x14ac:dyDescent="0.25">
      <c r="A2637" s="212">
        <v>41939</v>
      </c>
      <c r="B2637" s="160" t="s">
        <v>938</v>
      </c>
      <c r="C2637" t="s">
        <v>643</v>
      </c>
      <c r="D2637" t="s">
        <v>527</v>
      </c>
      <c r="E2637" s="161">
        <v>1</v>
      </c>
      <c r="F2637" s="161">
        <v>18.510000000000002</v>
      </c>
      <c r="G2637" s="162">
        <v>18.510000000000002</v>
      </c>
      <c r="H2637" s="67">
        <v>903</v>
      </c>
    </row>
    <row r="2638" spans="1:8" x14ac:dyDescent="0.25">
      <c r="A2638" s="212">
        <v>41942</v>
      </c>
      <c r="B2638" s="160" t="s">
        <v>939</v>
      </c>
      <c r="C2638" t="s">
        <v>925</v>
      </c>
      <c r="D2638" t="s">
        <v>527</v>
      </c>
      <c r="E2638" s="161">
        <v>1</v>
      </c>
      <c r="F2638" s="161">
        <v>135</v>
      </c>
      <c r="G2638" s="162">
        <v>135</v>
      </c>
      <c r="H2638" s="67">
        <v>903</v>
      </c>
    </row>
    <row r="2639" spans="1:8" x14ac:dyDescent="0.25">
      <c r="A2639" s="212">
        <v>41944</v>
      </c>
      <c r="B2639" s="160" t="s">
        <v>940</v>
      </c>
      <c r="C2639" t="s">
        <v>933</v>
      </c>
      <c r="D2639" t="s">
        <v>527</v>
      </c>
      <c r="E2639" s="161">
        <v>1</v>
      </c>
      <c r="F2639" s="161">
        <v>340</v>
      </c>
      <c r="G2639" s="162">
        <v>340</v>
      </c>
      <c r="H2639" s="67">
        <v>903</v>
      </c>
    </row>
    <row r="2640" spans="1:8" ht="30" x14ac:dyDescent="0.25">
      <c r="A2640" s="212">
        <v>41944</v>
      </c>
      <c r="B2640" s="160" t="s">
        <v>941</v>
      </c>
      <c r="C2640" t="s">
        <v>915</v>
      </c>
      <c r="D2640" t="s">
        <v>527</v>
      </c>
      <c r="E2640" s="161">
        <v>1</v>
      </c>
      <c r="F2640" s="161">
        <v>1706.58</v>
      </c>
      <c r="G2640" s="162">
        <v>1706.58</v>
      </c>
      <c r="H2640" s="67">
        <v>903</v>
      </c>
    </row>
    <row r="2641" spans="1:8" x14ac:dyDescent="0.25">
      <c r="A2641" s="212">
        <v>41946</v>
      </c>
      <c r="B2641" s="160" t="s">
        <v>1170</v>
      </c>
      <c r="C2641" t="s">
        <v>830</v>
      </c>
      <c r="D2641" t="s">
        <v>527</v>
      </c>
      <c r="E2641" s="161">
        <v>1</v>
      </c>
      <c r="F2641" s="161">
        <v>144.16</v>
      </c>
      <c r="G2641" s="162">
        <v>144.16</v>
      </c>
      <c r="H2641" s="67">
        <v>903</v>
      </c>
    </row>
    <row r="2642" spans="1:8" ht="45" x14ac:dyDescent="0.25">
      <c r="A2642" s="212">
        <v>41947</v>
      </c>
      <c r="B2642" s="160" t="s">
        <v>942</v>
      </c>
      <c r="C2642" t="s">
        <v>643</v>
      </c>
      <c r="D2642" t="s">
        <v>527</v>
      </c>
      <c r="E2642" s="161">
        <v>1</v>
      </c>
      <c r="F2642" s="161">
        <v>99.59</v>
      </c>
      <c r="G2642" s="162">
        <v>99.59</v>
      </c>
      <c r="H2642" s="67">
        <v>903</v>
      </c>
    </row>
    <row r="2643" spans="1:8" x14ac:dyDescent="0.25">
      <c r="A2643" s="212">
        <v>41960</v>
      </c>
      <c r="B2643" s="160" t="s">
        <v>943</v>
      </c>
      <c r="C2643" t="s">
        <v>643</v>
      </c>
      <c r="D2643" t="s">
        <v>527</v>
      </c>
      <c r="E2643" s="161">
        <v>1</v>
      </c>
      <c r="F2643" s="161">
        <v>21.22</v>
      </c>
      <c r="G2643" s="162">
        <v>21.22</v>
      </c>
      <c r="H2643" s="67">
        <v>903</v>
      </c>
    </row>
    <row r="2644" spans="1:8" x14ac:dyDescent="0.25">
      <c r="A2644" s="212">
        <v>41962</v>
      </c>
      <c r="B2644" s="160" t="s">
        <v>944</v>
      </c>
      <c r="C2644" t="s">
        <v>643</v>
      </c>
      <c r="D2644" t="s">
        <v>527</v>
      </c>
      <c r="E2644" s="161">
        <v>1</v>
      </c>
      <c r="F2644" s="161">
        <v>22</v>
      </c>
      <c r="G2644" s="162">
        <v>22</v>
      </c>
      <c r="H2644" s="67">
        <v>903</v>
      </c>
    </row>
    <row r="2645" spans="1:8" ht="30" x14ac:dyDescent="0.25">
      <c r="A2645" s="212">
        <v>41974</v>
      </c>
      <c r="B2645" s="160" t="s">
        <v>945</v>
      </c>
      <c r="C2645" t="s">
        <v>915</v>
      </c>
      <c r="D2645" t="s">
        <v>527</v>
      </c>
      <c r="E2645" s="161">
        <v>1</v>
      </c>
      <c r="F2645" s="161">
        <v>1706.58</v>
      </c>
      <c r="G2645" s="162">
        <v>1706.58</v>
      </c>
      <c r="H2645" s="67">
        <v>903</v>
      </c>
    </row>
    <row r="2646" spans="1:8" x14ac:dyDescent="0.25">
      <c r="A2646" s="212">
        <v>41975</v>
      </c>
      <c r="B2646" s="160" t="s">
        <v>946</v>
      </c>
      <c r="C2646" t="s">
        <v>933</v>
      </c>
      <c r="D2646" t="s">
        <v>527</v>
      </c>
      <c r="E2646" s="161">
        <v>1</v>
      </c>
      <c r="F2646" s="161">
        <v>8.18</v>
      </c>
      <c r="G2646" s="162">
        <v>8.18</v>
      </c>
      <c r="H2646" s="67">
        <v>903</v>
      </c>
    </row>
    <row r="2647" spans="1:8" x14ac:dyDescent="0.25">
      <c r="A2647" s="212">
        <v>41979</v>
      </c>
      <c r="B2647" s="160" t="s">
        <v>947</v>
      </c>
      <c r="C2647" t="s">
        <v>643</v>
      </c>
      <c r="D2647" t="s">
        <v>527</v>
      </c>
      <c r="E2647" s="161">
        <v>1</v>
      </c>
      <c r="F2647" s="161">
        <v>14.67</v>
      </c>
      <c r="G2647" s="162">
        <v>14.67</v>
      </c>
      <c r="H2647" s="67">
        <v>903</v>
      </c>
    </row>
    <row r="2648" spans="1:8" x14ac:dyDescent="0.25">
      <c r="A2648" s="212">
        <v>41985</v>
      </c>
      <c r="B2648" s="160" t="s">
        <v>940</v>
      </c>
      <c r="C2648" t="s">
        <v>933</v>
      </c>
      <c r="D2648" t="s">
        <v>527</v>
      </c>
      <c r="E2648" s="161"/>
      <c r="F2648" s="161">
        <v>540</v>
      </c>
      <c r="G2648" s="162"/>
      <c r="H2648" s="67">
        <v>903</v>
      </c>
    </row>
    <row r="2649" spans="1:8" ht="30" x14ac:dyDescent="0.25">
      <c r="A2649" s="212">
        <v>41985</v>
      </c>
      <c r="B2649" s="160" t="s">
        <v>948</v>
      </c>
      <c r="C2649" t="s">
        <v>949</v>
      </c>
      <c r="D2649" t="s">
        <v>527</v>
      </c>
      <c r="E2649" s="161">
        <v>1</v>
      </c>
      <c r="F2649" s="161">
        <v>250</v>
      </c>
      <c r="G2649" s="162">
        <v>250</v>
      </c>
      <c r="H2649" s="67">
        <v>903</v>
      </c>
    </row>
    <row r="2650" spans="1:8" ht="30" x14ac:dyDescent="0.25">
      <c r="A2650" s="212">
        <v>41989</v>
      </c>
      <c r="B2650" s="160" t="s">
        <v>950</v>
      </c>
      <c r="C2650" t="s">
        <v>915</v>
      </c>
      <c r="D2650" t="s">
        <v>527</v>
      </c>
      <c r="E2650" s="161">
        <v>-1</v>
      </c>
      <c r="F2650" s="161">
        <v>255.4</v>
      </c>
      <c r="G2650" s="162">
        <v>-255.4</v>
      </c>
      <c r="H2650" s="67">
        <v>903</v>
      </c>
    </row>
    <row r="2651" spans="1:8" ht="60" x14ac:dyDescent="0.25">
      <c r="A2651" s="212">
        <v>41989</v>
      </c>
      <c r="B2651" s="160" t="s">
        <v>952</v>
      </c>
      <c r="C2651" t="s">
        <v>915</v>
      </c>
      <c r="D2651" t="s">
        <v>527</v>
      </c>
      <c r="E2651" s="161">
        <v>1</v>
      </c>
      <c r="F2651" s="161">
        <v>1988.76</v>
      </c>
      <c r="G2651" s="162">
        <v>1988.76</v>
      </c>
      <c r="H2651" s="67">
        <v>903</v>
      </c>
    </row>
    <row r="2652" spans="1:8" x14ac:dyDescent="0.25">
      <c r="A2652" s="212">
        <v>41989</v>
      </c>
      <c r="B2652" s="160" t="s">
        <v>951</v>
      </c>
      <c r="C2652" t="s">
        <v>920</v>
      </c>
      <c r="D2652" t="s">
        <v>527</v>
      </c>
      <c r="E2652" s="161">
        <v>1</v>
      </c>
      <c r="F2652" s="161">
        <v>1056</v>
      </c>
      <c r="G2652" s="162">
        <v>1056</v>
      </c>
      <c r="H2652" s="67">
        <v>903</v>
      </c>
    </row>
    <row r="2653" spans="1:8" x14ac:dyDescent="0.25">
      <c r="A2653" s="212">
        <v>41989</v>
      </c>
      <c r="B2653" s="160" t="s">
        <v>953</v>
      </c>
      <c r="C2653" t="s">
        <v>925</v>
      </c>
      <c r="D2653" t="s">
        <v>527</v>
      </c>
      <c r="E2653" s="161">
        <v>-1</v>
      </c>
      <c r="F2653" s="161">
        <v>3.68</v>
      </c>
      <c r="G2653" s="162">
        <v>-3.68</v>
      </c>
      <c r="H2653" s="67">
        <v>903</v>
      </c>
    </row>
    <row r="2654" spans="1:8" x14ac:dyDescent="0.25">
      <c r="A2654" s="212">
        <v>41990</v>
      </c>
      <c r="B2654" s="160" t="s">
        <v>954</v>
      </c>
      <c r="C2654" t="s">
        <v>903</v>
      </c>
      <c r="D2654" t="s">
        <v>527</v>
      </c>
      <c r="E2654" s="161">
        <v>1</v>
      </c>
      <c r="F2654" s="161">
        <v>13.48</v>
      </c>
      <c r="G2654" s="162">
        <v>13.48</v>
      </c>
      <c r="H2654" s="67">
        <v>903</v>
      </c>
    </row>
    <row r="2655" spans="1:8" ht="30" x14ac:dyDescent="0.25">
      <c r="A2655" s="212">
        <v>42005</v>
      </c>
      <c r="B2655" s="160" t="s">
        <v>932</v>
      </c>
      <c r="C2655" t="s">
        <v>933</v>
      </c>
      <c r="D2655" t="s">
        <v>527</v>
      </c>
      <c r="E2655" s="161">
        <v>1</v>
      </c>
      <c r="F2655" s="161">
        <v>167.7</v>
      </c>
      <c r="G2655" s="162">
        <v>167.7</v>
      </c>
      <c r="H2655" s="67">
        <v>903</v>
      </c>
    </row>
    <row r="2656" spans="1:8" ht="30" x14ac:dyDescent="0.25">
      <c r="A2656" s="212">
        <v>42005</v>
      </c>
      <c r="B2656" s="160" t="s">
        <v>956</v>
      </c>
      <c r="C2656" t="s">
        <v>915</v>
      </c>
      <c r="D2656" t="s">
        <v>527</v>
      </c>
      <c r="E2656" s="161">
        <v>1</v>
      </c>
      <c r="F2656" s="161">
        <v>1422</v>
      </c>
      <c r="G2656" s="162">
        <v>1422</v>
      </c>
      <c r="H2656" s="67">
        <v>903</v>
      </c>
    </row>
    <row r="2657" spans="1:8" x14ac:dyDescent="0.25">
      <c r="A2657" s="212">
        <v>42005</v>
      </c>
      <c r="B2657" s="160" t="s">
        <v>955</v>
      </c>
      <c r="C2657" t="s">
        <v>643</v>
      </c>
      <c r="D2657" t="s">
        <v>527</v>
      </c>
      <c r="E2657" s="161">
        <v>1</v>
      </c>
      <c r="F2657" s="161">
        <v>16.12</v>
      </c>
      <c r="G2657" s="162">
        <v>16.12</v>
      </c>
      <c r="H2657" s="67">
        <v>903</v>
      </c>
    </row>
    <row r="2658" spans="1:8" ht="30" x14ac:dyDescent="0.25">
      <c r="A2658" s="212">
        <v>42005</v>
      </c>
      <c r="B2658" s="160" t="s">
        <v>957</v>
      </c>
      <c r="C2658" t="s">
        <v>915</v>
      </c>
      <c r="D2658" t="s">
        <v>527</v>
      </c>
      <c r="E2658" s="161">
        <v>1</v>
      </c>
      <c r="F2658" s="161">
        <v>1621.08</v>
      </c>
      <c r="G2658" s="162">
        <v>1621.08</v>
      </c>
      <c r="H2658" s="67">
        <v>903</v>
      </c>
    </row>
    <row r="2659" spans="1:8" x14ac:dyDescent="0.25">
      <c r="A2659" s="212">
        <v>42005</v>
      </c>
      <c r="B2659" s="160" t="s">
        <v>916</v>
      </c>
      <c r="C2659" t="s">
        <v>643</v>
      </c>
      <c r="D2659" t="s">
        <v>527</v>
      </c>
      <c r="E2659" s="161">
        <v>2</v>
      </c>
      <c r="F2659" s="161">
        <v>9.09</v>
      </c>
      <c r="G2659" s="162">
        <v>18.18</v>
      </c>
      <c r="H2659" s="67">
        <v>903</v>
      </c>
    </row>
    <row r="2660" spans="1:8" ht="30" x14ac:dyDescent="0.25">
      <c r="A2660" s="212">
        <v>42005</v>
      </c>
      <c r="B2660" s="160" t="s">
        <v>958</v>
      </c>
      <c r="C2660" t="s">
        <v>915</v>
      </c>
      <c r="D2660" t="s">
        <v>527</v>
      </c>
      <c r="E2660" s="161">
        <v>1</v>
      </c>
      <c r="F2660" s="161">
        <v>-1222.67</v>
      </c>
      <c r="G2660" s="162">
        <v>-1222.67</v>
      </c>
      <c r="H2660" s="67">
        <v>903</v>
      </c>
    </row>
    <row r="2661" spans="1:8" x14ac:dyDescent="0.25">
      <c r="A2661" s="212">
        <v>42007</v>
      </c>
      <c r="B2661" s="160" t="s">
        <v>1171</v>
      </c>
      <c r="C2661" t="s">
        <v>830</v>
      </c>
      <c r="D2661" t="s">
        <v>527</v>
      </c>
      <c r="E2661" s="161">
        <v>1</v>
      </c>
      <c r="F2661" s="161">
        <v>230.02</v>
      </c>
      <c r="G2661" s="162">
        <v>230.02</v>
      </c>
      <c r="H2661" s="67">
        <v>903</v>
      </c>
    </row>
    <row r="2662" spans="1:8" x14ac:dyDescent="0.25">
      <c r="A2662" s="212">
        <v>42010</v>
      </c>
      <c r="B2662" s="160" t="s">
        <v>959</v>
      </c>
      <c r="C2662" t="s">
        <v>937</v>
      </c>
      <c r="D2662" t="s">
        <v>527</v>
      </c>
      <c r="E2662" s="161">
        <v>1</v>
      </c>
      <c r="F2662" s="161">
        <v>198</v>
      </c>
      <c r="G2662" s="162">
        <v>198</v>
      </c>
      <c r="H2662" s="67">
        <v>903</v>
      </c>
    </row>
    <row r="2663" spans="1:8" x14ac:dyDescent="0.25">
      <c r="A2663" s="212">
        <v>42011</v>
      </c>
      <c r="B2663" s="160" t="s">
        <v>960</v>
      </c>
      <c r="C2663" t="s">
        <v>903</v>
      </c>
      <c r="D2663" t="s">
        <v>527</v>
      </c>
      <c r="E2663" s="161">
        <v>1</v>
      </c>
      <c r="F2663" s="161">
        <v>26.55</v>
      </c>
      <c r="G2663" s="162">
        <v>26.55</v>
      </c>
      <c r="H2663" s="67">
        <v>903</v>
      </c>
    </row>
    <row r="2664" spans="1:8" x14ac:dyDescent="0.25">
      <c r="A2664" s="212">
        <v>42011</v>
      </c>
      <c r="B2664" s="160" t="s">
        <v>961</v>
      </c>
      <c r="C2664" t="s">
        <v>933</v>
      </c>
      <c r="D2664" t="s">
        <v>527</v>
      </c>
      <c r="E2664" s="161">
        <v>1</v>
      </c>
      <c r="F2664" s="161">
        <v>60</v>
      </c>
      <c r="G2664" s="162">
        <v>60</v>
      </c>
      <c r="H2664" s="67">
        <v>903</v>
      </c>
    </row>
    <row r="2665" spans="1:8" x14ac:dyDescent="0.25">
      <c r="A2665" s="212">
        <v>42013</v>
      </c>
      <c r="B2665" s="160" t="s">
        <v>962</v>
      </c>
      <c r="C2665" t="s">
        <v>933</v>
      </c>
      <c r="D2665" t="s">
        <v>527</v>
      </c>
      <c r="E2665" s="161">
        <v>1</v>
      </c>
      <c r="F2665" s="161">
        <v>132.727</v>
      </c>
      <c r="G2665" s="162">
        <v>132.727</v>
      </c>
      <c r="H2665" s="67">
        <v>903</v>
      </c>
    </row>
    <row r="2666" spans="1:8" x14ac:dyDescent="0.25">
      <c r="A2666" s="212">
        <v>42016</v>
      </c>
      <c r="B2666" s="160" t="s">
        <v>964</v>
      </c>
      <c r="C2666" t="s">
        <v>643</v>
      </c>
      <c r="D2666" t="s">
        <v>527</v>
      </c>
      <c r="E2666" s="161">
        <v>1</v>
      </c>
      <c r="F2666" s="161">
        <v>9.09</v>
      </c>
      <c r="G2666" s="162">
        <v>9.09</v>
      </c>
      <c r="H2666" s="67">
        <v>903</v>
      </c>
    </row>
    <row r="2667" spans="1:8" x14ac:dyDescent="0.25">
      <c r="A2667" s="212">
        <v>42016</v>
      </c>
      <c r="B2667" s="160" t="s">
        <v>963</v>
      </c>
      <c r="C2667" t="s">
        <v>643</v>
      </c>
      <c r="D2667" t="s">
        <v>527</v>
      </c>
      <c r="E2667" s="161">
        <v>1</v>
      </c>
      <c r="F2667" s="161">
        <v>21.23</v>
      </c>
      <c r="G2667" s="162">
        <v>21.23</v>
      </c>
      <c r="H2667" s="67">
        <v>903</v>
      </c>
    </row>
    <row r="2668" spans="1:8" x14ac:dyDescent="0.25">
      <c r="A2668" s="212">
        <v>42018</v>
      </c>
      <c r="B2668" s="160" t="s">
        <v>965</v>
      </c>
      <c r="C2668" t="s">
        <v>643</v>
      </c>
      <c r="D2668" t="s">
        <v>527</v>
      </c>
      <c r="E2668" s="161">
        <v>1</v>
      </c>
      <c r="F2668" s="161">
        <v>9.09</v>
      </c>
      <c r="G2668" s="162">
        <v>9.09</v>
      </c>
      <c r="H2668" s="67">
        <v>903</v>
      </c>
    </row>
    <row r="2669" spans="1:8" x14ac:dyDescent="0.25">
      <c r="A2669" s="212">
        <v>42018</v>
      </c>
      <c r="B2669" s="160" t="s">
        <v>966</v>
      </c>
      <c r="C2669" t="s">
        <v>643</v>
      </c>
      <c r="D2669" t="s">
        <v>527</v>
      </c>
      <c r="E2669" s="161">
        <v>1</v>
      </c>
      <c r="F2669" s="161">
        <v>21.91</v>
      </c>
      <c r="G2669" s="162">
        <v>21.91</v>
      </c>
      <c r="H2669" s="67">
        <v>903</v>
      </c>
    </row>
    <row r="2670" spans="1:8" ht="30" x14ac:dyDescent="0.25">
      <c r="A2670" s="212">
        <v>42018</v>
      </c>
      <c r="B2670" s="160" t="s">
        <v>967</v>
      </c>
      <c r="C2670" t="s">
        <v>920</v>
      </c>
      <c r="D2670" t="s">
        <v>527</v>
      </c>
      <c r="E2670" s="161">
        <v>1</v>
      </c>
      <c r="F2670" s="161">
        <v>56.25</v>
      </c>
      <c r="G2670" s="162">
        <v>56.25</v>
      </c>
      <c r="H2670" s="67">
        <v>903</v>
      </c>
    </row>
    <row r="2671" spans="1:8" x14ac:dyDescent="0.25">
      <c r="A2671" s="212">
        <v>42019</v>
      </c>
      <c r="B2671" s="160" t="s">
        <v>969</v>
      </c>
      <c r="C2671" t="s">
        <v>970</v>
      </c>
      <c r="D2671" t="s">
        <v>527</v>
      </c>
      <c r="E2671" s="161">
        <v>1</v>
      </c>
      <c r="F2671" s="161">
        <v>20</v>
      </c>
      <c r="G2671" s="162">
        <v>20</v>
      </c>
      <c r="H2671" s="67">
        <v>903</v>
      </c>
    </row>
    <row r="2672" spans="1:8" x14ac:dyDescent="0.25">
      <c r="A2672" s="212">
        <v>42019</v>
      </c>
      <c r="B2672" s="160" t="s">
        <v>968</v>
      </c>
      <c r="C2672" t="s">
        <v>643</v>
      </c>
      <c r="D2672" t="s">
        <v>527</v>
      </c>
      <c r="E2672" s="161">
        <v>1</v>
      </c>
      <c r="F2672" s="161">
        <v>7.27</v>
      </c>
      <c r="G2672" s="162">
        <v>7.27</v>
      </c>
      <c r="H2672" s="67">
        <v>903</v>
      </c>
    </row>
    <row r="2673" spans="1:8" x14ac:dyDescent="0.25">
      <c r="A2673" s="212">
        <v>42023</v>
      </c>
      <c r="B2673" s="160" t="s">
        <v>971</v>
      </c>
      <c r="C2673" t="s">
        <v>903</v>
      </c>
      <c r="D2673" t="s">
        <v>527</v>
      </c>
      <c r="E2673" s="161">
        <v>1</v>
      </c>
      <c r="F2673" s="161">
        <v>3.59</v>
      </c>
      <c r="G2673" s="162">
        <v>3.59</v>
      </c>
      <c r="H2673" s="67">
        <v>903</v>
      </c>
    </row>
    <row r="2674" spans="1:8" ht="30" x14ac:dyDescent="0.25">
      <c r="A2674" s="212">
        <v>42025</v>
      </c>
      <c r="B2674" s="160" t="s">
        <v>967</v>
      </c>
      <c r="C2674" t="s">
        <v>920</v>
      </c>
      <c r="D2674" t="s">
        <v>527</v>
      </c>
      <c r="E2674" s="161">
        <v>1</v>
      </c>
      <c r="F2674" s="161">
        <v>22.5</v>
      </c>
      <c r="G2674" s="162">
        <v>22.5</v>
      </c>
      <c r="H2674" s="67">
        <v>903</v>
      </c>
    </row>
    <row r="2675" spans="1:8" x14ac:dyDescent="0.25">
      <c r="A2675" s="212">
        <v>42025</v>
      </c>
      <c r="B2675" s="160" t="s">
        <v>972</v>
      </c>
      <c r="C2675" t="s">
        <v>903</v>
      </c>
      <c r="D2675" t="s">
        <v>527</v>
      </c>
      <c r="E2675" s="161">
        <v>1</v>
      </c>
      <c r="F2675" s="161">
        <v>7.23</v>
      </c>
      <c r="G2675" s="162">
        <v>7.23</v>
      </c>
      <c r="H2675" s="67">
        <v>903</v>
      </c>
    </row>
    <row r="2676" spans="1:8" x14ac:dyDescent="0.25">
      <c r="A2676" s="212">
        <v>42038</v>
      </c>
      <c r="B2676" s="160" t="s">
        <v>962</v>
      </c>
      <c r="C2676" t="s">
        <v>933</v>
      </c>
      <c r="D2676" t="s">
        <v>527</v>
      </c>
      <c r="E2676" s="161">
        <v>1</v>
      </c>
      <c r="F2676" s="161">
        <v>314.32</v>
      </c>
      <c r="G2676" s="162">
        <v>314.32</v>
      </c>
      <c r="H2676" s="67">
        <v>903</v>
      </c>
    </row>
    <row r="2677" spans="1:8" x14ac:dyDescent="0.25">
      <c r="A2677" s="212">
        <v>42039</v>
      </c>
      <c r="B2677" s="160" t="s">
        <v>974</v>
      </c>
      <c r="C2677" t="s">
        <v>643</v>
      </c>
      <c r="D2677" t="s">
        <v>527</v>
      </c>
      <c r="E2677" s="161">
        <v>1</v>
      </c>
      <c r="F2677" s="161">
        <v>7.27</v>
      </c>
      <c r="G2677" s="162">
        <v>7.27</v>
      </c>
      <c r="H2677" s="67">
        <v>903</v>
      </c>
    </row>
    <row r="2678" spans="1:8" ht="30" x14ac:dyDescent="0.25">
      <c r="A2678" s="212">
        <v>42039</v>
      </c>
      <c r="B2678" s="160" t="s">
        <v>973</v>
      </c>
      <c r="C2678" t="s">
        <v>949</v>
      </c>
      <c r="D2678" t="s">
        <v>527</v>
      </c>
      <c r="E2678" s="161">
        <v>1</v>
      </c>
      <c r="F2678" s="161">
        <v>200</v>
      </c>
      <c r="G2678" s="162">
        <v>200</v>
      </c>
      <c r="H2678" s="67">
        <v>903</v>
      </c>
    </row>
    <row r="2679" spans="1:8" ht="30" x14ac:dyDescent="0.25">
      <c r="A2679" s="212">
        <v>42044</v>
      </c>
      <c r="B2679" s="160" t="s">
        <v>975</v>
      </c>
      <c r="C2679" t="s">
        <v>920</v>
      </c>
      <c r="D2679" t="s">
        <v>527</v>
      </c>
      <c r="E2679" s="161">
        <v>1</v>
      </c>
      <c r="F2679" s="161">
        <v>720</v>
      </c>
      <c r="G2679" s="162">
        <v>720</v>
      </c>
      <c r="H2679" s="67">
        <v>903</v>
      </c>
    </row>
    <row r="2680" spans="1:8" ht="30" x14ac:dyDescent="0.25">
      <c r="A2680" s="212">
        <v>42047</v>
      </c>
      <c r="B2680" s="160" t="s">
        <v>976</v>
      </c>
      <c r="C2680" t="s">
        <v>915</v>
      </c>
      <c r="D2680" t="s">
        <v>527</v>
      </c>
      <c r="E2680" s="161">
        <v>1</v>
      </c>
      <c r="F2680" s="161">
        <v>1600</v>
      </c>
      <c r="G2680" s="162">
        <v>1600</v>
      </c>
      <c r="H2680" s="67">
        <v>903</v>
      </c>
    </row>
    <row r="2681" spans="1:8" x14ac:dyDescent="0.25">
      <c r="A2681" s="212">
        <v>42047</v>
      </c>
      <c r="B2681" s="160" t="s">
        <v>977</v>
      </c>
      <c r="C2681" t="s">
        <v>903</v>
      </c>
      <c r="D2681" t="s">
        <v>527</v>
      </c>
      <c r="E2681" s="161">
        <v>1</v>
      </c>
      <c r="F2681" s="161">
        <v>44.54</v>
      </c>
      <c r="G2681" s="162">
        <v>44.54</v>
      </c>
      <c r="H2681" s="67">
        <v>903</v>
      </c>
    </row>
    <row r="2682" spans="1:8" ht="30" x14ac:dyDescent="0.25">
      <c r="A2682" s="212">
        <v>42051</v>
      </c>
      <c r="B2682" s="160" t="s">
        <v>978</v>
      </c>
      <c r="C2682" t="s">
        <v>920</v>
      </c>
      <c r="D2682" t="s">
        <v>527</v>
      </c>
      <c r="E2682" s="161">
        <v>1</v>
      </c>
      <c r="F2682" s="161">
        <v>59.4</v>
      </c>
      <c r="G2682" s="162">
        <v>59.4</v>
      </c>
      <c r="H2682" s="67">
        <v>903</v>
      </c>
    </row>
    <row r="2683" spans="1:8" ht="30" x14ac:dyDescent="0.25">
      <c r="A2683" s="212">
        <v>42051</v>
      </c>
      <c r="B2683" s="160" t="s">
        <v>978</v>
      </c>
      <c r="C2683" t="s">
        <v>920</v>
      </c>
      <c r="D2683" t="s">
        <v>527</v>
      </c>
      <c r="E2683" s="161">
        <v>1</v>
      </c>
      <c r="F2683" s="161">
        <v>79.2</v>
      </c>
      <c r="G2683" s="162">
        <v>79.2</v>
      </c>
      <c r="H2683" s="67">
        <v>903</v>
      </c>
    </row>
    <row r="2684" spans="1:8" x14ac:dyDescent="0.25">
      <c r="A2684" s="212">
        <v>42052</v>
      </c>
      <c r="B2684" s="160" t="s">
        <v>979</v>
      </c>
      <c r="C2684" t="s">
        <v>903</v>
      </c>
      <c r="D2684" t="s">
        <v>527</v>
      </c>
      <c r="E2684" s="161">
        <v>1</v>
      </c>
      <c r="F2684" s="161">
        <v>35.409999999999997</v>
      </c>
      <c r="G2684" s="162">
        <v>35.409999999999997</v>
      </c>
      <c r="H2684" s="67">
        <v>903</v>
      </c>
    </row>
    <row r="2685" spans="1:8" x14ac:dyDescent="0.25">
      <c r="A2685" s="212">
        <v>42053</v>
      </c>
      <c r="B2685" s="160" t="s">
        <v>980</v>
      </c>
      <c r="C2685" t="s">
        <v>933</v>
      </c>
      <c r="D2685" t="s">
        <v>527</v>
      </c>
      <c r="E2685" s="161">
        <v>1</v>
      </c>
      <c r="F2685" s="161">
        <v>49.1</v>
      </c>
      <c r="G2685" s="162">
        <v>49.1</v>
      </c>
      <c r="H2685" s="67">
        <v>903</v>
      </c>
    </row>
    <row r="2686" spans="1:8" x14ac:dyDescent="0.25">
      <c r="A2686" s="212">
        <v>42053</v>
      </c>
      <c r="B2686" s="160" t="s">
        <v>981</v>
      </c>
      <c r="C2686" t="s">
        <v>903</v>
      </c>
      <c r="D2686" t="s">
        <v>527</v>
      </c>
      <c r="E2686" s="161">
        <v>1</v>
      </c>
      <c r="F2686" s="161">
        <v>3.39</v>
      </c>
      <c r="G2686" s="162">
        <v>3.39</v>
      </c>
      <c r="H2686" s="67">
        <v>903</v>
      </c>
    </row>
    <row r="2687" spans="1:8" x14ac:dyDescent="0.25">
      <c r="A2687" s="212">
        <v>42060</v>
      </c>
      <c r="B2687" s="160" t="s">
        <v>982</v>
      </c>
      <c r="C2687" t="s">
        <v>949</v>
      </c>
      <c r="D2687" t="s">
        <v>527</v>
      </c>
      <c r="E2687" s="161">
        <v>1</v>
      </c>
      <c r="F2687" s="161">
        <v>975</v>
      </c>
      <c r="G2687" s="162">
        <v>975</v>
      </c>
      <c r="H2687" s="67">
        <v>903</v>
      </c>
    </row>
    <row r="2688" spans="1:8" ht="30" x14ac:dyDescent="0.25">
      <c r="A2688" s="212">
        <v>42062</v>
      </c>
      <c r="B2688" s="160" t="s">
        <v>983</v>
      </c>
      <c r="C2688" t="s">
        <v>949</v>
      </c>
      <c r="D2688" t="s">
        <v>527</v>
      </c>
      <c r="E2688" s="161">
        <v>1</v>
      </c>
      <c r="F2688" s="161">
        <v>1750</v>
      </c>
      <c r="G2688" s="162">
        <v>1750</v>
      </c>
      <c r="H2688" s="67">
        <v>903</v>
      </c>
    </row>
    <row r="2689" spans="1:8" x14ac:dyDescent="0.25">
      <c r="A2689" s="212">
        <v>42065</v>
      </c>
      <c r="B2689" s="160" t="s">
        <v>1172</v>
      </c>
      <c r="C2689" t="s">
        <v>830</v>
      </c>
      <c r="D2689" t="s">
        <v>527</v>
      </c>
      <c r="E2689" s="161">
        <v>1</v>
      </c>
      <c r="F2689" s="161">
        <v>10.88</v>
      </c>
      <c r="G2689" s="162">
        <v>10.88</v>
      </c>
      <c r="H2689" s="67">
        <v>903</v>
      </c>
    </row>
    <row r="2690" spans="1:8" x14ac:dyDescent="0.25">
      <c r="A2690" s="212">
        <v>42066</v>
      </c>
      <c r="B2690" s="160" t="s">
        <v>962</v>
      </c>
      <c r="C2690" t="s">
        <v>933</v>
      </c>
      <c r="D2690" t="s">
        <v>527</v>
      </c>
      <c r="E2690" s="161">
        <v>1</v>
      </c>
      <c r="F2690" s="161">
        <v>10.91</v>
      </c>
      <c r="G2690" s="162">
        <v>10.91</v>
      </c>
      <c r="H2690" s="67">
        <v>903</v>
      </c>
    </row>
    <row r="2691" spans="1:8" x14ac:dyDescent="0.25">
      <c r="A2691" s="212">
        <v>42070</v>
      </c>
      <c r="B2691" s="160" t="s">
        <v>940</v>
      </c>
      <c r="C2691" t="s">
        <v>933</v>
      </c>
      <c r="D2691" t="s">
        <v>527</v>
      </c>
      <c r="E2691" s="161">
        <v>1</v>
      </c>
      <c r="F2691" s="161">
        <v>300</v>
      </c>
      <c r="G2691" s="162">
        <v>300</v>
      </c>
      <c r="H2691" s="67">
        <v>903</v>
      </c>
    </row>
    <row r="2692" spans="1:8" ht="30" x14ac:dyDescent="0.25">
      <c r="A2692" s="212">
        <v>42093</v>
      </c>
      <c r="B2692" s="160" t="s">
        <v>987</v>
      </c>
      <c r="C2692" t="s">
        <v>949</v>
      </c>
      <c r="D2692" t="s">
        <v>527</v>
      </c>
      <c r="E2692" s="161">
        <v>1</v>
      </c>
      <c r="F2692" s="161">
        <v>550</v>
      </c>
      <c r="G2692" s="162">
        <v>550</v>
      </c>
      <c r="H2692" s="67">
        <v>903</v>
      </c>
    </row>
    <row r="2693" spans="1:8" ht="30" x14ac:dyDescent="0.25">
      <c r="A2693" s="212">
        <v>42093</v>
      </c>
      <c r="B2693" s="160" t="s">
        <v>985</v>
      </c>
      <c r="C2693" t="s">
        <v>949</v>
      </c>
      <c r="D2693" t="s">
        <v>527</v>
      </c>
      <c r="E2693" s="161">
        <v>1</v>
      </c>
      <c r="F2693" s="161">
        <v>440</v>
      </c>
      <c r="G2693" s="162">
        <v>440</v>
      </c>
      <c r="H2693" s="67">
        <v>903</v>
      </c>
    </row>
    <row r="2694" spans="1:8" ht="30" x14ac:dyDescent="0.25">
      <c r="A2694" s="212">
        <v>42093</v>
      </c>
      <c r="B2694" s="160" t="s">
        <v>986</v>
      </c>
      <c r="C2694" t="s">
        <v>949</v>
      </c>
      <c r="D2694" t="s">
        <v>527</v>
      </c>
      <c r="E2694" s="161">
        <v>1</v>
      </c>
      <c r="F2694" s="161">
        <v>1570</v>
      </c>
      <c r="G2694" s="162">
        <v>1570</v>
      </c>
      <c r="H2694" s="67">
        <v>903</v>
      </c>
    </row>
    <row r="2695" spans="1:8" ht="30" x14ac:dyDescent="0.25">
      <c r="A2695" s="212">
        <v>42093</v>
      </c>
      <c r="B2695" s="160" t="s">
        <v>984</v>
      </c>
      <c r="C2695" t="s">
        <v>949</v>
      </c>
      <c r="D2695" t="s">
        <v>527</v>
      </c>
      <c r="E2695" s="161">
        <v>1</v>
      </c>
      <c r="F2695" s="161">
        <v>250</v>
      </c>
      <c r="G2695" s="162">
        <v>250</v>
      </c>
      <c r="H2695" s="67">
        <v>903</v>
      </c>
    </row>
    <row r="2696" spans="1:8" x14ac:dyDescent="0.25">
      <c r="A2696" s="213" t="s">
        <v>418</v>
      </c>
      <c r="B2696" s="214" t="s">
        <v>988</v>
      </c>
      <c r="C2696" s="215" t="s">
        <v>418</v>
      </c>
      <c r="D2696" s="215" t="s">
        <v>418</v>
      </c>
      <c r="E2696" s="216"/>
      <c r="F2696" s="216"/>
      <c r="G2696" s="217">
        <v>30417.646999999997</v>
      </c>
      <c r="H2696" s="231" t="s">
        <v>418</v>
      </c>
    </row>
    <row r="2697" spans="1:8" x14ac:dyDescent="0.25">
      <c r="A2697" s="212" t="s">
        <v>418</v>
      </c>
      <c r="B2697" s="160" t="s">
        <v>418</v>
      </c>
      <c r="C2697" t="s">
        <v>418</v>
      </c>
      <c r="D2697" t="s">
        <v>418</v>
      </c>
      <c r="E2697" s="161"/>
      <c r="F2697" s="161"/>
      <c r="G2697" s="162"/>
      <c r="H2697" s="67" t="s">
        <v>418</v>
      </c>
    </row>
    <row r="2698" spans="1:8" x14ac:dyDescent="0.25">
      <c r="A2698" s="209" t="s">
        <v>418</v>
      </c>
      <c r="B2698" s="159" t="s">
        <v>1256</v>
      </c>
      <c r="C2698" s="35" t="s">
        <v>418</v>
      </c>
      <c r="D2698" s="35" t="s">
        <v>418</v>
      </c>
      <c r="E2698" s="210"/>
      <c r="F2698" s="210"/>
      <c r="G2698" s="211"/>
      <c r="H2698" s="229" t="s">
        <v>418</v>
      </c>
    </row>
    <row r="2699" spans="1:8" x14ac:dyDescent="0.25">
      <c r="A2699" s="212">
        <v>41878</v>
      </c>
      <c r="B2699" s="160" t="s">
        <v>989</v>
      </c>
      <c r="C2699" t="s">
        <v>990</v>
      </c>
      <c r="D2699" t="s">
        <v>527</v>
      </c>
      <c r="E2699" s="161">
        <v>1</v>
      </c>
      <c r="F2699" s="161">
        <v>7014.04</v>
      </c>
      <c r="G2699" s="162">
        <v>7014.04</v>
      </c>
      <c r="H2699" s="67">
        <v>904</v>
      </c>
    </row>
    <row r="2700" spans="1:8" x14ac:dyDescent="0.25">
      <c r="A2700" s="212">
        <v>41899</v>
      </c>
      <c r="B2700" s="160" t="s">
        <v>993</v>
      </c>
      <c r="C2700" t="s">
        <v>643</v>
      </c>
      <c r="D2700" t="s">
        <v>527</v>
      </c>
      <c r="E2700" s="161">
        <v>1</v>
      </c>
      <c r="F2700" s="161">
        <v>190.8</v>
      </c>
      <c r="G2700" s="162">
        <v>190.8</v>
      </c>
      <c r="H2700" s="67">
        <v>904</v>
      </c>
    </row>
    <row r="2701" spans="1:8" ht="30" x14ac:dyDescent="0.25">
      <c r="A2701" s="212">
        <v>41899</v>
      </c>
      <c r="B2701" s="160" t="s">
        <v>991</v>
      </c>
      <c r="C2701" t="s">
        <v>992</v>
      </c>
      <c r="D2701" t="s">
        <v>527</v>
      </c>
      <c r="E2701" s="161">
        <v>1</v>
      </c>
      <c r="F2701" s="161">
        <v>119.47</v>
      </c>
      <c r="G2701" s="162">
        <v>119.47</v>
      </c>
      <c r="H2701" s="67">
        <v>904</v>
      </c>
    </row>
    <row r="2702" spans="1:8" x14ac:dyDescent="0.25">
      <c r="A2702" s="212">
        <v>41905</v>
      </c>
      <c r="B2702" s="160" t="s">
        <v>994</v>
      </c>
      <c r="C2702" t="s">
        <v>992</v>
      </c>
      <c r="D2702" t="s">
        <v>527</v>
      </c>
      <c r="E2702" s="161">
        <v>1</v>
      </c>
      <c r="F2702" s="161">
        <v>15.62</v>
      </c>
      <c r="G2702" s="162">
        <v>15.62</v>
      </c>
      <c r="H2702" s="67">
        <v>904</v>
      </c>
    </row>
    <row r="2703" spans="1:8" x14ac:dyDescent="0.25">
      <c r="A2703" s="212">
        <v>41908</v>
      </c>
      <c r="B2703" s="160" t="s">
        <v>995</v>
      </c>
      <c r="C2703" t="s">
        <v>990</v>
      </c>
      <c r="D2703" t="s">
        <v>527</v>
      </c>
      <c r="E2703" s="161">
        <v>1</v>
      </c>
      <c r="F2703" s="161">
        <v>50.4</v>
      </c>
      <c r="G2703" s="162">
        <v>50.4</v>
      </c>
      <c r="H2703" s="67">
        <v>904</v>
      </c>
    </row>
    <row r="2704" spans="1:8" x14ac:dyDescent="0.25">
      <c r="A2704" s="212">
        <v>41908</v>
      </c>
      <c r="B2704" s="160" t="s">
        <v>996</v>
      </c>
      <c r="C2704" t="s">
        <v>990</v>
      </c>
      <c r="D2704" t="s">
        <v>527</v>
      </c>
      <c r="E2704" s="161">
        <v>1</v>
      </c>
      <c r="F2704" s="161">
        <v>61.09</v>
      </c>
      <c r="G2704" s="162">
        <v>61.09</v>
      </c>
      <c r="H2704" s="67">
        <v>904</v>
      </c>
    </row>
    <row r="2705" spans="1:8" x14ac:dyDescent="0.25">
      <c r="A2705" s="212">
        <v>41912</v>
      </c>
      <c r="B2705" s="160" t="s">
        <v>999</v>
      </c>
      <c r="C2705" t="s">
        <v>990</v>
      </c>
      <c r="D2705" t="s">
        <v>527</v>
      </c>
      <c r="E2705" s="161">
        <v>1</v>
      </c>
      <c r="F2705" s="161">
        <v>36</v>
      </c>
      <c r="G2705" s="162">
        <v>36</v>
      </c>
      <c r="H2705" s="67">
        <v>904</v>
      </c>
    </row>
    <row r="2706" spans="1:8" x14ac:dyDescent="0.25">
      <c r="A2706" s="212">
        <v>41912</v>
      </c>
      <c r="B2706" s="160" t="s">
        <v>998</v>
      </c>
      <c r="C2706" t="s">
        <v>990</v>
      </c>
      <c r="D2706" t="s">
        <v>527</v>
      </c>
      <c r="E2706" s="161">
        <v>1</v>
      </c>
      <c r="F2706" s="161">
        <v>60.05</v>
      </c>
      <c r="G2706" s="162">
        <v>60.05</v>
      </c>
      <c r="H2706" s="67">
        <v>904</v>
      </c>
    </row>
    <row r="2707" spans="1:8" ht="30" x14ac:dyDescent="0.25">
      <c r="A2707" s="212">
        <v>41912</v>
      </c>
      <c r="B2707" s="160" t="s">
        <v>997</v>
      </c>
      <c r="C2707" t="s">
        <v>990</v>
      </c>
      <c r="D2707" t="s">
        <v>527</v>
      </c>
      <c r="E2707" s="161">
        <v>1</v>
      </c>
      <c r="F2707" s="161">
        <v>34.28</v>
      </c>
      <c r="G2707" s="162">
        <v>34.28</v>
      </c>
      <c r="H2707" s="67">
        <v>904</v>
      </c>
    </row>
    <row r="2708" spans="1:8" x14ac:dyDescent="0.25">
      <c r="A2708" s="212">
        <v>41926</v>
      </c>
      <c r="B2708" s="160" t="s">
        <v>989</v>
      </c>
      <c r="C2708" t="s">
        <v>990</v>
      </c>
      <c r="D2708" t="s">
        <v>527</v>
      </c>
      <c r="E2708" s="161">
        <v>1</v>
      </c>
      <c r="F2708" s="161">
        <v>386.87</v>
      </c>
      <c r="G2708" s="162">
        <v>386.87</v>
      </c>
      <c r="H2708" s="67">
        <v>904</v>
      </c>
    </row>
    <row r="2709" spans="1:8" ht="30" x14ac:dyDescent="0.25">
      <c r="A2709" s="212">
        <v>41943</v>
      </c>
      <c r="B2709" s="160" t="s">
        <v>1001</v>
      </c>
      <c r="C2709" t="s">
        <v>990</v>
      </c>
      <c r="D2709" t="s">
        <v>527</v>
      </c>
      <c r="E2709" s="161">
        <v>1</v>
      </c>
      <c r="F2709" s="161">
        <v>662.4</v>
      </c>
      <c r="G2709" s="162">
        <v>662.4</v>
      </c>
      <c r="H2709" s="67">
        <v>904</v>
      </c>
    </row>
    <row r="2710" spans="1:8" ht="30" x14ac:dyDescent="0.25">
      <c r="A2710" s="212">
        <v>41943</v>
      </c>
      <c r="B2710" s="160" t="s">
        <v>1000</v>
      </c>
      <c r="C2710" t="s">
        <v>990</v>
      </c>
      <c r="D2710" t="s">
        <v>527</v>
      </c>
      <c r="E2710" s="161">
        <v>1</v>
      </c>
      <c r="F2710" s="161">
        <v>186</v>
      </c>
      <c r="G2710" s="162">
        <v>186</v>
      </c>
      <c r="H2710" s="67">
        <v>904</v>
      </c>
    </row>
    <row r="2711" spans="1:8" ht="30" x14ac:dyDescent="0.25">
      <c r="A2711" s="212">
        <v>41943</v>
      </c>
      <c r="B2711" s="160" t="s">
        <v>1004</v>
      </c>
      <c r="C2711" t="s">
        <v>990</v>
      </c>
      <c r="D2711" t="s">
        <v>527</v>
      </c>
      <c r="E2711" s="161">
        <v>1</v>
      </c>
      <c r="F2711" s="161">
        <v>33.6</v>
      </c>
      <c r="G2711" s="162">
        <v>33.6</v>
      </c>
      <c r="H2711" s="67">
        <v>904</v>
      </c>
    </row>
    <row r="2712" spans="1:8" ht="30" x14ac:dyDescent="0.25">
      <c r="A2712" s="212">
        <v>41943</v>
      </c>
      <c r="B2712" s="160" t="s">
        <v>1002</v>
      </c>
      <c r="C2712" t="s">
        <v>990</v>
      </c>
      <c r="D2712" t="s">
        <v>527</v>
      </c>
      <c r="E2712" s="161">
        <v>1</v>
      </c>
      <c r="F2712" s="161">
        <v>386.4</v>
      </c>
      <c r="G2712" s="162">
        <v>386.4</v>
      </c>
      <c r="H2712" s="67">
        <v>904</v>
      </c>
    </row>
    <row r="2713" spans="1:8" ht="30" x14ac:dyDescent="0.25">
      <c r="A2713" s="212">
        <v>41943</v>
      </c>
      <c r="B2713" s="160" t="s">
        <v>1003</v>
      </c>
      <c r="C2713" t="s">
        <v>990</v>
      </c>
      <c r="D2713" t="s">
        <v>527</v>
      </c>
      <c r="E2713" s="161">
        <v>1</v>
      </c>
      <c r="F2713" s="161">
        <v>72</v>
      </c>
      <c r="G2713" s="162">
        <v>72</v>
      </c>
      <c r="H2713" s="67">
        <v>904</v>
      </c>
    </row>
    <row r="2714" spans="1:8" ht="30" x14ac:dyDescent="0.25">
      <c r="A2714" s="212">
        <v>41970</v>
      </c>
      <c r="B2714" s="160" t="s">
        <v>1005</v>
      </c>
      <c r="C2714" t="s">
        <v>990</v>
      </c>
      <c r="D2714" t="s">
        <v>527</v>
      </c>
      <c r="E2714" s="161">
        <v>1</v>
      </c>
      <c r="F2714" s="161">
        <v>156</v>
      </c>
      <c r="G2714" s="162">
        <v>156</v>
      </c>
      <c r="H2714" s="67">
        <v>904</v>
      </c>
    </row>
    <row r="2715" spans="1:8" ht="30" x14ac:dyDescent="0.25">
      <c r="A2715" s="212">
        <v>41973</v>
      </c>
      <c r="B2715" s="160" t="s">
        <v>1009</v>
      </c>
      <c r="C2715" t="s">
        <v>990</v>
      </c>
      <c r="D2715" t="s">
        <v>527</v>
      </c>
      <c r="E2715" s="161">
        <v>1</v>
      </c>
      <c r="F2715" s="161">
        <v>151.19999999999999</v>
      </c>
      <c r="G2715" s="162">
        <v>151.19999999999999</v>
      </c>
      <c r="H2715" s="67">
        <v>904</v>
      </c>
    </row>
    <row r="2716" spans="1:8" ht="30" x14ac:dyDescent="0.25">
      <c r="A2716" s="212">
        <v>41973</v>
      </c>
      <c r="B2716" s="160" t="s">
        <v>1007</v>
      </c>
      <c r="C2716" t="s">
        <v>990</v>
      </c>
      <c r="D2716" t="s">
        <v>527</v>
      </c>
      <c r="E2716" s="161">
        <v>1</v>
      </c>
      <c r="F2716" s="161">
        <v>132</v>
      </c>
      <c r="G2716" s="162">
        <v>132</v>
      </c>
      <c r="H2716" s="67">
        <v>904</v>
      </c>
    </row>
    <row r="2717" spans="1:8" ht="30" x14ac:dyDescent="0.25">
      <c r="A2717" s="212">
        <v>41973</v>
      </c>
      <c r="B2717" s="160" t="s">
        <v>1008</v>
      </c>
      <c r="C2717" t="s">
        <v>990</v>
      </c>
      <c r="D2717" t="s">
        <v>527</v>
      </c>
      <c r="E2717" s="161">
        <v>1</v>
      </c>
      <c r="F2717" s="161">
        <v>576</v>
      </c>
      <c r="G2717" s="162">
        <v>576</v>
      </c>
      <c r="H2717" s="67">
        <v>904</v>
      </c>
    </row>
    <row r="2718" spans="1:8" ht="30" x14ac:dyDescent="0.25">
      <c r="A2718" s="212">
        <v>41973</v>
      </c>
      <c r="B2718" s="160" t="s">
        <v>1010</v>
      </c>
      <c r="C2718" t="s">
        <v>990</v>
      </c>
      <c r="D2718" t="s">
        <v>527</v>
      </c>
      <c r="E2718" s="161">
        <v>1</v>
      </c>
      <c r="F2718" s="161">
        <v>336</v>
      </c>
      <c r="G2718" s="162">
        <v>336</v>
      </c>
      <c r="H2718" s="67">
        <v>904</v>
      </c>
    </row>
    <row r="2719" spans="1:8" ht="30" x14ac:dyDescent="0.25">
      <c r="A2719" s="212">
        <v>41973</v>
      </c>
      <c r="B2719" s="160" t="s">
        <v>1006</v>
      </c>
      <c r="C2719" t="s">
        <v>990</v>
      </c>
      <c r="D2719" t="s">
        <v>527</v>
      </c>
      <c r="E2719" s="161">
        <v>1</v>
      </c>
      <c r="F2719" s="161">
        <v>180</v>
      </c>
      <c r="G2719" s="162">
        <v>180</v>
      </c>
      <c r="H2719" s="67">
        <v>904</v>
      </c>
    </row>
    <row r="2720" spans="1:8" ht="30" x14ac:dyDescent="0.25">
      <c r="A2720" s="212">
        <v>41977</v>
      </c>
      <c r="B2720" s="160" t="s">
        <v>1011</v>
      </c>
      <c r="C2720" t="s">
        <v>990</v>
      </c>
      <c r="D2720" t="s">
        <v>527</v>
      </c>
      <c r="E2720" s="161">
        <v>1</v>
      </c>
      <c r="F2720" s="161">
        <v>86.4</v>
      </c>
      <c r="G2720" s="162">
        <v>86.4</v>
      </c>
      <c r="H2720" s="67">
        <v>904</v>
      </c>
    </row>
    <row r="2721" spans="1:8" x14ac:dyDescent="0.25">
      <c r="A2721" s="212">
        <v>41989</v>
      </c>
      <c r="B2721" s="160" t="s">
        <v>1012</v>
      </c>
      <c r="C2721" t="s">
        <v>992</v>
      </c>
      <c r="D2721" t="s">
        <v>527</v>
      </c>
      <c r="E2721" s="161">
        <v>1</v>
      </c>
      <c r="F2721" s="161">
        <v>31.05</v>
      </c>
      <c r="G2721" s="162">
        <v>31.05</v>
      </c>
      <c r="H2721" s="67">
        <v>904</v>
      </c>
    </row>
    <row r="2722" spans="1:8" x14ac:dyDescent="0.25">
      <c r="A2722" s="212">
        <v>41989</v>
      </c>
      <c r="B2722" s="160" t="s">
        <v>1014</v>
      </c>
      <c r="C2722" t="s">
        <v>992</v>
      </c>
      <c r="D2722" t="s">
        <v>527</v>
      </c>
      <c r="E2722" s="161">
        <v>-1</v>
      </c>
      <c r="F2722" s="161">
        <v>35.74</v>
      </c>
      <c r="G2722" s="162">
        <v>-35.74</v>
      </c>
      <c r="H2722" s="67">
        <v>904</v>
      </c>
    </row>
    <row r="2723" spans="1:8" x14ac:dyDescent="0.25">
      <c r="A2723" s="212">
        <v>41989</v>
      </c>
      <c r="B2723" s="160" t="s">
        <v>1013</v>
      </c>
      <c r="C2723" t="s">
        <v>992</v>
      </c>
      <c r="D2723" t="s">
        <v>527</v>
      </c>
      <c r="E2723" s="161">
        <v>-1</v>
      </c>
      <c r="F2723" s="161">
        <v>0.52</v>
      </c>
      <c r="G2723" s="162">
        <v>-0.52</v>
      </c>
      <c r="H2723" s="67">
        <v>904</v>
      </c>
    </row>
    <row r="2724" spans="1:8" ht="30" x14ac:dyDescent="0.25">
      <c r="A2724" s="212">
        <v>42004</v>
      </c>
      <c r="B2724" s="160" t="s">
        <v>1015</v>
      </c>
      <c r="C2724" t="s">
        <v>990</v>
      </c>
      <c r="D2724" t="s">
        <v>527</v>
      </c>
      <c r="E2724" s="161">
        <v>1</v>
      </c>
      <c r="F2724" s="161">
        <v>168</v>
      </c>
      <c r="G2724" s="162">
        <v>168</v>
      </c>
      <c r="H2724" s="67">
        <v>904</v>
      </c>
    </row>
    <row r="2725" spans="1:8" x14ac:dyDescent="0.25">
      <c r="A2725" s="212">
        <v>42005</v>
      </c>
      <c r="B2725" s="160" t="s">
        <v>1012</v>
      </c>
      <c r="C2725" t="s">
        <v>992</v>
      </c>
      <c r="D2725" t="s">
        <v>527</v>
      </c>
      <c r="E2725" s="161">
        <v>1</v>
      </c>
      <c r="F2725" s="161">
        <v>199.08</v>
      </c>
      <c r="G2725" s="162">
        <v>199.08</v>
      </c>
      <c r="H2725" s="67">
        <v>904</v>
      </c>
    </row>
    <row r="2726" spans="1:8" ht="30" x14ac:dyDescent="0.25">
      <c r="A2726" s="212">
        <v>42035</v>
      </c>
      <c r="B2726" s="160" t="s">
        <v>1016</v>
      </c>
      <c r="C2726" t="s">
        <v>990</v>
      </c>
      <c r="D2726" t="s">
        <v>527</v>
      </c>
      <c r="E2726" s="161">
        <v>1</v>
      </c>
      <c r="F2726" s="161">
        <v>268.8</v>
      </c>
      <c r="G2726" s="162">
        <v>268.8</v>
      </c>
      <c r="H2726" s="67">
        <v>904</v>
      </c>
    </row>
    <row r="2727" spans="1:8" x14ac:dyDescent="0.25">
      <c r="A2727" s="212">
        <v>42035</v>
      </c>
      <c r="B2727" s="160" t="s">
        <v>999</v>
      </c>
      <c r="C2727" t="s">
        <v>990</v>
      </c>
      <c r="D2727" t="s">
        <v>527</v>
      </c>
      <c r="E2727" s="161">
        <v>1</v>
      </c>
      <c r="F2727" s="161">
        <v>150</v>
      </c>
      <c r="G2727" s="162">
        <v>150</v>
      </c>
      <c r="H2727" s="67">
        <v>904</v>
      </c>
    </row>
    <row r="2728" spans="1:8" ht="30" x14ac:dyDescent="0.25">
      <c r="A2728" s="212">
        <v>42063</v>
      </c>
      <c r="B2728" s="160" t="s">
        <v>1018</v>
      </c>
      <c r="C2728" t="s">
        <v>990</v>
      </c>
      <c r="D2728" t="s">
        <v>527</v>
      </c>
      <c r="E2728" s="161">
        <v>1</v>
      </c>
      <c r="F2728" s="161">
        <v>168</v>
      </c>
      <c r="G2728" s="162">
        <v>168</v>
      </c>
      <c r="H2728" s="67">
        <v>904</v>
      </c>
    </row>
    <row r="2729" spans="1:8" x14ac:dyDescent="0.25">
      <c r="A2729" s="212">
        <v>42063</v>
      </c>
      <c r="B2729" s="160" t="s">
        <v>1017</v>
      </c>
      <c r="C2729" t="s">
        <v>990</v>
      </c>
      <c r="D2729" t="s">
        <v>527</v>
      </c>
      <c r="E2729" s="161">
        <v>1</v>
      </c>
      <c r="F2729" s="161">
        <v>114</v>
      </c>
      <c r="G2729" s="162">
        <v>114</v>
      </c>
      <c r="H2729" s="67">
        <v>904</v>
      </c>
    </row>
    <row r="2730" spans="1:8" ht="30" x14ac:dyDescent="0.25">
      <c r="A2730" s="212">
        <v>42063</v>
      </c>
      <c r="B2730" s="160" t="s">
        <v>1019</v>
      </c>
      <c r="C2730" t="s">
        <v>649</v>
      </c>
      <c r="D2730" t="s">
        <v>527</v>
      </c>
      <c r="E2730" s="161">
        <v>1</v>
      </c>
      <c r="F2730" s="161">
        <v>172.8</v>
      </c>
      <c r="G2730" s="162">
        <v>172.8</v>
      </c>
      <c r="H2730" s="67">
        <v>904</v>
      </c>
    </row>
    <row r="2731" spans="1:8" x14ac:dyDescent="0.25">
      <c r="A2731" s="213" t="s">
        <v>418</v>
      </c>
      <c r="B2731" s="214" t="s">
        <v>1020</v>
      </c>
      <c r="C2731" s="215" t="s">
        <v>418</v>
      </c>
      <c r="D2731" s="215" t="s">
        <v>418</v>
      </c>
      <c r="E2731" s="216"/>
      <c r="F2731" s="216"/>
      <c r="G2731" s="217">
        <v>12162.089999999998</v>
      </c>
      <c r="H2731" s="231" t="s">
        <v>418</v>
      </c>
    </row>
    <row r="2732" spans="1:8" x14ac:dyDescent="0.25">
      <c r="A2732" s="212" t="s">
        <v>418</v>
      </c>
      <c r="B2732" s="160" t="s">
        <v>418</v>
      </c>
      <c r="C2732" t="s">
        <v>418</v>
      </c>
      <c r="D2732" t="s">
        <v>418</v>
      </c>
      <c r="E2732" s="161"/>
      <c r="F2732" s="161"/>
      <c r="G2732" s="162"/>
      <c r="H2732" s="67" t="s">
        <v>418</v>
      </c>
    </row>
    <row r="2733" spans="1:8" x14ac:dyDescent="0.25">
      <c r="A2733" s="209" t="s">
        <v>418</v>
      </c>
      <c r="B2733" s="159" t="s">
        <v>1257</v>
      </c>
      <c r="C2733" s="35" t="s">
        <v>418</v>
      </c>
      <c r="D2733" s="35" t="s">
        <v>418</v>
      </c>
      <c r="E2733" s="210"/>
      <c r="F2733" s="210"/>
      <c r="G2733" s="211"/>
      <c r="H2733" s="229" t="s">
        <v>418</v>
      </c>
    </row>
    <row r="2734" spans="1:8" x14ac:dyDescent="0.25">
      <c r="A2734" s="212">
        <v>41894</v>
      </c>
      <c r="B2734" s="160" t="s">
        <v>1021</v>
      </c>
      <c r="C2734" t="s">
        <v>1022</v>
      </c>
      <c r="D2734" t="s">
        <v>527</v>
      </c>
      <c r="E2734" s="161">
        <v>1</v>
      </c>
      <c r="F2734" s="161">
        <v>23.64</v>
      </c>
      <c r="G2734" s="162">
        <v>23.64</v>
      </c>
      <c r="H2734" s="67">
        <v>905</v>
      </c>
    </row>
    <row r="2735" spans="1:8" x14ac:dyDescent="0.25">
      <c r="A2735" s="212">
        <v>41898</v>
      </c>
      <c r="B2735" s="160" t="s">
        <v>1023</v>
      </c>
      <c r="C2735" t="s">
        <v>643</v>
      </c>
      <c r="D2735" t="s">
        <v>527</v>
      </c>
      <c r="E2735" s="161">
        <v>1</v>
      </c>
      <c r="F2735" s="161">
        <v>36.18</v>
      </c>
      <c r="G2735" s="162">
        <v>36.18</v>
      </c>
      <c r="H2735" s="67">
        <v>905</v>
      </c>
    </row>
    <row r="2736" spans="1:8" x14ac:dyDescent="0.25">
      <c r="A2736" s="212">
        <v>41898</v>
      </c>
      <c r="B2736" s="160" t="s">
        <v>1026</v>
      </c>
      <c r="C2736" t="s">
        <v>643</v>
      </c>
      <c r="D2736" t="s">
        <v>527</v>
      </c>
      <c r="E2736" s="161">
        <v>1</v>
      </c>
      <c r="F2736" s="161">
        <v>7.59</v>
      </c>
      <c r="G2736" s="162">
        <v>7.59</v>
      </c>
      <c r="H2736" s="67">
        <v>905</v>
      </c>
    </row>
    <row r="2737" spans="1:8" ht="30" x14ac:dyDescent="0.25">
      <c r="A2737" s="212">
        <v>41898</v>
      </c>
      <c r="B2737" s="160" t="s">
        <v>1025</v>
      </c>
      <c r="C2737" t="s">
        <v>643</v>
      </c>
      <c r="D2737" t="s">
        <v>527</v>
      </c>
      <c r="E2737" s="161">
        <v>1</v>
      </c>
      <c r="F2737" s="161">
        <v>77.849999999999994</v>
      </c>
      <c r="G2737" s="162">
        <v>77.849999999999994</v>
      </c>
      <c r="H2737" s="67">
        <v>905</v>
      </c>
    </row>
    <row r="2738" spans="1:8" x14ac:dyDescent="0.25">
      <c r="A2738" s="212">
        <v>41898</v>
      </c>
      <c r="B2738" s="160" t="s">
        <v>1024</v>
      </c>
      <c r="C2738" t="s">
        <v>643</v>
      </c>
      <c r="D2738" t="s">
        <v>527</v>
      </c>
      <c r="E2738" s="161">
        <v>1</v>
      </c>
      <c r="F2738" s="161">
        <v>161.79</v>
      </c>
      <c r="G2738" s="162">
        <v>161.79</v>
      </c>
      <c r="H2738" s="67">
        <v>905</v>
      </c>
    </row>
    <row r="2739" spans="1:8" x14ac:dyDescent="0.25">
      <c r="A2739" s="212">
        <v>41898</v>
      </c>
      <c r="B2739" s="160" t="s">
        <v>1023</v>
      </c>
      <c r="C2739" t="s">
        <v>643</v>
      </c>
      <c r="D2739" t="s">
        <v>527</v>
      </c>
      <c r="E2739" s="161">
        <v>1</v>
      </c>
      <c r="F2739" s="161">
        <v>29.01</v>
      </c>
      <c r="G2739" s="162">
        <v>29.01</v>
      </c>
      <c r="H2739" s="67">
        <v>905</v>
      </c>
    </row>
    <row r="2740" spans="1:8" x14ac:dyDescent="0.25">
      <c r="A2740" s="212">
        <v>41898</v>
      </c>
      <c r="B2740" s="160" t="s">
        <v>1027</v>
      </c>
      <c r="C2740" t="s">
        <v>643</v>
      </c>
      <c r="D2740" t="s">
        <v>527</v>
      </c>
      <c r="E2740" s="161">
        <v>1</v>
      </c>
      <c r="F2740" s="161">
        <v>7.59</v>
      </c>
      <c r="G2740" s="162">
        <v>7.59</v>
      </c>
      <c r="H2740" s="67">
        <v>905</v>
      </c>
    </row>
    <row r="2741" spans="1:8" ht="45" x14ac:dyDescent="0.25">
      <c r="A2741" s="212">
        <v>41899</v>
      </c>
      <c r="B2741" s="160" t="s">
        <v>1028</v>
      </c>
      <c r="C2741" t="s">
        <v>643</v>
      </c>
      <c r="D2741" t="s">
        <v>527</v>
      </c>
      <c r="E2741" s="161">
        <v>1</v>
      </c>
      <c r="F2741" s="161">
        <v>191.02</v>
      </c>
      <c r="G2741" s="162">
        <v>191.02</v>
      </c>
      <c r="H2741" s="67">
        <v>905</v>
      </c>
    </row>
    <row r="2742" spans="1:8" x14ac:dyDescent="0.25">
      <c r="A2742" s="212">
        <v>41899</v>
      </c>
      <c r="B2742" s="160" t="s">
        <v>1029</v>
      </c>
      <c r="C2742" t="s">
        <v>903</v>
      </c>
      <c r="D2742" t="s">
        <v>527</v>
      </c>
      <c r="E2742" s="161">
        <v>1</v>
      </c>
      <c r="F2742" s="161">
        <v>21</v>
      </c>
      <c r="G2742" s="162">
        <v>21</v>
      </c>
      <c r="H2742" s="67">
        <v>905</v>
      </c>
    </row>
    <row r="2743" spans="1:8" x14ac:dyDescent="0.25">
      <c r="A2743" s="212">
        <v>41899</v>
      </c>
      <c r="B2743" s="160" t="s">
        <v>1030</v>
      </c>
      <c r="C2743" t="s">
        <v>811</v>
      </c>
      <c r="D2743" t="s">
        <v>527</v>
      </c>
      <c r="E2743" s="161">
        <v>1</v>
      </c>
      <c r="F2743" s="161">
        <v>31.06</v>
      </c>
      <c r="G2743" s="162">
        <v>31.06</v>
      </c>
      <c r="H2743" s="67">
        <v>905</v>
      </c>
    </row>
    <row r="2744" spans="1:8" x14ac:dyDescent="0.25">
      <c r="A2744" s="212">
        <v>41900</v>
      </c>
      <c r="B2744" s="160" t="s">
        <v>1031</v>
      </c>
      <c r="C2744" t="s">
        <v>643</v>
      </c>
      <c r="D2744" t="s">
        <v>527</v>
      </c>
      <c r="E2744" s="161">
        <v>1</v>
      </c>
      <c r="F2744" s="161">
        <v>18.079999999999998</v>
      </c>
      <c r="G2744" s="162">
        <v>18.079999999999998</v>
      </c>
      <c r="H2744" s="67">
        <v>905</v>
      </c>
    </row>
    <row r="2745" spans="1:8" x14ac:dyDescent="0.25">
      <c r="A2745" s="212">
        <v>41908</v>
      </c>
      <c r="B2745" s="160" t="s">
        <v>1032</v>
      </c>
      <c r="C2745" t="s">
        <v>903</v>
      </c>
      <c r="D2745" t="s">
        <v>527</v>
      </c>
      <c r="E2745" s="161">
        <v>1</v>
      </c>
      <c r="F2745" s="161">
        <v>21.33</v>
      </c>
      <c r="G2745" s="162">
        <v>21.33</v>
      </c>
      <c r="H2745" s="67">
        <v>905</v>
      </c>
    </row>
    <row r="2746" spans="1:8" x14ac:dyDescent="0.25">
      <c r="A2746" s="212">
        <v>41909</v>
      </c>
      <c r="B2746" s="160" t="s">
        <v>1033</v>
      </c>
      <c r="C2746" t="s">
        <v>643</v>
      </c>
      <c r="D2746" t="s">
        <v>527</v>
      </c>
      <c r="E2746" s="161">
        <v>1</v>
      </c>
      <c r="F2746" s="161">
        <v>15.41</v>
      </c>
      <c r="G2746" s="162">
        <v>15.41</v>
      </c>
      <c r="H2746" s="67">
        <v>905</v>
      </c>
    </row>
    <row r="2747" spans="1:8" ht="30" x14ac:dyDescent="0.25">
      <c r="A2747" s="212">
        <v>41911</v>
      </c>
      <c r="B2747" s="160" t="s">
        <v>1034</v>
      </c>
      <c r="C2747" t="s">
        <v>643</v>
      </c>
      <c r="D2747" t="s">
        <v>527</v>
      </c>
      <c r="E2747" s="161">
        <v>1</v>
      </c>
      <c r="F2747" s="161">
        <v>239.71</v>
      </c>
      <c r="G2747" s="162">
        <v>239.71</v>
      </c>
      <c r="H2747" s="67">
        <v>905</v>
      </c>
    </row>
    <row r="2748" spans="1:8" ht="30" x14ac:dyDescent="0.25">
      <c r="A2748" s="212">
        <v>41914</v>
      </c>
      <c r="B2748" s="160" t="s">
        <v>1035</v>
      </c>
      <c r="C2748" t="s">
        <v>903</v>
      </c>
      <c r="D2748" t="s">
        <v>527</v>
      </c>
      <c r="E2748" s="161">
        <v>1</v>
      </c>
      <c r="F2748" s="161">
        <v>5</v>
      </c>
      <c r="G2748" s="162">
        <v>5</v>
      </c>
      <c r="H2748" s="67">
        <v>905</v>
      </c>
    </row>
    <row r="2749" spans="1:8" x14ac:dyDescent="0.25">
      <c r="A2749" s="212">
        <v>41920</v>
      </c>
      <c r="B2749" s="160" t="s">
        <v>1036</v>
      </c>
      <c r="C2749" t="s">
        <v>643</v>
      </c>
      <c r="D2749" t="s">
        <v>527</v>
      </c>
      <c r="E2749" s="161">
        <v>1</v>
      </c>
      <c r="F2749" s="161">
        <v>41.44</v>
      </c>
      <c r="G2749" s="162">
        <v>41.44</v>
      </c>
      <c r="H2749" s="67">
        <v>905</v>
      </c>
    </row>
    <row r="2750" spans="1:8" x14ac:dyDescent="0.25">
      <c r="A2750" s="212">
        <v>41921</v>
      </c>
      <c r="B2750" s="160" t="s">
        <v>1041</v>
      </c>
      <c r="C2750" t="s">
        <v>903</v>
      </c>
      <c r="D2750" t="s">
        <v>527</v>
      </c>
      <c r="E2750" s="161">
        <v>1</v>
      </c>
      <c r="F2750" s="161">
        <v>16.3</v>
      </c>
      <c r="G2750" s="162">
        <v>16.3</v>
      </c>
      <c r="H2750" s="67">
        <v>905</v>
      </c>
    </row>
    <row r="2751" spans="1:8" x14ac:dyDescent="0.25">
      <c r="A2751" s="212">
        <v>41921</v>
      </c>
      <c r="B2751" s="160" t="s">
        <v>1040</v>
      </c>
      <c r="C2751" t="s">
        <v>643</v>
      </c>
      <c r="D2751" t="s">
        <v>527</v>
      </c>
      <c r="E2751" s="161">
        <v>1</v>
      </c>
      <c r="F2751" s="161">
        <v>8.18</v>
      </c>
      <c r="G2751" s="162">
        <v>8.18</v>
      </c>
      <c r="H2751" s="67">
        <v>905</v>
      </c>
    </row>
    <row r="2752" spans="1:8" x14ac:dyDescent="0.25">
      <c r="A2752" s="212">
        <v>41921</v>
      </c>
      <c r="B2752" s="160" t="s">
        <v>1038</v>
      </c>
      <c r="C2752" t="s">
        <v>643</v>
      </c>
      <c r="D2752" t="s">
        <v>527</v>
      </c>
      <c r="E2752" s="161">
        <v>1</v>
      </c>
      <c r="F2752" s="161">
        <v>335.88</v>
      </c>
      <c r="G2752" s="162">
        <v>335.88</v>
      </c>
      <c r="H2752" s="67">
        <v>905</v>
      </c>
    </row>
    <row r="2753" spans="1:8" x14ac:dyDescent="0.25">
      <c r="A2753" s="212">
        <v>41921</v>
      </c>
      <c r="B2753" s="160" t="s">
        <v>1039</v>
      </c>
      <c r="C2753" t="s">
        <v>903</v>
      </c>
      <c r="D2753" t="s">
        <v>527</v>
      </c>
      <c r="E2753" s="161">
        <v>1</v>
      </c>
      <c r="F2753" s="161">
        <v>11.37</v>
      </c>
      <c r="G2753" s="162">
        <v>11.37</v>
      </c>
      <c r="H2753" s="67">
        <v>905</v>
      </c>
    </row>
    <row r="2754" spans="1:8" x14ac:dyDescent="0.25">
      <c r="A2754" s="212">
        <v>41921</v>
      </c>
      <c r="B2754" s="160" t="s">
        <v>1037</v>
      </c>
      <c r="C2754" t="s">
        <v>643</v>
      </c>
      <c r="D2754" t="s">
        <v>527</v>
      </c>
      <c r="E2754" s="161">
        <v>1</v>
      </c>
      <c r="F2754" s="161">
        <v>14.91</v>
      </c>
      <c r="G2754" s="162">
        <v>14.91</v>
      </c>
      <c r="H2754" s="67">
        <v>905</v>
      </c>
    </row>
    <row r="2755" spans="1:8" x14ac:dyDescent="0.25">
      <c r="A2755" s="212">
        <v>41923</v>
      </c>
      <c r="B2755" s="160" t="s">
        <v>1043</v>
      </c>
      <c r="C2755" t="s">
        <v>903</v>
      </c>
      <c r="D2755" t="s">
        <v>527</v>
      </c>
      <c r="E2755" s="161">
        <v>1</v>
      </c>
      <c r="F2755" s="161">
        <v>4.96</v>
      </c>
      <c r="G2755" s="162">
        <v>4.96</v>
      </c>
      <c r="H2755" s="67">
        <v>905</v>
      </c>
    </row>
    <row r="2756" spans="1:8" x14ac:dyDescent="0.25">
      <c r="A2756" s="212">
        <v>41923</v>
      </c>
      <c r="B2756" s="160" t="s">
        <v>1042</v>
      </c>
      <c r="C2756" t="s">
        <v>643</v>
      </c>
      <c r="D2756" t="s">
        <v>527</v>
      </c>
      <c r="E2756" s="161">
        <v>1</v>
      </c>
      <c r="F2756" s="161">
        <v>15.36</v>
      </c>
      <c r="G2756" s="162">
        <v>15.36</v>
      </c>
      <c r="H2756" s="67">
        <v>905</v>
      </c>
    </row>
    <row r="2757" spans="1:8" x14ac:dyDescent="0.25">
      <c r="A2757" s="212">
        <v>41925</v>
      </c>
      <c r="B2757" s="160" t="s">
        <v>1044</v>
      </c>
      <c r="C2757" t="s">
        <v>903</v>
      </c>
      <c r="D2757" t="s">
        <v>527</v>
      </c>
      <c r="E2757" s="161">
        <v>1</v>
      </c>
      <c r="F2757" s="161">
        <v>84.75</v>
      </c>
      <c r="G2757" s="162">
        <v>84.75</v>
      </c>
      <c r="H2757" s="67">
        <v>905</v>
      </c>
    </row>
    <row r="2758" spans="1:8" x14ac:dyDescent="0.25">
      <c r="A2758" s="212">
        <v>41926</v>
      </c>
      <c r="B2758" s="160" t="s">
        <v>1044</v>
      </c>
      <c r="C2758" t="s">
        <v>903</v>
      </c>
      <c r="D2758" t="s">
        <v>527</v>
      </c>
      <c r="E2758" s="161">
        <v>1</v>
      </c>
      <c r="F2758" s="161">
        <v>28.6</v>
      </c>
      <c r="G2758" s="162">
        <v>28.6</v>
      </c>
      <c r="H2758" s="67">
        <v>905</v>
      </c>
    </row>
    <row r="2759" spans="1:8" x14ac:dyDescent="0.25">
      <c r="A2759" s="212">
        <v>41926</v>
      </c>
      <c r="B2759" s="160" t="s">
        <v>1047</v>
      </c>
      <c r="C2759" t="s">
        <v>643</v>
      </c>
      <c r="D2759" t="s">
        <v>527</v>
      </c>
      <c r="E2759" s="161">
        <v>2</v>
      </c>
      <c r="F2759" s="161">
        <v>1.1000000000000001</v>
      </c>
      <c r="G2759" s="162">
        <v>2.2000000000000002</v>
      </c>
      <c r="H2759" s="67">
        <v>905</v>
      </c>
    </row>
    <row r="2760" spans="1:8" x14ac:dyDescent="0.25">
      <c r="A2760" s="212">
        <v>41926</v>
      </c>
      <c r="B2760" s="160" t="s">
        <v>1046</v>
      </c>
      <c r="C2760" t="s">
        <v>643</v>
      </c>
      <c r="D2760" t="s">
        <v>527</v>
      </c>
      <c r="E2760" s="161">
        <v>1</v>
      </c>
      <c r="F2760" s="161">
        <v>1.36</v>
      </c>
      <c r="G2760" s="162">
        <v>1.36</v>
      </c>
      <c r="H2760" s="67">
        <v>905</v>
      </c>
    </row>
    <row r="2761" spans="1:8" x14ac:dyDescent="0.25">
      <c r="A2761" s="212">
        <v>41926</v>
      </c>
      <c r="B2761" s="160" t="s">
        <v>1045</v>
      </c>
      <c r="C2761" t="s">
        <v>643</v>
      </c>
      <c r="D2761" t="s">
        <v>527</v>
      </c>
      <c r="E2761" s="161">
        <v>1</v>
      </c>
      <c r="F2761" s="161">
        <v>5.16</v>
      </c>
      <c r="G2761" s="162">
        <v>5.16</v>
      </c>
      <c r="H2761" s="67">
        <v>905</v>
      </c>
    </row>
    <row r="2762" spans="1:8" x14ac:dyDescent="0.25">
      <c r="A2762" s="212">
        <v>41930</v>
      </c>
      <c r="B2762" s="160" t="s">
        <v>1048</v>
      </c>
      <c r="C2762" t="s">
        <v>643</v>
      </c>
      <c r="D2762" t="s">
        <v>527</v>
      </c>
      <c r="E2762" s="161">
        <v>1</v>
      </c>
      <c r="F2762" s="161">
        <v>11.45</v>
      </c>
      <c r="G2762" s="162">
        <v>11.45</v>
      </c>
      <c r="H2762" s="67">
        <v>905</v>
      </c>
    </row>
    <row r="2763" spans="1:8" x14ac:dyDescent="0.25">
      <c r="A2763" s="212">
        <v>41930</v>
      </c>
      <c r="B2763" s="160" t="s">
        <v>1049</v>
      </c>
      <c r="C2763" t="s">
        <v>643</v>
      </c>
      <c r="D2763" t="s">
        <v>527</v>
      </c>
      <c r="E2763" s="161">
        <v>1</v>
      </c>
      <c r="F2763" s="161">
        <v>12.19</v>
      </c>
      <c r="G2763" s="162">
        <v>12.19</v>
      </c>
      <c r="H2763" s="67">
        <v>905</v>
      </c>
    </row>
    <row r="2764" spans="1:8" x14ac:dyDescent="0.25">
      <c r="A2764" s="212">
        <v>41931</v>
      </c>
      <c r="B2764" s="160" t="s">
        <v>1050</v>
      </c>
      <c r="C2764" t="s">
        <v>903</v>
      </c>
      <c r="D2764" t="s">
        <v>527</v>
      </c>
      <c r="E2764" s="161">
        <v>1</v>
      </c>
      <c r="F2764" s="161">
        <v>26.86</v>
      </c>
      <c r="G2764" s="162">
        <v>26.86</v>
      </c>
      <c r="H2764" s="67">
        <v>905</v>
      </c>
    </row>
    <row r="2765" spans="1:8" x14ac:dyDescent="0.25">
      <c r="A2765" s="212">
        <v>41932</v>
      </c>
      <c r="B2765" s="160" t="s">
        <v>1045</v>
      </c>
      <c r="C2765" t="s">
        <v>643</v>
      </c>
      <c r="D2765" t="s">
        <v>527</v>
      </c>
      <c r="E2765" s="161">
        <v>1</v>
      </c>
      <c r="F2765" s="161">
        <v>24.16</v>
      </c>
      <c r="G2765" s="162">
        <v>24.16</v>
      </c>
      <c r="H2765" s="67">
        <v>905</v>
      </c>
    </row>
    <row r="2766" spans="1:8" x14ac:dyDescent="0.25">
      <c r="A2766" s="212">
        <v>41932</v>
      </c>
      <c r="B2766" s="160" t="s">
        <v>1051</v>
      </c>
      <c r="C2766" t="s">
        <v>643</v>
      </c>
      <c r="D2766" t="s">
        <v>527</v>
      </c>
      <c r="E2766" s="161">
        <v>1</v>
      </c>
      <c r="F2766" s="161">
        <v>2.5499999999999998</v>
      </c>
      <c r="G2766" s="162">
        <v>2.5499999999999998</v>
      </c>
      <c r="H2766" s="67">
        <v>905</v>
      </c>
    </row>
    <row r="2767" spans="1:8" x14ac:dyDescent="0.25">
      <c r="A2767" s="212">
        <v>41933</v>
      </c>
      <c r="B2767" s="160" t="s">
        <v>1052</v>
      </c>
      <c r="C2767" t="s">
        <v>643</v>
      </c>
      <c r="D2767" t="s">
        <v>527</v>
      </c>
      <c r="E2767" s="161">
        <v>1</v>
      </c>
      <c r="F2767" s="161">
        <v>6.41</v>
      </c>
      <c r="G2767" s="162">
        <v>6.41</v>
      </c>
      <c r="H2767" s="67">
        <v>905</v>
      </c>
    </row>
    <row r="2768" spans="1:8" x14ac:dyDescent="0.25">
      <c r="A2768" s="212">
        <v>41939</v>
      </c>
      <c r="B2768" s="160" t="s">
        <v>1053</v>
      </c>
      <c r="C2768" t="s">
        <v>643</v>
      </c>
      <c r="D2768" t="s">
        <v>527</v>
      </c>
      <c r="E2768" s="161">
        <v>1</v>
      </c>
      <c r="F2768" s="161">
        <v>4</v>
      </c>
      <c r="G2768" s="162">
        <v>4</v>
      </c>
      <c r="H2768" s="67">
        <v>905</v>
      </c>
    </row>
    <row r="2769" spans="1:8" x14ac:dyDescent="0.25">
      <c r="A2769" s="212">
        <v>41939</v>
      </c>
      <c r="B2769" s="160" t="s">
        <v>1045</v>
      </c>
      <c r="C2769" t="s">
        <v>643</v>
      </c>
      <c r="D2769" t="s">
        <v>527</v>
      </c>
      <c r="E2769" s="161">
        <v>1</v>
      </c>
      <c r="F2769" s="161">
        <v>9.4700000000000006</v>
      </c>
      <c r="G2769" s="162">
        <v>9.4700000000000006</v>
      </c>
      <c r="H2769" s="67">
        <v>905</v>
      </c>
    </row>
    <row r="2770" spans="1:8" x14ac:dyDescent="0.25">
      <c r="A2770" s="212">
        <v>41941</v>
      </c>
      <c r="B2770" s="160" t="s">
        <v>1054</v>
      </c>
      <c r="C2770" t="s">
        <v>643</v>
      </c>
      <c r="D2770" t="s">
        <v>527</v>
      </c>
      <c r="E2770" s="161">
        <v>1</v>
      </c>
      <c r="F2770" s="161">
        <v>9</v>
      </c>
      <c r="G2770" s="162">
        <v>9</v>
      </c>
      <c r="H2770" s="67">
        <v>905</v>
      </c>
    </row>
    <row r="2771" spans="1:8" x14ac:dyDescent="0.25">
      <c r="A2771" s="212">
        <v>41941</v>
      </c>
      <c r="B2771" s="160" t="s">
        <v>1055</v>
      </c>
      <c r="C2771" t="s">
        <v>643</v>
      </c>
      <c r="D2771" t="s">
        <v>527</v>
      </c>
      <c r="E2771" s="161">
        <v>1</v>
      </c>
      <c r="F2771" s="161">
        <v>11.36</v>
      </c>
      <c r="G2771" s="162">
        <v>11.36</v>
      </c>
      <c r="H2771" s="67">
        <v>905</v>
      </c>
    </row>
    <row r="2772" spans="1:8" x14ac:dyDescent="0.25">
      <c r="A2772" s="212">
        <v>41946</v>
      </c>
      <c r="B2772" s="160" t="s">
        <v>1056</v>
      </c>
      <c r="C2772" t="s">
        <v>903</v>
      </c>
      <c r="D2772" t="s">
        <v>527</v>
      </c>
      <c r="E2772" s="161">
        <v>1</v>
      </c>
      <c r="F2772" s="161">
        <v>12.15</v>
      </c>
      <c r="G2772" s="162">
        <v>12.15</v>
      </c>
      <c r="H2772" s="67">
        <v>905</v>
      </c>
    </row>
    <row r="2773" spans="1:8" x14ac:dyDescent="0.25">
      <c r="A2773" s="212">
        <v>41947</v>
      </c>
      <c r="B2773" s="160" t="s">
        <v>1058</v>
      </c>
      <c r="C2773" t="s">
        <v>643</v>
      </c>
      <c r="D2773" t="s">
        <v>527</v>
      </c>
      <c r="E2773" s="161">
        <v>1</v>
      </c>
      <c r="F2773" s="161">
        <v>18.11</v>
      </c>
      <c r="G2773" s="162">
        <v>18.11</v>
      </c>
      <c r="H2773" s="67">
        <v>905</v>
      </c>
    </row>
    <row r="2774" spans="1:8" x14ac:dyDescent="0.25">
      <c r="A2774" s="212">
        <v>41947</v>
      </c>
      <c r="B2774" s="160" t="s">
        <v>1057</v>
      </c>
      <c r="C2774" t="s">
        <v>903</v>
      </c>
      <c r="D2774" t="s">
        <v>527</v>
      </c>
      <c r="E2774" s="161">
        <v>1</v>
      </c>
      <c r="F2774" s="161">
        <v>45.38</v>
      </c>
      <c r="G2774" s="162">
        <v>45.38</v>
      </c>
      <c r="H2774" s="67">
        <v>905</v>
      </c>
    </row>
    <row r="2775" spans="1:8" x14ac:dyDescent="0.25">
      <c r="A2775" s="212">
        <v>41954</v>
      </c>
      <c r="B2775" s="160" t="s">
        <v>1059</v>
      </c>
      <c r="C2775" t="s">
        <v>643</v>
      </c>
      <c r="D2775" t="s">
        <v>527</v>
      </c>
      <c r="E2775" s="161">
        <v>1</v>
      </c>
      <c r="F2775" s="161">
        <v>2.2599999999999998</v>
      </c>
      <c r="G2775" s="162">
        <v>2.2599999999999998</v>
      </c>
      <c r="H2775" s="67">
        <v>905</v>
      </c>
    </row>
    <row r="2776" spans="1:8" x14ac:dyDescent="0.25">
      <c r="A2776" s="212">
        <v>41968</v>
      </c>
      <c r="B2776" s="160" t="s">
        <v>1060</v>
      </c>
      <c r="C2776" t="s">
        <v>903</v>
      </c>
      <c r="D2776" t="s">
        <v>527</v>
      </c>
      <c r="E2776" s="161">
        <v>1</v>
      </c>
      <c r="F2776" s="161">
        <v>87.54</v>
      </c>
      <c r="G2776" s="162">
        <v>87.54</v>
      </c>
      <c r="H2776" s="67">
        <v>905</v>
      </c>
    </row>
    <row r="2777" spans="1:8" x14ac:dyDescent="0.25">
      <c r="A2777" s="212">
        <v>41974</v>
      </c>
      <c r="B2777" s="160" t="s">
        <v>1061</v>
      </c>
      <c r="C2777" t="s">
        <v>674</v>
      </c>
      <c r="D2777" t="s">
        <v>527</v>
      </c>
      <c r="E2777" s="161">
        <v>1</v>
      </c>
      <c r="F2777" s="161">
        <v>60.39</v>
      </c>
      <c r="G2777" s="162">
        <v>60.39</v>
      </c>
      <c r="H2777" s="67">
        <v>905</v>
      </c>
    </row>
    <row r="2778" spans="1:8" x14ac:dyDescent="0.25">
      <c r="A2778" s="212">
        <v>41974</v>
      </c>
      <c r="B2778" s="160" t="s">
        <v>1062</v>
      </c>
      <c r="C2778" t="s">
        <v>811</v>
      </c>
      <c r="D2778" t="s">
        <v>527</v>
      </c>
      <c r="E2778" s="161">
        <v>1</v>
      </c>
      <c r="F2778" s="161">
        <v>31.06</v>
      </c>
      <c r="G2778" s="162">
        <v>31.06</v>
      </c>
      <c r="H2778" s="67">
        <v>905</v>
      </c>
    </row>
    <row r="2779" spans="1:8" x14ac:dyDescent="0.25">
      <c r="A2779" s="212">
        <v>41977</v>
      </c>
      <c r="B2779" s="160" t="s">
        <v>1063</v>
      </c>
      <c r="C2779" t="s">
        <v>643</v>
      </c>
      <c r="D2779" t="s">
        <v>527</v>
      </c>
      <c r="E2779" s="161">
        <v>1</v>
      </c>
      <c r="F2779" s="161">
        <v>28.77</v>
      </c>
      <c r="G2779" s="162">
        <v>28.77</v>
      </c>
      <c r="H2779" s="67">
        <v>905</v>
      </c>
    </row>
    <row r="2780" spans="1:8" ht="30" x14ac:dyDescent="0.25">
      <c r="A2780" s="212">
        <v>41982</v>
      </c>
      <c r="B2780" s="160" t="s">
        <v>1065</v>
      </c>
      <c r="C2780" t="s">
        <v>643</v>
      </c>
      <c r="D2780" t="s">
        <v>527</v>
      </c>
      <c r="E2780" s="161">
        <v>1</v>
      </c>
      <c r="F2780" s="161">
        <v>213.67</v>
      </c>
      <c r="G2780" s="162">
        <v>213.67</v>
      </c>
      <c r="H2780" s="67">
        <v>905</v>
      </c>
    </row>
    <row r="2781" spans="1:8" x14ac:dyDescent="0.25">
      <c r="A2781" s="212">
        <v>41982</v>
      </c>
      <c r="B2781" s="160" t="s">
        <v>1064</v>
      </c>
      <c r="C2781" t="s">
        <v>643</v>
      </c>
      <c r="D2781" t="s">
        <v>527</v>
      </c>
      <c r="E2781" s="161">
        <v>1</v>
      </c>
      <c r="F2781" s="161">
        <v>22.73</v>
      </c>
      <c r="G2781" s="162">
        <v>22.73</v>
      </c>
      <c r="H2781" s="67">
        <v>905</v>
      </c>
    </row>
    <row r="2782" spans="1:8" x14ac:dyDescent="0.25">
      <c r="A2782" s="212">
        <v>41983</v>
      </c>
      <c r="B2782" s="160" t="s">
        <v>1066</v>
      </c>
      <c r="C2782" t="s">
        <v>643</v>
      </c>
      <c r="D2782" t="s">
        <v>527</v>
      </c>
      <c r="E2782" s="161">
        <v>1</v>
      </c>
      <c r="F2782" s="161">
        <v>142.5</v>
      </c>
      <c r="G2782" s="162">
        <v>142.5</v>
      </c>
      <c r="H2782" s="67">
        <v>905</v>
      </c>
    </row>
    <row r="2783" spans="1:8" ht="30" x14ac:dyDescent="0.25">
      <c r="A2783" s="212">
        <v>41984</v>
      </c>
      <c r="B2783" s="160" t="s">
        <v>1067</v>
      </c>
      <c r="C2783" t="s">
        <v>643</v>
      </c>
      <c r="D2783" t="s">
        <v>527</v>
      </c>
      <c r="E2783" s="161">
        <v>1</v>
      </c>
      <c r="F2783" s="161">
        <v>43.14</v>
      </c>
      <c r="G2783" s="162">
        <v>43.14</v>
      </c>
      <c r="H2783" s="67">
        <v>905</v>
      </c>
    </row>
    <row r="2784" spans="1:8" x14ac:dyDescent="0.25">
      <c r="A2784" s="212">
        <v>41985</v>
      </c>
      <c r="B2784" s="160" t="s">
        <v>1069</v>
      </c>
      <c r="C2784" t="s">
        <v>643</v>
      </c>
      <c r="D2784" t="s">
        <v>527</v>
      </c>
      <c r="E2784" s="161">
        <v>1</v>
      </c>
      <c r="F2784" s="161">
        <v>20.71</v>
      </c>
      <c r="G2784" s="162">
        <v>20.71</v>
      </c>
      <c r="H2784" s="67">
        <v>905</v>
      </c>
    </row>
    <row r="2785" spans="1:8" x14ac:dyDescent="0.25">
      <c r="A2785" s="212">
        <v>41985</v>
      </c>
      <c r="B2785" s="160" t="s">
        <v>1068</v>
      </c>
      <c r="C2785" t="s">
        <v>643</v>
      </c>
      <c r="D2785" t="s">
        <v>527</v>
      </c>
      <c r="E2785" s="161">
        <v>1</v>
      </c>
      <c r="F2785" s="161">
        <v>69.02</v>
      </c>
      <c r="G2785" s="162">
        <v>69.02</v>
      </c>
      <c r="H2785" s="67">
        <v>905</v>
      </c>
    </row>
    <row r="2786" spans="1:8" x14ac:dyDescent="0.25">
      <c r="A2786" s="212">
        <v>41988</v>
      </c>
      <c r="B2786" s="160" t="s">
        <v>1070</v>
      </c>
      <c r="C2786" t="s">
        <v>643</v>
      </c>
      <c r="D2786" t="s">
        <v>527</v>
      </c>
      <c r="E2786" s="161">
        <v>1</v>
      </c>
      <c r="F2786" s="161">
        <v>32.369999999999997</v>
      </c>
      <c r="G2786" s="162">
        <v>32.369999999999997</v>
      </c>
      <c r="H2786" s="67">
        <v>905</v>
      </c>
    </row>
    <row r="2787" spans="1:8" x14ac:dyDescent="0.25">
      <c r="A2787" s="212">
        <v>42013</v>
      </c>
      <c r="B2787" s="160" t="s">
        <v>1071</v>
      </c>
      <c r="C2787" t="s">
        <v>643</v>
      </c>
      <c r="D2787" t="s">
        <v>527</v>
      </c>
      <c r="E2787" s="161">
        <v>1</v>
      </c>
      <c r="F2787" s="161">
        <v>235.2</v>
      </c>
      <c r="G2787" s="162">
        <v>235.2</v>
      </c>
      <c r="H2787" s="67">
        <v>905</v>
      </c>
    </row>
    <row r="2788" spans="1:8" x14ac:dyDescent="0.25">
      <c r="A2788" s="212">
        <v>42016</v>
      </c>
      <c r="B2788" s="160" t="s">
        <v>1072</v>
      </c>
      <c r="C2788" t="s">
        <v>643</v>
      </c>
      <c r="D2788" t="s">
        <v>527</v>
      </c>
      <c r="E2788" s="161">
        <v>1</v>
      </c>
      <c r="F2788" s="161">
        <v>118.09</v>
      </c>
      <c r="G2788" s="162">
        <v>118.09</v>
      </c>
      <c r="H2788" s="67">
        <v>905</v>
      </c>
    </row>
    <row r="2789" spans="1:8" ht="30" x14ac:dyDescent="0.25">
      <c r="A2789" s="212">
        <v>42018</v>
      </c>
      <c r="B2789" s="160" t="s">
        <v>1073</v>
      </c>
      <c r="C2789" t="s">
        <v>643</v>
      </c>
      <c r="D2789" t="s">
        <v>527</v>
      </c>
      <c r="E2789" s="161">
        <v>1</v>
      </c>
      <c r="F2789" s="161">
        <v>147.62</v>
      </c>
      <c r="G2789" s="162">
        <v>147.62</v>
      </c>
      <c r="H2789" s="67">
        <v>905</v>
      </c>
    </row>
    <row r="2790" spans="1:8" x14ac:dyDescent="0.25">
      <c r="A2790" s="212">
        <v>42038</v>
      </c>
      <c r="B2790" s="160" t="s">
        <v>1074</v>
      </c>
      <c r="C2790" t="s">
        <v>643</v>
      </c>
      <c r="D2790" t="s">
        <v>527</v>
      </c>
      <c r="E2790" s="161">
        <v>394.68</v>
      </c>
      <c r="F2790" s="161">
        <v>1</v>
      </c>
      <c r="G2790" s="162">
        <v>394.68</v>
      </c>
      <c r="H2790" s="67">
        <v>905</v>
      </c>
    </row>
    <row r="2791" spans="1:8" x14ac:dyDescent="0.25">
      <c r="A2791" s="212">
        <v>42039</v>
      </c>
      <c r="B2791" s="160" t="s">
        <v>1075</v>
      </c>
      <c r="C2791" t="s">
        <v>643</v>
      </c>
      <c r="D2791" t="s">
        <v>527</v>
      </c>
      <c r="E2791" s="161">
        <v>1</v>
      </c>
      <c r="F2791" s="161">
        <v>8.91</v>
      </c>
      <c r="G2791" s="162">
        <v>8.91</v>
      </c>
      <c r="H2791" s="67">
        <v>905</v>
      </c>
    </row>
    <row r="2792" spans="1:8" x14ac:dyDescent="0.25">
      <c r="A2792" s="212">
        <v>42042</v>
      </c>
      <c r="B2792" s="160" t="s">
        <v>1076</v>
      </c>
      <c r="C2792" t="s">
        <v>643</v>
      </c>
      <c r="D2792" t="s">
        <v>527</v>
      </c>
      <c r="E2792" s="161">
        <v>1</v>
      </c>
      <c r="F2792" s="161">
        <v>29.09</v>
      </c>
      <c r="G2792" s="162">
        <v>29.09</v>
      </c>
      <c r="H2792" s="67">
        <v>905</v>
      </c>
    </row>
    <row r="2793" spans="1:8" x14ac:dyDescent="0.25">
      <c r="A2793" s="212">
        <v>42054</v>
      </c>
      <c r="B2793" s="160" t="s">
        <v>1077</v>
      </c>
      <c r="C2793" t="s">
        <v>643</v>
      </c>
      <c r="D2793" t="s">
        <v>527</v>
      </c>
      <c r="E2793" s="161">
        <v>1</v>
      </c>
      <c r="F2793" s="161">
        <v>16</v>
      </c>
      <c r="G2793" s="162">
        <v>16</v>
      </c>
      <c r="H2793" s="67">
        <v>905</v>
      </c>
    </row>
    <row r="2794" spans="1:8" x14ac:dyDescent="0.25">
      <c r="A2794" s="212">
        <v>42058</v>
      </c>
      <c r="B2794" s="160" t="s">
        <v>1079</v>
      </c>
      <c r="C2794" t="s">
        <v>643</v>
      </c>
      <c r="D2794" t="s">
        <v>527</v>
      </c>
      <c r="E2794" s="161">
        <v>1</v>
      </c>
      <c r="F2794" s="161">
        <v>16.350000000000001</v>
      </c>
      <c r="G2794" s="162">
        <v>16.350000000000001</v>
      </c>
      <c r="H2794" s="67">
        <v>905</v>
      </c>
    </row>
    <row r="2795" spans="1:8" x14ac:dyDescent="0.25">
      <c r="A2795" s="212">
        <v>42058</v>
      </c>
      <c r="B2795" s="160" t="s">
        <v>1078</v>
      </c>
      <c r="C2795" t="s">
        <v>643</v>
      </c>
      <c r="D2795" t="s">
        <v>527</v>
      </c>
      <c r="E2795" s="161">
        <v>1</v>
      </c>
      <c r="F2795" s="161">
        <v>43.18</v>
      </c>
      <c r="G2795" s="162">
        <v>43.18</v>
      </c>
      <c r="H2795" s="67">
        <v>905</v>
      </c>
    </row>
    <row r="2796" spans="1:8" x14ac:dyDescent="0.25">
      <c r="A2796" s="213" t="s">
        <v>418</v>
      </c>
      <c r="B2796" s="214" t="s">
        <v>1080</v>
      </c>
      <c r="C2796" s="215" t="s">
        <v>418</v>
      </c>
      <c r="D2796" s="215" t="s">
        <v>418</v>
      </c>
      <c r="E2796" s="216"/>
      <c r="F2796" s="216"/>
      <c r="G2796" s="217">
        <v>3413.099999999999</v>
      </c>
      <c r="H2796" s="231" t="s">
        <v>418</v>
      </c>
    </row>
    <row r="2797" spans="1:8" x14ac:dyDescent="0.25">
      <c r="A2797" s="212" t="s">
        <v>418</v>
      </c>
      <c r="B2797" s="160" t="s">
        <v>418</v>
      </c>
      <c r="C2797" t="s">
        <v>418</v>
      </c>
      <c r="D2797" t="s">
        <v>418</v>
      </c>
      <c r="E2797" s="161"/>
      <c r="F2797" s="161"/>
      <c r="G2797" s="162"/>
      <c r="H2797" s="67" t="s">
        <v>418</v>
      </c>
    </row>
    <row r="2798" spans="1:8" x14ac:dyDescent="0.25">
      <c r="A2798" s="209" t="s">
        <v>418</v>
      </c>
      <c r="B2798" s="159" t="s">
        <v>1258</v>
      </c>
      <c r="C2798" s="35" t="s">
        <v>418</v>
      </c>
      <c r="D2798" s="35" t="s">
        <v>418</v>
      </c>
      <c r="E2798" s="210"/>
      <c r="F2798" s="210"/>
      <c r="G2798" s="211"/>
      <c r="H2798" s="229" t="s">
        <v>418</v>
      </c>
    </row>
    <row r="2799" spans="1:8" x14ac:dyDescent="0.25">
      <c r="A2799" s="212">
        <v>41890</v>
      </c>
      <c r="B2799" s="160" t="s">
        <v>1226</v>
      </c>
      <c r="C2799" t="s">
        <v>7</v>
      </c>
      <c r="D2799" t="s">
        <v>27</v>
      </c>
      <c r="E2799" s="161">
        <v>10.5</v>
      </c>
      <c r="F2799" s="161">
        <v>42.72</v>
      </c>
      <c r="G2799" s="162">
        <v>448.56</v>
      </c>
      <c r="H2799" s="67">
        <v>907</v>
      </c>
    </row>
    <row r="2800" spans="1:8" x14ac:dyDescent="0.25">
      <c r="A2800" s="212">
        <v>41890</v>
      </c>
      <c r="B2800" s="160" t="s">
        <v>1211</v>
      </c>
      <c r="C2800" t="s">
        <v>1233</v>
      </c>
      <c r="D2800" t="s">
        <v>27</v>
      </c>
      <c r="E2800" s="161">
        <v>8.5</v>
      </c>
      <c r="F2800" s="161">
        <v>54.58</v>
      </c>
      <c r="G2800" s="162">
        <v>463.93</v>
      </c>
      <c r="H2800" s="67">
        <v>907</v>
      </c>
    </row>
    <row r="2801" spans="1:8" x14ac:dyDescent="0.25">
      <c r="A2801" s="212">
        <v>41890</v>
      </c>
      <c r="B2801" s="160" t="s">
        <v>1109</v>
      </c>
      <c r="C2801" t="s">
        <v>7</v>
      </c>
      <c r="D2801" t="s">
        <v>27</v>
      </c>
      <c r="E2801" s="161">
        <v>10.5</v>
      </c>
      <c r="F2801" s="161">
        <v>42.72</v>
      </c>
      <c r="G2801" s="162">
        <v>448.56</v>
      </c>
      <c r="H2801" s="67">
        <v>907</v>
      </c>
    </row>
    <row r="2802" spans="1:8" x14ac:dyDescent="0.25">
      <c r="A2802" s="212">
        <v>41891</v>
      </c>
      <c r="B2802" s="160" t="s">
        <v>1212</v>
      </c>
      <c r="C2802" t="s">
        <v>7</v>
      </c>
      <c r="D2802" t="s">
        <v>27</v>
      </c>
      <c r="E2802" s="161">
        <v>10</v>
      </c>
      <c r="F2802" s="161">
        <v>42.72</v>
      </c>
      <c r="G2802" s="162">
        <v>427.2</v>
      </c>
      <c r="H2802" s="67">
        <v>907</v>
      </c>
    </row>
    <row r="2803" spans="1:8" x14ac:dyDescent="0.25">
      <c r="A2803" s="212">
        <v>41891</v>
      </c>
      <c r="B2803" s="160" t="s">
        <v>1226</v>
      </c>
      <c r="C2803" t="s">
        <v>7</v>
      </c>
      <c r="D2803" t="s">
        <v>27</v>
      </c>
      <c r="E2803" s="161">
        <v>10</v>
      </c>
      <c r="F2803" s="161">
        <v>42.72</v>
      </c>
      <c r="G2803" s="162">
        <v>427.2</v>
      </c>
      <c r="H2803" s="67">
        <v>907</v>
      </c>
    </row>
    <row r="2804" spans="1:8" ht="30" x14ac:dyDescent="0.25">
      <c r="A2804" s="212">
        <v>41891</v>
      </c>
      <c r="B2804" s="160" t="s">
        <v>1081</v>
      </c>
      <c r="C2804" t="s">
        <v>949</v>
      </c>
      <c r="D2804" t="s">
        <v>527</v>
      </c>
      <c r="E2804" s="161">
        <v>1954.55</v>
      </c>
      <c r="F2804" s="161">
        <v>1</v>
      </c>
      <c r="G2804" s="162">
        <v>1954.55</v>
      </c>
      <c r="H2804" s="67">
        <v>907</v>
      </c>
    </row>
    <row r="2805" spans="1:8" x14ac:dyDescent="0.25">
      <c r="A2805" s="212">
        <v>41891</v>
      </c>
      <c r="B2805" s="160" t="s">
        <v>1109</v>
      </c>
      <c r="C2805" t="s">
        <v>7</v>
      </c>
      <c r="D2805" t="s">
        <v>27</v>
      </c>
      <c r="E2805" s="161">
        <v>10</v>
      </c>
      <c r="F2805" s="161">
        <v>42.72</v>
      </c>
      <c r="G2805" s="162">
        <v>427.2</v>
      </c>
      <c r="H2805" s="67">
        <v>907</v>
      </c>
    </row>
    <row r="2806" spans="1:8" x14ac:dyDescent="0.25">
      <c r="A2806" s="212">
        <v>41891</v>
      </c>
      <c r="B2806" s="160" t="s">
        <v>1211</v>
      </c>
      <c r="C2806" t="s">
        <v>1233</v>
      </c>
      <c r="D2806" t="s">
        <v>27</v>
      </c>
      <c r="E2806" s="161">
        <v>10</v>
      </c>
      <c r="F2806" s="161">
        <v>54.58</v>
      </c>
      <c r="G2806" s="162">
        <v>545.79999999999995</v>
      </c>
      <c r="H2806" s="67">
        <v>907</v>
      </c>
    </row>
    <row r="2807" spans="1:8" x14ac:dyDescent="0.25">
      <c r="A2807" s="212">
        <v>41892</v>
      </c>
      <c r="B2807" s="160" t="s">
        <v>1212</v>
      </c>
      <c r="C2807" t="s">
        <v>7</v>
      </c>
      <c r="D2807" t="s">
        <v>27</v>
      </c>
      <c r="E2807" s="161">
        <v>13</v>
      </c>
      <c r="F2807" s="161">
        <v>42.72</v>
      </c>
      <c r="G2807" s="162">
        <v>555.36</v>
      </c>
      <c r="H2807" s="67">
        <v>907</v>
      </c>
    </row>
    <row r="2808" spans="1:8" x14ac:dyDescent="0.25">
      <c r="A2808" s="212">
        <v>41892</v>
      </c>
      <c r="B2808" s="160" t="s">
        <v>1211</v>
      </c>
      <c r="C2808" t="s">
        <v>1233</v>
      </c>
      <c r="D2808" t="s">
        <v>27</v>
      </c>
      <c r="E2808" s="161">
        <v>13</v>
      </c>
      <c r="F2808" s="161">
        <v>54.58</v>
      </c>
      <c r="G2808" s="162">
        <v>709.54</v>
      </c>
      <c r="H2808" s="67">
        <v>907</v>
      </c>
    </row>
    <row r="2809" spans="1:8" x14ac:dyDescent="0.25">
      <c r="A2809" s="212">
        <v>41892</v>
      </c>
      <c r="B2809" s="160" t="s">
        <v>1109</v>
      </c>
      <c r="C2809" t="s">
        <v>7</v>
      </c>
      <c r="D2809" t="s">
        <v>27</v>
      </c>
      <c r="E2809" s="161">
        <v>13</v>
      </c>
      <c r="F2809" s="161">
        <v>42.72</v>
      </c>
      <c r="G2809" s="162">
        <v>555.36</v>
      </c>
      <c r="H2809" s="67">
        <v>907</v>
      </c>
    </row>
    <row r="2810" spans="1:8" x14ac:dyDescent="0.25">
      <c r="A2810" s="212">
        <v>41892</v>
      </c>
      <c r="B2810" s="160" t="s">
        <v>1226</v>
      </c>
      <c r="C2810" t="s">
        <v>7</v>
      </c>
      <c r="D2810" t="s">
        <v>27</v>
      </c>
      <c r="E2810" s="161">
        <v>13</v>
      </c>
      <c r="F2810" s="161">
        <v>42.72</v>
      </c>
      <c r="G2810" s="162">
        <v>555.36</v>
      </c>
      <c r="H2810" s="67">
        <v>907</v>
      </c>
    </row>
    <row r="2811" spans="1:8" x14ac:dyDescent="0.25">
      <c r="A2811" s="212">
        <v>41892</v>
      </c>
      <c r="B2811" s="160" t="s">
        <v>286</v>
      </c>
      <c r="C2811" t="s">
        <v>633</v>
      </c>
      <c r="D2811" t="s">
        <v>27</v>
      </c>
      <c r="E2811" s="161">
        <v>2</v>
      </c>
      <c r="F2811" s="161">
        <v>90</v>
      </c>
      <c r="G2811" s="162">
        <v>180</v>
      </c>
      <c r="H2811" s="67">
        <v>907</v>
      </c>
    </row>
    <row r="2812" spans="1:8" x14ac:dyDescent="0.25">
      <c r="A2812" s="212">
        <v>41892</v>
      </c>
      <c r="B2812" s="160" t="s">
        <v>1209</v>
      </c>
      <c r="C2812" t="s">
        <v>1210</v>
      </c>
      <c r="D2812" t="s">
        <v>27</v>
      </c>
      <c r="E2812" s="161">
        <v>13</v>
      </c>
      <c r="F2812" s="161">
        <v>42.79</v>
      </c>
      <c r="G2812" s="162">
        <v>556.27</v>
      </c>
      <c r="H2812" s="67">
        <v>907</v>
      </c>
    </row>
    <row r="2813" spans="1:8" x14ac:dyDescent="0.25">
      <c r="A2813" s="212">
        <v>41893</v>
      </c>
      <c r="B2813" s="160" t="s">
        <v>634</v>
      </c>
      <c r="C2813" t="s">
        <v>635</v>
      </c>
      <c r="D2813" t="s">
        <v>27</v>
      </c>
      <c r="E2813" s="161">
        <v>3</v>
      </c>
      <c r="F2813" s="161">
        <v>92.5</v>
      </c>
      <c r="G2813" s="162">
        <v>277.5</v>
      </c>
      <c r="H2813" s="67">
        <v>907</v>
      </c>
    </row>
    <row r="2814" spans="1:8" x14ac:dyDescent="0.25">
      <c r="A2814" s="212">
        <v>41893</v>
      </c>
      <c r="B2814" s="160" t="s">
        <v>1109</v>
      </c>
      <c r="C2814" t="s">
        <v>7</v>
      </c>
      <c r="D2814" t="s">
        <v>27</v>
      </c>
      <c r="E2814" s="161">
        <v>9</v>
      </c>
      <c r="F2814" s="161">
        <v>42.72</v>
      </c>
      <c r="G2814" s="162">
        <v>384.48</v>
      </c>
      <c r="H2814" s="67">
        <v>907</v>
      </c>
    </row>
    <row r="2815" spans="1:8" x14ac:dyDescent="0.25">
      <c r="A2815" s="212">
        <v>41893</v>
      </c>
      <c r="B2815" s="160" t="s">
        <v>1212</v>
      </c>
      <c r="C2815" t="s">
        <v>7</v>
      </c>
      <c r="D2815" t="s">
        <v>27</v>
      </c>
      <c r="E2815" s="161">
        <v>9</v>
      </c>
      <c r="F2815" s="161">
        <v>42.72</v>
      </c>
      <c r="G2815" s="162">
        <v>384.48</v>
      </c>
      <c r="H2815" s="67">
        <v>907</v>
      </c>
    </row>
    <row r="2816" spans="1:8" x14ac:dyDescent="0.25">
      <c r="A2816" s="212">
        <v>41893</v>
      </c>
      <c r="B2816" s="160" t="s">
        <v>1226</v>
      </c>
      <c r="C2816" t="s">
        <v>7</v>
      </c>
      <c r="D2816" t="s">
        <v>27</v>
      </c>
      <c r="E2816" s="161">
        <v>9</v>
      </c>
      <c r="F2816" s="161">
        <v>42.72</v>
      </c>
      <c r="G2816" s="162">
        <v>384.48</v>
      </c>
      <c r="H2816" s="67">
        <v>907</v>
      </c>
    </row>
    <row r="2817" spans="1:8" x14ac:dyDescent="0.25">
      <c r="A2817" s="212">
        <v>41893</v>
      </c>
      <c r="B2817" s="160" t="s">
        <v>286</v>
      </c>
      <c r="C2817" t="s">
        <v>633</v>
      </c>
      <c r="D2817" t="s">
        <v>27</v>
      </c>
      <c r="E2817" s="161">
        <v>2</v>
      </c>
      <c r="F2817" s="161">
        <v>90</v>
      </c>
      <c r="G2817" s="162">
        <v>180</v>
      </c>
      <c r="H2817" s="67">
        <v>907</v>
      </c>
    </row>
    <row r="2818" spans="1:8" x14ac:dyDescent="0.25">
      <c r="A2818" s="212">
        <v>41893</v>
      </c>
      <c r="B2818" s="160" t="s">
        <v>1211</v>
      </c>
      <c r="C2818" t="s">
        <v>1233</v>
      </c>
      <c r="D2818" t="s">
        <v>27</v>
      </c>
      <c r="E2818" s="161">
        <v>9</v>
      </c>
      <c r="F2818" s="161">
        <v>54.58</v>
      </c>
      <c r="G2818" s="162">
        <v>491.22</v>
      </c>
      <c r="H2818" s="67">
        <v>907</v>
      </c>
    </row>
    <row r="2819" spans="1:8" x14ac:dyDescent="0.25">
      <c r="A2819" s="212">
        <v>41894</v>
      </c>
      <c r="B2819" s="160" t="s">
        <v>634</v>
      </c>
      <c r="C2819" t="s">
        <v>635</v>
      </c>
      <c r="D2819" t="s">
        <v>27</v>
      </c>
      <c r="E2819" s="161">
        <v>6</v>
      </c>
      <c r="F2819" s="161">
        <v>92.5</v>
      </c>
      <c r="G2819" s="162">
        <v>555</v>
      </c>
      <c r="H2819" s="67">
        <v>907</v>
      </c>
    </row>
    <row r="2820" spans="1:8" ht="30" x14ac:dyDescent="0.25">
      <c r="A2820" s="212">
        <v>41895</v>
      </c>
      <c r="B2820" s="160" t="s">
        <v>1082</v>
      </c>
      <c r="C2820" t="s">
        <v>949</v>
      </c>
      <c r="D2820" t="s">
        <v>527</v>
      </c>
      <c r="E2820" s="161">
        <v>1</v>
      </c>
      <c r="F2820" s="161">
        <v>702</v>
      </c>
      <c r="G2820" s="162">
        <v>702</v>
      </c>
      <c r="H2820" s="67">
        <v>907</v>
      </c>
    </row>
    <row r="2821" spans="1:8" ht="30" x14ac:dyDescent="0.25">
      <c r="A2821" s="212">
        <v>41896</v>
      </c>
      <c r="B2821" s="160" t="s">
        <v>1083</v>
      </c>
      <c r="C2821" t="s">
        <v>949</v>
      </c>
      <c r="D2821" t="s">
        <v>527</v>
      </c>
      <c r="E2821" s="161">
        <v>1</v>
      </c>
      <c r="F2821" s="161">
        <v>1865</v>
      </c>
      <c r="G2821" s="162">
        <v>1865</v>
      </c>
      <c r="H2821" s="67">
        <v>907</v>
      </c>
    </row>
    <row r="2822" spans="1:8" x14ac:dyDescent="0.25">
      <c r="A2822" s="212">
        <v>41897</v>
      </c>
      <c r="B2822" s="160" t="s">
        <v>1211</v>
      </c>
      <c r="C2822" t="s">
        <v>1233</v>
      </c>
      <c r="D2822" t="s">
        <v>27</v>
      </c>
      <c r="E2822" s="161">
        <v>8</v>
      </c>
      <c r="F2822" s="161">
        <v>54.58</v>
      </c>
      <c r="G2822" s="162">
        <v>436.64</v>
      </c>
      <c r="H2822" s="67">
        <v>907</v>
      </c>
    </row>
    <row r="2823" spans="1:8" x14ac:dyDescent="0.25">
      <c r="A2823" s="212">
        <v>41898</v>
      </c>
      <c r="B2823" s="160" t="s">
        <v>7</v>
      </c>
      <c r="C2823" t="s">
        <v>622</v>
      </c>
      <c r="D2823" t="s">
        <v>27</v>
      </c>
      <c r="E2823" s="161">
        <v>8.5</v>
      </c>
      <c r="F2823" s="161">
        <v>45</v>
      </c>
      <c r="G2823" s="162">
        <v>382.5</v>
      </c>
      <c r="H2823" s="67">
        <v>907</v>
      </c>
    </row>
    <row r="2824" spans="1:8" x14ac:dyDescent="0.25">
      <c r="A2824" s="212">
        <v>41898</v>
      </c>
      <c r="B2824" s="160" t="s">
        <v>634</v>
      </c>
      <c r="C2824" t="s">
        <v>635</v>
      </c>
      <c r="D2824" t="s">
        <v>27</v>
      </c>
      <c r="E2824" s="161">
        <v>6</v>
      </c>
      <c r="F2824" s="161">
        <v>92.5</v>
      </c>
      <c r="G2824" s="162">
        <v>555</v>
      </c>
      <c r="H2824" s="67">
        <v>907</v>
      </c>
    </row>
    <row r="2825" spans="1:8" x14ac:dyDescent="0.25">
      <c r="A2825" s="212">
        <v>41898</v>
      </c>
      <c r="B2825" s="160" t="s">
        <v>623</v>
      </c>
      <c r="C2825" t="s">
        <v>7</v>
      </c>
      <c r="D2825" t="s">
        <v>27</v>
      </c>
      <c r="E2825" s="161">
        <v>4.75</v>
      </c>
      <c r="F2825" s="161">
        <v>46.85</v>
      </c>
      <c r="G2825" s="162">
        <v>222.53749999999999</v>
      </c>
      <c r="H2825" s="67">
        <v>907</v>
      </c>
    </row>
    <row r="2826" spans="1:8" x14ac:dyDescent="0.25">
      <c r="A2826" s="212">
        <v>41898</v>
      </c>
      <c r="B2826" s="160" t="s">
        <v>623</v>
      </c>
      <c r="C2826" t="s">
        <v>7</v>
      </c>
      <c r="D2826" t="s">
        <v>27</v>
      </c>
      <c r="E2826" s="161">
        <v>4.75</v>
      </c>
      <c r="F2826" s="161">
        <v>46.85</v>
      </c>
      <c r="G2826" s="162">
        <v>222.53749999999999</v>
      </c>
      <c r="H2826" s="67">
        <v>907</v>
      </c>
    </row>
    <row r="2827" spans="1:8" x14ac:dyDescent="0.25">
      <c r="A2827" s="212">
        <v>41898</v>
      </c>
      <c r="B2827" s="160" t="s">
        <v>1209</v>
      </c>
      <c r="C2827" t="s">
        <v>1210</v>
      </c>
      <c r="D2827" t="s">
        <v>27</v>
      </c>
      <c r="E2827" s="161">
        <v>3</v>
      </c>
      <c r="F2827" s="161">
        <v>42.79</v>
      </c>
      <c r="G2827" s="162">
        <v>128.37</v>
      </c>
      <c r="H2827" s="67">
        <v>907</v>
      </c>
    </row>
    <row r="2828" spans="1:8" x14ac:dyDescent="0.25">
      <c r="A2828" s="212">
        <v>41898</v>
      </c>
      <c r="B2828" s="160" t="s">
        <v>1211</v>
      </c>
      <c r="C2828" t="s">
        <v>1233</v>
      </c>
      <c r="D2828" t="s">
        <v>27</v>
      </c>
      <c r="E2828" s="161">
        <v>8.5</v>
      </c>
      <c r="F2828" s="161">
        <v>54.58</v>
      </c>
      <c r="G2828" s="162">
        <v>463.93</v>
      </c>
      <c r="H2828" s="67">
        <v>907</v>
      </c>
    </row>
    <row r="2829" spans="1:8" x14ac:dyDescent="0.25">
      <c r="A2829" s="212">
        <v>41898</v>
      </c>
      <c r="B2829" s="160" t="s">
        <v>1109</v>
      </c>
      <c r="C2829" t="s">
        <v>7</v>
      </c>
      <c r="D2829" t="s">
        <v>27</v>
      </c>
      <c r="E2829" s="161">
        <v>8.5</v>
      </c>
      <c r="F2829" s="161">
        <v>42.72</v>
      </c>
      <c r="G2829" s="162">
        <v>363.12</v>
      </c>
      <c r="H2829" s="67">
        <v>907</v>
      </c>
    </row>
    <row r="2830" spans="1:8" x14ac:dyDescent="0.25">
      <c r="A2830" s="212">
        <v>41898</v>
      </c>
      <c r="B2830" s="160" t="s">
        <v>1226</v>
      </c>
      <c r="C2830" t="s">
        <v>7</v>
      </c>
      <c r="D2830" t="s">
        <v>27</v>
      </c>
      <c r="E2830" s="161">
        <v>8.5</v>
      </c>
      <c r="F2830" s="161">
        <v>42.72</v>
      </c>
      <c r="G2830" s="162">
        <v>363.12</v>
      </c>
      <c r="H2830" s="67">
        <v>907</v>
      </c>
    </row>
    <row r="2831" spans="1:8" x14ac:dyDescent="0.25">
      <c r="A2831" s="212">
        <v>41898</v>
      </c>
      <c r="B2831" s="160" t="s">
        <v>1212</v>
      </c>
      <c r="C2831" t="s">
        <v>7</v>
      </c>
      <c r="D2831" t="s">
        <v>27</v>
      </c>
      <c r="E2831" s="161">
        <v>8.5</v>
      </c>
      <c r="F2831" s="161">
        <v>42.72</v>
      </c>
      <c r="G2831" s="162">
        <v>363.12</v>
      </c>
      <c r="H2831" s="67">
        <v>907</v>
      </c>
    </row>
    <row r="2832" spans="1:8" x14ac:dyDescent="0.25">
      <c r="A2832" s="212">
        <v>41899</v>
      </c>
      <c r="B2832" s="160" t="s">
        <v>1211</v>
      </c>
      <c r="C2832" t="s">
        <v>1233</v>
      </c>
      <c r="D2832" t="s">
        <v>27</v>
      </c>
      <c r="E2832" s="161">
        <v>8</v>
      </c>
      <c r="F2832" s="161">
        <v>54.58</v>
      </c>
      <c r="G2832" s="162">
        <v>436.64</v>
      </c>
      <c r="H2832" s="67">
        <v>907</v>
      </c>
    </row>
    <row r="2833" spans="1:8" x14ac:dyDescent="0.25">
      <c r="A2833" s="212">
        <v>41899</v>
      </c>
      <c r="B2833" s="160" t="s">
        <v>7</v>
      </c>
      <c r="C2833" t="s">
        <v>622</v>
      </c>
      <c r="D2833" t="s">
        <v>27</v>
      </c>
      <c r="E2833" s="161">
        <v>8</v>
      </c>
      <c r="F2833" s="161">
        <v>45</v>
      </c>
      <c r="G2833" s="162">
        <v>360</v>
      </c>
      <c r="H2833" s="67">
        <v>907</v>
      </c>
    </row>
    <row r="2834" spans="1:8" x14ac:dyDescent="0.25">
      <c r="A2834" s="212">
        <v>41899</v>
      </c>
      <c r="B2834" s="160" t="s">
        <v>623</v>
      </c>
      <c r="C2834" t="s">
        <v>7</v>
      </c>
      <c r="D2834" t="s">
        <v>27</v>
      </c>
      <c r="E2834" s="161">
        <v>8.5</v>
      </c>
      <c r="F2834" s="161">
        <v>46.85</v>
      </c>
      <c r="G2834" s="162">
        <v>398.22500000000002</v>
      </c>
      <c r="H2834" s="67">
        <v>907</v>
      </c>
    </row>
    <row r="2835" spans="1:8" x14ac:dyDescent="0.25">
      <c r="A2835" s="212">
        <v>41899</v>
      </c>
      <c r="B2835" s="160" t="s">
        <v>623</v>
      </c>
      <c r="C2835" t="s">
        <v>7</v>
      </c>
      <c r="D2835" t="s">
        <v>527</v>
      </c>
      <c r="E2835" s="161">
        <v>8.5</v>
      </c>
      <c r="F2835" s="161">
        <v>46.85</v>
      </c>
      <c r="G2835" s="162">
        <v>398.22500000000002</v>
      </c>
      <c r="H2835" s="67">
        <v>907</v>
      </c>
    </row>
    <row r="2836" spans="1:8" x14ac:dyDescent="0.25">
      <c r="A2836" s="212">
        <v>41899</v>
      </c>
      <c r="B2836" s="160" t="s">
        <v>1226</v>
      </c>
      <c r="C2836" t="s">
        <v>7</v>
      </c>
      <c r="D2836" t="s">
        <v>27</v>
      </c>
      <c r="E2836" s="161">
        <v>10.75</v>
      </c>
      <c r="F2836" s="161">
        <v>42.72</v>
      </c>
      <c r="G2836" s="162">
        <v>459.24</v>
      </c>
      <c r="H2836" s="67">
        <v>907</v>
      </c>
    </row>
    <row r="2837" spans="1:8" x14ac:dyDescent="0.25">
      <c r="A2837" s="212">
        <v>41899</v>
      </c>
      <c r="B2837" s="160" t="s">
        <v>1109</v>
      </c>
      <c r="C2837" t="s">
        <v>7</v>
      </c>
      <c r="D2837" t="s">
        <v>27</v>
      </c>
      <c r="E2837" s="161">
        <v>8</v>
      </c>
      <c r="F2837" s="161">
        <v>42.72</v>
      </c>
      <c r="G2837" s="162">
        <v>341.76</v>
      </c>
      <c r="H2837" s="67">
        <v>907</v>
      </c>
    </row>
    <row r="2838" spans="1:8" x14ac:dyDescent="0.25">
      <c r="A2838" s="212">
        <v>41899</v>
      </c>
      <c r="B2838" s="160" t="s">
        <v>1212</v>
      </c>
      <c r="C2838" t="s">
        <v>7</v>
      </c>
      <c r="D2838" t="s">
        <v>27</v>
      </c>
      <c r="E2838" s="161">
        <v>8</v>
      </c>
      <c r="F2838" s="161">
        <v>42.72</v>
      </c>
      <c r="G2838" s="162">
        <v>341.76</v>
      </c>
      <c r="H2838" s="67">
        <v>907</v>
      </c>
    </row>
    <row r="2839" spans="1:8" x14ac:dyDescent="0.25">
      <c r="A2839" s="212">
        <v>41900</v>
      </c>
      <c r="B2839" s="160" t="s">
        <v>1211</v>
      </c>
      <c r="C2839" t="s">
        <v>1233</v>
      </c>
      <c r="D2839" t="s">
        <v>27</v>
      </c>
      <c r="E2839" s="161">
        <v>8</v>
      </c>
      <c r="F2839" s="161">
        <v>54.58</v>
      </c>
      <c r="G2839" s="162">
        <v>436.64</v>
      </c>
      <c r="H2839" s="67">
        <v>907</v>
      </c>
    </row>
    <row r="2840" spans="1:8" x14ac:dyDescent="0.25">
      <c r="A2840" s="212">
        <v>41900</v>
      </c>
      <c r="B2840" s="160" t="s">
        <v>1212</v>
      </c>
      <c r="C2840" t="s">
        <v>7</v>
      </c>
      <c r="D2840" t="s">
        <v>27</v>
      </c>
      <c r="E2840" s="161">
        <v>8</v>
      </c>
      <c r="F2840" s="161">
        <v>42.72</v>
      </c>
      <c r="G2840" s="162">
        <v>341.76</v>
      </c>
      <c r="H2840" s="67">
        <v>907</v>
      </c>
    </row>
    <row r="2841" spans="1:8" x14ac:dyDescent="0.25">
      <c r="A2841" s="212">
        <v>41900</v>
      </c>
      <c r="B2841" s="160" t="s">
        <v>1109</v>
      </c>
      <c r="C2841" t="s">
        <v>7</v>
      </c>
      <c r="D2841" t="s">
        <v>27</v>
      </c>
      <c r="E2841" s="161">
        <v>8</v>
      </c>
      <c r="F2841" s="161">
        <v>42.72</v>
      </c>
      <c r="G2841" s="162">
        <v>341.76</v>
      </c>
      <c r="H2841" s="67">
        <v>907</v>
      </c>
    </row>
    <row r="2842" spans="1:8" x14ac:dyDescent="0.25">
      <c r="A2842" s="212">
        <v>41900</v>
      </c>
      <c r="B2842" s="160" t="s">
        <v>623</v>
      </c>
      <c r="C2842" t="s">
        <v>7</v>
      </c>
      <c r="D2842" t="s">
        <v>27</v>
      </c>
      <c r="E2842" s="161">
        <v>4</v>
      </c>
      <c r="F2842" s="161">
        <v>46.85</v>
      </c>
      <c r="G2842" s="162">
        <v>187.4</v>
      </c>
      <c r="H2842" s="67">
        <v>907</v>
      </c>
    </row>
    <row r="2843" spans="1:8" x14ac:dyDescent="0.25">
      <c r="A2843" s="212">
        <v>41900</v>
      </c>
      <c r="B2843" s="160" t="s">
        <v>623</v>
      </c>
      <c r="C2843" t="s">
        <v>7</v>
      </c>
      <c r="D2843" t="s">
        <v>27</v>
      </c>
      <c r="E2843" s="161">
        <v>4</v>
      </c>
      <c r="F2843" s="161">
        <v>46.85</v>
      </c>
      <c r="G2843" s="162">
        <v>187.4</v>
      </c>
      <c r="H2843" s="67">
        <v>907</v>
      </c>
    </row>
    <row r="2844" spans="1:8" x14ac:dyDescent="0.25">
      <c r="A2844" s="212">
        <v>41900</v>
      </c>
      <c r="B2844" s="160" t="s">
        <v>7</v>
      </c>
      <c r="C2844" t="s">
        <v>622</v>
      </c>
      <c r="D2844" t="s">
        <v>27</v>
      </c>
      <c r="E2844" s="161">
        <v>8</v>
      </c>
      <c r="F2844" s="161">
        <v>45</v>
      </c>
      <c r="G2844" s="162">
        <v>360</v>
      </c>
      <c r="H2844" s="67">
        <v>907</v>
      </c>
    </row>
    <row r="2845" spans="1:8" x14ac:dyDescent="0.25">
      <c r="A2845" s="212">
        <v>41903</v>
      </c>
      <c r="B2845" s="160" t="s">
        <v>1084</v>
      </c>
      <c r="C2845" t="s">
        <v>630</v>
      </c>
      <c r="D2845" t="s">
        <v>27</v>
      </c>
      <c r="E2845" s="161">
        <v>6</v>
      </c>
      <c r="F2845" s="161">
        <v>20</v>
      </c>
      <c r="G2845" s="162">
        <v>120</v>
      </c>
      <c r="H2845" s="67">
        <v>907</v>
      </c>
    </row>
    <row r="2846" spans="1:8" x14ac:dyDescent="0.25">
      <c r="A2846" s="212">
        <v>41903</v>
      </c>
      <c r="B2846" s="160" t="s">
        <v>1211</v>
      </c>
      <c r="C2846" t="s">
        <v>1233</v>
      </c>
      <c r="D2846" t="s">
        <v>27</v>
      </c>
      <c r="E2846" s="161">
        <v>5.5</v>
      </c>
      <c r="F2846" s="161">
        <v>54.58</v>
      </c>
      <c r="G2846" s="162">
        <v>300.19</v>
      </c>
      <c r="H2846" s="67">
        <v>907</v>
      </c>
    </row>
    <row r="2847" spans="1:8" x14ac:dyDescent="0.25">
      <c r="A2847" s="212">
        <v>41904</v>
      </c>
      <c r="B2847" s="160" t="s">
        <v>634</v>
      </c>
      <c r="C2847" t="s">
        <v>635</v>
      </c>
      <c r="D2847" t="s">
        <v>27</v>
      </c>
      <c r="E2847" s="161">
        <v>5</v>
      </c>
      <c r="F2847" s="161">
        <v>92.5</v>
      </c>
      <c r="G2847" s="162">
        <v>462.5</v>
      </c>
      <c r="H2847" s="67">
        <v>907</v>
      </c>
    </row>
    <row r="2848" spans="1:8" x14ac:dyDescent="0.25">
      <c r="A2848" s="212">
        <v>41904</v>
      </c>
      <c r="B2848" s="160" t="s">
        <v>623</v>
      </c>
      <c r="C2848" t="s">
        <v>7</v>
      </c>
      <c r="D2848" t="s">
        <v>27</v>
      </c>
      <c r="E2848" s="161">
        <v>3</v>
      </c>
      <c r="F2848" s="161">
        <v>42.6</v>
      </c>
      <c r="G2848" s="162">
        <v>127.8</v>
      </c>
      <c r="H2848" s="67">
        <v>907</v>
      </c>
    </row>
    <row r="2849" spans="1:8" x14ac:dyDescent="0.25">
      <c r="A2849" s="212">
        <v>41904</v>
      </c>
      <c r="B2849" s="160" t="s">
        <v>1212</v>
      </c>
      <c r="C2849" t="s">
        <v>7</v>
      </c>
      <c r="D2849" t="s">
        <v>27</v>
      </c>
      <c r="E2849" s="161">
        <v>4</v>
      </c>
      <c r="F2849" s="161">
        <v>42.72</v>
      </c>
      <c r="G2849" s="162">
        <v>170.88</v>
      </c>
      <c r="H2849" s="67">
        <v>907</v>
      </c>
    </row>
    <row r="2850" spans="1:8" x14ac:dyDescent="0.25">
      <c r="A2850" s="212">
        <v>41904</v>
      </c>
      <c r="B2850" s="160" t="s">
        <v>623</v>
      </c>
      <c r="C2850" t="s">
        <v>7</v>
      </c>
      <c r="D2850" t="s">
        <v>27</v>
      </c>
      <c r="E2850" s="161">
        <v>8</v>
      </c>
      <c r="F2850" s="161">
        <v>46.85</v>
      </c>
      <c r="G2850" s="162">
        <v>374.8</v>
      </c>
      <c r="H2850" s="67">
        <v>907</v>
      </c>
    </row>
    <row r="2851" spans="1:8" x14ac:dyDescent="0.25">
      <c r="A2851" s="212">
        <v>41904</v>
      </c>
      <c r="B2851" s="160" t="s">
        <v>1211</v>
      </c>
      <c r="C2851" t="s">
        <v>1233</v>
      </c>
      <c r="D2851" t="s">
        <v>27</v>
      </c>
      <c r="E2851" s="161">
        <v>8</v>
      </c>
      <c r="F2851" s="161">
        <v>54.58</v>
      </c>
      <c r="G2851" s="162">
        <v>436.64</v>
      </c>
      <c r="H2851" s="67">
        <v>907</v>
      </c>
    </row>
    <row r="2852" spans="1:8" x14ac:dyDescent="0.25">
      <c r="A2852" s="212">
        <v>41904</v>
      </c>
      <c r="B2852" s="160" t="s">
        <v>623</v>
      </c>
      <c r="C2852" t="s">
        <v>7</v>
      </c>
      <c r="D2852" t="s">
        <v>27</v>
      </c>
      <c r="E2852" s="161">
        <v>8</v>
      </c>
      <c r="F2852" s="161">
        <v>46.85</v>
      </c>
      <c r="G2852" s="162">
        <v>374.8</v>
      </c>
      <c r="H2852" s="67">
        <v>907</v>
      </c>
    </row>
    <row r="2853" spans="1:8" x14ac:dyDescent="0.25">
      <c r="A2853" s="212">
        <v>41904</v>
      </c>
      <c r="B2853" s="160" t="s">
        <v>7</v>
      </c>
      <c r="C2853" t="s">
        <v>622</v>
      </c>
      <c r="D2853" t="s">
        <v>27</v>
      </c>
      <c r="E2853" s="161">
        <v>8</v>
      </c>
      <c r="F2853" s="161">
        <v>45</v>
      </c>
      <c r="G2853" s="162">
        <v>360</v>
      </c>
      <c r="H2853" s="67">
        <v>907</v>
      </c>
    </row>
    <row r="2854" spans="1:8" x14ac:dyDescent="0.25">
      <c r="A2854" s="212">
        <v>41904</v>
      </c>
      <c r="B2854" s="160" t="s">
        <v>1109</v>
      </c>
      <c r="C2854" t="s">
        <v>7</v>
      </c>
      <c r="D2854" t="s">
        <v>27</v>
      </c>
      <c r="E2854" s="161">
        <v>8.5</v>
      </c>
      <c r="F2854" s="161">
        <v>42.72</v>
      </c>
      <c r="G2854" s="162">
        <v>363.12</v>
      </c>
      <c r="H2854" s="67">
        <v>907</v>
      </c>
    </row>
    <row r="2855" spans="1:8" ht="45" x14ac:dyDescent="0.25">
      <c r="A2855" s="212">
        <v>41904</v>
      </c>
      <c r="B2855" s="160" t="s">
        <v>1085</v>
      </c>
      <c r="C2855" t="s">
        <v>1086</v>
      </c>
      <c r="D2855" t="s">
        <v>527</v>
      </c>
      <c r="E2855" s="161">
        <v>1</v>
      </c>
      <c r="F2855" s="161">
        <v>1837.07</v>
      </c>
      <c r="G2855" s="162">
        <v>1837.07</v>
      </c>
      <c r="H2855" s="67">
        <v>907</v>
      </c>
    </row>
    <row r="2856" spans="1:8" x14ac:dyDescent="0.25">
      <c r="A2856" s="212">
        <v>41905</v>
      </c>
      <c r="B2856" s="160" t="s">
        <v>623</v>
      </c>
      <c r="C2856" t="s">
        <v>7</v>
      </c>
      <c r="D2856" t="s">
        <v>27</v>
      </c>
      <c r="E2856" s="161">
        <v>4</v>
      </c>
      <c r="F2856" s="161">
        <v>42.6</v>
      </c>
      <c r="G2856" s="162">
        <v>170.4</v>
      </c>
      <c r="H2856" s="67">
        <v>907</v>
      </c>
    </row>
    <row r="2857" spans="1:8" x14ac:dyDescent="0.25">
      <c r="A2857" s="212">
        <v>41905</v>
      </c>
      <c r="B2857" s="160" t="s">
        <v>1211</v>
      </c>
      <c r="C2857" t="s">
        <v>1233</v>
      </c>
      <c r="D2857" t="s">
        <v>27</v>
      </c>
      <c r="E2857" s="161">
        <v>2.5</v>
      </c>
      <c r="F2857" s="161">
        <v>54.58</v>
      </c>
      <c r="G2857" s="162">
        <v>136.44999999999999</v>
      </c>
      <c r="H2857" s="67">
        <v>907</v>
      </c>
    </row>
    <row r="2858" spans="1:8" x14ac:dyDescent="0.25">
      <c r="A2858" s="212">
        <v>41905</v>
      </c>
      <c r="B2858" s="160" t="s">
        <v>623</v>
      </c>
      <c r="C2858" t="s">
        <v>7</v>
      </c>
      <c r="D2858" t="s">
        <v>27</v>
      </c>
      <c r="E2858" s="161">
        <v>4</v>
      </c>
      <c r="F2858" s="161">
        <v>46.85</v>
      </c>
      <c r="G2858" s="162">
        <v>187.4</v>
      </c>
      <c r="H2858" s="67">
        <v>907</v>
      </c>
    </row>
    <row r="2859" spans="1:8" x14ac:dyDescent="0.25">
      <c r="A2859" s="212">
        <v>41905</v>
      </c>
      <c r="B2859" s="160" t="s">
        <v>623</v>
      </c>
      <c r="C2859" t="s">
        <v>7</v>
      </c>
      <c r="D2859" t="s">
        <v>27</v>
      </c>
      <c r="E2859" s="161">
        <v>4</v>
      </c>
      <c r="F2859" s="161">
        <v>46.85</v>
      </c>
      <c r="G2859" s="162">
        <v>187.4</v>
      </c>
      <c r="H2859" s="67">
        <v>907</v>
      </c>
    </row>
    <row r="2860" spans="1:8" x14ac:dyDescent="0.25">
      <c r="A2860" s="212">
        <v>41905</v>
      </c>
      <c r="B2860" s="160" t="s">
        <v>1212</v>
      </c>
      <c r="C2860" t="s">
        <v>7</v>
      </c>
      <c r="D2860" t="s">
        <v>27</v>
      </c>
      <c r="E2860" s="161">
        <v>2.5</v>
      </c>
      <c r="F2860" s="161">
        <v>42.72</v>
      </c>
      <c r="G2860" s="162">
        <v>106.8</v>
      </c>
      <c r="H2860" s="67">
        <v>907</v>
      </c>
    </row>
    <row r="2861" spans="1:8" x14ac:dyDescent="0.25">
      <c r="A2861" s="212">
        <v>41905</v>
      </c>
      <c r="B2861" s="160" t="s">
        <v>1109</v>
      </c>
      <c r="C2861" t="s">
        <v>7</v>
      </c>
      <c r="D2861" t="s">
        <v>27</v>
      </c>
      <c r="E2861" s="161">
        <v>3.5</v>
      </c>
      <c r="F2861" s="161">
        <v>42.72</v>
      </c>
      <c r="G2861" s="162">
        <v>149.52000000000001</v>
      </c>
      <c r="H2861" s="67">
        <v>907</v>
      </c>
    </row>
    <row r="2862" spans="1:8" x14ac:dyDescent="0.25">
      <c r="A2862" s="212">
        <v>41906</v>
      </c>
      <c r="B2862" s="160" t="s">
        <v>7</v>
      </c>
      <c r="C2862" t="s">
        <v>622</v>
      </c>
      <c r="D2862" t="s">
        <v>27</v>
      </c>
      <c r="E2862" s="161">
        <v>5.5</v>
      </c>
      <c r="F2862" s="161">
        <v>45</v>
      </c>
      <c r="G2862" s="162">
        <v>247.5</v>
      </c>
      <c r="H2862" s="67">
        <v>907</v>
      </c>
    </row>
    <row r="2863" spans="1:8" x14ac:dyDescent="0.25">
      <c r="A2863" s="212">
        <v>41906</v>
      </c>
      <c r="B2863" s="160" t="s">
        <v>1212</v>
      </c>
      <c r="C2863" t="s">
        <v>7</v>
      </c>
      <c r="D2863" t="s">
        <v>27</v>
      </c>
      <c r="E2863" s="161">
        <v>2.5</v>
      </c>
      <c r="F2863" s="161">
        <v>42.72</v>
      </c>
      <c r="G2863" s="162">
        <v>106.8</v>
      </c>
      <c r="H2863" s="67">
        <v>907</v>
      </c>
    </row>
    <row r="2864" spans="1:8" x14ac:dyDescent="0.25">
      <c r="A2864" s="212">
        <v>41906</v>
      </c>
      <c r="B2864" s="160" t="s">
        <v>1211</v>
      </c>
      <c r="C2864" t="s">
        <v>1233</v>
      </c>
      <c r="D2864" t="s">
        <v>27</v>
      </c>
      <c r="E2864" s="161">
        <v>6.5</v>
      </c>
      <c r="F2864" s="161">
        <v>54.58</v>
      </c>
      <c r="G2864" s="162">
        <v>354.77</v>
      </c>
      <c r="H2864" s="67">
        <v>907</v>
      </c>
    </row>
    <row r="2865" spans="1:8" x14ac:dyDescent="0.25">
      <c r="A2865" s="212">
        <v>41906</v>
      </c>
      <c r="B2865" s="160" t="s">
        <v>634</v>
      </c>
      <c r="C2865" t="s">
        <v>635</v>
      </c>
      <c r="D2865" t="s">
        <v>27</v>
      </c>
      <c r="E2865" s="161">
        <v>2.5</v>
      </c>
      <c r="F2865" s="161">
        <v>45</v>
      </c>
      <c r="G2865" s="162">
        <v>112.5</v>
      </c>
      <c r="H2865" s="67">
        <v>907</v>
      </c>
    </row>
    <row r="2866" spans="1:8" x14ac:dyDescent="0.25">
      <c r="A2866" s="212">
        <v>41906</v>
      </c>
      <c r="B2866" s="160" t="s">
        <v>623</v>
      </c>
      <c r="C2866" t="s">
        <v>7</v>
      </c>
      <c r="D2866" t="s">
        <v>27</v>
      </c>
      <c r="E2866" s="161">
        <v>2.5</v>
      </c>
      <c r="F2866" s="161">
        <v>42.6</v>
      </c>
      <c r="G2866" s="162">
        <v>106.5</v>
      </c>
      <c r="H2866" s="67">
        <v>907</v>
      </c>
    </row>
    <row r="2867" spans="1:8" x14ac:dyDescent="0.25">
      <c r="A2867" s="212">
        <v>41906</v>
      </c>
      <c r="B2867" s="160" t="s">
        <v>1109</v>
      </c>
      <c r="C2867" t="s">
        <v>7</v>
      </c>
      <c r="D2867" t="s">
        <v>27</v>
      </c>
      <c r="E2867" s="161">
        <v>8</v>
      </c>
      <c r="F2867" s="161">
        <v>42.72</v>
      </c>
      <c r="G2867" s="162">
        <v>341.76</v>
      </c>
      <c r="H2867" s="67">
        <v>907</v>
      </c>
    </row>
    <row r="2868" spans="1:8" x14ac:dyDescent="0.25">
      <c r="A2868" s="212">
        <v>41911</v>
      </c>
      <c r="B2868" s="160" t="s">
        <v>1088</v>
      </c>
      <c r="C2868" t="s">
        <v>643</v>
      </c>
      <c r="D2868" t="s">
        <v>527</v>
      </c>
      <c r="E2868" s="161">
        <v>1</v>
      </c>
      <c r="F2868" s="161">
        <v>18.95</v>
      </c>
      <c r="G2868" s="162">
        <v>18.95</v>
      </c>
      <c r="H2868" s="67">
        <v>907</v>
      </c>
    </row>
    <row r="2869" spans="1:8" x14ac:dyDescent="0.25">
      <c r="A2869" s="212">
        <v>41911</v>
      </c>
      <c r="B2869" s="160" t="s">
        <v>1087</v>
      </c>
      <c r="C2869" t="s">
        <v>643</v>
      </c>
      <c r="D2869" t="s">
        <v>527</v>
      </c>
      <c r="E2869" s="161">
        <v>1</v>
      </c>
      <c r="F2869" s="161">
        <v>41.81</v>
      </c>
      <c r="G2869" s="162">
        <v>41.81</v>
      </c>
      <c r="H2869" s="67">
        <v>907</v>
      </c>
    </row>
    <row r="2870" spans="1:8" x14ac:dyDescent="0.25">
      <c r="A2870" s="212">
        <v>41941</v>
      </c>
      <c r="B2870" s="160" t="s">
        <v>1089</v>
      </c>
      <c r="C2870" t="s">
        <v>643</v>
      </c>
      <c r="D2870" t="s">
        <v>527</v>
      </c>
      <c r="E2870" s="161">
        <v>1</v>
      </c>
      <c r="F2870" s="161">
        <v>41.81</v>
      </c>
      <c r="G2870" s="162">
        <v>41.81</v>
      </c>
      <c r="H2870" s="67">
        <v>907</v>
      </c>
    </row>
    <row r="2871" spans="1:8" x14ac:dyDescent="0.25">
      <c r="A2871" s="212">
        <v>41943</v>
      </c>
      <c r="B2871" s="160" t="s">
        <v>1090</v>
      </c>
      <c r="C2871" t="s">
        <v>949</v>
      </c>
      <c r="D2871" t="s">
        <v>527</v>
      </c>
      <c r="E2871" s="161">
        <v>1</v>
      </c>
      <c r="F2871" s="161">
        <v>580</v>
      </c>
      <c r="G2871" s="162">
        <v>580</v>
      </c>
      <c r="H2871" s="67">
        <v>907</v>
      </c>
    </row>
    <row r="2872" spans="1:8" x14ac:dyDescent="0.25">
      <c r="A2872" s="212">
        <v>41956</v>
      </c>
      <c r="B2872" s="160" t="s">
        <v>1212</v>
      </c>
      <c r="C2872" t="s">
        <v>7</v>
      </c>
      <c r="D2872" t="s">
        <v>27</v>
      </c>
      <c r="E2872" s="161">
        <v>8</v>
      </c>
      <c r="F2872" s="161">
        <v>42.72</v>
      </c>
      <c r="G2872" s="162">
        <v>341.76</v>
      </c>
      <c r="H2872" s="67">
        <v>907</v>
      </c>
    </row>
    <row r="2873" spans="1:8" x14ac:dyDescent="0.25">
      <c r="A2873" s="212">
        <v>41956</v>
      </c>
      <c r="B2873" s="160" t="s">
        <v>1212</v>
      </c>
      <c r="C2873" t="s">
        <v>7</v>
      </c>
      <c r="D2873" t="s">
        <v>27</v>
      </c>
      <c r="E2873" s="161">
        <v>8</v>
      </c>
      <c r="F2873" s="161">
        <v>42.72</v>
      </c>
      <c r="G2873" s="162">
        <v>341.76</v>
      </c>
      <c r="H2873" s="67">
        <v>907</v>
      </c>
    </row>
    <row r="2874" spans="1:8" x14ac:dyDescent="0.25">
      <c r="A2874" s="212">
        <v>41959</v>
      </c>
      <c r="B2874" s="160" t="s">
        <v>1091</v>
      </c>
      <c r="C2874" t="s">
        <v>949</v>
      </c>
      <c r="D2874" t="s">
        <v>527</v>
      </c>
      <c r="E2874" s="161">
        <v>1</v>
      </c>
      <c r="F2874" s="161">
        <v>2420</v>
      </c>
      <c r="G2874" s="162">
        <v>2420</v>
      </c>
      <c r="H2874" s="67">
        <v>907</v>
      </c>
    </row>
    <row r="2875" spans="1:8" x14ac:dyDescent="0.25">
      <c r="A2875" s="212">
        <v>41959</v>
      </c>
      <c r="B2875" s="160" t="s">
        <v>1092</v>
      </c>
      <c r="C2875" t="s">
        <v>949</v>
      </c>
      <c r="D2875" t="s">
        <v>527</v>
      </c>
      <c r="E2875" s="161">
        <v>1</v>
      </c>
      <c r="F2875" s="161">
        <v>1315</v>
      </c>
      <c r="G2875" s="162">
        <v>1315</v>
      </c>
      <c r="H2875" s="67">
        <v>907</v>
      </c>
    </row>
    <row r="2876" spans="1:8" x14ac:dyDescent="0.25">
      <c r="A2876" s="212">
        <v>41981</v>
      </c>
      <c r="B2876" s="160" t="s">
        <v>1109</v>
      </c>
      <c r="C2876" t="s">
        <v>7</v>
      </c>
      <c r="D2876" t="s">
        <v>27</v>
      </c>
      <c r="E2876" s="161">
        <v>4.5</v>
      </c>
      <c r="F2876" s="161">
        <v>42.72</v>
      </c>
      <c r="G2876" s="162">
        <v>192.24</v>
      </c>
      <c r="H2876" s="67">
        <v>907</v>
      </c>
    </row>
    <row r="2877" spans="1:8" x14ac:dyDescent="0.25">
      <c r="A2877" s="212">
        <v>41984</v>
      </c>
      <c r="B2877" s="160" t="s">
        <v>1093</v>
      </c>
      <c r="C2877" t="s">
        <v>643</v>
      </c>
      <c r="D2877" t="s">
        <v>527</v>
      </c>
      <c r="E2877" s="161">
        <v>1</v>
      </c>
      <c r="F2877" s="161">
        <v>30.73</v>
      </c>
      <c r="G2877" s="162">
        <v>30.73</v>
      </c>
      <c r="H2877" s="67">
        <v>907</v>
      </c>
    </row>
    <row r="2878" spans="1:8" x14ac:dyDescent="0.25">
      <c r="A2878" s="212">
        <v>41984</v>
      </c>
      <c r="B2878" s="160" t="s">
        <v>1094</v>
      </c>
      <c r="C2878" t="s">
        <v>1095</v>
      </c>
      <c r="D2878" t="s">
        <v>527</v>
      </c>
      <c r="E2878" s="161">
        <v>1</v>
      </c>
      <c r="F2878" s="161">
        <v>900</v>
      </c>
      <c r="G2878" s="162">
        <v>900</v>
      </c>
      <c r="H2878" s="67">
        <v>907</v>
      </c>
    </row>
    <row r="2879" spans="1:8" x14ac:dyDescent="0.25">
      <c r="A2879" s="212">
        <v>41985</v>
      </c>
      <c r="B2879" s="160" t="s">
        <v>1212</v>
      </c>
      <c r="C2879" t="s">
        <v>7</v>
      </c>
      <c r="D2879" t="s">
        <v>27</v>
      </c>
      <c r="E2879" s="161">
        <v>5</v>
      </c>
      <c r="F2879" s="161">
        <v>42.72</v>
      </c>
      <c r="G2879" s="162">
        <v>213.6</v>
      </c>
      <c r="H2879" s="67">
        <v>907</v>
      </c>
    </row>
    <row r="2880" spans="1:8" x14ac:dyDescent="0.25">
      <c r="A2880" s="212">
        <v>41985</v>
      </c>
      <c r="B2880" s="160" t="s">
        <v>1212</v>
      </c>
      <c r="C2880" t="s">
        <v>7</v>
      </c>
      <c r="D2880" t="s">
        <v>27</v>
      </c>
      <c r="E2880" s="161">
        <v>5</v>
      </c>
      <c r="F2880" s="161">
        <v>42.72</v>
      </c>
      <c r="G2880" s="162">
        <v>213.6</v>
      </c>
      <c r="H2880" s="67">
        <v>907</v>
      </c>
    </row>
    <row r="2881" spans="1:8" x14ac:dyDescent="0.25">
      <c r="A2881" s="212">
        <v>41985</v>
      </c>
      <c r="B2881" s="160" t="s">
        <v>1109</v>
      </c>
      <c r="C2881" t="s">
        <v>7</v>
      </c>
      <c r="D2881" t="s">
        <v>27</v>
      </c>
      <c r="E2881" s="161">
        <v>1.5</v>
      </c>
      <c r="F2881" s="161">
        <v>42.72</v>
      </c>
      <c r="G2881" s="162">
        <v>64.08</v>
      </c>
      <c r="H2881" s="67">
        <v>907</v>
      </c>
    </row>
    <row r="2882" spans="1:8" x14ac:dyDescent="0.25">
      <c r="A2882" s="212">
        <v>41985</v>
      </c>
      <c r="B2882" s="160" t="s">
        <v>623</v>
      </c>
      <c r="C2882" t="s">
        <v>7</v>
      </c>
      <c r="D2882" t="s">
        <v>527</v>
      </c>
      <c r="E2882" s="161">
        <v>7.5</v>
      </c>
      <c r="F2882" s="161">
        <v>49.7</v>
      </c>
      <c r="G2882" s="162">
        <v>372.75</v>
      </c>
      <c r="H2882" s="67">
        <v>907</v>
      </c>
    </row>
    <row r="2883" spans="1:8" x14ac:dyDescent="0.25">
      <c r="A2883" s="212">
        <v>41985</v>
      </c>
      <c r="B2883" s="160" t="s">
        <v>623</v>
      </c>
      <c r="C2883" t="s">
        <v>7</v>
      </c>
      <c r="D2883" t="s">
        <v>27</v>
      </c>
      <c r="E2883" s="161">
        <v>8</v>
      </c>
      <c r="F2883" s="161">
        <v>46.85</v>
      </c>
      <c r="G2883" s="162">
        <v>374.8</v>
      </c>
      <c r="H2883" s="67">
        <v>907</v>
      </c>
    </row>
    <row r="2884" spans="1:8" ht="45" x14ac:dyDescent="0.25">
      <c r="A2884" s="212">
        <v>41989</v>
      </c>
      <c r="B2884" s="160" t="s">
        <v>1096</v>
      </c>
      <c r="C2884" t="s">
        <v>1097</v>
      </c>
      <c r="D2884" t="s">
        <v>527</v>
      </c>
      <c r="E2884" s="161">
        <v>1</v>
      </c>
      <c r="F2884" s="161">
        <v>2125.1999999999998</v>
      </c>
      <c r="G2884" s="162">
        <v>2125.1999999999998</v>
      </c>
      <c r="H2884" s="67">
        <v>907</v>
      </c>
    </row>
    <row r="2885" spans="1:8" ht="30" x14ac:dyDescent="0.25">
      <c r="A2885" s="212">
        <v>42016</v>
      </c>
      <c r="B2885" s="160" t="s">
        <v>1098</v>
      </c>
      <c r="C2885" t="s">
        <v>815</v>
      </c>
      <c r="D2885" t="s">
        <v>38</v>
      </c>
      <c r="E2885" s="161">
        <v>2.6</v>
      </c>
      <c r="F2885" s="161">
        <v>307.19200000000001</v>
      </c>
      <c r="G2885" s="162">
        <v>798.69920000000002</v>
      </c>
      <c r="H2885" s="67">
        <v>907</v>
      </c>
    </row>
    <row r="2886" spans="1:8" x14ac:dyDescent="0.25">
      <c r="A2886" s="212">
        <v>42038</v>
      </c>
      <c r="B2886" s="160" t="s">
        <v>1211</v>
      </c>
      <c r="C2886" t="s">
        <v>1233</v>
      </c>
      <c r="D2886" t="s">
        <v>27</v>
      </c>
      <c r="E2886" s="161">
        <v>2</v>
      </c>
      <c r="F2886" s="161">
        <v>54.58</v>
      </c>
      <c r="G2886" s="162">
        <v>109.16</v>
      </c>
      <c r="H2886" s="67">
        <v>907</v>
      </c>
    </row>
    <row r="2887" spans="1:8" x14ac:dyDescent="0.25">
      <c r="A2887" s="212">
        <v>42039</v>
      </c>
      <c r="B2887" s="160" t="s">
        <v>1211</v>
      </c>
      <c r="C2887" t="s">
        <v>1233</v>
      </c>
      <c r="D2887" t="s">
        <v>27</v>
      </c>
      <c r="E2887" s="161">
        <v>4</v>
      </c>
      <c r="F2887" s="161">
        <v>54.58</v>
      </c>
      <c r="G2887" s="162">
        <v>218.32</v>
      </c>
      <c r="H2887" s="67">
        <v>907</v>
      </c>
    </row>
    <row r="2888" spans="1:8" x14ac:dyDescent="0.25">
      <c r="A2888" s="212">
        <v>42045</v>
      </c>
      <c r="B2888" s="160" t="s">
        <v>1099</v>
      </c>
      <c r="C2888" t="s">
        <v>1097</v>
      </c>
      <c r="D2888" t="s">
        <v>527</v>
      </c>
      <c r="E2888" s="161">
        <v>1</v>
      </c>
      <c r="F2888" s="161">
        <v>280</v>
      </c>
      <c r="G2888" s="162">
        <v>280</v>
      </c>
      <c r="H2888" s="67">
        <v>907</v>
      </c>
    </row>
    <row r="2889" spans="1:8" x14ac:dyDescent="0.25">
      <c r="A2889" s="212">
        <v>42051</v>
      </c>
      <c r="B2889" s="160" t="s">
        <v>1109</v>
      </c>
      <c r="C2889" t="s">
        <v>7</v>
      </c>
      <c r="D2889" t="s">
        <v>27</v>
      </c>
      <c r="E2889" s="161">
        <v>9</v>
      </c>
      <c r="F2889" s="161">
        <v>42.72</v>
      </c>
      <c r="G2889" s="162">
        <v>384.48</v>
      </c>
      <c r="H2889" s="67">
        <v>907</v>
      </c>
    </row>
    <row r="2890" spans="1:8" x14ac:dyDescent="0.25">
      <c r="A2890" s="212">
        <v>42051</v>
      </c>
      <c r="B2890" s="160" t="s">
        <v>1100</v>
      </c>
      <c r="C2890" t="s">
        <v>1086</v>
      </c>
      <c r="D2890" t="s">
        <v>527</v>
      </c>
      <c r="E2890" s="161">
        <v>1</v>
      </c>
      <c r="F2890" s="161">
        <v>238</v>
      </c>
      <c r="G2890" s="162">
        <v>238</v>
      </c>
      <c r="H2890" s="67">
        <v>907</v>
      </c>
    </row>
    <row r="2891" spans="1:8" x14ac:dyDescent="0.25">
      <c r="A2891" s="212">
        <v>42051</v>
      </c>
      <c r="B2891" s="160" t="s">
        <v>623</v>
      </c>
      <c r="C2891" t="s">
        <v>7</v>
      </c>
      <c r="D2891" t="s">
        <v>527</v>
      </c>
      <c r="E2891" s="161">
        <v>9.5</v>
      </c>
      <c r="F2891" s="161">
        <v>49.7</v>
      </c>
      <c r="G2891" s="162">
        <v>472.15</v>
      </c>
      <c r="H2891" s="67">
        <v>907</v>
      </c>
    </row>
    <row r="2892" spans="1:8" x14ac:dyDescent="0.25">
      <c r="A2892" s="212">
        <v>42052</v>
      </c>
      <c r="B2892" s="160" t="s">
        <v>1109</v>
      </c>
      <c r="C2892" t="s">
        <v>7</v>
      </c>
      <c r="D2892" t="s">
        <v>27</v>
      </c>
      <c r="E2892" s="161">
        <v>11</v>
      </c>
      <c r="F2892" s="161">
        <v>42.72</v>
      </c>
      <c r="G2892" s="162">
        <v>469.92</v>
      </c>
      <c r="H2892" s="67">
        <v>907</v>
      </c>
    </row>
    <row r="2893" spans="1:8" x14ac:dyDescent="0.25">
      <c r="A2893" s="212">
        <v>42067</v>
      </c>
      <c r="B2893" s="160" t="s">
        <v>1101</v>
      </c>
      <c r="C2893" t="s">
        <v>949</v>
      </c>
      <c r="D2893" t="s">
        <v>527</v>
      </c>
      <c r="E2893" s="161">
        <v>1</v>
      </c>
      <c r="F2893" s="161">
        <v>1200</v>
      </c>
      <c r="G2893" s="162">
        <v>1200</v>
      </c>
      <c r="H2893" s="67">
        <v>907</v>
      </c>
    </row>
    <row r="2894" spans="1:8" ht="30" x14ac:dyDescent="0.25">
      <c r="A2894" s="212">
        <v>42071</v>
      </c>
      <c r="B2894" s="160" t="s">
        <v>1102</v>
      </c>
      <c r="C2894" t="s">
        <v>949</v>
      </c>
      <c r="D2894" t="s">
        <v>527</v>
      </c>
      <c r="E2894" s="161">
        <v>1</v>
      </c>
      <c r="F2894" s="161">
        <v>540</v>
      </c>
      <c r="G2894" s="162">
        <v>540</v>
      </c>
      <c r="H2894" s="67">
        <v>907</v>
      </c>
    </row>
    <row r="2895" spans="1:8" ht="30" x14ac:dyDescent="0.25">
      <c r="A2895" s="212">
        <v>42071</v>
      </c>
      <c r="B2895" s="160" t="s">
        <v>1103</v>
      </c>
      <c r="C2895" t="s">
        <v>949</v>
      </c>
      <c r="D2895" t="s">
        <v>527</v>
      </c>
      <c r="E2895" s="161">
        <v>1</v>
      </c>
      <c r="F2895" s="161">
        <v>540</v>
      </c>
      <c r="G2895" s="162">
        <v>540</v>
      </c>
      <c r="H2895" s="67">
        <v>907</v>
      </c>
    </row>
    <row r="2896" spans="1:8" x14ac:dyDescent="0.25">
      <c r="A2896" s="213" t="s">
        <v>418</v>
      </c>
      <c r="B2896" s="214" t="s">
        <v>1104</v>
      </c>
      <c r="C2896" s="215" t="s">
        <v>418</v>
      </c>
      <c r="D2896" s="215" t="s">
        <v>418</v>
      </c>
      <c r="E2896" s="216"/>
      <c r="F2896" s="216"/>
      <c r="G2896" s="217">
        <v>43545.154199999997</v>
      </c>
      <c r="H2896" s="231" t="s">
        <v>418</v>
      </c>
    </row>
    <row r="2897" spans="1:8" x14ac:dyDescent="0.25">
      <c r="A2897" s="212" t="s">
        <v>418</v>
      </c>
      <c r="B2897" s="160" t="s">
        <v>418</v>
      </c>
      <c r="C2897" t="s">
        <v>418</v>
      </c>
      <c r="D2897" t="s">
        <v>418</v>
      </c>
      <c r="E2897" s="161"/>
      <c r="F2897" s="161"/>
      <c r="G2897" s="162"/>
      <c r="H2897" s="67" t="s">
        <v>418</v>
      </c>
    </row>
    <row r="2898" spans="1:8" x14ac:dyDescent="0.25">
      <c r="A2898" s="209" t="s">
        <v>418</v>
      </c>
      <c r="B2898" s="159" t="s">
        <v>1259</v>
      </c>
      <c r="C2898" s="35" t="s">
        <v>418</v>
      </c>
      <c r="D2898" s="35" t="s">
        <v>418</v>
      </c>
      <c r="E2898" s="210"/>
      <c r="F2898" s="210"/>
      <c r="G2898" s="211"/>
      <c r="H2898" s="229" t="s">
        <v>418</v>
      </c>
    </row>
    <row r="2899" spans="1:8" x14ac:dyDescent="0.25">
      <c r="A2899" s="212">
        <v>41970</v>
      </c>
      <c r="B2899" s="160" t="s">
        <v>1211</v>
      </c>
      <c r="C2899" t="s">
        <v>1233</v>
      </c>
      <c r="D2899" t="s">
        <v>27</v>
      </c>
      <c r="E2899" s="161">
        <v>6.5</v>
      </c>
      <c r="F2899" s="161">
        <v>54.58</v>
      </c>
      <c r="G2899" s="162">
        <v>354.77</v>
      </c>
      <c r="H2899" s="67">
        <v>910</v>
      </c>
    </row>
    <row r="2900" spans="1:8" x14ac:dyDescent="0.25">
      <c r="A2900" s="212">
        <v>41971</v>
      </c>
      <c r="B2900" s="160" t="s">
        <v>1212</v>
      </c>
      <c r="C2900" t="s">
        <v>7</v>
      </c>
      <c r="D2900" t="s">
        <v>27</v>
      </c>
      <c r="E2900" s="161">
        <v>4</v>
      </c>
      <c r="F2900" s="161">
        <v>42.72</v>
      </c>
      <c r="G2900" s="162">
        <v>170.88</v>
      </c>
      <c r="H2900" s="67">
        <v>910</v>
      </c>
    </row>
    <row r="2901" spans="1:8" x14ac:dyDescent="0.25">
      <c r="A2901" s="212">
        <v>41971</v>
      </c>
      <c r="B2901" s="160" t="s">
        <v>1212</v>
      </c>
      <c r="C2901" t="s">
        <v>7</v>
      </c>
      <c r="D2901" t="s">
        <v>27</v>
      </c>
      <c r="E2901" s="161">
        <v>5</v>
      </c>
      <c r="F2901" s="161">
        <v>42.72</v>
      </c>
      <c r="G2901" s="162">
        <v>213.6</v>
      </c>
      <c r="H2901" s="67">
        <v>910</v>
      </c>
    </row>
    <row r="2902" spans="1:8" x14ac:dyDescent="0.25">
      <c r="A2902" s="212">
        <v>41974</v>
      </c>
      <c r="B2902" s="160" t="s">
        <v>1211</v>
      </c>
      <c r="C2902" t="s">
        <v>1233</v>
      </c>
      <c r="D2902" t="s">
        <v>27</v>
      </c>
      <c r="E2902" s="161">
        <v>11.5</v>
      </c>
      <c r="F2902" s="161">
        <v>54.58</v>
      </c>
      <c r="G2902" s="162">
        <v>627.66999999999996</v>
      </c>
      <c r="H2902" s="67">
        <v>910</v>
      </c>
    </row>
    <row r="2903" spans="1:8" x14ac:dyDescent="0.25">
      <c r="A2903" s="212">
        <v>41975</v>
      </c>
      <c r="B2903" s="160" t="s">
        <v>1109</v>
      </c>
      <c r="C2903" t="s">
        <v>7</v>
      </c>
      <c r="D2903" t="s">
        <v>27</v>
      </c>
      <c r="E2903" s="161">
        <v>4.5</v>
      </c>
      <c r="F2903" s="161">
        <v>42.72</v>
      </c>
      <c r="G2903" s="162">
        <v>192.24</v>
      </c>
      <c r="H2903" s="67">
        <v>910</v>
      </c>
    </row>
    <row r="2904" spans="1:8" x14ac:dyDescent="0.25">
      <c r="A2904" s="212">
        <v>41975</v>
      </c>
      <c r="B2904" s="160" t="s">
        <v>1209</v>
      </c>
      <c r="C2904" t="s">
        <v>1210</v>
      </c>
      <c r="D2904" t="s">
        <v>27</v>
      </c>
      <c r="E2904" s="161">
        <v>8</v>
      </c>
      <c r="F2904" s="161">
        <v>42.79</v>
      </c>
      <c r="G2904" s="162">
        <v>342.32</v>
      </c>
      <c r="H2904" s="67">
        <v>910</v>
      </c>
    </row>
    <row r="2905" spans="1:8" x14ac:dyDescent="0.25">
      <c r="A2905" s="212">
        <v>41975</v>
      </c>
      <c r="B2905" s="160" t="s">
        <v>1212</v>
      </c>
      <c r="C2905" t="s">
        <v>7</v>
      </c>
      <c r="D2905" t="s">
        <v>27</v>
      </c>
      <c r="E2905" s="161">
        <v>3.5</v>
      </c>
      <c r="F2905" s="161">
        <v>42.72</v>
      </c>
      <c r="G2905" s="162">
        <v>149.52000000000001</v>
      </c>
      <c r="H2905" s="67">
        <v>910</v>
      </c>
    </row>
    <row r="2906" spans="1:8" x14ac:dyDescent="0.25">
      <c r="A2906" s="212">
        <v>41975</v>
      </c>
      <c r="B2906" s="160" t="s">
        <v>1212</v>
      </c>
      <c r="C2906" t="s">
        <v>7</v>
      </c>
      <c r="D2906" t="s">
        <v>27</v>
      </c>
      <c r="E2906" s="161">
        <v>3.5</v>
      </c>
      <c r="F2906" s="161">
        <v>42.72</v>
      </c>
      <c r="G2906" s="162">
        <v>149.52000000000001</v>
      </c>
      <c r="H2906" s="67">
        <v>910</v>
      </c>
    </row>
    <row r="2907" spans="1:8" x14ac:dyDescent="0.25">
      <c r="A2907" s="212">
        <v>41975</v>
      </c>
      <c r="B2907" s="160" t="s">
        <v>1211</v>
      </c>
      <c r="C2907" t="s">
        <v>1233</v>
      </c>
      <c r="D2907" t="s">
        <v>27</v>
      </c>
      <c r="E2907" s="161">
        <v>8</v>
      </c>
      <c r="F2907" s="161">
        <v>54.58</v>
      </c>
      <c r="G2907" s="162">
        <v>436.64</v>
      </c>
      <c r="H2907" s="67">
        <v>910</v>
      </c>
    </row>
    <row r="2908" spans="1:8" x14ac:dyDescent="0.25">
      <c r="A2908" s="212">
        <v>41975</v>
      </c>
      <c r="B2908" s="160" t="s">
        <v>634</v>
      </c>
      <c r="C2908" t="s">
        <v>635</v>
      </c>
      <c r="D2908" t="s">
        <v>27</v>
      </c>
      <c r="E2908" s="161">
        <v>1.5</v>
      </c>
      <c r="F2908" s="161">
        <v>92.5</v>
      </c>
      <c r="G2908" s="162">
        <v>138.75</v>
      </c>
      <c r="H2908" s="67">
        <v>910</v>
      </c>
    </row>
    <row r="2909" spans="1:8" x14ac:dyDescent="0.25">
      <c r="A2909" s="212">
        <v>41975</v>
      </c>
      <c r="B2909" s="160" t="s">
        <v>1213</v>
      </c>
      <c r="C2909" t="s">
        <v>1214</v>
      </c>
      <c r="D2909" t="s">
        <v>27</v>
      </c>
      <c r="E2909" s="161">
        <v>1</v>
      </c>
      <c r="F2909" s="161">
        <v>35</v>
      </c>
      <c r="G2909" s="162">
        <v>35</v>
      </c>
      <c r="H2909" s="67">
        <v>910</v>
      </c>
    </row>
    <row r="2910" spans="1:8" x14ac:dyDescent="0.25">
      <c r="A2910" s="212">
        <v>41975</v>
      </c>
      <c r="B2910" s="160" t="s">
        <v>623</v>
      </c>
      <c r="C2910" t="s">
        <v>7</v>
      </c>
      <c r="D2910" t="s">
        <v>27</v>
      </c>
      <c r="E2910" s="161">
        <v>4</v>
      </c>
      <c r="F2910" s="161">
        <v>42.6</v>
      </c>
      <c r="G2910" s="162">
        <v>170.4</v>
      </c>
      <c r="H2910" s="67">
        <v>910</v>
      </c>
    </row>
    <row r="2911" spans="1:8" x14ac:dyDescent="0.25">
      <c r="A2911" s="212">
        <v>41978</v>
      </c>
      <c r="B2911" s="160" t="s">
        <v>1212</v>
      </c>
      <c r="C2911" t="s">
        <v>7</v>
      </c>
      <c r="D2911" t="s">
        <v>27</v>
      </c>
      <c r="E2911" s="161">
        <v>1.5</v>
      </c>
      <c r="F2911" s="161">
        <v>42.72</v>
      </c>
      <c r="G2911" s="162">
        <v>64.08</v>
      </c>
      <c r="H2911" s="67">
        <v>910</v>
      </c>
    </row>
    <row r="2912" spans="1:8" x14ac:dyDescent="0.25">
      <c r="A2912" s="212">
        <v>41978</v>
      </c>
      <c r="B2912" s="160" t="s">
        <v>1212</v>
      </c>
      <c r="C2912" t="s">
        <v>7</v>
      </c>
      <c r="D2912" t="s">
        <v>27</v>
      </c>
      <c r="E2912" s="161">
        <v>1.5</v>
      </c>
      <c r="F2912" s="161">
        <v>42.72</v>
      </c>
      <c r="G2912" s="162">
        <v>64.08</v>
      </c>
      <c r="H2912" s="67">
        <v>910</v>
      </c>
    </row>
    <row r="2913" spans="1:8" x14ac:dyDescent="0.25">
      <c r="A2913" s="212">
        <v>41979</v>
      </c>
      <c r="B2913" s="160" t="s">
        <v>1109</v>
      </c>
      <c r="C2913" t="s">
        <v>7</v>
      </c>
      <c r="D2913" t="s">
        <v>27</v>
      </c>
      <c r="E2913" s="161">
        <v>4.5</v>
      </c>
      <c r="F2913" s="161">
        <v>42.72</v>
      </c>
      <c r="G2913" s="162">
        <v>192.24</v>
      </c>
      <c r="H2913" s="67">
        <v>910</v>
      </c>
    </row>
    <row r="2914" spans="1:8" x14ac:dyDescent="0.25">
      <c r="A2914" s="212">
        <v>41979</v>
      </c>
      <c r="B2914" s="160" t="s">
        <v>1211</v>
      </c>
      <c r="C2914" t="s">
        <v>1233</v>
      </c>
      <c r="D2914" t="s">
        <v>27</v>
      </c>
      <c r="E2914" s="161">
        <v>7</v>
      </c>
      <c r="F2914" s="161">
        <v>54.58</v>
      </c>
      <c r="G2914" s="162">
        <v>382.06</v>
      </c>
      <c r="H2914" s="67">
        <v>910</v>
      </c>
    </row>
    <row r="2915" spans="1:8" x14ac:dyDescent="0.25">
      <c r="A2915" s="212">
        <v>41979</v>
      </c>
      <c r="B2915" s="160" t="s">
        <v>1212</v>
      </c>
      <c r="C2915" t="s">
        <v>7</v>
      </c>
      <c r="D2915" t="s">
        <v>27</v>
      </c>
      <c r="E2915" s="161">
        <v>7</v>
      </c>
      <c r="F2915" s="161">
        <v>42.72</v>
      </c>
      <c r="G2915" s="162">
        <v>299.04000000000002</v>
      </c>
      <c r="H2915" s="67">
        <v>910</v>
      </c>
    </row>
    <row r="2916" spans="1:8" x14ac:dyDescent="0.25">
      <c r="A2916" s="212">
        <v>41979</v>
      </c>
      <c r="B2916" s="160" t="s">
        <v>623</v>
      </c>
      <c r="C2916" t="s">
        <v>7</v>
      </c>
      <c r="D2916" t="s">
        <v>527</v>
      </c>
      <c r="E2916" s="161">
        <v>7</v>
      </c>
      <c r="F2916" s="161">
        <v>49.7</v>
      </c>
      <c r="G2916" s="162">
        <v>347.9</v>
      </c>
      <c r="H2916" s="67">
        <v>910</v>
      </c>
    </row>
    <row r="2917" spans="1:8" x14ac:dyDescent="0.25">
      <c r="A2917" s="212">
        <v>41979</v>
      </c>
      <c r="B2917" s="160" t="s">
        <v>1212</v>
      </c>
      <c r="C2917" t="s">
        <v>7</v>
      </c>
      <c r="D2917" t="s">
        <v>27</v>
      </c>
      <c r="E2917" s="161">
        <v>7</v>
      </c>
      <c r="F2917" s="161">
        <v>42.72</v>
      </c>
      <c r="G2917" s="162">
        <v>299.04000000000002</v>
      </c>
      <c r="H2917" s="67">
        <v>910</v>
      </c>
    </row>
    <row r="2918" spans="1:8" x14ac:dyDescent="0.25">
      <c r="A2918" s="212">
        <v>41979</v>
      </c>
      <c r="B2918" s="160" t="s">
        <v>1212</v>
      </c>
      <c r="C2918" t="s">
        <v>7</v>
      </c>
      <c r="D2918" t="s">
        <v>27</v>
      </c>
      <c r="E2918" s="161">
        <v>7</v>
      </c>
      <c r="F2918" s="161">
        <v>42.72</v>
      </c>
      <c r="G2918" s="162">
        <v>299.04000000000002</v>
      </c>
      <c r="H2918" s="67">
        <v>910</v>
      </c>
    </row>
    <row r="2919" spans="1:8" x14ac:dyDescent="0.25">
      <c r="A2919" s="212">
        <v>41979</v>
      </c>
      <c r="B2919" s="160" t="s">
        <v>1209</v>
      </c>
      <c r="C2919" t="s">
        <v>1210</v>
      </c>
      <c r="D2919" t="s">
        <v>27</v>
      </c>
      <c r="E2919" s="161">
        <v>7</v>
      </c>
      <c r="F2919" s="161">
        <v>42.79</v>
      </c>
      <c r="G2919" s="162">
        <v>299.52999999999997</v>
      </c>
      <c r="H2919" s="67">
        <v>910</v>
      </c>
    </row>
    <row r="2920" spans="1:8" x14ac:dyDescent="0.25">
      <c r="A2920" s="212">
        <v>41983</v>
      </c>
      <c r="B2920" s="160" t="s">
        <v>1212</v>
      </c>
      <c r="C2920" t="s">
        <v>7</v>
      </c>
      <c r="D2920" t="s">
        <v>27</v>
      </c>
      <c r="E2920" s="161">
        <v>5</v>
      </c>
      <c r="F2920" s="161">
        <v>42.72</v>
      </c>
      <c r="G2920" s="162">
        <v>213.6</v>
      </c>
      <c r="H2920" s="67">
        <v>910</v>
      </c>
    </row>
    <row r="2921" spans="1:8" x14ac:dyDescent="0.25">
      <c r="A2921" s="212">
        <v>42034</v>
      </c>
      <c r="B2921" s="160" t="s">
        <v>634</v>
      </c>
      <c r="C2921" t="s">
        <v>635</v>
      </c>
      <c r="D2921" t="s">
        <v>27</v>
      </c>
      <c r="E2921" s="161">
        <v>2</v>
      </c>
      <c r="F2921" s="161">
        <v>92.5</v>
      </c>
      <c r="G2921" s="162">
        <v>185</v>
      </c>
      <c r="H2921" s="67">
        <v>910</v>
      </c>
    </row>
    <row r="2922" spans="1:8" x14ac:dyDescent="0.25">
      <c r="A2922" s="212">
        <v>42038</v>
      </c>
      <c r="B2922" s="160" t="s">
        <v>1211</v>
      </c>
      <c r="C2922" t="s">
        <v>1233</v>
      </c>
      <c r="D2922" t="s">
        <v>27</v>
      </c>
      <c r="E2922" s="161">
        <v>3</v>
      </c>
      <c r="F2922" s="161">
        <v>54.58</v>
      </c>
      <c r="G2922" s="162">
        <v>163.74</v>
      </c>
      <c r="H2922" s="67">
        <v>910</v>
      </c>
    </row>
    <row r="2923" spans="1:8" x14ac:dyDescent="0.25">
      <c r="A2923" s="212">
        <v>42038</v>
      </c>
      <c r="B2923" s="160" t="s">
        <v>1226</v>
      </c>
      <c r="C2923" t="s">
        <v>7</v>
      </c>
      <c r="D2923" t="s">
        <v>27</v>
      </c>
      <c r="E2923" s="161">
        <v>10</v>
      </c>
      <c r="F2923" s="161">
        <v>42.72</v>
      </c>
      <c r="G2923" s="162">
        <v>427.2</v>
      </c>
      <c r="H2923" s="67">
        <v>910</v>
      </c>
    </row>
    <row r="2924" spans="1:8" x14ac:dyDescent="0.25">
      <c r="A2924" s="212">
        <v>42038</v>
      </c>
      <c r="B2924" s="160" t="s">
        <v>623</v>
      </c>
      <c r="C2924" t="s">
        <v>7</v>
      </c>
      <c r="D2924" t="s">
        <v>27</v>
      </c>
      <c r="E2924" s="161">
        <v>6</v>
      </c>
      <c r="F2924" s="161">
        <v>42.6</v>
      </c>
      <c r="G2924" s="162">
        <v>255.6</v>
      </c>
      <c r="H2924" s="67">
        <v>910</v>
      </c>
    </row>
    <row r="2925" spans="1:8" x14ac:dyDescent="0.25">
      <c r="A2925" s="212">
        <v>42039</v>
      </c>
      <c r="B2925" s="160" t="s">
        <v>1211</v>
      </c>
      <c r="C2925" t="s">
        <v>1233</v>
      </c>
      <c r="D2925" t="s">
        <v>27</v>
      </c>
      <c r="E2925" s="161">
        <v>3</v>
      </c>
      <c r="F2925" s="161">
        <v>54.58</v>
      </c>
      <c r="G2925" s="162">
        <v>163.74</v>
      </c>
      <c r="H2925" s="67">
        <v>910</v>
      </c>
    </row>
    <row r="2926" spans="1:8" x14ac:dyDescent="0.25">
      <c r="A2926" s="212">
        <v>42039</v>
      </c>
      <c r="B2926" s="160" t="s">
        <v>276</v>
      </c>
      <c r="C2926" t="s">
        <v>1220</v>
      </c>
      <c r="D2926" t="s">
        <v>27</v>
      </c>
      <c r="E2926" s="161">
        <v>6</v>
      </c>
      <c r="F2926" s="161">
        <v>35</v>
      </c>
      <c r="G2926" s="162">
        <v>210</v>
      </c>
      <c r="H2926" s="67">
        <v>910</v>
      </c>
    </row>
    <row r="2927" spans="1:8" x14ac:dyDescent="0.25">
      <c r="A2927" s="212">
        <v>42039</v>
      </c>
      <c r="B2927" s="160" t="s">
        <v>623</v>
      </c>
      <c r="C2927" t="s">
        <v>7</v>
      </c>
      <c r="D2927" t="s">
        <v>27</v>
      </c>
      <c r="E2927" s="161">
        <v>6</v>
      </c>
      <c r="F2927" s="161">
        <v>42.6</v>
      </c>
      <c r="G2927" s="162">
        <v>255.6</v>
      </c>
      <c r="H2927" s="67">
        <v>910</v>
      </c>
    </row>
    <row r="2928" spans="1:8" x14ac:dyDescent="0.25">
      <c r="A2928" s="212">
        <v>42040</v>
      </c>
      <c r="B2928" s="160" t="s">
        <v>276</v>
      </c>
      <c r="C2928" t="s">
        <v>1220</v>
      </c>
      <c r="D2928" t="s">
        <v>27</v>
      </c>
      <c r="E2928" s="161">
        <v>3</v>
      </c>
      <c r="F2928" s="161">
        <v>35</v>
      </c>
      <c r="G2928" s="162">
        <v>105</v>
      </c>
      <c r="H2928" s="67">
        <v>910</v>
      </c>
    </row>
    <row r="2929" spans="1:8" x14ac:dyDescent="0.25">
      <c r="A2929" s="212">
        <v>42040</v>
      </c>
      <c r="B2929" s="160" t="s">
        <v>1211</v>
      </c>
      <c r="C2929" t="s">
        <v>1233</v>
      </c>
      <c r="D2929" t="s">
        <v>27</v>
      </c>
      <c r="E2929" s="161">
        <v>4.5</v>
      </c>
      <c r="F2929" s="161">
        <v>54.58</v>
      </c>
      <c r="G2929" s="162">
        <v>245.61</v>
      </c>
      <c r="H2929" s="67">
        <v>910</v>
      </c>
    </row>
    <row r="2930" spans="1:8" x14ac:dyDescent="0.25">
      <c r="A2930" s="212">
        <v>42040</v>
      </c>
      <c r="B2930" s="160" t="s">
        <v>1209</v>
      </c>
      <c r="C2930" t="s">
        <v>1210</v>
      </c>
      <c r="D2930" t="s">
        <v>27</v>
      </c>
      <c r="E2930" s="161">
        <v>4.5</v>
      </c>
      <c r="F2930" s="161">
        <v>42.79</v>
      </c>
      <c r="G2930" s="162">
        <v>192.55500000000001</v>
      </c>
      <c r="H2930" s="67">
        <v>910</v>
      </c>
    </row>
    <row r="2931" spans="1:8" x14ac:dyDescent="0.25">
      <c r="A2931" s="212">
        <v>42041</v>
      </c>
      <c r="B2931" s="160" t="s">
        <v>1211</v>
      </c>
      <c r="C2931" t="s">
        <v>1233</v>
      </c>
      <c r="D2931" t="s">
        <v>27</v>
      </c>
      <c r="E2931" s="161">
        <v>11.5</v>
      </c>
      <c r="F2931" s="161">
        <v>54.58</v>
      </c>
      <c r="G2931" s="162">
        <v>627.66999999999996</v>
      </c>
      <c r="H2931" s="67">
        <v>910</v>
      </c>
    </row>
    <row r="2932" spans="1:8" x14ac:dyDescent="0.25">
      <c r="A2932" s="212">
        <v>42041</v>
      </c>
      <c r="B2932" s="160" t="s">
        <v>1209</v>
      </c>
      <c r="C2932" t="s">
        <v>1210</v>
      </c>
      <c r="D2932" t="s">
        <v>27</v>
      </c>
      <c r="E2932" s="161">
        <v>4.5</v>
      </c>
      <c r="F2932" s="161">
        <v>42.79</v>
      </c>
      <c r="G2932" s="162">
        <v>192.55500000000001</v>
      </c>
      <c r="H2932" s="67">
        <v>910</v>
      </c>
    </row>
    <row r="2933" spans="1:8" x14ac:dyDescent="0.25">
      <c r="A2933" s="212">
        <v>42041</v>
      </c>
      <c r="B2933" s="160" t="s">
        <v>1209</v>
      </c>
      <c r="C2933" t="s">
        <v>1210</v>
      </c>
      <c r="D2933" t="s">
        <v>27</v>
      </c>
      <c r="E2933" s="161">
        <v>6</v>
      </c>
      <c r="F2933" s="161">
        <v>42.79</v>
      </c>
      <c r="G2933" s="162">
        <v>256.74</v>
      </c>
      <c r="H2933" s="67">
        <v>910</v>
      </c>
    </row>
    <row r="2934" spans="1:8" x14ac:dyDescent="0.25">
      <c r="A2934" s="212">
        <v>42044</v>
      </c>
      <c r="B2934" s="160" t="s">
        <v>1209</v>
      </c>
      <c r="C2934" t="s">
        <v>1210</v>
      </c>
      <c r="D2934" t="s">
        <v>27</v>
      </c>
      <c r="E2934" s="161">
        <v>6</v>
      </c>
      <c r="F2934" s="161">
        <v>42.79</v>
      </c>
      <c r="G2934" s="162">
        <v>256.74</v>
      </c>
      <c r="H2934" s="67">
        <v>910</v>
      </c>
    </row>
    <row r="2935" spans="1:8" x14ac:dyDescent="0.25">
      <c r="A2935" s="212">
        <v>42056</v>
      </c>
      <c r="B2935" s="160" t="s">
        <v>1209</v>
      </c>
      <c r="C2935" t="s">
        <v>1210</v>
      </c>
      <c r="D2935" t="s">
        <v>27</v>
      </c>
      <c r="E2935" s="161">
        <v>9.5</v>
      </c>
      <c r="F2935" s="161">
        <v>42.79</v>
      </c>
      <c r="G2935" s="162">
        <v>406.505</v>
      </c>
      <c r="H2935" s="67">
        <v>910</v>
      </c>
    </row>
    <row r="2936" spans="1:8" x14ac:dyDescent="0.25">
      <c r="A2936" s="212">
        <v>42056</v>
      </c>
      <c r="B2936" s="160" t="s">
        <v>623</v>
      </c>
      <c r="C2936" t="s">
        <v>7</v>
      </c>
      <c r="D2936" t="s">
        <v>27</v>
      </c>
      <c r="E2936" s="161">
        <v>4</v>
      </c>
      <c r="F2936" s="161">
        <v>46.85</v>
      </c>
      <c r="G2936" s="162">
        <v>187.4</v>
      </c>
      <c r="H2936" s="67">
        <v>910</v>
      </c>
    </row>
    <row r="2937" spans="1:8" x14ac:dyDescent="0.25">
      <c r="A2937" s="212">
        <v>42056</v>
      </c>
      <c r="B2937" s="160" t="s">
        <v>1109</v>
      </c>
      <c r="C2937" t="s">
        <v>7</v>
      </c>
      <c r="D2937" t="s">
        <v>27</v>
      </c>
      <c r="E2937" s="161">
        <v>9.5</v>
      </c>
      <c r="F2937" s="161">
        <v>42.72</v>
      </c>
      <c r="G2937" s="162">
        <v>405.84</v>
      </c>
      <c r="H2937" s="67">
        <v>910</v>
      </c>
    </row>
    <row r="2938" spans="1:8" x14ac:dyDescent="0.25">
      <c r="A2938" s="212">
        <v>42056</v>
      </c>
      <c r="B2938" s="160" t="s">
        <v>623</v>
      </c>
      <c r="C2938" t="s">
        <v>7</v>
      </c>
      <c r="D2938" t="s">
        <v>27</v>
      </c>
      <c r="E2938" s="161">
        <v>4</v>
      </c>
      <c r="F2938" s="161">
        <v>42.6</v>
      </c>
      <c r="G2938" s="162">
        <v>170.4</v>
      </c>
      <c r="H2938" s="67">
        <v>910</v>
      </c>
    </row>
    <row r="2939" spans="1:8" x14ac:dyDescent="0.25">
      <c r="A2939" s="212">
        <v>42063</v>
      </c>
      <c r="B2939" s="160" t="s">
        <v>664</v>
      </c>
      <c r="C2939" t="s">
        <v>665</v>
      </c>
      <c r="D2939" t="s">
        <v>527</v>
      </c>
      <c r="E2939" s="161">
        <v>6</v>
      </c>
      <c r="F2939" s="161">
        <v>35</v>
      </c>
      <c r="G2939" s="162">
        <v>210</v>
      </c>
      <c r="H2939" s="67">
        <v>910</v>
      </c>
    </row>
    <row r="2940" spans="1:8" x14ac:dyDescent="0.25">
      <c r="A2940" s="212">
        <v>42064</v>
      </c>
      <c r="B2940" s="160" t="s">
        <v>664</v>
      </c>
      <c r="C2940" t="s">
        <v>665</v>
      </c>
      <c r="D2940" t="s">
        <v>527</v>
      </c>
      <c r="E2940" s="161">
        <v>5</v>
      </c>
      <c r="F2940" s="161">
        <v>35</v>
      </c>
      <c r="G2940" s="162">
        <v>175</v>
      </c>
      <c r="H2940" s="67">
        <v>910</v>
      </c>
    </row>
    <row r="2941" spans="1:8" x14ac:dyDescent="0.25">
      <c r="A2941" s="212">
        <v>42065</v>
      </c>
      <c r="B2941" s="160" t="s">
        <v>1212</v>
      </c>
      <c r="C2941" t="s">
        <v>7</v>
      </c>
      <c r="D2941" t="s">
        <v>27</v>
      </c>
      <c r="E2941" s="161">
        <v>3.5</v>
      </c>
      <c r="F2941" s="161">
        <v>42.72</v>
      </c>
      <c r="G2941" s="162">
        <v>149.52000000000001</v>
      </c>
      <c r="H2941" s="67">
        <v>910</v>
      </c>
    </row>
    <row r="2942" spans="1:8" x14ac:dyDescent="0.25">
      <c r="A2942" s="212">
        <v>42065</v>
      </c>
      <c r="B2942" s="160" t="s">
        <v>664</v>
      </c>
      <c r="C2942" t="s">
        <v>665</v>
      </c>
      <c r="D2942" t="s">
        <v>527</v>
      </c>
      <c r="E2942" s="161">
        <v>4.5</v>
      </c>
      <c r="F2942" s="161">
        <v>35</v>
      </c>
      <c r="G2942" s="162">
        <v>157.5</v>
      </c>
      <c r="H2942" s="67">
        <v>910</v>
      </c>
    </row>
    <row r="2943" spans="1:8" x14ac:dyDescent="0.25">
      <c r="A2943" s="212">
        <v>42065</v>
      </c>
      <c r="B2943" s="160" t="s">
        <v>1209</v>
      </c>
      <c r="C2943" t="s">
        <v>1210</v>
      </c>
      <c r="D2943" t="s">
        <v>27</v>
      </c>
      <c r="E2943" s="161">
        <v>3</v>
      </c>
      <c r="F2943" s="161">
        <v>42.79</v>
      </c>
      <c r="G2943" s="162">
        <v>128.37</v>
      </c>
      <c r="H2943" s="67">
        <v>910</v>
      </c>
    </row>
    <row r="2944" spans="1:8" x14ac:dyDescent="0.25">
      <c r="A2944" s="212">
        <v>42066</v>
      </c>
      <c r="B2944" s="160" t="s">
        <v>623</v>
      </c>
      <c r="C2944" t="s">
        <v>7</v>
      </c>
      <c r="D2944" t="s">
        <v>27</v>
      </c>
      <c r="E2944" s="161">
        <v>5</v>
      </c>
      <c r="F2944" s="161">
        <v>42.6</v>
      </c>
      <c r="G2944" s="162">
        <v>213</v>
      </c>
      <c r="H2944" s="67">
        <v>910</v>
      </c>
    </row>
    <row r="2945" spans="1:8" ht="30" x14ac:dyDescent="0.25">
      <c r="A2945" s="212">
        <v>42066</v>
      </c>
      <c r="B2945" s="160" t="s">
        <v>1106</v>
      </c>
      <c r="C2945" t="s">
        <v>674</v>
      </c>
      <c r="D2945" t="s">
        <v>527</v>
      </c>
      <c r="E2945" s="161">
        <v>1</v>
      </c>
      <c r="F2945" s="161">
        <v>100.16</v>
      </c>
      <c r="G2945" s="162">
        <v>100.16</v>
      </c>
      <c r="H2945" s="67">
        <v>910</v>
      </c>
    </row>
    <row r="2946" spans="1:8" x14ac:dyDescent="0.25">
      <c r="A2946" s="212">
        <v>42066</v>
      </c>
      <c r="B2946" s="160" t="s">
        <v>623</v>
      </c>
      <c r="C2946" t="s">
        <v>7</v>
      </c>
      <c r="D2946" t="s">
        <v>527</v>
      </c>
      <c r="E2946" s="161">
        <v>5</v>
      </c>
      <c r="F2946" s="161">
        <v>49.7</v>
      </c>
      <c r="G2946" s="162">
        <v>248.5</v>
      </c>
      <c r="H2946" s="67">
        <v>910</v>
      </c>
    </row>
    <row r="2947" spans="1:8" x14ac:dyDescent="0.25">
      <c r="A2947" s="212">
        <v>42066</v>
      </c>
      <c r="B2947" s="160" t="s">
        <v>634</v>
      </c>
      <c r="C2947" t="s">
        <v>635</v>
      </c>
      <c r="D2947" t="s">
        <v>27</v>
      </c>
      <c r="E2947" s="161">
        <v>1.5</v>
      </c>
      <c r="F2947" s="161">
        <v>92.5</v>
      </c>
      <c r="G2947" s="162">
        <v>138.75</v>
      </c>
      <c r="H2947" s="67">
        <v>910</v>
      </c>
    </row>
    <row r="2948" spans="1:8" x14ac:dyDescent="0.25">
      <c r="A2948" s="212">
        <v>42066</v>
      </c>
      <c r="B2948" s="160" t="s">
        <v>686</v>
      </c>
      <c r="C2948" t="s">
        <v>618</v>
      </c>
      <c r="D2948" t="s">
        <v>27</v>
      </c>
      <c r="E2948" s="161">
        <v>13</v>
      </c>
      <c r="F2948" s="161">
        <v>45</v>
      </c>
      <c r="G2948" s="162">
        <v>585</v>
      </c>
      <c r="H2948" s="67">
        <v>910</v>
      </c>
    </row>
    <row r="2949" spans="1:8" x14ac:dyDescent="0.25">
      <c r="A2949" s="212">
        <v>42066</v>
      </c>
      <c r="B2949" s="160" t="s">
        <v>1105</v>
      </c>
      <c r="C2949" t="s">
        <v>665</v>
      </c>
      <c r="D2949" t="s">
        <v>527</v>
      </c>
      <c r="E2949" s="161">
        <v>13</v>
      </c>
      <c r="F2949" s="161">
        <v>35</v>
      </c>
      <c r="G2949" s="162">
        <v>455</v>
      </c>
      <c r="H2949" s="67">
        <v>910</v>
      </c>
    </row>
    <row r="2950" spans="1:8" x14ac:dyDescent="0.25">
      <c r="A2950" s="212">
        <v>42066</v>
      </c>
      <c r="B2950" s="160" t="s">
        <v>623</v>
      </c>
      <c r="C2950" t="s">
        <v>7</v>
      </c>
      <c r="D2950" t="s">
        <v>27</v>
      </c>
      <c r="E2950" s="161">
        <v>5</v>
      </c>
      <c r="F2950" s="161">
        <v>46.85</v>
      </c>
      <c r="G2950" s="162">
        <v>954.46</v>
      </c>
      <c r="H2950" s="67">
        <v>910</v>
      </c>
    </row>
    <row r="2951" spans="1:8" x14ac:dyDescent="0.25">
      <c r="A2951" s="212">
        <v>42067</v>
      </c>
      <c r="B2951" s="160" t="s">
        <v>623</v>
      </c>
      <c r="C2951" t="s">
        <v>7</v>
      </c>
      <c r="D2951" t="s">
        <v>527</v>
      </c>
      <c r="E2951" s="161">
        <v>7</v>
      </c>
      <c r="F2951" s="161">
        <v>49.7</v>
      </c>
      <c r="G2951" s="162">
        <v>347.9</v>
      </c>
      <c r="H2951" s="67">
        <v>910</v>
      </c>
    </row>
    <row r="2952" spans="1:8" x14ac:dyDescent="0.25">
      <c r="A2952" s="212">
        <v>42067</v>
      </c>
      <c r="B2952" s="160" t="s">
        <v>623</v>
      </c>
      <c r="C2952" t="s">
        <v>7</v>
      </c>
      <c r="D2952" t="s">
        <v>27</v>
      </c>
      <c r="E2952" s="161">
        <v>6.5</v>
      </c>
      <c r="F2952" s="161">
        <v>46.85</v>
      </c>
      <c r="G2952" s="162">
        <v>1240.7950000000001</v>
      </c>
      <c r="H2952" s="67">
        <v>910</v>
      </c>
    </row>
    <row r="2953" spans="1:8" x14ac:dyDescent="0.25">
      <c r="A2953" s="212">
        <v>42067</v>
      </c>
      <c r="B2953" s="160" t="s">
        <v>623</v>
      </c>
      <c r="C2953" t="s">
        <v>7</v>
      </c>
      <c r="D2953" t="s">
        <v>27</v>
      </c>
      <c r="E2953" s="161">
        <v>6.5</v>
      </c>
      <c r="F2953" s="161">
        <v>42.6</v>
      </c>
      <c r="G2953" s="162">
        <v>276.89999999999998</v>
      </c>
      <c r="H2953" s="67">
        <v>910</v>
      </c>
    </row>
    <row r="2954" spans="1:8" x14ac:dyDescent="0.25">
      <c r="A2954" s="212">
        <v>42067</v>
      </c>
      <c r="B2954" s="160" t="s">
        <v>664</v>
      </c>
      <c r="C2954" t="s">
        <v>665</v>
      </c>
      <c r="D2954" t="s">
        <v>527</v>
      </c>
      <c r="E2954" s="161">
        <v>7</v>
      </c>
      <c r="F2954" s="161">
        <v>35</v>
      </c>
      <c r="G2954" s="162">
        <v>245</v>
      </c>
      <c r="H2954" s="67">
        <v>910</v>
      </c>
    </row>
    <row r="2955" spans="1:8" x14ac:dyDescent="0.25">
      <c r="A2955" s="212">
        <v>42067</v>
      </c>
      <c r="B2955" s="160" t="s">
        <v>1212</v>
      </c>
      <c r="C2955" t="s">
        <v>7</v>
      </c>
      <c r="D2955" t="s">
        <v>27</v>
      </c>
      <c r="E2955" s="161">
        <v>5</v>
      </c>
      <c r="F2955" s="161">
        <v>42.72</v>
      </c>
      <c r="G2955" s="162">
        <v>213.6</v>
      </c>
      <c r="H2955" s="67">
        <v>910</v>
      </c>
    </row>
    <row r="2956" spans="1:8" x14ac:dyDescent="0.25">
      <c r="A2956" s="212">
        <v>42067</v>
      </c>
      <c r="B2956" s="160" t="s">
        <v>1209</v>
      </c>
      <c r="C2956" t="s">
        <v>1210</v>
      </c>
      <c r="D2956" t="s">
        <v>27</v>
      </c>
      <c r="E2956" s="161">
        <v>13</v>
      </c>
      <c r="F2956" s="161">
        <v>42.79</v>
      </c>
      <c r="G2956" s="162">
        <v>556.27</v>
      </c>
      <c r="H2956" s="67">
        <v>910</v>
      </c>
    </row>
    <row r="2957" spans="1:8" x14ac:dyDescent="0.25">
      <c r="A2957" s="212">
        <v>42067</v>
      </c>
      <c r="B2957" s="160" t="s">
        <v>1109</v>
      </c>
      <c r="C2957" t="s">
        <v>7</v>
      </c>
      <c r="D2957" t="s">
        <v>27</v>
      </c>
      <c r="E2957" s="161">
        <v>6</v>
      </c>
      <c r="F2957" s="161">
        <v>42.72</v>
      </c>
      <c r="G2957" s="162">
        <v>256.32</v>
      </c>
      <c r="H2957" s="67">
        <v>910</v>
      </c>
    </row>
    <row r="2958" spans="1:8" ht="30" x14ac:dyDescent="0.25">
      <c r="A2958" s="212">
        <v>42067</v>
      </c>
      <c r="B2958" s="160" t="s">
        <v>1107</v>
      </c>
      <c r="C2958" t="s">
        <v>643</v>
      </c>
      <c r="D2958" t="s">
        <v>527</v>
      </c>
      <c r="E2958" s="161">
        <v>1</v>
      </c>
      <c r="F2958" s="161">
        <v>44.87</v>
      </c>
      <c r="G2958" s="162">
        <v>44.87</v>
      </c>
      <c r="H2958" s="67">
        <v>910</v>
      </c>
    </row>
    <row r="2959" spans="1:8" x14ac:dyDescent="0.25">
      <c r="A2959" s="212">
        <v>42067</v>
      </c>
      <c r="B2959" s="160" t="s">
        <v>634</v>
      </c>
      <c r="C2959" t="s">
        <v>635</v>
      </c>
      <c r="D2959" t="s">
        <v>27</v>
      </c>
      <c r="E2959" s="161">
        <v>5</v>
      </c>
      <c r="F2959" s="161">
        <v>92.5</v>
      </c>
      <c r="G2959" s="162">
        <v>462.5</v>
      </c>
      <c r="H2959" s="67">
        <v>910</v>
      </c>
    </row>
    <row r="2960" spans="1:8" x14ac:dyDescent="0.25">
      <c r="A2960" s="212">
        <v>42068</v>
      </c>
      <c r="B2960" s="160" t="s">
        <v>1109</v>
      </c>
      <c r="C2960" t="s">
        <v>618</v>
      </c>
      <c r="D2960" t="s">
        <v>27</v>
      </c>
      <c r="E2960" s="161">
        <v>11</v>
      </c>
      <c r="F2960" s="161">
        <v>45</v>
      </c>
      <c r="G2960" s="162">
        <v>495</v>
      </c>
      <c r="H2960" s="67">
        <v>910</v>
      </c>
    </row>
    <row r="2961" spans="1:8" x14ac:dyDescent="0.25">
      <c r="A2961" s="212">
        <v>42068</v>
      </c>
      <c r="B2961" s="160" t="s">
        <v>623</v>
      </c>
      <c r="C2961" t="s">
        <v>7</v>
      </c>
      <c r="D2961" t="s">
        <v>27</v>
      </c>
      <c r="E2961" s="161">
        <v>9.5</v>
      </c>
      <c r="F2961" s="161">
        <v>46.85</v>
      </c>
      <c r="G2961" s="162">
        <v>1813.4649999999999</v>
      </c>
      <c r="H2961" s="67">
        <v>910</v>
      </c>
    </row>
    <row r="2962" spans="1:8" ht="30" x14ac:dyDescent="0.25">
      <c r="A2962" s="212">
        <v>42068</v>
      </c>
      <c r="B2962" s="160" t="s">
        <v>1108</v>
      </c>
      <c r="C2962" t="s">
        <v>665</v>
      </c>
      <c r="D2962" t="s">
        <v>527</v>
      </c>
      <c r="E2962" s="161">
        <v>12</v>
      </c>
      <c r="F2962" s="161">
        <v>35</v>
      </c>
      <c r="G2962" s="162">
        <v>420</v>
      </c>
      <c r="H2962" s="67">
        <v>910</v>
      </c>
    </row>
    <row r="2963" spans="1:8" x14ac:dyDescent="0.25">
      <c r="A2963" s="212">
        <v>42068</v>
      </c>
      <c r="B2963" s="160" t="s">
        <v>623</v>
      </c>
      <c r="C2963" t="s">
        <v>7</v>
      </c>
      <c r="D2963" t="s">
        <v>27</v>
      </c>
      <c r="E2963" s="161">
        <v>9.5</v>
      </c>
      <c r="F2963" s="161">
        <v>42.6</v>
      </c>
      <c r="G2963" s="162">
        <v>404.7</v>
      </c>
      <c r="H2963" s="67">
        <v>910</v>
      </c>
    </row>
    <row r="2964" spans="1:8" x14ac:dyDescent="0.25">
      <c r="A2964" s="212">
        <v>42068</v>
      </c>
      <c r="B2964" s="160" t="s">
        <v>623</v>
      </c>
      <c r="C2964" t="s">
        <v>7</v>
      </c>
      <c r="D2964" t="s">
        <v>527</v>
      </c>
      <c r="E2964" s="161">
        <v>9.5</v>
      </c>
      <c r="F2964" s="161">
        <v>49.7</v>
      </c>
      <c r="G2964" s="162">
        <v>472.15</v>
      </c>
      <c r="H2964" s="67">
        <v>910</v>
      </c>
    </row>
    <row r="2965" spans="1:8" x14ac:dyDescent="0.25">
      <c r="A2965" s="212">
        <v>42069</v>
      </c>
      <c r="B2965" s="160" t="s">
        <v>1110</v>
      </c>
      <c r="C2965" t="s">
        <v>665</v>
      </c>
      <c r="D2965" t="s">
        <v>527</v>
      </c>
      <c r="E2965" s="161">
        <v>4.5</v>
      </c>
      <c r="F2965" s="161">
        <v>35</v>
      </c>
      <c r="G2965" s="162">
        <v>157.5</v>
      </c>
      <c r="H2965" s="67">
        <v>910</v>
      </c>
    </row>
    <row r="2966" spans="1:8" ht="30" x14ac:dyDescent="0.25">
      <c r="A2966" s="212">
        <v>42081</v>
      </c>
      <c r="B2966" s="160" t="s">
        <v>1112</v>
      </c>
      <c r="C2966" t="s">
        <v>665</v>
      </c>
      <c r="D2966" t="s">
        <v>527</v>
      </c>
      <c r="E2966" s="161">
        <v>3</v>
      </c>
      <c r="F2966" s="161">
        <v>95</v>
      </c>
      <c r="G2966" s="162">
        <v>285</v>
      </c>
      <c r="H2966" s="67">
        <v>910</v>
      </c>
    </row>
    <row r="2967" spans="1:8" ht="30" x14ac:dyDescent="0.25">
      <c r="A2967" s="212">
        <v>42081</v>
      </c>
      <c r="B2967" s="160" t="s">
        <v>1111</v>
      </c>
      <c r="C2967" t="s">
        <v>665</v>
      </c>
      <c r="D2967" t="s">
        <v>527</v>
      </c>
      <c r="E2967" s="161">
        <v>4</v>
      </c>
      <c r="F2967" s="161">
        <v>35</v>
      </c>
      <c r="G2967" s="162">
        <v>140</v>
      </c>
      <c r="H2967" s="67">
        <v>910</v>
      </c>
    </row>
    <row r="2968" spans="1:8" x14ac:dyDescent="0.25">
      <c r="A2968" s="213" t="s">
        <v>418</v>
      </c>
      <c r="B2968" s="214" t="s">
        <v>1113</v>
      </c>
      <c r="C2968" s="215" t="s">
        <v>418</v>
      </c>
      <c r="D2968" s="215" t="s">
        <v>418</v>
      </c>
      <c r="E2968" s="216"/>
      <c r="F2968" s="216"/>
      <c r="G2968" s="217">
        <v>21497.045000000002</v>
      </c>
      <c r="H2968" s="231" t="s">
        <v>418</v>
      </c>
    </row>
    <row r="2969" spans="1:8" x14ac:dyDescent="0.25">
      <c r="A2969" s="212" t="s">
        <v>418</v>
      </c>
      <c r="B2969" s="160" t="s">
        <v>418</v>
      </c>
      <c r="C2969" t="s">
        <v>418</v>
      </c>
      <c r="D2969" t="s">
        <v>418</v>
      </c>
      <c r="E2969" s="161"/>
      <c r="F2969" s="161"/>
      <c r="G2969" s="162"/>
      <c r="H2969" s="67" t="s">
        <v>418</v>
      </c>
    </row>
    <row r="2970" spans="1:8" x14ac:dyDescent="0.25">
      <c r="A2970" s="209" t="s">
        <v>418</v>
      </c>
      <c r="B2970" s="159" t="s">
        <v>1260</v>
      </c>
      <c r="C2970" s="35" t="s">
        <v>418</v>
      </c>
      <c r="D2970" s="35" t="s">
        <v>418</v>
      </c>
      <c r="E2970" s="210"/>
      <c r="F2970" s="210"/>
      <c r="G2970" s="211"/>
      <c r="H2970" s="229" t="s">
        <v>418</v>
      </c>
    </row>
    <row r="2971" spans="1:8" x14ac:dyDescent="0.25">
      <c r="A2971" s="212">
        <v>41885</v>
      </c>
      <c r="B2971" s="160" t="s">
        <v>1114</v>
      </c>
      <c r="C2971" t="s">
        <v>473</v>
      </c>
      <c r="D2971" t="s">
        <v>527</v>
      </c>
      <c r="E2971" s="161">
        <v>1</v>
      </c>
      <c r="F2971" s="161">
        <v>293.64</v>
      </c>
      <c r="G2971" s="162">
        <v>293.64</v>
      </c>
      <c r="H2971" s="67">
        <v>911</v>
      </c>
    </row>
    <row r="2972" spans="1:8" x14ac:dyDescent="0.25">
      <c r="A2972" s="212">
        <v>41891</v>
      </c>
      <c r="B2972" s="160" t="s">
        <v>1115</v>
      </c>
      <c r="C2972" t="s">
        <v>473</v>
      </c>
      <c r="D2972" t="s">
        <v>527</v>
      </c>
      <c r="E2972" s="161">
        <v>1</v>
      </c>
      <c r="F2972" s="161">
        <v>1470</v>
      </c>
      <c r="G2972" s="162">
        <v>1470</v>
      </c>
      <c r="H2972" s="67">
        <v>911</v>
      </c>
    </row>
    <row r="2973" spans="1:8" x14ac:dyDescent="0.25">
      <c r="A2973" s="212">
        <v>41891</v>
      </c>
      <c r="B2973" s="160" t="s">
        <v>1117</v>
      </c>
      <c r="C2973" t="s">
        <v>473</v>
      </c>
      <c r="D2973" t="s">
        <v>527</v>
      </c>
      <c r="E2973" s="161">
        <v>1</v>
      </c>
      <c r="F2973" s="161">
        <v>1680</v>
      </c>
      <c r="G2973" s="162">
        <v>1680</v>
      </c>
      <c r="H2973" s="67">
        <v>911</v>
      </c>
    </row>
    <row r="2974" spans="1:8" x14ac:dyDescent="0.25">
      <c r="A2974" s="212">
        <v>41891</v>
      </c>
      <c r="B2974" s="160" t="s">
        <v>1118</v>
      </c>
      <c r="C2974" t="s">
        <v>473</v>
      </c>
      <c r="D2974" t="s">
        <v>527</v>
      </c>
      <c r="E2974" s="161">
        <v>1</v>
      </c>
      <c r="F2974" s="161">
        <v>1500</v>
      </c>
      <c r="G2974" s="162">
        <v>1500</v>
      </c>
      <c r="H2974" s="67">
        <v>911</v>
      </c>
    </row>
    <row r="2975" spans="1:8" x14ac:dyDescent="0.25">
      <c r="A2975" s="212">
        <v>41891</v>
      </c>
      <c r="B2975" s="160" t="s">
        <v>1116</v>
      </c>
      <c r="C2975" t="s">
        <v>473</v>
      </c>
      <c r="D2975" t="s">
        <v>527</v>
      </c>
      <c r="E2975" s="161">
        <v>1</v>
      </c>
      <c r="F2975" s="161">
        <v>1380</v>
      </c>
      <c r="G2975" s="162">
        <v>1380</v>
      </c>
      <c r="H2975" s="67">
        <v>911</v>
      </c>
    </row>
    <row r="2976" spans="1:8" x14ac:dyDescent="0.25">
      <c r="A2976" s="212">
        <v>41894</v>
      </c>
      <c r="B2976" s="160" t="s">
        <v>1114</v>
      </c>
      <c r="C2976" t="s">
        <v>473</v>
      </c>
      <c r="D2976" t="s">
        <v>527</v>
      </c>
      <c r="E2976" s="161">
        <v>1</v>
      </c>
      <c r="F2976" s="161">
        <v>550</v>
      </c>
      <c r="G2976" s="162">
        <v>550</v>
      </c>
      <c r="H2976" s="67">
        <v>911</v>
      </c>
    </row>
    <row r="2977" spans="1:8" x14ac:dyDescent="0.25">
      <c r="A2977" s="212">
        <v>41897</v>
      </c>
      <c r="B2977" s="160" t="s">
        <v>1119</v>
      </c>
      <c r="C2977" t="s">
        <v>473</v>
      </c>
      <c r="D2977" t="s">
        <v>527</v>
      </c>
      <c r="E2977" s="161">
        <v>1</v>
      </c>
      <c r="F2977" s="161">
        <v>3600</v>
      </c>
      <c r="G2977" s="162">
        <v>3600</v>
      </c>
      <c r="H2977" s="67">
        <v>911</v>
      </c>
    </row>
    <row r="2978" spans="1:8" x14ac:dyDescent="0.25">
      <c r="A2978" s="212">
        <v>41898</v>
      </c>
      <c r="B2978" s="160" t="s">
        <v>1121</v>
      </c>
      <c r="C2978" t="s">
        <v>473</v>
      </c>
      <c r="D2978" t="s">
        <v>527</v>
      </c>
      <c r="E2978" s="161">
        <v>1</v>
      </c>
      <c r="F2978" s="161">
        <v>15.91</v>
      </c>
      <c r="G2978" s="162">
        <v>15.91</v>
      </c>
      <c r="H2978" s="67">
        <v>911</v>
      </c>
    </row>
    <row r="2979" spans="1:8" x14ac:dyDescent="0.25">
      <c r="A2979" s="212">
        <v>41898</v>
      </c>
      <c r="B2979" s="160" t="s">
        <v>1120</v>
      </c>
      <c r="C2979" t="s">
        <v>473</v>
      </c>
      <c r="D2979" t="s">
        <v>527</v>
      </c>
      <c r="E2979" s="161">
        <v>1</v>
      </c>
      <c r="F2979" s="161">
        <v>39.090000000000003</v>
      </c>
      <c r="G2979" s="162">
        <v>39.090000000000003</v>
      </c>
      <c r="H2979" s="67">
        <v>911</v>
      </c>
    </row>
    <row r="2980" spans="1:8" x14ac:dyDescent="0.25">
      <c r="A2980" s="212">
        <v>41899</v>
      </c>
      <c r="B2980" s="160" t="s">
        <v>1122</v>
      </c>
      <c r="C2980" t="s">
        <v>473</v>
      </c>
      <c r="D2980" t="s">
        <v>527</v>
      </c>
      <c r="E2980" s="161">
        <v>1</v>
      </c>
      <c r="F2980" s="161">
        <v>50</v>
      </c>
      <c r="G2980" s="162">
        <v>50</v>
      </c>
      <c r="H2980" s="67">
        <v>911</v>
      </c>
    </row>
    <row r="2981" spans="1:8" x14ac:dyDescent="0.25">
      <c r="A2981" s="212">
        <v>41899</v>
      </c>
      <c r="B2981" s="160" t="s">
        <v>1121</v>
      </c>
      <c r="C2981" t="s">
        <v>473</v>
      </c>
      <c r="D2981" t="s">
        <v>527</v>
      </c>
      <c r="E2981" s="161">
        <v>1</v>
      </c>
      <c r="F2981" s="161">
        <v>33.18</v>
      </c>
      <c r="G2981" s="162">
        <v>33.18</v>
      </c>
      <c r="H2981" s="67">
        <v>911</v>
      </c>
    </row>
    <row r="2982" spans="1:8" ht="30" x14ac:dyDescent="0.25">
      <c r="A2982" s="212">
        <v>41906</v>
      </c>
      <c r="B2982" s="160" t="s">
        <v>1123</v>
      </c>
      <c r="C2982" t="s">
        <v>1124</v>
      </c>
      <c r="D2982" t="s">
        <v>527</v>
      </c>
      <c r="E2982" s="161">
        <v>1</v>
      </c>
      <c r="F2982" s="161">
        <v>383.15</v>
      </c>
      <c r="G2982" s="162">
        <v>383.15</v>
      </c>
      <c r="H2982" s="67">
        <v>911</v>
      </c>
    </row>
    <row r="2983" spans="1:8" ht="30" x14ac:dyDescent="0.25">
      <c r="A2983" s="212">
        <v>41908</v>
      </c>
      <c r="B2983" s="160" t="s">
        <v>1127</v>
      </c>
      <c r="C2983" t="s">
        <v>1124</v>
      </c>
      <c r="D2983" t="s">
        <v>527</v>
      </c>
      <c r="E2983" s="161">
        <v>1</v>
      </c>
      <c r="F2983" s="161">
        <v>48.13</v>
      </c>
      <c r="G2983" s="162">
        <v>48.13</v>
      </c>
      <c r="H2983" s="67">
        <v>911</v>
      </c>
    </row>
    <row r="2984" spans="1:8" x14ac:dyDescent="0.25">
      <c r="A2984" s="212">
        <v>41908</v>
      </c>
      <c r="B2984" s="160" t="s">
        <v>288</v>
      </c>
      <c r="C2984" t="s">
        <v>473</v>
      </c>
      <c r="D2984" t="s">
        <v>527</v>
      </c>
      <c r="E2984" s="161">
        <v>1</v>
      </c>
      <c r="F2984" s="161">
        <v>218.18</v>
      </c>
      <c r="G2984" s="162">
        <v>218.18</v>
      </c>
      <c r="H2984" s="67">
        <v>911</v>
      </c>
    </row>
    <row r="2985" spans="1:8" ht="30" x14ac:dyDescent="0.25">
      <c r="A2985" s="212">
        <v>41908</v>
      </c>
      <c r="B2985" s="160" t="s">
        <v>1125</v>
      </c>
      <c r="C2985" t="s">
        <v>1124</v>
      </c>
      <c r="D2985" t="s">
        <v>527</v>
      </c>
      <c r="E2985" s="161">
        <v>1</v>
      </c>
      <c r="F2985" s="161">
        <v>295.24</v>
      </c>
      <c r="G2985" s="162">
        <v>295.24</v>
      </c>
      <c r="H2985" s="67">
        <v>911</v>
      </c>
    </row>
    <row r="2986" spans="1:8" ht="30" x14ac:dyDescent="0.25">
      <c r="A2986" s="212">
        <v>41908</v>
      </c>
      <c r="B2986" s="160" t="s">
        <v>1126</v>
      </c>
      <c r="C2986" t="s">
        <v>1124</v>
      </c>
      <c r="D2986" t="s">
        <v>527</v>
      </c>
      <c r="E2986" s="161">
        <v>1</v>
      </c>
      <c r="F2986" s="161">
        <v>27.63</v>
      </c>
      <c r="G2986" s="162">
        <v>27.63</v>
      </c>
      <c r="H2986" s="67">
        <v>911</v>
      </c>
    </row>
    <row r="2987" spans="1:8" x14ac:dyDescent="0.25">
      <c r="A2987" s="212">
        <v>41911</v>
      </c>
      <c r="B2987" s="160" t="s">
        <v>1128</v>
      </c>
      <c r="C2987" t="s">
        <v>473</v>
      </c>
      <c r="D2987" t="s">
        <v>527</v>
      </c>
      <c r="E2987" s="161">
        <v>1</v>
      </c>
      <c r="F2987" s="161">
        <v>540</v>
      </c>
      <c r="G2987" s="162">
        <v>540</v>
      </c>
      <c r="H2987" s="67">
        <v>911</v>
      </c>
    </row>
    <row r="2988" spans="1:8" x14ac:dyDescent="0.25">
      <c r="A2988" s="212">
        <v>41912</v>
      </c>
      <c r="B2988" s="160" t="s">
        <v>1130</v>
      </c>
      <c r="C2988" t="s">
        <v>1124</v>
      </c>
      <c r="D2988" t="s">
        <v>527</v>
      </c>
      <c r="E2988" s="161">
        <v>1</v>
      </c>
      <c r="F2988" s="161">
        <v>89.09</v>
      </c>
      <c r="G2988" s="162">
        <v>89.09</v>
      </c>
      <c r="H2988" s="67">
        <v>911</v>
      </c>
    </row>
    <row r="2989" spans="1:8" x14ac:dyDescent="0.25">
      <c r="A2989" s="212">
        <v>41912</v>
      </c>
      <c r="B2989" s="160" t="s">
        <v>1129</v>
      </c>
      <c r="C2989" t="s">
        <v>473</v>
      </c>
      <c r="D2989" t="s">
        <v>527</v>
      </c>
      <c r="E2989" s="161">
        <v>1</v>
      </c>
      <c r="F2989" s="161">
        <v>22.73</v>
      </c>
      <c r="G2989" s="162">
        <v>22.73</v>
      </c>
      <c r="H2989" s="67">
        <v>911</v>
      </c>
    </row>
    <row r="2990" spans="1:8" ht="30" x14ac:dyDescent="0.25">
      <c r="A2990" s="212">
        <v>41919</v>
      </c>
      <c r="B2990" s="160" t="s">
        <v>1131</v>
      </c>
      <c r="C2990" t="s">
        <v>473</v>
      </c>
      <c r="D2990" t="s">
        <v>527</v>
      </c>
      <c r="E2990" s="161">
        <v>1</v>
      </c>
      <c r="F2990" s="161">
        <v>4520</v>
      </c>
      <c r="G2990" s="162">
        <v>4520</v>
      </c>
      <c r="H2990" s="67">
        <v>911</v>
      </c>
    </row>
    <row r="2991" spans="1:8" x14ac:dyDescent="0.25">
      <c r="A2991" s="212">
        <v>41919</v>
      </c>
      <c r="B2991" s="160" t="s">
        <v>1115</v>
      </c>
      <c r="C2991" t="s">
        <v>473</v>
      </c>
      <c r="D2991" t="s">
        <v>527</v>
      </c>
      <c r="E2991" s="161">
        <v>1</v>
      </c>
      <c r="F2991" s="161">
        <v>980</v>
      </c>
      <c r="G2991" s="162">
        <v>980</v>
      </c>
      <c r="H2991" s="67">
        <v>911</v>
      </c>
    </row>
    <row r="2992" spans="1:8" ht="30" x14ac:dyDescent="0.25">
      <c r="A2992" s="212">
        <v>41920</v>
      </c>
      <c r="B2992" s="160" t="s">
        <v>1132</v>
      </c>
      <c r="C2992" t="s">
        <v>1124</v>
      </c>
      <c r="D2992" t="s">
        <v>527</v>
      </c>
      <c r="E2992" s="161">
        <v>1</v>
      </c>
      <c r="F2992" s="161">
        <v>62.84</v>
      </c>
      <c r="G2992" s="162">
        <v>62.84</v>
      </c>
      <c r="H2992" s="67">
        <v>911</v>
      </c>
    </row>
    <row r="2993" spans="1:8" x14ac:dyDescent="0.25">
      <c r="A2993" s="212">
        <v>41931</v>
      </c>
      <c r="B2993" s="160" t="s">
        <v>1133</v>
      </c>
      <c r="C2993" t="s">
        <v>473</v>
      </c>
      <c r="D2993" t="s">
        <v>527</v>
      </c>
      <c r="E2993" s="161">
        <v>1</v>
      </c>
      <c r="F2993" s="161">
        <v>218.18</v>
      </c>
      <c r="G2993" s="162">
        <v>218.18</v>
      </c>
      <c r="H2993" s="67">
        <v>911</v>
      </c>
    </row>
    <row r="2994" spans="1:8" x14ac:dyDescent="0.25">
      <c r="A2994" s="212">
        <v>41931</v>
      </c>
      <c r="B2994" s="160" t="s">
        <v>418</v>
      </c>
      <c r="C2994" t="s">
        <v>473</v>
      </c>
      <c r="D2994" t="s">
        <v>527</v>
      </c>
      <c r="E2994" s="161">
        <v>1</v>
      </c>
      <c r="F2994" s="161">
        <v>218.18</v>
      </c>
      <c r="G2994" s="162">
        <v>218.18</v>
      </c>
      <c r="H2994" s="67">
        <v>911</v>
      </c>
    </row>
    <row r="2995" spans="1:8" x14ac:dyDescent="0.25">
      <c r="A2995" s="212">
        <v>41941</v>
      </c>
      <c r="B2995" s="160" t="s">
        <v>1134</v>
      </c>
      <c r="C2995" t="s">
        <v>473</v>
      </c>
      <c r="D2995" t="s">
        <v>527</v>
      </c>
      <c r="E2995" s="161">
        <v>1</v>
      </c>
      <c r="F2995" s="161">
        <v>230</v>
      </c>
      <c r="G2995" s="162">
        <v>230</v>
      </c>
      <c r="H2995" s="67">
        <v>911</v>
      </c>
    </row>
    <row r="2996" spans="1:8" x14ac:dyDescent="0.25">
      <c r="A2996" s="212">
        <v>41955</v>
      </c>
      <c r="B2996" s="160" t="s">
        <v>1128</v>
      </c>
      <c r="C2996" t="s">
        <v>473</v>
      </c>
      <c r="D2996" t="s">
        <v>527</v>
      </c>
      <c r="E2996" s="161">
        <v>1</v>
      </c>
      <c r="F2996" s="161">
        <v>540</v>
      </c>
      <c r="G2996" s="162">
        <v>540</v>
      </c>
      <c r="H2996" s="67">
        <v>911</v>
      </c>
    </row>
    <row r="2997" spans="1:8" x14ac:dyDescent="0.25">
      <c r="A2997" s="212">
        <v>41955</v>
      </c>
      <c r="B2997" s="160" t="s">
        <v>1135</v>
      </c>
      <c r="C2997" t="s">
        <v>473</v>
      </c>
      <c r="D2997" t="s">
        <v>527</v>
      </c>
      <c r="E2997" s="161">
        <v>1</v>
      </c>
      <c r="F2997" s="161">
        <v>540</v>
      </c>
      <c r="G2997" s="162">
        <v>540</v>
      </c>
      <c r="H2997" s="67">
        <v>911</v>
      </c>
    </row>
    <row r="2998" spans="1:8" x14ac:dyDescent="0.25">
      <c r="A2998" s="212">
        <v>41955</v>
      </c>
      <c r="B2998" s="160" t="s">
        <v>1115</v>
      </c>
      <c r="C2998" t="s">
        <v>473</v>
      </c>
      <c r="D2998" t="s">
        <v>527</v>
      </c>
      <c r="E2998" s="161">
        <v>1</v>
      </c>
      <c r="F2998" s="161">
        <v>490</v>
      </c>
      <c r="G2998" s="162">
        <v>490</v>
      </c>
      <c r="H2998" s="67">
        <v>911</v>
      </c>
    </row>
    <row r="2999" spans="1:8" x14ac:dyDescent="0.25">
      <c r="A2999" s="212">
        <v>41960</v>
      </c>
      <c r="B2999" s="160" t="s">
        <v>1136</v>
      </c>
      <c r="C2999" t="s">
        <v>473</v>
      </c>
      <c r="D2999" t="s">
        <v>527</v>
      </c>
      <c r="E2999" s="161">
        <v>1</v>
      </c>
      <c r="F2999" s="161">
        <v>412.73</v>
      </c>
      <c r="G2999" s="162">
        <v>412.73</v>
      </c>
      <c r="H2999" s="67">
        <v>911</v>
      </c>
    </row>
    <row r="3000" spans="1:8" ht="30" x14ac:dyDescent="0.25">
      <c r="A3000" s="212">
        <v>41963</v>
      </c>
      <c r="B3000" s="160" t="s">
        <v>1137</v>
      </c>
      <c r="C3000" t="s">
        <v>1124</v>
      </c>
      <c r="D3000" t="s">
        <v>527</v>
      </c>
      <c r="E3000" s="161">
        <v>1</v>
      </c>
      <c r="F3000" s="161">
        <v>307.14</v>
      </c>
      <c r="G3000" s="162">
        <v>307.14</v>
      </c>
      <c r="H3000" s="67">
        <v>911</v>
      </c>
    </row>
    <row r="3001" spans="1:8" x14ac:dyDescent="0.25">
      <c r="A3001" s="212">
        <v>41964</v>
      </c>
      <c r="B3001" s="160" t="s">
        <v>1139</v>
      </c>
      <c r="C3001" t="s">
        <v>473</v>
      </c>
      <c r="D3001" t="s">
        <v>527</v>
      </c>
      <c r="E3001" s="161">
        <v>1</v>
      </c>
      <c r="F3001" s="161">
        <v>540</v>
      </c>
      <c r="G3001" s="162">
        <v>540</v>
      </c>
      <c r="H3001" s="67">
        <v>911</v>
      </c>
    </row>
    <row r="3002" spans="1:8" x14ac:dyDescent="0.25">
      <c r="A3002" s="212">
        <v>41964</v>
      </c>
      <c r="B3002" s="160" t="s">
        <v>1138</v>
      </c>
      <c r="C3002" t="s">
        <v>473</v>
      </c>
      <c r="D3002" t="s">
        <v>527</v>
      </c>
      <c r="E3002" s="161">
        <v>1</v>
      </c>
      <c r="F3002" s="161">
        <v>490</v>
      </c>
      <c r="G3002" s="162">
        <v>490</v>
      </c>
      <c r="H3002" s="67">
        <v>911</v>
      </c>
    </row>
    <row r="3003" spans="1:8" ht="75" x14ac:dyDescent="0.25">
      <c r="A3003" s="212">
        <v>41968</v>
      </c>
      <c r="B3003" s="160" t="s">
        <v>1140</v>
      </c>
      <c r="C3003" t="s">
        <v>473</v>
      </c>
      <c r="D3003" t="s">
        <v>527</v>
      </c>
      <c r="E3003" s="161">
        <v>1</v>
      </c>
      <c r="F3003" s="161">
        <v>9460</v>
      </c>
      <c r="G3003" s="162">
        <v>9460</v>
      </c>
      <c r="H3003" s="67">
        <v>911</v>
      </c>
    </row>
    <row r="3004" spans="1:8" x14ac:dyDescent="0.25">
      <c r="A3004" s="212">
        <v>41970</v>
      </c>
      <c r="B3004" s="160" t="s">
        <v>1141</v>
      </c>
      <c r="C3004" t="s">
        <v>473</v>
      </c>
      <c r="D3004" t="s">
        <v>527</v>
      </c>
      <c r="E3004" s="161">
        <v>1</v>
      </c>
      <c r="F3004" s="161">
        <v>2340</v>
      </c>
      <c r="G3004" s="162">
        <v>2340</v>
      </c>
      <c r="H3004" s="67">
        <v>911</v>
      </c>
    </row>
    <row r="3005" spans="1:8" x14ac:dyDescent="0.25">
      <c r="A3005" s="212">
        <v>41974</v>
      </c>
      <c r="B3005" s="160" t="s">
        <v>1142</v>
      </c>
      <c r="C3005" t="s">
        <v>473</v>
      </c>
      <c r="D3005" t="s">
        <v>527</v>
      </c>
      <c r="E3005" s="161">
        <v>1</v>
      </c>
      <c r="F3005" s="161">
        <v>490</v>
      </c>
      <c r="G3005" s="162">
        <v>490</v>
      </c>
      <c r="H3005" s="67">
        <v>911</v>
      </c>
    </row>
    <row r="3006" spans="1:8" x14ac:dyDescent="0.25">
      <c r="A3006" s="212">
        <v>41978</v>
      </c>
      <c r="B3006" s="160" t="s">
        <v>1135</v>
      </c>
      <c r="C3006" t="s">
        <v>473</v>
      </c>
      <c r="D3006" t="s">
        <v>527</v>
      </c>
      <c r="E3006" s="161">
        <v>1</v>
      </c>
      <c r="F3006" s="161">
        <v>1080</v>
      </c>
      <c r="G3006" s="162">
        <v>1080</v>
      </c>
      <c r="H3006" s="67">
        <v>911</v>
      </c>
    </row>
    <row r="3007" spans="1:8" x14ac:dyDescent="0.25">
      <c r="A3007" s="212">
        <v>41978</v>
      </c>
      <c r="B3007" s="160" t="s">
        <v>1128</v>
      </c>
      <c r="C3007" t="s">
        <v>473</v>
      </c>
      <c r="D3007" t="s">
        <v>527</v>
      </c>
      <c r="E3007" s="161">
        <v>1</v>
      </c>
      <c r="F3007" s="161">
        <v>1080</v>
      </c>
      <c r="G3007" s="162">
        <v>1080</v>
      </c>
      <c r="H3007" s="67">
        <v>911</v>
      </c>
    </row>
    <row r="3008" spans="1:8" x14ac:dyDescent="0.25">
      <c r="A3008" s="212">
        <v>41981</v>
      </c>
      <c r="B3008" s="160" t="s">
        <v>1119</v>
      </c>
      <c r="C3008" t="s">
        <v>473</v>
      </c>
      <c r="D3008" t="s">
        <v>527</v>
      </c>
      <c r="E3008" s="161">
        <v>1</v>
      </c>
      <c r="F3008" s="161">
        <v>942.85</v>
      </c>
      <c r="G3008" s="162">
        <v>942.85</v>
      </c>
      <c r="H3008" s="67">
        <v>911</v>
      </c>
    </row>
    <row r="3009" spans="1:8" x14ac:dyDescent="0.25">
      <c r="A3009" s="212">
        <v>41990</v>
      </c>
      <c r="B3009" s="160" t="s">
        <v>1143</v>
      </c>
      <c r="C3009" t="s">
        <v>473</v>
      </c>
      <c r="D3009" t="s">
        <v>527</v>
      </c>
      <c r="E3009" s="161">
        <v>1</v>
      </c>
      <c r="F3009" s="161">
        <v>1590</v>
      </c>
      <c r="G3009" s="162">
        <v>1590</v>
      </c>
      <c r="H3009" s="67">
        <v>911</v>
      </c>
    </row>
    <row r="3010" spans="1:8" x14ac:dyDescent="0.25">
      <c r="A3010" s="212">
        <v>41990</v>
      </c>
      <c r="B3010" s="160" t="s">
        <v>1144</v>
      </c>
      <c r="C3010" t="s">
        <v>473</v>
      </c>
      <c r="D3010" t="s">
        <v>527</v>
      </c>
      <c r="E3010" s="161">
        <v>1</v>
      </c>
      <c r="F3010" s="161">
        <v>1080</v>
      </c>
      <c r="G3010" s="162">
        <v>1080</v>
      </c>
      <c r="H3010" s="67">
        <v>911</v>
      </c>
    </row>
    <row r="3011" spans="1:8" x14ac:dyDescent="0.25">
      <c r="A3011" s="212">
        <v>41997</v>
      </c>
      <c r="B3011" s="160" t="s">
        <v>1145</v>
      </c>
      <c r="C3011" t="s">
        <v>473</v>
      </c>
      <c r="D3011" t="s">
        <v>527</v>
      </c>
      <c r="E3011" s="161">
        <v>1</v>
      </c>
      <c r="F3011" s="161">
        <v>490</v>
      </c>
      <c r="G3011" s="162">
        <v>490</v>
      </c>
      <c r="H3011" s="67">
        <v>911</v>
      </c>
    </row>
    <row r="3012" spans="1:8" x14ac:dyDescent="0.25">
      <c r="A3012" s="212">
        <v>42002</v>
      </c>
      <c r="B3012" s="160" t="s">
        <v>1146</v>
      </c>
      <c r="C3012" t="s">
        <v>1124</v>
      </c>
      <c r="D3012" t="s">
        <v>527</v>
      </c>
      <c r="E3012" s="161">
        <v>1</v>
      </c>
      <c r="F3012" s="161">
        <v>601.36</v>
      </c>
      <c r="G3012" s="162">
        <v>601.36</v>
      </c>
      <c r="H3012" s="67">
        <v>911</v>
      </c>
    </row>
    <row r="3013" spans="1:8" ht="30" x14ac:dyDescent="0.25">
      <c r="A3013" s="212">
        <v>42010</v>
      </c>
      <c r="B3013" s="160" t="s">
        <v>1147</v>
      </c>
      <c r="C3013" t="s">
        <v>1124</v>
      </c>
      <c r="D3013" t="s">
        <v>527</v>
      </c>
      <c r="E3013" s="161">
        <v>1</v>
      </c>
      <c r="F3013" s="161">
        <v>183.22</v>
      </c>
      <c r="G3013" s="162">
        <v>183.22</v>
      </c>
      <c r="H3013" s="67">
        <v>911</v>
      </c>
    </row>
    <row r="3014" spans="1:8" x14ac:dyDescent="0.25">
      <c r="A3014" s="212">
        <v>42011</v>
      </c>
      <c r="B3014" s="160" t="s">
        <v>1148</v>
      </c>
      <c r="C3014" t="s">
        <v>473</v>
      </c>
      <c r="D3014" t="s">
        <v>527</v>
      </c>
      <c r="E3014" s="161">
        <v>1</v>
      </c>
      <c r="F3014" s="161">
        <v>1060</v>
      </c>
      <c r="G3014" s="162">
        <v>1060</v>
      </c>
      <c r="H3014" s="67">
        <v>911</v>
      </c>
    </row>
    <row r="3015" spans="1:8" x14ac:dyDescent="0.25">
      <c r="A3015" s="212">
        <v>42033</v>
      </c>
      <c r="B3015" s="160" t="s">
        <v>1150</v>
      </c>
      <c r="C3015" t="s">
        <v>1124</v>
      </c>
      <c r="D3015" t="s">
        <v>527</v>
      </c>
      <c r="E3015" s="161">
        <v>1</v>
      </c>
      <c r="F3015" s="161">
        <v>870.77</v>
      </c>
      <c r="G3015" s="162">
        <v>870.77</v>
      </c>
      <c r="H3015" s="67">
        <v>911</v>
      </c>
    </row>
    <row r="3016" spans="1:8" ht="30" x14ac:dyDescent="0.25">
      <c r="A3016" s="212">
        <v>42033</v>
      </c>
      <c r="B3016" s="160" t="s">
        <v>1149</v>
      </c>
      <c r="C3016" t="s">
        <v>1124</v>
      </c>
      <c r="D3016" t="s">
        <v>527</v>
      </c>
      <c r="E3016" s="161">
        <v>1</v>
      </c>
      <c r="F3016" s="161">
        <v>739.9</v>
      </c>
      <c r="G3016" s="162">
        <v>739.9</v>
      </c>
      <c r="H3016" s="67">
        <v>911</v>
      </c>
    </row>
    <row r="3017" spans="1:8" ht="30" x14ac:dyDescent="0.25">
      <c r="A3017" s="212">
        <v>42055</v>
      </c>
      <c r="B3017" s="160" t="s">
        <v>1151</v>
      </c>
      <c r="C3017" t="s">
        <v>1124</v>
      </c>
      <c r="D3017" t="s">
        <v>527</v>
      </c>
      <c r="E3017" s="161">
        <v>1</v>
      </c>
      <c r="F3017" s="161">
        <v>307.14</v>
      </c>
      <c r="G3017" s="162">
        <v>307.14</v>
      </c>
      <c r="H3017" s="67">
        <v>911</v>
      </c>
    </row>
    <row r="3018" spans="1:8" ht="30" x14ac:dyDescent="0.25">
      <c r="A3018" s="212">
        <v>42055</v>
      </c>
      <c r="B3018" s="160" t="s">
        <v>1152</v>
      </c>
      <c r="C3018" t="s">
        <v>1124</v>
      </c>
      <c r="D3018" t="s">
        <v>527</v>
      </c>
      <c r="E3018" s="161">
        <v>1</v>
      </c>
      <c r="F3018" s="161">
        <v>21.75</v>
      </c>
      <c r="G3018" s="162">
        <v>21.75</v>
      </c>
      <c r="H3018" s="67">
        <v>911</v>
      </c>
    </row>
    <row r="3019" spans="1:8" x14ac:dyDescent="0.25">
      <c r="A3019" s="212">
        <v>42069</v>
      </c>
      <c r="B3019" s="160" t="s">
        <v>1153</v>
      </c>
      <c r="C3019" t="s">
        <v>473</v>
      </c>
      <c r="D3019" t="s">
        <v>527</v>
      </c>
      <c r="E3019" s="161">
        <v>1</v>
      </c>
      <c r="F3019" s="161">
        <v>327.27</v>
      </c>
      <c r="G3019" s="162">
        <v>327.27</v>
      </c>
      <c r="H3019" s="67">
        <v>911</v>
      </c>
    </row>
    <row r="3020" spans="1:8" x14ac:dyDescent="0.25">
      <c r="A3020" s="213" t="s">
        <v>418</v>
      </c>
      <c r="B3020" s="214" t="s">
        <v>1154</v>
      </c>
      <c r="C3020" s="215" t="s">
        <v>418</v>
      </c>
      <c r="D3020" s="215" t="s">
        <v>418</v>
      </c>
      <c r="E3020" s="216"/>
      <c r="F3020" s="216"/>
      <c r="G3020" s="217">
        <v>44449.299999999988</v>
      </c>
      <c r="H3020" s="231" t="s">
        <v>418</v>
      </c>
    </row>
    <row r="3021" spans="1:8" x14ac:dyDescent="0.25">
      <c r="A3021" s="212" t="s">
        <v>418</v>
      </c>
      <c r="B3021" s="160" t="s">
        <v>418</v>
      </c>
      <c r="C3021" t="s">
        <v>418</v>
      </c>
      <c r="D3021" t="s">
        <v>418</v>
      </c>
      <c r="E3021" s="161"/>
      <c r="F3021" s="161"/>
      <c r="G3021" s="162"/>
      <c r="H3021" s="67" t="s">
        <v>418</v>
      </c>
    </row>
    <row r="3022" spans="1:8" x14ac:dyDescent="0.25">
      <c r="A3022" s="209" t="s">
        <v>418</v>
      </c>
      <c r="B3022" s="159" t="s">
        <v>1261</v>
      </c>
      <c r="C3022" s="35" t="s">
        <v>418</v>
      </c>
      <c r="D3022" s="35" t="s">
        <v>418</v>
      </c>
      <c r="E3022" s="210"/>
      <c r="F3022" s="210"/>
      <c r="G3022" s="211"/>
      <c r="H3022" s="229" t="s">
        <v>418</v>
      </c>
    </row>
    <row r="3023" spans="1:8" x14ac:dyDescent="0.25">
      <c r="A3023" s="212">
        <v>41900</v>
      </c>
      <c r="B3023" s="160" t="s">
        <v>1226</v>
      </c>
      <c r="C3023" t="s">
        <v>7</v>
      </c>
      <c r="D3023" t="s">
        <v>27</v>
      </c>
      <c r="E3023" s="161">
        <v>8</v>
      </c>
      <c r="F3023" s="161">
        <v>42.72</v>
      </c>
      <c r="G3023" s="162">
        <v>341.76</v>
      </c>
      <c r="H3023" s="67">
        <v>916</v>
      </c>
    </row>
    <row r="3024" spans="1:8" x14ac:dyDescent="0.25">
      <c r="A3024" s="212">
        <v>41904</v>
      </c>
      <c r="B3024" s="160" t="s">
        <v>1226</v>
      </c>
      <c r="C3024" t="s">
        <v>7</v>
      </c>
      <c r="D3024" t="s">
        <v>27</v>
      </c>
      <c r="E3024" s="161">
        <v>10.5</v>
      </c>
      <c r="F3024" s="161">
        <v>42.72</v>
      </c>
      <c r="G3024" s="162">
        <v>448.56</v>
      </c>
      <c r="H3024" s="67">
        <v>916</v>
      </c>
    </row>
    <row r="3025" spans="1:8" x14ac:dyDescent="0.25">
      <c r="A3025" s="212">
        <v>41905</v>
      </c>
      <c r="B3025" s="160" t="s">
        <v>1226</v>
      </c>
      <c r="C3025" t="s">
        <v>7</v>
      </c>
      <c r="D3025" t="s">
        <v>27</v>
      </c>
      <c r="E3025" s="161">
        <v>10.75</v>
      </c>
      <c r="F3025" s="161">
        <v>42.72</v>
      </c>
      <c r="G3025" s="162">
        <v>459.24</v>
      </c>
      <c r="H3025" s="67">
        <v>916</v>
      </c>
    </row>
    <row r="3026" spans="1:8" x14ac:dyDescent="0.25">
      <c r="A3026" s="212">
        <v>41906</v>
      </c>
      <c r="B3026" s="160" t="s">
        <v>1226</v>
      </c>
      <c r="C3026" t="s">
        <v>7</v>
      </c>
      <c r="D3026" t="s">
        <v>27</v>
      </c>
      <c r="E3026" s="161">
        <v>8.5</v>
      </c>
      <c r="F3026" s="161">
        <v>42.72</v>
      </c>
      <c r="G3026" s="162">
        <v>363.12</v>
      </c>
      <c r="H3026" s="67">
        <v>916</v>
      </c>
    </row>
    <row r="3027" spans="1:8" x14ac:dyDescent="0.25">
      <c r="A3027" s="212">
        <v>41907</v>
      </c>
      <c r="B3027" s="160" t="s">
        <v>623</v>
      </c>
      <c r="C3027" t="s">
        <v>7</v>
      </c>
      <c r="D3027" t="s">
        <v>27</v>
      </c>
      <c r="E3027" s="161">
        <v>8</v>
      </c>
      <c r="F3027" s="161">
        <v>46.85</v>
      </c>
      <c r="G3027" s="162">
        <v>374.8</v>
      </c>
      <c r="H3027" s="67">
        <v>916</v>
      </c>
    </row>
    <row r="3028" spans="1:8" x14ac:dyDescent="0.25">
      <c r="A3028" s="212">
        <v>41907</v>
      </c>
      <c r="B3028" s="160" t="s">
        <v>1226</v>
      </c>
      <c r="C3028" t="s">
        <v>7</v>
      </c>
      <c r="D3028" t="s">
        <v>27</v>
      </c>
      <c r="E3028" s="161">
        <v>9</v>
      </c>
      <c r="F3028" s="161">
        <v>42.72</v>
      </c>
      <c r="G3028" s="162">
        <v>384.48</v>
      </c>
      <c r="H3028" s="67">
        <v>916</v>
      </c>
    </row>
    <row r="3029" spans="1:8" x14ac:dyDescent="0.25">
      <c r="A3029" s="212">
        <v>41908</v>
      </c>
      <c r="B3029" s="160" t="s">
        <v>623</v>
      </c>
      <c r="C3029" t="s">
        <v>7</v>
      </c>
      <c r="D3029" t="s">
        <v>27</v>
      </c>
      <c r="E3029" s="161">
        <v>10.5</v>
      </c>
      <c r="F3029" s="161">
        <v>46.85</v>
      </c>
      <c r="G3029" s="162">
        <v>491.92500000000001</v>
      </c>
      <c r="H3029" s="67">
        <v>916</v>
      </c>
    </row>
    <row r="3030" spans="1:8" x14ac:dyDescent="0.25">
      <c r="A3030" s="212">
        <v>41908</v>
      </c>
      <c r="B3030" s="160" t="s">
        <v>1226</v>
      </c>
      <c r="C3030" t="s">
        <v>7</v>
      </c>
      <c r="D3030" t="s">
        <v>27</v>
      </c>
      <c r="E3030" s="161">
        <v>8.5</v>
      </c>
      <c r="F3030" s="161">
        <v>42.72</v>
      </c>
      <c r="G3030" s="162">
        <v>363.12</v>
      </c>
      <c r="H3030" s="67">
        <v>916</v>
      </c>
    </row>
    <row r="3031" spans="1:8" x14ac:dyDescent="0.25">
      <c r="A3031" s="212">
        <v>41911</v>
      </c>
      <c r="B3031" s="160" t="s">
        <v>623</v>
      </c>
      <c r="C3031" t="s">
        <v>7</v>
      </c>
      <c r="D3031" t="s">
        <v>27</v>
      </c>
      <c r="E3031" s="161">
        <v>10</v>
      </c>
      <c r="F3031" s="161">
        <v>46.85</v>
      </c>
      <c r="G3031" s="162">
        <v>468.5</v>
      </c>
      <c r="H3031" s="67">
        <v>916</v>
      </c>
    </row>
    <row r="3032" spans="1:8" x14ac:dyDescent="0.25">
      <c r="A3032" s="212">
        <v>41911</v>
      </c>
      <c r="B3032" s="160" t="s">
        <v>1226</v>
      </c>
      <c r="C3032" t="s">
        <v>7</v>
      </c>
      <c r="D3032" t="s">
        <v>27</v>
      </c>
      <c r="E3032" s="161">
        <v>10.5</v>
      </c>
      <c r="F3032" s="161">
        <v>42.72</v>
      </c>
      <c r="G3032" s="162">
        <v>448.56</v>
      </c>
      <c r="H3032" s="67">
        <v>916</v>
      </c>
    </row>
    <row r="3033" spans="1:8" x14ac:dyDescent="0.25">
      <c r="A3033" s="212">
        <v>41912</v>
      </c>
      <c r="B3033" s="160" t="s">
        <v>623</v>
      </c>
      <c r="C3033" t="s">
        <v>7</v>
      </c>
      <c r="D3033" t="s">
        <v>27</v>
      </c>
      <c r="E3033" s="161">
        <v>10</v>
      </c>
      <c r="F3033" s="161">
        <v>46.85</v>
      </c>
      <c r="G3033" s="162">
        <v>468.5</v>
      </c>
      <c r="H3033" s="67">
        <v>916</v>
      </c>
    </row>
    <row r="3034" spans="1:8" x14ac:dyDescent="0.25">
      <c r="A3034" s="212">
        <v>41912</v>
      </c>
      <c r="B3034" s="160" t="s">
        <v>1226</v>
      </c>
      <c r="C3034" t="s">
        <v>7</v>
      </c>
      <c r="D3034" t="s">
        <v>27</v>
      </c>
      <c r="E3034" s="161">
        <v>10.5</v>
      </c>
      <c r="F3034" s="161">
        <v>42.72</v>
      </c>
      <c r="G3034" s="162">
        <v>448.56</v>
      </c>
      <c r="H3034" s="67">
        <v>916</v>
      </c>
    </row>
    <row r="3035" spans="1:8" x14ac:dyDescent="0.25">
      <c r="A3035" s="212">
        <v>41913</v>
      </c>
      <c r="B3035" s="160" t="s">
        <v>1226</v>
      </c>
      <c r="C3035" t="s">
        <v>7</v>
      </c>
      <c r="D3035" t="s">
        <v>27</v>
      </c>
      <c r="E3035" s="161">
        <v>11</v>
      </c>
      <c r="F3035" s="161">
        <v>42.72</v>
      </c>
      <c r="G3035" s="162">
        <v>469.92</v>
      </c>
      <c r="H3035" s="67">
        <v>916</v>
      </c>
    </row>
    <row r="3036" spans="1:8" x14ac:dyDescent="0.25">
      <c r="A3036" s="212">
        <v>41913</v>
      </c>
      <c r="B3036" s="160" t="s">
        <v>623</v>
      </c>
      <c r="C3036" t="s">
        <v>7</v>
      </c>
      <c r="D3036" t="s">
        <v>27</v>
      </c>
      <c r="E3036" s="161">
        <v>10</v>
      </c>
      <c r="F3036" s="161">
        <v>46.85</v>
      </c>
      <c r="G3036" s="162">
        <v>468.5</v>
      </c>
      <c r="H3036" s="67">
        <v>916</v>
      </c>
    </row>
    <row r="3037" spans="1:8" x14ac:dyDescent="0.25">
      <c r="A3037" s="212">
        <v>41914</v>
      </c>
      <c r="B3037" s="160" t="s">
        <v>1226</v>
      </c>
      <c r="C3037" t="s">
        <v>7</v>
      </c>
      <c r="D3037" t="s">
        <v>27</v>
      </c>
      <c r="E3037" s="161">
        <v>10</v>
      </c>
      <c r="F3037" s="161">
        <v>42.72</v>
      </c>
      <c r="G3037" s="162">
        <v>427.2</v>
      </c>
      <c r="H3037" s="67">
        <v>916</v>
      </c>
    </row>
    <row r="3038" spans="1:8" x14ac:dyDescent="0.25">
      <c r="A3038" s="212">
        <v>41914</v>
      </c>
      <c r="B3038" s="160" t="s">
        <v>623</v>
      </c>
      <c r="C3038" t="s">
        <v>7</v>
      </c>
      <c r="D3038" t="s">
        <v>27</v>
      </c>
      <c r="E3038" s="161">
        <v>10</v>
      </c>
      <c r="F3038" s="161">
        <v>46.85</v>
      </c>
      <c r="G3038" s="162">
        <v>468.5</v>
      </c>
      <c r="H3038" s="67">
        <v>916</v>
      </c>
    </row>
    <row r="3039" spans="1:8" x14ac:dyDescent="0.25">
      <c r="A3039" s="212">
        <v>41915</v>
      </c>
      <c r="B3039" s="160" t="s">
        <v>623</v>
      </c>
      <c r="C3039" t="s">
        <v>7</v>
      </c>
      <c r="D3039" t="s">
        <v>27</v>
      </c>
      <c r="E3039" s="161">
        <v>4.5</v>
      </c>
      <c r="F3039" s="161">
        <v>46.85</v>
      </c>
      <c r="G3039" s="162">
        <v>210.82499999999999</v>
      </c>
      <c r="H3039" s="67">
        <v>916</v>
      </c>
    </row>
    <row r="3040" spans="1:8" x14ac:dyDescent="0.25">
      <c r="A3040" s="212">
        <v>41915</v>
      </c>
      <c r="B3040" s="160" t="s">
        <v>1226</v>
      </c>
      <c r="C3040" t="s">
        <v>7</v>
      </c>
      <c r="D3040" t="s">
        <v>27</v>
      </c>
      <c r="E3040" s="161">
        <v>6</v>
      </c>
      <c r="F3040" s="161">
        <v>42.72</v>
      </c>
      <c r="G3040" s="162">
        <v>256.32</v>
      </c>
      <c r="H3040" s="67">
        <v>916</v>
      </c>
    </row>
    <row r="3041" spans="1:8" x14ac:dyDescent="0.25">
      <c r="A3041" s="212">
        <v>41919</v>
      </c>
      <c r="B3041" s="160" t="s">
        <v>1226</v>
      </c>
      <c r="C3041" t="s">
        <v>7</v>
      </c>
      <c r="D3041" t="s">
        <v>27</v>
      </c>
      <c r="E3041" s="161">
        <v>10</v>
      </c>
      <c r="F3041" s="161">
        <v>42.72</v>
      </c>
      <c r="G3041" s="162">
        <v>427.2</v>
      </c>
      <c r="H3041" s="67">
        <v>916</v>
      </c>
    </row>
    <row r="3042" spans="1:8" x14ac:dyDescent="0.25">
      <c r="A3042" s="212">
        <v>41920</v>
      </c>
      <c r="B3042" s="160" t="s">
        <v>1226</v>
      </c>
      <c r="C3042" t="s">
        <v>7</v>
      </c>
      <c r="D3042" t="s">
        <v>27</v>
      </c>
      <c r="E3042" s="161">
        <v>10</v>
      </c>
      <c r="F3042" s="161">
        <v>42.72</v>
      </c>
      <c r="G3042" s="162">
        <v>427.2</v>
      </c>
      <c r="H3042" s="67">
        <v>916</v>
      </c>
    </row>
    <row r="3043" spans="1:8" x14ac:dyDescent="0.25">
      <c r="A3043" s="212">
        <v>41920</v>
      </c>
      <c r="B3043" s="160" t="s">
        <v>623</v>
      </c>
      <c r="C3043" t="s">
        <v>7</v>
      </c>
      <c r="D3043" t="s">
        <v>27</v>
      </c>
      <c r="E3043" s="161">
        <v>9.5</v>
      </c>
      <c r="F3043" s="161">
        <v>46.85</v>
      </c>
      <c r="G3043" s="162">
        <v>445.07499999999999</v>
      </c>
      <c r="H3043" s="67">
        <v>916</v>
      </c>
    </row>
    <row r="3044" spans="1:8" x14ac:dyDescent="0.25">
      <c r="A3044" s="212">
        <v>41921</v>
      </c>
      <c r="B3044" s="160" t="s">
        <v>623</v>
      </c>
      <c r="C3044" t="s">
        <v>7</v>
      </c>
      <c r="D3044" t="s">
        <v>27</v>
      </c>
      <c r="E3044" s="161">
        <v>10</v>
      </c>
      <c r="F3044" s="161">
        <v>46.85</v>
      </c>
      <c r="G3044" s="162">
        <v>468.5</v>
      </c>
      <c r="H3044" s="67">
        <v>916</v>
      </c>
    </row>
    <row r="3045" spans="1:8" x14ac:dyDescent="0.25">
      <c r="A3045" s="212">
        <v>41922</v>
      </c>
      <c r="B3045" s="160" t="s">
        <v>1226</v>
      </c>
      <c r="C3045" t="s">
        <v>7</v>
      </c>
      <c r="D3045" t="s">
        <v>27</v>
      </c>
      <c r="E3045" s="161">
        <v>6.5</v>
      </c>
      <c r="F3045" s="161">
        <v>42.72</v>
      </c>
      <c r="G3045" s="162">
        <v>277.68</v>
      </c>
      <c r="H3045" s="67">
        <v>916</v>
      </c>
    </row>
    <row r="3046" spans="1:8" x14ac:dyDescent="0.25">
      <c r="A3046" s="212">
        <v>41922</v>
      </c>
      <c r="B3046" s="160" t="s">
        <v>623</v>
      </c>
      <c r="C3046" t="s">
        <v>7</v>
      </c>
      <c r="D3046" t="s">
        <v>27</v>
      </c>
      <c r="E3046" s="161">
        <v>10.5</v>
      </c>
      <c r="F3046" s="161">
        <v>46.85</v>
      </c>
      <c r="G3046" s="162">
        <v>491.92500000000001</v>
      </c>
      <c r="H3046" s="67">
        <v>916</v>
      </c>
    </row>
    <row r="3047" spans="1:8" x14ac:dyDescent="0.25">
      <c r="A3047" s="212">
        <v>41923</v>
      </c>
      <c r="B3047" s="160" t="s">
        <v>623</v>
      </c>
      <c r="C3047" t="s">
        <v>7</v>
      </c>
      <c r="D3047" t="s">
        <v>27</v>
      </c>
      <c r="E3047" s="161">
        <v>3</v>
      </c>
      <c r="F3047" s="161">
        <v>46.85</v>
      </c>
      <c r="G3047" s="162">
        <v>140.55000000000001</v>
      </c>
      <c r="H3047" s="67">
        <v>916</v>
      </c>
    </row>
    <row r="3048" spans="1:8" x14ac:dyDescent="0.25">
      <c r="A3048" s="212">
        <v>41925</v>
      </c>
      <c r="B3048" s="160" t="s">
        <v>623</v>
      </c>
      <c r="C3048" t="s">
        <v>7</v>
      </c>
      <c r="D3048" t="s">
        <v>27</v>
      </c>
      <c r="E3048" s="161">
        <v>10.5</v>
      </c>
      <c r="F3048" s="161">
        <v>46.85</v>
      </c>
      <c r="G3048" s="162">
        <v>491.92500000000001</v>
      </c>
      <c r="H3048" s="67">
        <v>916</v>
      </c>
    </row>
    <row r="3049" spans="1:8" x14ac:dyDescent="0.25">
      <c r="A3049" s="212">
        <v>41925</v>
      </c>
      <c r="B3049" s="160" t="s">
        <v>1226</v>
      </c>
      <c r="C3049" t="s">
        <v>7</v>
      </c>
      <c r="D3049" t="s">
        <v>27</v>
      </c>
      <c r="E3049" s="161">
        <v>10</v>
      </c>
      <c r="F3049" s="161">
        <v>42.72</v>
      </c>
      <c r="G3049" s="162">
        <v>427.2</v>
      </c>
      <c r="H3049" s="67">
        <v>916</v>
      </c>
    </row>
    <row r="3050" spans="1:8" x14ac:dyDescent="0.25">
      <c r="A3050" s="212">
        <v>41926</v>
      </c>
      <c r="B3050" s="160" t="s">
        <v>623</v>
      </c>
      <c r="C3050" t="s">
        <v>7</v>
      </c>
      <c r="D3050" t="s">
        <v>27</v>
      </c>
      <c r="E3050" s="161">
        <v>10</v>
      </c>
      <c r="F3050" s="161">
        <v>46.85</v>
      </c>
      <c r="G3050" s="162">
        <v>468.5</v>
      </c>
      <c r="H3050" s="67">
        <v>916</v>
      </c>
    </row>
    <row r="3051" spans="1:8" x14ac:dyDescent="0.25">
      <c r="A3051" s="212">
        <v>41926</v>
      </c>
      <c r="B3051" s="160" t="s">
        <v>1226</v>
      </c>
      <c r="C3051" t="s">
        <v>7</v>
      </c>
      <c r="D3051" t="s">
        <v>27</v>
      </c>
      <c r="E3051" s="161">
        <v>10</v>
      </c>
      <c r="F3051" s="161">
        <v>42.72</v>
      </c>
      <c r="G3051" s="162">
        <v>427.2</v>
      </c>
      <c r="H3051" s="67">
        <v>916</v>
      </c>
    </row>
    <row r="3052" spans="1:8" x14ac:dyDescent="0.25">
      <c r="A3052" s="212">
        <v>41927</v>
      </c>
      <c r="B3052" s="160" t="s">
        <v>1226</v>
      </c>
      <c r="C3052" t="s">
        <v>7</v>
      </c>
      <c r="D3052" t="s">
        <v>27</v>
      </c>
      <c r="E3052" s="161">
        <v>9.4499999999999993</v>
      </c>
      <c r="F3052" s="161">
        <v>42.72</v>
      </c>
      <c r="G3052" s="162">
        <v>403.70400000000001</v>
      </c>
      <c r="H3052" s="67">
        <v>916</v>
      </c>
    </row>
    <row r="3053" spans="1:8" x14ac:dyDescent="0.25">
      <c r="A3053" s="212">
        <v>41927</v>
      </c>
      <c r="B3053" s="160" t="s">
        <v>623</v>
      </c>
      <c r="C3053" t="s">
        <v>7</v>
      </c>
      <c r="D3053" t="s">
        <v>27</v>
      </c>
      <c r="E3053" s="161">
        <v>9.5</v>
      </c>
      <c r="F3053" s="161">
        <v>46.85</v>
      </c>
      <c r="G3053" s="162">
        <v>445.07499999999999</v>
      </c>
      <c r="H3053" s="67">
        <v>916</v>
      </c>
    </row>
    <row r="3054" spans="1:8" x14ac:dyDescent="0.25">
      <c r="A3054" s="212">
        <v>41928</v>
      </c>
      <c r="B3054" s="160" t="s">
        <v>623</v>
      </c>
      <c r="C3054" t="s">
        <v>7</v>
      </c>
      <c r="D3054" t="s">
        <v>27</v>
      </c>
      <c r="E3054" s="161">
        <v>10</v>
      </c>
      <c r="F3054" s="161">
        <v>46.85</v>
      </c>
      <c r="G3054" s="162">
        <v>468.5</v>
      </c>
      <c r="H3054" s="67">
        <v>916</v>
      </c>
    </row>
    <row r="3055" spans="1:8" x14ac:dyDescent="0.25">
      <c r="A3055" s="212">
        <v>41928</v>
      </c>
      <c r="B3055" s="160" t="s">
        <v>1226</v>
      </c>
      <c r="C3055" t="s">
        <v>7</v>
      </c>
      <c r="D3055" t="s">
        <v>27</v>
      </c>
      <c r="E3055" s="161">
        <v>10.5</v>
      </c>
      <c r="F3055" s="161">
        <v>42.72</v>
      </c>
      <c r="G3055" s="162">
        <v>448.56</v>
      </c>
      <c r="H3055" s="67">
        <v>916</v>
      </c>
    </row>
    <row r="3056" spans="1:8" x14ac:dyDescent="0.25">
      <c r="A3056" s="212">
        <v>41929</v>
      </c>
      <c r="B3056" s="160" t="s">
        <v>1226</v>
      </c>
      <c r="C3056" t="s">
        <v>7</v>
      </c>
      <c r="D3056" t="s">
        <v>27</v>
      </c>
      <c r="E3056" s="161">
        <v>7.5</v>
      </c>
      <c r="F3056" s="161">
        <v>42.72</v>
      </c>
      <c r="G3056" s="162">
        <v>320.39999999999998</v>
      </c>
      <c r="H3056" s="67">
        <v>916</v>
      </c>
    </row>
    <row r="3057" spans="1:8" ht="30" x14ac:dyDescent="0.25">
      <c r="A3057" s="212">
        <v>41931</v>
      </c>
      <c r="B3057" s="160" t="s">
        <v>1155</v>
      </c>
      <c r="C3057" t="s">
        <v>630</v>
      </c>
      <c r="D3057" t="s">
        <v>527</v>
      </c>
      <c r="E3057" s="161">
        <v>5</v>
      </c>
      <c r="F3057" s="161">
        <v>20</v>
      </c>
      <c r="G3057" s="162">
        <v>100</v>
      </c>
      <c r="H3057" s="67">
        <v>916</v>
      </c>
    </row>
    <row r="3058" spans="1:8" x14ac:dyDescent="0.25">
      <c r="A3058" s="212">
        <v>41932</v>
      </c>
      <c r="B3058" s="160" t="s">
        <v>1226</v>
      </c>
      <c r="C3058" t="s">
        <v>7</v>
      </c>
      <c r="D3058" t="s">
        <v>27</v>
      </c>
      <c r="E3058" s="161">
        <v>10.5</v>
      </c>
      <c r="F3058" s="161">
        <v>42.72</v>
      </c>
      <c r="G3058" s="162">
        <v>448.56</v>
      </c>
      <c r="H3058" s="67">
        <v>916</v>
      </c>
    </row>
    <row r="3059" spans="1:8" x14ac:dyDescent="0.25">
      <c r="A3059" s="212">
        <v>41932</v>
      </c>
      <c r="B3059" s="160" t="s">
        <v>1156</v>
      </c>
      <c r="C3059" t="s">
        <v>622</v>
      </c>
      <c r="D3059" t="s">
        <v>27</v>
      </c>
      <c r="E3059" s="161">
        <v>10</v>
      </c>
      <c r="F3059" s="161">
        <v>40</v>
      </c>
      <c r="G3059" s="162">
        <v>400</v>
      </c>
      <c r="H3059" s="67">
        <v>916</v>
      </c>
    </row>
    <row r="3060" spans="1:8" x14ac:dyDescent="0.25">
      <c r="A3060" s="212">
        <v>41933</v>
      </c>
      <c r="B3060" s="160" t="s">
        <v>1226</v>
      </c>
      <c r="C3060" t="s">
        <v>7</v>
      </c>
      <c r="D3060" t="s">
        <v>27</v>
      </c>
      <c r="E3060" s="161">
        <v>10</v>
      </c>
      <c r="F3060" s="161">
        <v>42.72</v>
      </c>
      <c r="G3060" s="162">
        <v>427.2</v>
      </c>
      <c r="H3060" s="67">
        <v>916</v>
      </c>
    </row>
    <row r="3061" spans="1:8" x14ac:dyDescent="0.25">
      <c r="A3061" s="212">
        <v>41933</v>
      </c>
      <c r="B3061" s="160" t="s">
        <v>1156</v>
      </c>
      <c r="C3061" t="s">
        <v>622</v>
      </c>
      <c r="D3061" t="s">
        <v>27</v>
      </c>
      <c r="E3061" s="161">
        <v>10</v>
      </c>
      <c r="F3061" s="161">
        <v>40</v>
      </c>
      <c r="G3061" s="162">
        <v>400</v>
      </c>
      <c r="H3061" s="67">
        <v>916</v>
      </c>
    </row>
    <row r="3062" spans="1:8" x14ac:dyDescent="0.25">
      <c r="A3062" s="212">
        <v>41934</v>
      </c>
      <c r="B3062" s="160" t="s">
        <v>1226</v>
      </c>
      <c r="C3062" t="s">
        <v>7</v>
      </c>
      <c r="D3062" t="s">
        <v>27</v>
      </c>
      <c r="E3062" s="161">
        <v>9</v>
      </c>
      <c r="F3062" s="161">
        <v>42.72</v>
      </c>
      <c r="G3062" s="162">
        <v>384.48</v>
      </c>
      <c r="H3062" s="67">
        <v>916</v>
      </c>
    </row>
    <row r="3063" spans="1:8" x14ac:dyDescent="0.25">
      <c r="A3063" s="212">
        <v>41934</v>
      </c>
      <c r="B3063" s="160" t="s">
        <v>1156</v>
      </c>
      <c r="C3063" t="s">
        <v>622</v>
      </c>
      <c r="D3063" t="s">
        <v>27</v>
      </c>
      <c r="E3063" s="161">
        <v>10</v>
      </c>
      <c r="F3063" s="161">
        <v>40</v>
      </c>
      <c r="G3063" s="162">
        <v>400</v>
      </c>
      <c r="H3063" s="67">
        <v>916</v>
      </c>
    </row>
    <row r="3064" spans="1:8" x14ac:dyDescent="0.25">
      <c r="A3064" s="212">
        <v>41935</v>
      </c>
      <c r="B3064" s="160" t="s">
        <v>1156</v>
      </c>
      <c r="C3064" t="s">
        <v>622</v>
      </c>
      <c r="D3064" t="s">
        <v>27</v>
      </c>
      <c r="E3064" s="161">
        <v>10</v>
      </c>
      <c r="F3064" s="161">
        <v>40</v>
      </c>
      <c r="G3064" s="162">
        <v>400</v>
      </c>
      <c r="H3064" s="67">
        <v>916</v>
      </c>
    </row>
    <row r="3065" spans="1:8" x14ac:dyDescent="0.25">
      <c r="A3065" s="212">
        <v>41936</v>
      </c>
      <c r="B3065" s="160" t="s">
        <v>1156</v>
      </c>
      <c r="C3065" t="s">
        <v>622</v>
      </c>
      <c r="D3065" t="s">
        <v>27</v>
      </c>
      <c r="E3065" s="161">
        <v>11</v>
      </c>
      <c r="F3065" s="161">
        <v>40</v>
      </c>
      <c r="G3065" s="162">
        <v>440</v>
      </c>
      <c r="H3065" s="67">
        <v>916</v>
      </c>
    </row>
    <row r="3066" spans="1:8" x14ac:dyDescent="0.25">
      <c r="A3066" s="212">
        <v>41939</v>
      </c>
      <c r="B3066" s="160" t="s">
        <v>1226</v>
      </c>
      <c r="C3066" t="s">
        <v>7</v>
      </c>
      <c r="D3066" t="s">
        <v>27</v>
      </c>
      <c r="E3066" s="161">
        <v>10</v>
      </c>
      <c r="F3066" s="161">
        <v>42.72</v>
      </c>
      <c r="G3066" s="162">
        <v>427.2</v>
      </c>
      <c r="H3066" s="67">
        <v>916</v>
      </c>
    </row>
    <row r="3067" spans="1:8" x14ac:dyDescent="0.25">
      <c r="A3067" s="212">
        <v>41940</v>
      </c>
      <c r="B3067" s="160" t="s">
        <v>1156</v>
      </c>
      <c r="C3067" t="s">
        <v>622</v>
      </c>
      <c r="D3067" t="s">
        <v>27</v>
      </c>
      <c r="E3067" s="161">
        <v>10</v>
      </c>
      <c r="F3067" s="161">
        <v>40</v>
      </c>
      <c r="G3067" s="162">
        <v>400</v>
      </c>
      <c r="H3067" s="67">
        <v>916</v>
      </c>
    </row>
    <row r="3068" spans="1:8" x14ac:dyDescent="0.25">
      <c r="A3068" s="212">
        <v>41940</v>
      </c>
      <c r="B3068" s="160" t="s">
        <v>1226</v>
      </c>
      <c r="C3068" t="s">
        <v>7</v>
      </c>
      <c r="D3068" t="s">
        <v>27</v>
      </c>
      <c r="E3068" s="161">
        <v>11</v>
      </c>
      <c r="F3068" s="161">
        <v>42.72</v>
      </c>
      <c r="G3068" s="162">
        <v>469.92</v>
      </c>
      <c r="H3068" s="67">
        <v>916</v>
      </c>
    </row>
    <row r="3069" spans="1:8" x14ac:dyDescent="0.25">
      <c r="A3069" s="212">
        <v>41940</v>
      </c>
      <c r="B3069" s="160" t="s">
        <v>623</v>
      </c>
      <c r="C3069" t="s">
        <v>7</v>
      </c>
      <c r="D3069" t="s">
        <v>27</v>
      </c>
      <c r="E3069" s="161">
        <v>3</v>
      </c>
      <c r="F3069" s="161">
        <v>46.85</v>
      </c>
      <c r="G3069" s="162">
        <v>140.55000000000001</v>
      </c>
      <c r="H3069" s="67">
        <v>916</v>
      </c>
    </row>
    <row r="3070" spans="1:8" x14ac:dyDescent="0.25">
      <c r="A3070" s="212">
        <v>41941</v>
      </c>
      <c r="B3070" s="160" t="s">
        <v>623</v>
      </c>
      <c r="C3070" t="s">
        <v>7</v>
      </c>
      <c r="D3070" t="s">
        <v>27</v>
      </c>
      <c r="E3070" s="161">
        <v>11.5</v>
      </c>
      <c r="F3070" s="161">
        <v>46.85</v>
      </c>
      <c r="G3070" s="162">
        <v>538.77499999999998</v>
      </c>
      <c r="H3070" s="67">
        <v>916</v>
      </c>
    </row>
    <row r="3071" spans="1:8" x14ac:dyDescent="0.25">
      <c r="A3071" s="212">
        <v>41941</v>
      </c>
      <c r="B3071" s="160" t="s">
        <v>1226</v>
      </c>
      <c r="C3071" t="s">
        <v>7</v>
      </c>
      <c r="D3071" t="s">
        <v>27</v>
      </c>
      <c r="E3071" s="161">
        <v>11</v>
      </c>
      <c r="F3071" s="161">
        <v>42.72</v>
      </c>
      <c r="G3071" s="162">
        <v>469.92</v>
      </c>
      <c r="H3071" s="67">
        <v>916</v>
      </c>
    </row>
    <row r="3072" spans="1:8" x14ac:dyDescent="0.25">
      <c r="A3072" s="212">
        <v>41941</v>
      </c>
      <c r="B3072" s="160" t="s">
        <v>1156</v>
      </c>
      <c r="C3072" t="s">
        <v>622</v>
      </c>
      <c r="D3072" t="s">
        <v>27</v>
      </c>
      <c r="E3072" s="161">
        <v>10</v>
      </c>
      <c r="F3072" s="161">
        <v>40</v>
      </c>
      <c r="G3072" s="162">
        <v>400</v>
      </c>
      <c r="H3072" s="67">
        <v>916</v>
      </c>
    </row>
    <row r="3073" spans="1:8" x14ac:dyDescent="0.25">
      <c r="A3073" s="212">
        <v>41942</v>
      </c>
      <c r="B3073" s="160" t="s">
        <v>623</v>
      </c>
      <c r="C3073" t="s">
        <v>7</v>
      </c>
      <c r="D3073" t="s">
        <v>27</v>
      </c>
      <c r="E3073" s="161">
        <v>10.5</v>
      </c>
      <c r="F3073" s="161">
        <v>46.85</v>
      </c>
      <c r="G3073" s="162">
        <v>491.92500000000001</v>
      </c>
      <c r="H3073" s="67">
        <v>916</v>
      </c>
    </row>
    <row r="3074" spans="1:8" x14ac:dyDescent="0.25">
      <c r="A3074" s="212">
        <v>41943</v>
      </c>
      <c r="B3074" s="160" t="s">
        <v>623</v>
      </c>
      <c r="C3074" t="s">
        <v>7</v>
      </c>
      <c r="D3074" t="s">
        <v>27</v>
      </c>
      <c r="E3074" s="161">
        <v>10</v>
      </c>
      <c r="F3074" s="161">
        <v>46.85</v>
      </c>
      <c r="G3074" s="162">
        <v>468.5</v>
      </c>
      <c r="H3074" s="67">
        <v>916</v>
      </c>
    </row>
    <row r="3075" spans="1:8" x14ac:dyDescent="0.25">
      <c r="A3075" s="212">
        <v>41944</v>
      </c>
      <c r="B3075" s="160" t="s">
        <v>623</v>
      </c>
      <c r="C3075" t="s">
        <v>7</v>
      </c>
      <c r="D3075" t="s">
        <v>27</v>
      </c>
      <c r="E3075" s="161">
        <v>9</v>
      </c>
      <c r="F3075" s="161">
        <v>46.85</v>
      </c>
      <c r="G3075" s="162">
        <v>421.65</v>
      </c>
      <c r="H3075" s="67">
        <v>916</v>
      </c>
    </row>
    <row r="3076" spans="1:8" x14ac:dyDescent="0.25">
      <c r="A3076" s="212">
        <v>41945</v>
      </c>
      <c r="B3076" s="160" t="s">
        <v>1226</v>
      </c>
      <c r="C3076" t="s">
        <v>7</v>
      </c>
      <c r="D3076" t="s">
        <v>27</v>
      </c>
      <c r="E3076" s="161">
        <v>4.5</v>
      </c>
      <c r="F3076" s="161">
        <v>42.72</v>
      </c>
      <c r="G3076" s="162">
        <v>192.24</v>
      </c>
      <c r="H3076" s="67">
        <v>916</v>
      </c>
    </row>
    <row r="3077" spans="1:8" x14ac:dyDescent="0.25">
      <c r="A3077" s="212">
        <v>41946</v>
      </c>
      <c r="B3077" s="160" t="s">
        <v>623</v>
      </c>
      <c r="C3077" t="s">
        <v>7</v>
      </c>
      <c r="D3077" t="s">
        <v>27</v>
      </c>
      <c r="E3077" s="161">
        <v>10.5</v>
      </c>
      <c r="F3077" s="161">
        <v>46.85</v>
      </c>
      <c r="G3077" s="162">
        <v>491.92500000000001</v>
      </c>
      <c r="H3077" s="67">
        <v>916</v>
      </c>
    </row>
    <row r="3078" spans="1:8" x14ac:dyDescent="0.25">
      <c r="A3078" s="212">
        <v>41946</v>
      </c>
      <c r="B3078" s="160" t="s">
        <v>1226</v>
      </c>
      <c r="C3078" t="s">
        <v>7</v>
      </c>
      <c r="D3078" t="s">
        <v>27</v>
      </c>
      <c r="E3078" s="161">
        <v>10.5</v>
      </c>
      <c r="F3078" s="161">
        <v>42.72</v>
      </c>
      <c r="G3078" s="162">
        <v>448.56</v>
      </c>
      <c r="H3078" s="67">
        <v>916</v>
      </c>
    </row>
    <row r="3079" spans="1:8" x14ac:dyDescent="0.25">
      <c r="A3079" s="212">
        <v>41947</v>
      </c>
      <c r="B3079" s="160" t="s">
        <v>1226</v>
      </c>
      <c r="C3079" t="s">
        <v>7</v>
      </c>
      <c r="D3079" t="s">
        <v>27</v>
      </c>
      <c r="E3079" s="161">
        <v>10.5</v>
      </c>
      <c r="F3079" s="161">
        <v>42.72</v>
      </c>
      <c r="G3079" s="162">
        <v>448.56</v>
      </c>
      <c r="H3079" s="67">
        <v>916</v>
      </c>
    </row>
    <row r="3080" spans="1:8" x14ac:dyDescent="0.25">
      <c r="A3080" s="212">
        <v>41947</v>
      </c>
      <c r="B3080" s="160" t="s">
        <v>623</v>
      </c>
      <c r="C3080" t="s">
        <v>7</v>
      </c>
      <c r="D3080" t="s">
        <v>27</v>
      </c>
      <c r="E3080" s="161">
        <v>10.5</v>
      </c>
      <c r="F3080" s="161">
        <v>46.85</v>
      </c>
      <c r="G3080" s="162">
        <v>491.92500000000001</v>
      </c>
      <c r="H3080" s="67">
        <v>916</v>
      </c>
    </row>
    <row r="3081" spans="1:8" x14ac:dyDescent="0.25">
      <c r="A3081" s="212">
        <v>41948</v>
      </c>
      <c r="B3081" s="160" t="s">
        <v>623</v>
      </c>
      <c r="C3081" t="s">
        <v>7</v>
      </c>
      <c r="D3081" t="s">
        <v>27</v>
      </c>
      <c r="E3081" s="161">
        <v>10</v>
      </c>
      <c r="F3081" s="161">
        <v>46.85</v>
      </c>
      <c r="G3081" s="162">
        <v>468.5</v>
      </c>
      <c r="H3081" s="67">
        <v>916</v>
      </c>
    </row>
    <row r="3082" spans="1:8" x14ac:dyDescent="0.25">
      <c r="A3082" s="212">
        <v>41948</v>
      </c>
      <c r="B3082" s="160" t="s">
        <v>1226</v>
      </c>
      <c r="C3082" t="s">
        <v>7</v>
      </c>
      <c r="D3082" t="s">
        <v>27</v>
      </c>
      <c r="E3082" s="161">
        <v>10</v>
      </c>
      <c r="F3082" s="161">
        <v>42.72</v>
      </c>
      <c r="G3082" s="162">
        <v>427.2</v>
      </c>
      <c r="H3082" s="67">
        <v>916</v>
      </c>
    </row>
    <row r="3083" spans="1:8" x14ac:dyDescent="0.25">
      <c r="A3083" s="212">
        <v>41949</v>
      </c>
      <c r="B3083" s="160" t="s">
        <v>1226</v>
      </c>
      <c r="C3083" t="s">
        <v>7</v>
      </c>
      <c r="D3083" t="s">
        <v>27</v>
      </c>
      <c r="E3083" s="161">
        <v>10.5</v>
      </c>
      <c r="F3083" s="161">
        <v>42.72</v>
      </c>
      <c r="G3083" s="162">
        <v>448.56</v>
      </c>
      <c r="H3083" s="67">
        <v>916</v>
      </c>
    </row>
    <row r="3084" spans="1:8" x14ac:dyDescent="0.25">
      <c r="A3084" s="212">
        <v>41949</v>
      </c>
      <c r="B3084" s="160" t="s">
        <v>623</v>
      </c>
      <c r="C3084" t="s">
        <v>7</v>
      </c>
      <c r="D3084" t="s">
        <v>27</v>
      </c>
      <c r="E3084" s="161">
        <v>11</v>
      </c>
      <c r="F3084" s="161">
        <v>46.85</v>
      </c>
      <c r="G3084" s="162">
        <v>515.35</v>
      </c>
      <c r="H3084" s="67">
        <v>916</v>
      </c>
    </row>
    <row r="3085" spans="1:8" x14ac:dyDescent="0.25">
      <c r="A3085" s="212">
        <v>41950</v>
      </c>
      <c r="B3085" s="160" t="s">
        <v>623</v>
      </c>
      <c r="C3085" t="s">
        <v>7</v>
      </c>
      <c r="D3085" t="s">
        <v>27</v>
      </c>
      <c r="E3085" s="161">
        <v>10</v>
      </c>
      <c r="F3085" s="161">
        <v>46.85</v>
      </c>
      <c r="G3085" s="162">
        <v>468.5</v>
      </c>
      <c r="H3085" s="67">
        <v>916</v>
      </c>
    </row>
    <row r="3086" spans="1:8" x14ac:dyDescent="0.25">
      <c r="A3086" s="212">
        <v>41950</v>
      </c>
      <c r="B3086" s="160" t="s">
        <v>1226</v>
      </c>
      <c r="C3086" t="s">
        <v>7</v>
      </c>
      <c r="D3086" t="s">
        <v>27</v>
      </c>
      <c r="E3086" s="161">
        <v>6.5</v>
      </c>
      <c r="F3086" s="161">
        <v>42.72</v>
      </c>
      <c r="G3086" s="162">
        <v>277.68</v>
      </c>
      <c r="H3086" s="67">
        <v>916</v>
      </c>
    </row>
    <row r="3087" spans="1:8" x14ac:dyDescent="0.25">
      <c r="A3087" s="212">
        <v>41951</v>
      </c>
      <c r="B3087" s="160" t="s">
        <v>623</v>
      </c>
      <c r="C3087" t="s">
        <v>7</v>
      </c>
      <c r="D3087" t="s">
        <v>27</v>
      </c>
      <c r="E3087" s="161">
        <v>7</v>
      </c>
      <c r="F3087" s="161">
        <v>46.85</v>
      </c>
      <c r="G3087" s="162">
        <v>327.95</v>
      </c>
      <c r="H3087" s="67">
        <v>916</v>
      </c>
    </row>
    <row r="3088" spans="1:8" x14ac:dyDescent="0.25">
      <c r="A3088" s="212">
        <v>41953</v>
      </c>
      <c r="B3088" s="160" t="s">
        <v>1226</v>
      </c>
      <c r="C3088" t="s">
        <v>7</v>
      </c>
      <c r="D3088" t="s">
        <v>27</v>
      </c>
      <c r="E3088" s="161">
        <v>10.5</v>
      </c>
      <c r="F3088" s="161">
        <v>42.72</v>
      </c>
      <c r="G3088" s="162">
        <v>448.56</v>
      </c>
      <c r="H3088" s="67">
        <v>916</v>
      </c>
    </row>
    <row r="3089" spans="1:8" x14ac:dyDescent="0.25">
      <c r="A3089" s="212">
        <v>41953</v>
      </c>
      <c r="B3089" s="160" t="s">
        <v>623</v>
      </c>
      <c r="C3089" t="s">
        <v>7</v>
      </c>
      <c r="D3089" t="s">
        <v>27</v>
      </c>
      <c r="E3089" s="161">
        <v>10</v>
      </c>
      <c r="F3089" s="161">
        <v>46.85</v>
      </c>
      <c r="G3089" s="162">
        <v>468.5</v>
      </c>
      <c r="H3089" s="67">
        <v>916</v>
      </c>
    </row>
    <row r="3090" spans="1:8" x14ac:dyDescent="0.25">
      <c r="A3090" s="212">
        <v>41954</v>
      </c>
      <c r="B3090" s="160" t="s">
        <v>623</v>
      </c>
      <c r="C3090" t="s">
        <v>7</v>
      </c>
      <c r="D3090" t="s">
        <v>27</v>
      </c>
      <c r="E3090" s="161">
        <v>10</v>
      </c>
      <c r="F3090" s="161">
        <v>46.85</v>
      </c>
      <c r="G3090" s="162">
        <v>468.5</v>
      </c>
      <c r="H3090" s="67">
        <v>916</v>
      </c>
    </row>
    <row r="3091" spans="1:8" x14ac:dyDescent="0.25">
      <c r="A3091" s="212">
        <v>41954</v>
      </c>
      <c r="B3091" s="160" t="s">
        <v>1226</v>
      </c>
      <c r="C3091" t="s">
        <v>7</v>
      </c>
      <c r="D3091" t="s">
        <v>27</v>
      </c>
      <c r="E3091" s="161">
        <v>10.5</v>
      </c>
      <c r="F3091" s="161">
        <v>42.72</v>
      </c>
      <c r="G3091" s="162">
        <v>448.56</v>
      </c>
      <c r="H3091" s="67">
        <v>916</v>
      </c>
    </row>
    <row r="3092" spans="1:8" x14ac:dyDescent="0.25">
      <c r="A3092" s="212">
        <v>41955</v>
      </c>
      <c r="B3092" s="160" t="s">
        <v>1226</v>
      </c>
      <c r="C3092" t="s">
        <v>7</v>
      </c>
      <c r="D3092" t="s">
        <v>27</v>
      </c>
      <c r="E3092" s="161">
        <v>9</v>
      </c>
      <c r="F3092" s="161">
        <v>42.72</v>
      </c>
      <c r="G3092" s="162">
        <v>384.48</v>
      </c>
      <c r="H3092" s="67">
        <v>916</v>
      </c>
    </row>
    <row r="3093" spans="1:8" x14ac:dyDescent="0.25">
      <c r="A3093" s="212">
        <v>41955</v>
      </c>
      <c r="B3093" s="160" t="s">
        <v>623</v>
      </c>
      <c r="C3093" t="s">
        <v>7</v>
      </c>
      <c r="D3093" t="s">
        <v>27</v>
      </c>
      <c r="E3093" s="161">
        <v>10.5</v>
      </c>
      <c r="F3093" s="161">
        <v>46.85</v>
      </c>
      <c r="G3093" s="162">
        <v>491.92500000000001</v>
      </c>
      <c r="H3093" s="67">
        <v>916</v>
      </c>
    </row>
    <row r="3094" spans="1:8" x14ac:dyDescent="0.25">
      <c r="A3094" s="212">
        <v>41956</v>
      </c>
      <c r="B3094" s="160" t="s">
        <v>1226</v>
      </c>
      <c r="C3094" t="s">
        <v>7</v>
      </c>
      <c r="D3094" t="s">
        <v>27</v>
      </c>
      <c r="E3094" s="161">
        <v>10.5</v>
      </c>
      <c r="F3094" s="161">
        <v>42.72</v>
      </c>
      <c r="G3094" s="162">
        <v>448.56</v>
      </c>
      <c r="H3094" s="67">
        <v>916</v>
      </c>
    </row>
    <row r="3095" spans="1:8" x14ac:dyDescent="0.25">
      <c r="A3095" s="212">
        <v>41956</v>
      </c>
      <c r="B3095" s="160" t="s">
        <v>623</v>
      </c>
      <c r="C3095" t="s">
        <v>7</v>
      </c>
      <c r="D3095" t="s">
        <v>27</v>
      </c>
      <c r="E3095" s="161">
        <v>10</v>
      </c>
      <c r="F3095" s="161">
        <v>46.85</v>
      </c>
      <c r="G3095" s="162">
        <v>468.5</v>
      </c>
      <c r="H3095" s="67">
        <v>916</v>
      </c>
    </row>
    <row r="3096" spans="1:8" x14ac:dyDescent="0.25">
      <c r="A3096" s="212">
        <v>41957</v>
      </c>
      <c r="B3096" s="160" t="s">
        <v>623</v>
      </c>
      <c r="C3096" t="s">
        <v>7</v>
      </c>
      <c r="D3096" t="s">
        <v>27</v>
      </c>
      <c r="E3096" s="161">
        <v>10</v>
      </c>
      <c r="F3096" s="161">
        <v>46.85</v>
      </c>
      <c r="G3096" s="162">
        <v>468.5</v>
      </c>
      <c r="H3096" s="67">
        <v>916</v>
      </c>
    </row>
    <row r="3097" spans="1:8" x14ac:dyDescent="0.25">
      <c r="A3097" s="212">
        <v>41957</v>
      </c>
      <c r="B3097" s="160" t="s">
        <v>1212</v>
      </c>
      <c r="C3097" t="s">
        <v>7</v>
      </c>
      <c r="D3097" t="s">
        <v>27</v>
      </c>
      <c r="E3097" s="161">
        <v>7.5</v>
      </c>
      <c r="F3097" s="161">
        <v>42.72</v>
      </c>
      <c r="G3097" s="162">
        <v>320.39999999999998</v>
      </c>
      <c r="H3097" s="67">
        <v>916</v>
      </c>
    </row>
    <row r="3098" spans="1:8" x14ac:dyDescent="0.25">
      <c r="A3098" s="212">
        <v>41957</v>
      </c>
      <c r="B3098" s="160" t="s">
        <v>1226</v>
      </c>
      <c r="C3098" t="s">
        <v>7</v>
      </c>
      <c r="D3098" t="s">
        <v>27</v>
      </c>
      <c r="E3098" s="161">
        <v>10.5</v>
      </c>
      <c r="F3098" s="161">
        <v>42.72</v>
      </c>
      <c r="G3098" s="162">
        <v>448.56</v>
      </c>
      <c r="H3098" s="67">
        <v>916</v>
      </c>
    </row>
    <row r="3099" spans="1:8" x14ac:dyDescent="0.25">
      <c r="A3099" s="212">
        <v>41958</v>
      </c>
      <c r="B3099" s="160" t="s">
        <v>623</v>
      </c>
      <c r="C3099" t="s">
        <v>7</v>
      </c>
      <c r="D3099" t="s">
        <v>27</v>
      </c>
      <c r="E3099" s="161">
        <v>10.5</v>
      </c>
      <c r="F3099" s="161">
        <v>46.85</v>
      </c>
      <c r="G3099" s="162">
        <v>491.92500000000001</v>
      </c>
      <c r="H3099" s="67">
        <v>916</v>
      </c>
    </row>
    <row r="3100" spans="1:8" x14ac:dyDescent="0.25">
      <c r="A3100" s="212">
        <v>41960</v>
      </c>
      <c r="B3100" s="160" t="s">
        <v>623</v>
      </c>
      <c r="C3100" t="s">
        <v>7</v>
      </c>
      <c r="D3100" t="s">
        <v>27</v>
      </c>
      <c r="E3100" s="161">
        <v>11</v>
      </c>
      <c r="F3100" s="161">
        <v>46.85</v>
      </c>
      <c r="G3100" s="162">
        <v>515.35</v>
      </c>
      <c r="H3100" s="67">
        <v>916</v>
      </c>
    </row>
    <row r="3101" spans="1:8" x14ac:dyDescent="0.25">
      <c r="A3101" s="212">
        <v>41961</v>
      </c>
      <c r="B3101" s="160" t="s">
        <v>623</v>
      </c>
      <c r="C3101" t="s">
        <v>7</v>
      </c>
      <c r="D3101" t="s">
        <v>27</v>
      </c>
      <c r="E3101" s="161">
        <v>10.5</v>
      </c>
      <c r="F3101" s="161">
        <v>46.85</v>
      </c>
      <c r="G3101" s="162">
        <v>491.92500000000001</v>
      </c>
      <c r="H3101" s="67">
        <v>916</v>
      </c>
    </row>
    <row r="3102" spans="1:8" x14ac:dyDescent="0.25">
      <c r="A3102" s="212">
        <v>41962</v>
      </c>
      <c r="B3102" s="160" t="s">
        <v>623</v>
      </c>
      <c r="C3102" t="s">
        <v>7</v>
      </c>
      <c r="D3102" t="s">
        <v>27</v>
      </c>
      <c r="E3102" s="161">
        <v>10</v>
      </c>
      <c r="F3102" s="161">
        <v>46.85</v>
      </c>
      <c r="G3102" s="162">
        <v>468.5</v>
      </c>
      <c r="H3102" s="67">
        <v>916</v>
      </c>
    </row>
    <row r="3103" spans="1:8" x14ac:dyDescent="0.25">
      <c r="A3103" s="212">
        <v>41962</v>
      </c>
      <c r="B3103" s="160" t="s">
        <v>1226</v>
      </c>
      <c r="C3103" t="s">
        <v>7</v>
      </c>
      <c r="D3103" t="s">
        <v>27</v>
      </c>
      <c r="E3103" s="161">
        <v>10</v>
      </c>
      <c r="F3103" s="161">
        <v>42.72</v>
      </c>
      <c r="G3103" s="162">
        <v>427.2</v>
      </c>
      <c r="H3103" s="67">
        <v>916</v>
      </c>
    </row>
    <row r="3104" spans="1:8" x14ac:dyDescent="0.25">
      <c r="A3104" s="212">
        <v>41963</v>
      </c>
      <c r="B3104" s="160" t="s">
        <v>1226</v>
      </c>
      <c r="C3104" t="s">
        <v>7</v>
      </c>
      <c r="D3104" t="s">
        <v>27</v>
      </c>
      <c r="E3104" s="161">
        <v>10</v>
      </c>
      <c r="F3104" s="161">
        <v>42.72</v>
      </c>
      <c r="G3104" s="162">
        <v>427.2</v>
      </c>
      <c r="H3104" s="67">
        <v>916</v>
      </c>
    </row>
    <row r="3105" spans="1:8" x14ac:dyDescent="0.25">
      <c r="A3105" s="212">
        <v>41964</v>
      </c>
      <c r="B3105" s="160" t="s">
        <v>1226</v>
      </c>
      <c r="C3105" t="s">
        <v>7</v>
      </c>
      <c r="D3105" t="s">
        <v>27</v>
      </c>
      <c r="E3105" s="161">
        <v>6</v>
      </c>
      <c r="F3105" s="161">
        <v>42.72</v>
      </c>
      <c r="G3105" s="162">
        <v>256.32</v>
      </c>
      <c r="H3105" s="67">
        <v>916</v>
      </c>
    </row>
    <row r="3106" spans="1:8" x14ac:dyDescent="0.25">
      <c r="A3106" s="212">
        <v>41964</v>
      </c>
      <c r="B3106" s="160" t="s">
        <v>623</v>
      </c>
      <c r="C3106" t="s">
        <v>7</v>
      </c>
      <c r="D3106" t="s">
        <v>27</v>
      </c>
      <c r="E3106" s="161">
        <v>10</v>
      </c>
      <c r="F3106" s="161">
        <v>46.85</v>
      </c>
      <c r="G3106" s="162">
        <v>468.5</v>
      </c>
      <c r="H3106" s="67">
        <v>916</v>
      </c>
    </row>
    <row r="3107" spans="1:8" x14ac:dyDescent="0.25">
      <c r="A3107" s="212">
        <v>41964</v>
      </c>
      <c r="B3107" s="160" t="s">
        <v>623</v>
      </c>
      <c r="C3107" t="s">
        <v>7</v>
      </c>
      <c r="D3107" t="s">
        <v>27</v>
      </c>
      <c r="E3107" s="161">
        <v>5</v>
      </c>
      <c r="F3107" s="161">
        <v>46.85</v>
      </c>
      <c r="G3107" s="162">
        <v>234.25</v>
      </c>
      <c r="H3107" s="67">
        <v>916</v>
      </c>
    </row>
    <row r="3108" spans="1:8" x14ac:dyDescent="0.25">
      <c r="A3108" s="212">
        <v>41967</v>
      </c>
      <c r="B3108" s="160" t="s">
        <v>1226</v>
      </c>
      <c r="C3108" t="s">
        <v>7</v>
      </c>
      <c r="D3108" t="s">
        <v>27</v>
      </c>
      <c r="E3108" s="161">
        <v>10</v>
      </c>
      <c r="F3108" s="161">
        <v>42.72</v>
      </c>
      <c r="G3108" s="162">
        <v>427.2</v>
      </c>
      <c r="H3108" s="67">
        <v>916</v>
      </c>
    </row>
    <row r="3109" spans="1:8" x14ac:dyDescent="0.25">
      <c r="A3109" s="212">
        <v>41968</v>
      </c>
      <c r="B3109" s="160" t="s">
        <v>623</v>
      </c>
      <c r="C3109" t="s">
        <v>7</v>
      </c>
      <c r="D3109" t="s">
        <v>27</v>
      </c>
      <c r="E3109" s="161">
        <v>10.5</v>
      </c>
      <c r="F3109" s="161">
        <v>46.85</v>
      </c>
      <c r="G3109" s="162">
        <v>491.92500000000001</v>
      </c>
      <c r="H3109" s="67">
        <v>916</v>
      </c>
    </row>
    <row r="3110" spans="1:8" x14ac:dyDescent="0.25">
      <c r="A3110" s="212">
        <v>41969</v>
      </c>
      <c r="B3110" s="160" t="s">
        <v>1226</v>
      </c>
      <c r="C3110" t="s">
        <v>7</v>
      </c>
      <c r="D3110" t="s">
        <v>27</v>
      </c>
      <c r="E3110" s="161">
        <v>11</v>
      </c>
      <c r="F3110" s="161">
        <v>42.72</v>
      </c>
      <c r="G3110" s="162">
        <v>469.92</v>
      </c>
      <c r="H3110" s="67">
        <v>916</v>
      </c>
    </row>
    <row r="3111" spans="1:8" x14ac:dyDescent="0.25">
      <c r="A3111" s="212">
        <v>41969</v>
      </c>
      <c r="B3111" s="160" t="s">
        <v>623</v>
      </c>
      <c r="C3111" t="s">
        <v>7</v>
      </c>
      <c r="D3111" t="s">
        <v>27</v>
      </c>
      <c r="E3111" s="161">
        <v>10</v>
      </c>
      <c r="F3111" s="161">
        <v>46.85</v>
      </c>
      <c r="G3111" s="162">
        <v>468.5</v>
      </c>
      <c r="H3111" s="67">
        <v>916</v>
      </c>
    </row>
    <row r="3112" spans="1:8" x14ac:dyDescent="0.25">
      <c r="A3112" s="212">
        <v>41969</v>
      </c>
      <c r="B3112" s="160" t="s">
        <v>1226</v>
      </c>
      <c r="C3112" t="s">
        <v>7</v>
      </c>
      <c r="D3112" t="s">
        <v>27</v>
      </c>
      <c r="E3112" s="161">
        <v>11</v>
      </c>
      <c r="F3112" s="161">
        <v>42.72</v>
      </c>
      <c r="G3112" s="162">
        <v>469.92</v>
      </c>
      <c r="H3112" s="67">
        <v>916</v>
      </c>
    </row>
    <row r="3113" spans="1:8" x14ac:dyDescent="0.25">
      <c r="A3113" s="212">
        <v>41970</v>
      </c>
      <c r="B3113" s="160" t="s">
        <v>623</v>
      </c>
      <c r="C3113" t="s">
        <v>7</v>
      </c>
      <c r="D3113" t="s">
        <v>27</v>
      </c>
      <c r="E3113" s="161">
        <v>10</v>
      </c>
      <c r="F3113" s="161">
        <v>46.85</v>
      </c>
      <c r="G3113" s="162">
        <v>468.5</v>
      </c>
      <c r="H3113" s="67">
        <v>916</v>
      </c>
    </row>
    <row r="3114" spans="1:8" x14ac:dyDescent="0.25">
      <c r="A3114" s="212">
        <v>41970</v>
      </c>
      <c r="B3114" s="160" t="s">
        <v>1226</v>
      </c>
      <c r="C3114" t="s">
        <v>7</v>
      </c>
      <c r="D3114" t="s">
        <v>27</v>
      </c>
      <c r="E3114" s="161">
        <v>10</v>
      </c>
      <c r="F3114" s="161">
        <v>42.72</v>
      </c>
      <c r="G3114" s="162">
        <v>427.2</v>
      </c>
      <c r="H3114" s="67">
        <v>916</v>
      </c>
    </row>
    <row r="3115" spans="1:8" x14ac:dyDescent="0.25">
      <c r="A3115" s="212">
        <v>41971</v>
      </c>
      <c r="B3115" s="160" t="s">
        <v>623</v>
      </c>
      <c r="C3115" t="s">
        <v>7</v>
      </c>
      <c r="D3115" t="s">
        <v>27</v>
      </c>
      <c r="E3115" s="161">
        <v>9.5</v>
      </c>
      <c r="F3115" s="161">
        <v>46.85</v>
      </c>
      <c r="G3115" s="162">
        <v>445.07499999999999</v>
      </c>
      <c r="H3115" s="67">
        <v>916</v>
      </c>
    </row>
    <row r="3116" spans="1:8" x14ac:dyDescent="0.25">
      <c r="A3116" s="212">
        <v>41971</v>
      </c>
      <c r="B3116" s="160" t="s">
        <v>1226</v>
      </c>
      <c r="C3116" t="s">
        <v>7</v>
      </c>
      <c r="D3116" t="s">
        <v>27</v>
      </c>
      <c r="E3116" s="161">
        <v>7</v>
      </c>
      <c r="F3116" s="161">
        <v>42.72</v>
      </c>
      <c r="G3116" s="162">
        <v>299.04000000000002</v>
      </c>
      <c r="H3116" s="67">
        <v>916</v>
      </c>
    </row>
    <row r="3117" spans="1:8" x14ac:dyDescent="0.25">
      <c r="A3117" s="212">
        <v>41972</v>
      </c>
      <c r="B3117" s="160" t="s">
        <v>623</v>
      </c>
      <c r="C3117" t="s">
        <v>7</v>
      </c>
      <c r="D3117" t="s">
        <v>27</v>
      </c>
      <c r="E3117" s="161">
        <v>2</v>
      </c>
      <c r="F3117" s="161">
        <v>46.85</v>
      </c>
      <c r="G3117" s="162">
        <v>93.7</v>
      </c>
      <c r="H3117" s="67">
        <v>916</v>
      </c>
    </row>
    <row r="3118" spans="1:8" x14ac:dyDescent="0.25">
      <c r="A3118" s="212">
        <v>41974</v>
      </c>
      <c r="B3118" s="160" t="s">
        <v>1226</v>
      </c>
      <c r="C3118" t="s">
        <v>7</v>
      </c>
      <c r="D3118" t="s">
        <v>27</v>
      </c>
      <c r="E3118" s="161">
        <v>10.5</v>
      </c>
      <c r="F3118" s="161">
        <v>42.72</v>
      </c>
      <c r="G3118" s="162">
        <v>448.56</v>
      </c>
      <c r="H3118" s="67">
        <v>916</v>
      </c>
    </row>
    <row r="3119" spans="1:8" x14ac:dyDescent="0.25">
      <c r="A3119" s="212">
        <v>41975</v>
      </c>
      <c r="B3119" s="160" t="s">
        <v>1226</v>
      </c>
      <c r="C3119" t="s">
        <v>7</v>
      </c>
      <c r="D3119" t="s">
        <v>27</v>
      </c>
      <c r="E3119" s="161">
        <v>9.5</v>
      </c>
      <c r="F3119" s="161">
        <v>42.72</v>
      </c>
      <c r="G3119" s="162">
        <v>405.84</v>
      </c>
      <c r="H3119" s="67">
        <v>916</v>
      </c>
    </row>
    <row r="3120" spans="1:8" x14ac:dyDescent="0.25">
      <c r="A3120" s="212">
        <v>41976</v>
      </c>
      <c r="B3120" s="160" t="s">
        <v>1226</v>
      </c>
      <c r="C3120" t="s">
        <v>7</v>
      </c>
      <c r="D3120" t="s">
        <v>27</v>
      </c>
      <c r="E3120" s="161">
        <v>10</v>
      </c>
      <c r="F3120" s="161">
        <v>42.72</v>
      </c>
      <c r="G3120" s="162">
        <v>427.2</v>
      </c>
      <c r="H3120" s="67">
        <v>916</v>
      </c>
    </row>
    <row r="3121" spans="1:8" x14ac:dyDescent="0.25">
      <c r="A3121" s="212">
        <v>41977</v>
      </c>
      <c r="B3121" s="160" t="s">
        <v>1226</v>
      </c>
      <c r="C3121" t="s">
        <v>7</v>
      </c>
      <c r="D3121" t="s">
        <v>27</v>
      </c>
      <c r="E3121" s="161">
        <v>10</v>
      </c>
      <c r="F3121" s="161">
        <v>42.72</v>
      </c>
      <c r="G3121" s="162">
        <v>427.2</v>
      </c>
      <c r="H3121" s="67">
        <v>916</v>
      </c>
    </row>
    <row r="3122" spans="1:8" x14ac:dyDescent="0.25">
      <c r="A3122" s="212">
        <v>41978</v>
      </c>
      <c r="B3122" s="160" t="s">
        <v>1226</v>
      </c>
      <c r="C3122" t="s">
        <v>7</v>
      </c>
      <c r="D3122" t="s">
        <v>27</v>
      </c>
      <c r="E3122" s="161">
        <v>6</v>
      </c>
      <c r="F3122" s="161">
        <v>42.72</v>
      </c>
      <c r="G3122" s="162">
        <v>256.32</v>
      </c>
      <c r="H3122" s="67">
        <v>916</v>
      </c>
    </row>
    <row r="3123" spans="1:8" x14ac:dyDescent="0.25">
      <c r="A3123" s="212">
        <v>41981</v>
      </c>
      <c r="B3123" s="160" t="s">
        <v>623</v>
      </c>
      <c r="C3123" t="s">
        <v>7</v>
      </c>
      <c r="D3123" t="s">
        <v>27</v>
      </c>
      <c r="E3123" s="161">
        <v>10</v>
      </c>
      <c r="F3123" s="161">
        <v>46.85</v>
      </c>
      <c r="G3123" s="162">
        <v>468.5</v>
      </c>
      <c r="H3123" s="67">
        <v>916</v>
      </c>
    </row>
    <row r="3124" spans="1:8" x14ac:dyDescent="0.25">
      <c r="A3124" s="212">
        <v>41982</v>
      </c>
      <c r="B3124" s="160" t="s">
        <v>1226</v>
      </c>
      <c r="C3124" t="s">
        <v>7</v>
      </c>
      <c r="D3124" t="s">
        <v>27</v>
      </c>
      <c r="E3124" s="161">
        <v>10</v>
      </c>
      <c r="F3124" s="161">
        <v>42.72</v>
      </c>
      <c r="G3124" s="162">
        <v>427.2</v>
      </c>
      <c r="H3124" s="67">
        <v>916</v>
      </c>
    </row>
    <row r="3125" spans="1:8" x14ac:dyDescent="0.25">
      <c r="A3125" s="212">
        <v>41982</v>
      </c>
      <c r="B3125" s="160" t="s">
        <v>623</v>
      </c>
      <c r="C3125" t="s">
        <v>7</v>
      </c>
      <c r="D3125" t="s">
        <v>27</v>
      </c>
      <c r="E3125" s="161">
        <v>6.5</v>
      </c>
      <c r="F3125" s="161">
        <v>46.85</v>
      </c>
      <c r="G3125" s="162">
        <v>304.52499999999998</v>
      </c>
      <c r="H3125" s="67">
        <v>916</v>
      </c>
    </row>
    <row r="3126" spans="1:8" x14ac:dyDescent="0.25">
      <c r="A3126" s="212">
        <v>41983</v>
      </c>
      <c r="B3126" s="160" t="s">
        <v>1226</v>
      </c>
      <c r="C3126" t="s">
        <v>7</v>
      </c>
      <c r="D3126" t="s">
        <v>27</v>
      </c>
      <c r="E3126" s="161">
        <v>10</v>
      </c>
      <c r="F3126" s="161">
        <v>42.72</v>
      </c>
      <c r="G3126" s="162">
        <v>427.2</v>
      </c>
      <c r="H3126" s="67">
        <v>916</v>
      </c>
    </row>
    <row r="3127" spans="1:8" x14ac:dyDescent="0.25">
      <c r="A3127" s="212">
        <v>41984</v>
      </c>
      <c r="B3127" s="160" t="s">
        <v>1226</v>
      </c>
      <c r="C3127" t="s">
        <v>7</v>
      </c>
      <c r="D3127" t="s">
        <v>27</v>
      </c>
      <c r="E3127" s="161">
        <v>10.5</v>
      </c>
      <c r="F3127" s="161">
        <v>42.72</v>
      </c>
      <c r="G3127" s="162">
        <v>448.56</v>
      </c>
      <c r="H3127" s="67">
        <v>916</v>
      </c>
    </row>
    <row r="3128" spans="1:8" x14ac:dyDescent="0.25">
      <c r="A3128" s="212">
        <v>41984</v>
      </c>
      <c r="B3128" s="160" t="s">
        <v>623</v>
      </c>
      <c r="C3128" t="s">
        <v>7</v>
      </c>
      <c r="D3128" t="s">
        <v>27</v>
      </c>
      <c r="E3128" s="161">
        <v>9.5</v>
      </c>
      <c r="F3128" s="161">
        <v>46.85</v>
      </c>
      <c r="G3128" s="162">
        <v>445.07499999999999</v>
      </c>
      <c r="H3128" s="67">
        <v>916</v>
      </c>
    </row>
    <row r="3129" spans="1:8" x14ac:dyDescent="0.25">
      <c r="A3129" s="212">
        <v>41985</v>
      </c>
      <c r="B3129" s="160" t="s">
        <v>623</v>
      </c>
      <c r="C3129" t="s">
        <v>7</v>
      </c>
      <c r="D3129" t="s">
        <v>27</v>
      </c>
      <c r="E3129" s="161">
        <v>7.5</v>
      </c>
      <c r="F3129" s="161">
        <v>46.85</v>
      </c>
      <c r="G3129" s="162">
        <v>351.375</v>
      </c>
      <c r="H3129" s="67">
        <v>916</v>
      </c>
    </row>
    <row r="3130" spans="1:8" x14ac:dyDescent="0.25">
      <c r="A3130" s="212">
        <v>41985</v>
      </c>
      <c r="B3130" s="160" t="s">
        <v>1226</v>
      </c>
      <c r="C3130" t="s">
        <v>7</v>
      </c>
      <c r="D3130" t="s">
        <v>27</v>
      </c>
      <c r="E3130" s="161">
        <v>10</v>
      </c>
      <c r="F3130" s="161">
        <v>42.72</v>
      </c>
      <c r="G3130" s="162">
        <v>427.2</v>
      </c>
      <c r="H3130" s="67">
        <v>916</v>
      </c>
    </row>
    <row r="3131" spans="1:8" x14ac:dyDescent="0.25">
      <c r="A3131" s="212">
        <v>41986</v>
      </c>
      <c r="B3131" s="160" t="s">
        <v>623</v>
      </c>
      <c r="C3131" t="s">
        <v>7</v>
      </c>
      <c r="D3131" t="s">
        <v>27</v>
      </c>
      <c r="E3131" s="161">
        <v>10</v>
      </c>
      <c r="F3131" s="161">
        <v>46.85</v>
      </c>
      <c r="G3131" s="162">
        <v>468.5</v>
      </c>
      <c r="H3131" s="67">
        <v>916</v>
      </c>
    </row>
    <row r="3132" spans="1:8" x14ac:dyDescent="0.25">
      <c r="A3132" s="212">
        <v>41986</v>
      </c>
      <c r="B3132" s="160" t="s">
        <v>1226</v>
      </c>
      <c r="C3132" t="s">
        <v>7</v>
      </c>
      <c r="D3132" t="s">
        <v>27</v>
      </c>
      <c r="E3132" s="161">
        <v>5</v>
      </c>
      <c r="F3132" s="161">
        <v>42.72</v>
      </c>
      <c r="G3132" s="162">
        <v>213.6</v>
      </c>
      <c r="H3132" s="67">
        <v>916</v>
      </c>
    </row>
    <row r="3133" spans="1:8" x14ac:dyDescent="0.25">
      <c r="A3133" s="212">
        <v>41988</v>
      </c>
      <c r="B3133" s="160" t="s">
        <v>623</v>
      </c>
      <c r="C3133" t="s">
        <v>7</v>
      </c>
      <c r="D3133" t="s">
        <v>27</v>
      </c>
      <c r="E3133" s="161">
        <v>10.5</v>
      </c>
      <c r="F3133" s="161">
        <v>46.85</v>
      </c>
      <c r="G3133" s="162">
        <v>491.92500000000001</v>
      </c>
      <c r="H3133" s="67">
        <v>916</v>
      </c>
    </row>
    <row r="3134" spans="1:8" x14ac:dyDescent="0.25">
      <c r="A3134" s="212">
        <v>41989</v>
      </c>
      <c r="B3134" s="160" t="s">
        <v>1226</v>
      </c>
      <c r="C3134" t="s">
        <v>7</v>
      </c>
      <c r="D3134" t="s">
        <v>27</v>
      </c>
      <c r="E3134" s="161">
        <v>9.5</v>
      </c>
      <c r="F3134" s="161">
        <v>42.72</v>
      </c>
      <c r="G3134" s="162">
        <v>405.84</v>
      </c>
      <c r="H3134" s="67">
        <v>916</v>
      </c>
    </row>
    <row r="3135" spans="1:8" x14ac:dyDescent="0.25">
      <c r="A3135" s="212">
        <v>41989</v>
      </c>
      <c r="B3135" s="160" t="s">
        <v>623</v>
      </c>
      <c r="C3135" t="s">
        <v>7</v>
      </c>
      <c r="D3135" t="s">
        <v>27</v>
      </c>
      <c r="E3135" s="161">
        <v>8.5</v>
      </c>
      <c r="F3135" s="161">
        <v>46.85</v>
      </c>
      <c r="G3135" s="162">
        <v>398.22500000000002</v>
      </c>
      <c r="H3135" s="67">
        <v>916</v>
      </c>
    </row>
    <row r="3136" spans="1:8" x14ac:dyDescent="0.25">
      <c r="A3136" s="212">
        <v>41990</v>
      </c>
      <c r="B3136" s="160" t="s">
        <v>1226</v>
      </c>
      <c r="C3136" t="s">
        <v>7</v>
      </c>
      <c r="D3136" t="s">
        <v>27</v>
      </c>
      <c r="E3136" s="161">
        <v>8</v>
      </c>
      <c r="F3136" s="161">
        <v>42.72</v>
      </c>
      <c r="G3136" s="162">
        <v>341.76</v>
      </c>
      <c r="H3136" s="67">
        <v>916</v>
      </c>
    </row>
    <row r="3137" spans="1:8" x14ac:dyDescent="0.25">
      <c r="A3137" s="212">
        <v>41990</v>
      </c>
      <c r="B3137" s="160" t="s">
        <v>623</v>
      </c>
      <c r="C3137" t="s">
        <v>7</v>
      </c>
      <c r="D3137" t="s">
        <v>27</v>
      </c>
      <c r="E3137" s="161">
        <v>7</v>
      </c>
      <c r="F3137" s="161">
        <v>46.85</v>
      </c>
      <c r="G3137" s="162">
        <v>327.95</v>
      </c>
      <c r="H3137" s="67">
        <v>916</v>
      </c>
    </row>
    <row r="3138" spans="1:8" x14ac:dyDescent="0.25">
      <c r="A3138" s="212">
        <v>42009</v>
      </c>
      <c r="B3138" s="160" t="s">
        <v>623</v>
      </c>
      <c r="C3138" t="s">
        <v>7</v>
      </c>
      <c r="D3138" t="s">
        <v>27</v>
      </c>
      <c r="E3138" s="161">
        <v>11</v>
      </c>
      <c r="F3138" s="161">
        <v>46.85</v>
      </c>
      <c r="G3138" s="162">
        <v>515.35</v>
      </c>
      <c r="H3138" s="67">
        <v>916</v>
      </c>
    </row>
    <row r="3139" spans="1:8" x14ac:dyDescent="0.25">
      <c r="A3139" s="212">
        <v>42010</v>
      </c>
      <c r="B3139" s="160" t="s">
        <v>623</v>
      </c>
      <c r="C3139" t="s">
        <v>7</v>
      </c>
      <c r="D3139" t="s">
        <v>27</v>
      </c>
      <c r="E3139" s="161">
        <v>8</v>
      </c>
      <c r="F3139" s="161">
        <v>46.85</v>
      </c>
      <c r="G3139" s="162">
        <v>374.8</v>
      </c>
      <c r="H3139" s="67">
        <v>916</v>
      </c>
    </row>
    <row r="3140" spans="1:8" x14ac:dyDescent="0.25">
      <c r="A3140" s="212">
        <v>42011</v>
      </c>
      <c r="B3140" s="160" t="s">
        <v>1226</v>
      </c>
      <c r="C3140" t="s">
        <v>7</v>
      </c>
      <c r="D3140" t="s">
        <v>27</v>
      </c>
      <c r="E3140" s="161">
        <v>10</v>
      </c>
      <c r="F3140" s="161">
        <v>42.72</v>
      </c>
      <c r="G3140" s="162">
        <v>427.2</v>
      </c>
      <c r="H3140" s="67">
        <v>916</v>
      </c>
    </row>
    <row r="3141" spans="1:8" x14ac:dyDescent="0.25">
      <c r="A3141" s="212">
        <v>42011</v>
      </c>
      <c r="B3141" s="160" t="s">
        <v>623</v>
      </c>
      <c r="C3141" t="s">
        <v>7</v>
      </c>
      <c r="D3141" t="s">
        <v>27</v>
      </c>
      <c r="E3141" s="161">
        <v>10</v>
      </c>
      <c r="F3141" s="161">
        <v>46.85</v>
      </c>
      <c r="G3141" s="162">
        <v>468.5</v>
      </c>
      <c r="H3141" s="67">
        <v>916</v>
      </c>
    </row>
    <row r="3142" spans="1:8" x14ac:dyDescent="0.25">
      <c r="A3142" s="212">
        <v>42012</v>
      </c>
      <c r="B3142" s="160" t="s">
        <v>623</v>
      </c>
      <c r="C3142" t="s">
        <v>7</v>
      </c>
      <c r="D3142" t="s">
        <v>27</v>
      </c>
      <c r="E3142" s="161">
        <v>11</v>
      </c>
      <c r="F3142" s="161">
        <v>46.85</v>
      </c>
      <c r="G3142" s="162">
        <v>515.35</v>
      </c>
      <c r="H3142" s="67">
        <v>916</v>
      </c>
    </row>
    <row r="3143" spans="1:8" x14ac:dyDescent="0.25">
      <c r="A3143" s="212">
        <v>42013</v>
      </c>
      <c r="B3143" s="160" t="s">
        <v>1226</v>
      </c>
      <c r="C3143" t="s">
        <v>7</v>
      </c>
      <c r="D3143" t="s">
        <v>27</v>
      </c>
      <c r="E3143" s="161">
        <v>6.5</v>
      </c>
      <c r="F3143" s="161">
        <v>42.72</v>
      </c>
      <c r="G3143" s="162">
        <v>277.68</v>
      </c>
      <c r="H3143" s="67">
        <v>916</v>
      </c>
    </row>
    <row r="3144" spans="1:8" x14ac:dyDescent="0.25">
      <c r="A3144" s="212">
        <v>42013</v>
      </c>
      <c r="B3144" s="160" t="s">
        <v>623</v>
      </c>
      <c r="C3144" t="s">
        <v>7</v>
      </c>
      <c r="D3144" t="s">
        <v>27</v>
      </c>
      <c r="E3144" s="161">
        <v>10</v>
      </c>
      <c r="F3144" s="161">
        <v>46.85</v>
      </c>
      <c r="G3144" s="162">
        <v>468.5</v>
      </c>
      <c r="H3144" s="67">
        <v>916</v>
      </c>
    </row>
    <row r="3145" spans="1:8" x14ac:dyDescent="0.25">
      <c r="A3145" s="212">
        <v>42014</v>
      </c>
      <c r="B3145" s="160" t="s">
        <v>623</v>
      </c>
      <c r="C3145" t="s">
        <v>7</v>
      </c>
      <c r="D3145" t="s">
        <v>27</v>
      </c>
      <c r="E3145" s="161">
        <v>9</v>
      </c>
      <c r="F3145" s="161">
        <v>46.85</v>
      </c>
      <c r="G3145" s="162">
        <v>421.65</v>
      </c>
      <c r="H3145" s="67">
        <v>916</v>
      </c>
    </row>
    <row r="3146" spans="1:8" x14ac:dyDescent="0.25">
      <c r="A3146" s="212">
        <v>42016</v>
      </c>
      <c r="B3146" s="160" t="s">
        <v>1226</v>
      </c>
      <c r="C3146" t="s">
        <v>7</v>
      </c>
      <c r="D3146" t="s">
        <v>27</v>
      </c>
      <c r="E3146" s="161">
        <v>10.5</v>
      </c>
      <c r="F3146" s="161">
        <v>42.72</v>
      </c>
      <c r="G3146" s="162">
        <v>448.56</v>
      </c>
      <c r="H3146" s="67">
        <v>916</v>
      </c>
    </row>
    <row r="3147" spans="1:8" x14ac:dyDescent="0.25">
      <c r="A3147" s="212">
        <v>42016</v>
      </c>
      <c r="B3147" s="160" t="s">
        <v>623</v>
      </c>
      <c r="C3147" t="s">
        <v>7</v>
      </c>
      <c r="D3147" t="s">
        <v>27</v>
      </c>
      <c r="E3147" s="161">
        <v>11</v>
      </c>
      <c r="F3147" s="161">
        <v>46.85</v>
      </c>
      <c r="G3147" s="162">
        <v>515.35</v>
      </c>
      <c r="H3147" s="67">
        <v>916</v>
      </c>
    </row>
    <row r="3148" spans="1:8" x14ac:dyDescent="0.25">
      <c r="A3148" s="212">
        <v>42017</v>
      </c>
      <c r="B3148" s="160" t="s">
        <v>1226</v>
      </c>
      <c r="C3148" t="s">
        <v>7</v>
      </c>
      <c r="D3148" t="s">
        <v>27</v>
      </c>
      <c r="E3148" s="161">
        <v>9</v>
      </c>
      <c r="F3148" s="161">
        <v>42.72</v>
      </c>
      <c r="G3148" s="162">
        <v>384.48</v>
      </c>
      <c r="H3148" s="67">
        <v>916</v>
      </c>
    </row>
    <row r="3149" spans="1:8" x14ac:dyDescent="0.25">
      <c r="A3149" s="212">
        <v>42017</v>
      </c>
      <c r="B3149" s="160" t="s">
        <v>623</v>
      </c>
      <c r="C3149" t="s">
        <v>7</v>
      </c>
      <c r="D3149" t="s">
        <v>27</v>
      </c>
      <c r="E3149" s="161">
        <v>10</v>
      </c>
      <c r="F3149" s="161">
        <v>46.85</v>
      </c>
      <c r="G3149" s="162">
        <v>468.5</v>
      </c>
      <c r="H3149" s="67">
        <v>916</v>
      </c>
    </row>
    <row r="3150" spans="1:8" x14ac:dyDescent="0.25">
      <c r="A3150" s="212">
        <v>42018</v>
      </c>
      <c r="B3150" s="160" t="s">
        <v>623</v>
      </c>
      <c r="C3150" t="s">
        <v>7</v>
      </c>
      <c r="D3150" t="s">
        <v>27</v>
      </c>
      <c r="E3150" s="161">
        <v>10.5</v>
      </c>
      <c r="F3150" s="161">
        <v>46.85</v>
      </c>
      <c r="G3150" s="162">
        <v>491.92500000000001</v>
      </c>
      <c r="H3150" s="67">
        <v>916</v>
      </c>
    </row>
    <row r="3151" spans="1:8" x14ac:dyDescent="0.25">
      <c r="A3151" s="212">
        <v>42018</v>
      </c>
      <c r="B3151" s="160" t="s">
        <v>1226</v>
      </c>
      <c r="C3151" t="s">
        <v>7</v>
      </c>
      <c r="D3151" t="s">
        <v>27</v>
      </c>
      <c r="E3151" s="161">
        <v>10.5</v>
      </c>
      <c r="F3151" s="161">
        <v>42.72</v>
      </c>
      <c r="G3151" s="162">
        <v>448.56</v>
      </c>
      <c r="H3151" s="67">
        <v>916</v>
      </c>
    </row>
    <row r="3152" spans="1:8" x14ac:dyDescent="0.25">
      <c r="A3152" s="212">
        <v>42019</v>
      </c>
      <c r="B3152" s="160" t="s">
        <v>1226</v>
      </c>
      <c r="C3152" t="s">
        <v>7</v>
      </c>
      <c r="D3152" t="s">
        <v>27</v>
      </c>
      <c r="E3152" s="161">
        <v>8</v>
      </c>
      <c r="F3152" s="161">
        <v>42.72</v>
      </c>
      <c r="G3152" s="162">
        <v>341.76</v>
      </c>
      <c r="H3152" s="67">
        <v>916</v>
      </c>
    </row>
    <row r="3153" spans="1:8" x14ac:dyDescent="0.25">
      <c r="A3153" s="212">
        <v>42019</v>
      </c>
      <c r="B3153" s="160" t="s">
        <v>623</v>
      </c>
      <c r="C3153" t="s">
        <v>7</v>
      </c>
      <c r="D3153" t="s">
        <v>27</v>
      </c>
      <c r="E3153" s="161">
        <v>10</v>
      </c>
      <c r="F3153" s="161">
        <v>46.85</v>
      </c>
      <c r="G3153" s="162">
        <v>468.5</v>
      </c>
      <c r="H3153" s="67">
        <v>916</v>
      </c>
    </row>
    <row r="3154" spans="1:8" x14ac:dyDescent="0.25">
      <c r="A3154" s="212">
        <v>42020</v>
      </c>
      <c r="B3154" s="160" t="s">
        <v>1226</v>
      </c>
      <c r="C3154" t="s">
        <v>7</v>
      </c>
      <c r="D3154" t="s">
        <v>27</v>
      </c>
      <c r="E3154" s="161">
        <v>9.5</v>
      </c>
      <c r="F3154" s="161">
        <v>42.72</v>
      </c>
      <c r="G3154" s="162">
        <v>405.84</v>
      </c>
      <c r="H3154" s="67">
        <v>916</v>
      </c>
    </row>
    <row r="3155" spans="1:8" x14ac:dyDescent="0.25">
      <c r="A3155" s="212">
        <v>42020</v>
      </c>
      <c r="B3155" s="160" t="s">
        <v>838</v>
      </c>
      <c r="C3155" t="s">
        <v>7</v>
      </c>
      <c r="D3155" t="s">
        <v>27</v>
      </c>
      <c r="E3155" s="161">
        <v>54</v>
      </c>
      <c r="F3155" s="161">
        <v>20</v>
      </c>
      <c r="G3155" s="162">
        <v>1080</v>
      </c>
      <c r="H3155" s="67">
        <v>916</v>
      </c>
    </row>
    <row r="3156" spans="1:8" x14ac:dyDescent="0.25">
      <c r="A3156" s="212">
        <v>42020</v>
      </c>
      <c r="B3156" s="160" t="s">
        <v>623</v>
      </c>
      <c r="C3156" t="s">
        <v>7</v>
      </c>
      <c r="D3156" t="s">
        <v>27</v>
      </c>
      <c r="E3156" s="161">
        <v>10</v>
      </c>
      <c r="F3156" s="161">
        <v>46.85</v>
      </c>
      <c r="G3156" s="162">
        <v>468.5</v>
      </c>
      <c r="H3156" s="67">
        <v>916</v>
      </c>
    </row>
    <row r="3157" spans="1:8" x14ac:dyDescent="0.25">
      <c r="A3157" s="212">
        <v>42020</v>
      </c>
      <c r="B3157" s="160" t="s">
        <v>734</v>
      </c>
      <c r="C3157" t="s">
        <v>7</v>
      </c>
      <c r="D3157" t="s">
        <v>27</v>
      </c>
      <c r="E3157" s="161">
        <v>2</v>
      </c>
      <c r="F3157" s="161">
        <v>20</v>
      </c>
      <c r="G3157" s="162">
        <v>40</v>
      </c>
      <c r="H3157" s="67">
        <v>916</v>
      </c>
    </row>
    <row r="3158" spans="1:8" x14ac:dyDescent="0.25">
      <c r="A3158" s="212">
        <v>42023</v>
      </c>
      <c r="B3158" s="160" t="s">
        <v>623</v>
      </c>
      <c r="C3158" t="s">
        <v>7</v>
      </c>
      <c r="D3158" t="s">
        <v>27</v>
      </c>
      <c r="E3158" s="161">
        <v>10</v>
      </c>
      <c r="F3158" s="161">
        <v>46.85</v>
      </c>
      <c r="G3158" s="162">
        <v>468.5</v>
      </c>
      <c r="H3158" s="67">
        <v>916</v>
      </c>
    </row>
    <row r="3159" spans="1:8" x14ac:dyDescent="0.25">
      <c r="A3159" s="212">
        <v>42023</v>
      </c>
      <c r="B3159" s="160" t="s">
        <v>1226</v>
      </c>
      <c r="C3159" t="s">
        <v>7</v>
      </c>
      <c r="D3159" t="s">
        <v>27</v>
      </c>
      <c r="E3159" s="161">
        <v>9</v>
      </c>
      <c r="F3159" s="161">
        <v>42.72</v>
      </c>
      <c r="G3159" s="162">
        <v>384.48</v>
      </c>
      <c r="H3159" s="67">
        <v>916</v>
      </c>
    </row>
    <row r="3160" spans="1:8" x14ac:dyDescent="0.25">
      <c r="A3160" s="212">
        <v>42024</v>
      </c>
      <c r="B3160" s="160" t="s">
        <v>623</v>
      </c>
      <c r="C3160" t="s">
        <v>7</v>
      </c>
      <c r="D3160" t="s">
        <v>27</v>
      </c>
      <c r="E3160" s="161">
        <v>10.5</v>
      </c>
      <c r="F3160" s="161">
        <v>46.85</v>
      </c>
      <c r="G3160" s="162">
        <v>491.92500000000001</v>
      </c>
      <c r="H3160" s="67">
        <v>916</v>
      </c>
    </row>
    <row r="3161" spans="1:8" x14ac:dyDescent="0.25">
      <c r="A3161" s="212">
        <v>42024</v>
      </c>
      <c r="B3161" s="160" t="s">
        <v>1226</v>
      </c>
      <c r="C3161" t="s">
        <v>7</v>
      </c>
      <c r="D3161" t="s">
        <v>27</v>
      </c>
      <c r="E3161" s="161">
        <v>10</v>
      </c>
      <c r="F3161" s="161">
        <v>42.72</v>
      </c>
      <c r="G3161" s="162">
        <v>427.2</v>
      </c>
      <c r="H3161" s="67">
        <v>916</v>
      </c>
    </row>
    <row r="3162" spans="1:8" x14ac:dyDescent="0.25">
      <c r="A3162" s="212">
        <v>42025</v>
      </c>
      <c r="B3162" s="160" t="s">
        <v>1226</v>
      </c>
      <c r="C3162" t="s">
        <v>7</v>
      </c>
      <c r="D3162" t="s">
        <v>27</v>
      </c>
      <c r="E3162" s="161">
        <v>10</v>
      </c>
      <c r="F3162" s="161">
        <v>42.72</v>
      </c>
      <c r="G3162" s="162">
        <v>427.2</v>
      </c>
      <c r="H3162" s="67">
        <v>916</v>
      </c>
    </row>
    <row r="3163" spans="1:8" x14ac:dyDescent="0.25">
      <c r="A3163" s="212">
        <v>42025</v>
      </c>
      <c r="B3163" s="160" t="s">
        <v>623</v>
      </c>
      <c r="C3163" t="s">
        <v>7</v>
      </c>
      <c r="D3163" t="s">
        <v>27</v>
      </c>
      <c r="E3163" s="161">
        <v>9.5</v>
      </c>
      <c r="F3163" s="161">
        <v>46.85</v>
      </c>
      <c r="G3163" s="162">
        <v>445.07499999999999</v>
      </c>
      <c r="H3163" s="67">
        <v>916</v>
      </c>
    </row>
    <row r="3164" spans="1:8" x14ac:dyDescent="0.25">
      <c r="A3164" s="212">
        <v>42026</v>
      </c>
      <c r="B3164" s="160" t="s">
        <v>1226</v>
      </c>
      <c r="C3164" t="s">
        <v>7</v>
      </c>
      <c r="D3164" t="s">
        <v>27</v>
      </c>
      <c r="E3164" s="161">
        <v>10</v>
      </c>
      <c r="F3164" s="161">
        <v>42.72</v>
      </c>
      <c r="G3164" s="162">
        <v>427.2</v>
      </c>
      <c r="H3164" s="67">
        <v>916</v>
      </c>
    </row>
    <row r="3165" spans="1:8" x14ac:dyDescent="0.25">
      <c r="A3165" s="212">
        <v>42026</v>
      </c>
      <c r="B3165" s="160" t="s">
        <v>623</v>
      </c>
      <c r="C3165" t="s">
        <v>7</v>
      </c>
      <c r="D3165" t="s">
        <v>27</v>
      </c>
      <c r="E3165" s="161">
        <v>10</v>
      </c>
      <c r="F3165" s="161">
        <v>46.85</v>
      </c>
      <c r="G3165" s="162">
        <v>468.5</v>
      </c>
      <c r="H3165" s="67">
        <v>916</v>
      </c>
    </row>
    <row r="3166" spans="1:8" x14ac:dyDescent="0.25">
      <c r="A3166" s="212">
        <v>42027</v>
      </c>
      <c r="B3166" s="160" t="s">
        <v>623</v>
      </c>
      <c r="C3166" t="s">
        <v>7</v>
      </c>
      <c r="D3166" t="s">
        <v>27</v>
      </c>
      <c r="E3166" s="161">
        <v>4.5</v>
      </c>
      <c r="F3166" s="161">
        <v>46.85</v>
      </c>
      <c r="G3166" s="162">
        <v>210.82499999999999</v>
      </c>
      <c r="H3166" s="67">
        <v>916</v>
      </c>
    </row>
    <row r="3167" spans="1:8" x14ac:dyDescent="0.25">
      <c r="A3167" s="212">
        <v>42027</v>
      </c>
      <c r="B3167" s="160" t="s">
        <v>1226</v>
      </c>
      <c r="C3167" t="s">
        <v>7</v>
      </c>
      <c r="D3167" t="s">
        <v>27</v>
      </c>
      <c r="E3167" s="161">
        <v>6.5</v>
      </c>
      <c r="F3167" s="161">
        <v>42.72</v>
      </c>
      <c r="G3167" s="162">
        <v>277.68</v>
      </c>
      <c r="H3167" s="67">
        <v>916</v>
      </c>
    </row>
    <row r="3168" spans="1:8" x14ac:dyDescent="0.25">
      <c r="A3168" s="212">
        <v>42031</v>
      </c>
      <c r="B3168" s="160" t="s">
        <v>1226</v>
      </c>
      <c r="C3168" t="s">
        <v>7</v>
      </c>
      <c r="D3168" t="s">
        <v>27</v>
      </c>
      <c r="E3168" s="161">
        <v>8</v>
      </c>
      <c r="F3168" s="161">
        <v>42.72</v>
      </c>
      <c r="G3168" s="162">
        <v>341.76</v>
      </c>
      <c r="H3168" s="67">
        <v>916</v>
      </c>
    </row>
    <row r="3169" spans="1:8" x14ac:dyDescent="0.25">
      <c r="A3169" s="212">
        <v>42031</v>
      </c>
      <c r="B3169" s="160" t="s">
        <v>623</v>
      </c>
      <c r="C3169" t="s">
        <v>7</v>
      </c>
      <c r="D3169" t="s">
        <v>27</v>
      </c>
      <c r="E3169" s="161">
        <v>11</v>
      </c>
      <c r="F3169" s="161">
        <v>46.85</v>
      </c>
      <c r="G3169" s="162">
        <v>515.35</v>
      </c>
      <c r="H3169" s="67">
        <v>916</v>
      </c>
    </row>
    <row r="3170" spans="1:8" x14ac:dyDescent="0.25">
      <c r="A3170" s="212">
        <v>42032</v>
      </c>
      <c r="B3170" s="160" t="s">
        <v>623</v>
      </c>
      <c r="C3170" t="s">
        <v>7</v>
      </c>
      <c r="D3170" t="s">
        <v>27</v>
      </c>
      <c r="E3170" s="161">
        <v>10</v>
      </c>
      <c r="F3170" s="161">
        <v>46.85</v>
      </c>
      <c r="G3170" s="162">
        <v>468.5</v>
      </c>
      <c r="H3170" s="67">
        <v>916</v>
      </c>
    </row>
    <row r="3171" spans="1:8" x14ac:dyDescent="0.25">
      <c r="A3171" s="212">
        <v>42032</v>
      </c>
      <c r="B3171" s="160" t="s">
        <v>1226</v>
      </c>
      <c r="C3171" t="s">
        <v>7</v>
      </c>
      <c r="D3171" t="s">
        <v>27</v>
      </c>
      <c r="E3171" s="161">
        <v>10</v>
      </c>
      <c r="F3171" s="161">
        <v>42.72</v>
      </c>
      <c r="G3171" s="162">
        <v>427.2</v>
      </c>
      <c r="H3171" s="67">
        <v>916</v>
      </c>
    </row>
    <row r="3172" spans="1:8" x14ac:dyDescent="0.25">
      <c r="A3172" s="212">
        <v>42033</v>
      </c>
      <c r="B3172" s="160" t="s">
        <v>623</v>
      </c>
      <c r="C3172" t="s">
        <v>7</v>
      </c>
      <c r="D3172" t="s">
        <v>27</v>
      </c>
      <c r="E3172" s="161">
        <v>2</v>
      </c>
      <c r="F3172" s="161">
        <v>46.85</v>
      </c>
      <c r="G3172" s="162">
        <v>93.7</v>
      </c>
      <c r="H3172" s="67">
        <v>916</v>
      </c>
    </row>
    <row r="3173" spans="1:8" x14ac:dyDescent="0.25">
      <c r="A3173" s="212">
        <v>42033</v>
      </c>
      <c r="B3173" s="160" t="s">
        <v>1226</v>
      </c>
      <c r="C3173" t="s">
        <v>7</v>
      </c>
      <c r="D3173" t="s">
        <v>27</v>
      </c>
      <c r="E3173" s="161">
        <v>8</v>
      </c>
      <c r="F3173" s="161">
        <v>42.72</v>
      </c>
      <c r="G3173" s="162">
        <v>341.76</v>
      </c>
      <c r="H3173" s="67">
        <v>916</v>
      </c>
    </row>
    <row r="3174" spans="1:8" x14ac:dyDescent="0.25">
      <c r="A3174" s="212">
        <v>42033</v>
      </c>
      <c r="B3174" s="160" t="s">
        <v>735</v>
      </c>
      <c r="C3174" t="s">
        <v>7</v>
      </c>
      <c r="D3174" t="s">
        <v>27</v>
      </c>
      <c r="E3174" s="161">
        <v>5</v>
      </c>
      <c r="F3174" s="161">
        <v>20</v>
      </c>
      <c r="G3174" s="162">
        <v>100</v>
      </c>
      <c r="H3174" s="67">
        <v>916</v>
      </c>
    </row>
    <row r="3175" spans="1:8" x14ac:dyDescent="0.25">
      <c r="A3175" s="212">
        <v>42034</v>
      </c>
      <c r="B3175" s="160" t="s">
        <v>1226</v>
      </c>
      <c r="C3175" t="s">
        <v>7</v>
      </c>
      <c r="D3175" t="s">
        <v>27</v>
      </c>
      <c r="E3175" s="161">
        <v>6</v>
      </c>
      <c r="F3175" s="161">
        <v>42.72</v>
      </c>
      <c r="G3175" s="162">
        <v>256.32</v>
      </c>
      <c r="H3175" s="67">
        <v>916</v>
      </c>
    </row>
    <row r="3176" spans="1:8" x14ac:dyDescent="0.25">
      <c r="A3176" s="212">
        <v>42034</v>
      </c>
      <c r="B3176" s="160" t="s">
        <v>734</v>
      </c>
      <c r="C3176" t="s">
        <v>7</v>
      </c>
      <c r="D3176" t="s">
        <v>27</v>
      </c>
      <c r="E3176" s="161">
        <v>4</v>
      </c>
      <c r="F3176" s="161">
        <v>20</v>
      </c>
      <c r="G3176" s="162">
        <v>80</v>
      </c>
      <c r="H3176" s="67">
        <v>916</v>
      </c>
    </row>
    <row r="3177" spans="1:8" x14ac:dyDescent="0.25">
      <c r="A3177" s="212">
        <v>42037</v>
      </c>
      <c r="B3177" s="160" t="s">
        <v>1226</v>
      </c>
      <c r="C3177" t="s">
        <v>7</v>
      </c>
      <c r="D3177" t="s">
        <v>27</v>
      </c>
      <c r="E3177" s="161">
        <v>8.5</v>
      </c>
      <c r="F3177" s="161">
        <v>42.72</v>
      </c>
      <c r="G3177" s="162">
        <v>363.12</v>
      </c>
      <c r="H3177" s="67">
        <v>916</v>
      </c>
    </row>
    <row r="3178" spans="1:8" x14ac:dyDescent="0.25">
      <c r="A3178" s="212">
        <v>42037</v>
      </c>
      <c r="B3178" s="160" t="s">
        <v>623</v>
      </c>
      <c r="C3178" t="s">
        <v>7</v>
      </c>
      <c r="D3178" t="s">
        <v>27</v>
      </c>
      <c r="E3178" s="161">
        <v>10.5</v>
      </c>
      <c r="F3178" s="161">
        <v>46.85</v>
      </c>
      <c r="G3178" s="162">
        <v>491.92500000000001</v>
      </c>
      <c r="H3178" s="67">
        <v>916</v>
      </c>
    </row>
    <row r="3179" spans="1:8" x14ac:dyDescent="0.25">
      <c r="A3179" s="212">
        <v>42038</v>
      </c>
      <c r="B3179" s="160" t="s">
        <v>623</v>
      </c>
      <c r="C3179" t="s">
        <v>7</v>
      </c>
      <c r="D3179" t="s">
        <v>27</v>
      </c>
      <c r="E3179" s="161">
        <v>11.5</v>
      </c>
      <c r="F3179" s="161">
        <v>46.85</v>
      </c>
      <c r="G3179" s="162">
        <v>538.77499999999998</v>
      </c>
      <c r="H3179" s="67">
        <v>916</v>
      </c>
    </row>
    <row r="3180" spans="1:8" x14ac:dyDescent="0.25">
      <c r="A3180" s="212">
        <v>42039</v>
      </c>
      <c r="B3180" s="160" t="s">
        <v>623</v>
      </c>
      <c r="C3180" t="s">
        <v>7</v>
      </c>
      <c r="D3180" t="s">
        <v>27</v>
      </c>
      <c r="E3180" s="161">
        <v>9</v>
      </c>
      <c r="F3180" s="161">
        <v>46.85</v>
      </c>
      <c r="G3180" s="162">
        <v>421.65</v>
      </c>
      <c r="H3180" s="67">
        <v>916</v>
      </c>
    </row>
    <row r="3181" spans="1:8" x14ac:dyDescent="0.25">
      <c r="A3181" s="212">
        <v>42042</v>
      </c>
      <c r="B3181" s="160" t="s">
        <v>1157</v>
      </c>
      <c r="C3181" t="s">
        <v>7</v>
      </c>
      <c r="D3181" t="s">
        <v>27</v>
      </c>
      <c r="E3181" s="161">
        <v>5</v>
      </c>
      <c r="F3181" s="161">
        <v>20</v>
      </c>
      <c r="G3181" s="162">
        <v>100</v>
      </c>
      <c r="H3181" s="67">
        <v>916</v>
      </c>
    </row>
    <row r="3182" spans="1:8" x14ac:dyDescent="0.25">
      <c r="A3182" s="212">
        <v>42050</v>
      </c>
      <c r="B3182" s="160" t="s">
        <v>1158</v>
      </c>
      <c r="C3182" t="s">
        <v>7</v>
      </c>
      <c r="D3182" t="s">
        <v>27</v>
      </c>
      <c r="E3182" s="161">
        <v>1</v>
      </c>
      <c r="F3182" s="161">
        <v>20</v>
      </c>
      <c r="G3182" s="162">
        <v>20</v>
      </c>
      <c r="H3182" s="67">
        <v>916</v>
      </c>
    </row>
    <row r="3183" spans="1:8" x14ac:dyDescent="0.25">
      <c r="A3183" s="212">
        <v>42050</v>
      </c>
      <c r="B3183" s="160" t="s">
        <v>1158</v>
      </c>
      <c r="C3183" t="s">
        <v>7</v>
      </c>
      <c r="D3183" t="s">
        <v>27</v>
      </c>
      <c r="E3183" s="161">
        <v>4</v>
      </c>
      <c r="F3183" s="161">
        <v>20</v>
      </c>
      <c r="G3183" s="162">
        <v>80</v>
      </c>
      <c r="H3183" s="67">
        <v>916</v>
      </c>
    </row>
    <row r="3184" spans="1:8" x14ac:dyDescent="0.25">
      <c r="A3184" s="212">
        <v>42053</v>
      </c>
      <c r="B3184" s="160" t="s">
        <v>623</v>
      </c>
      <c r="C3184" t="s">
        <v>7</v>
      </c>
      <c r="D3184" t="s">
        <v>27</v>
      </c>
      <c r="E3184" s="161">
        <v>11</v>
      </c>
      <c r="F3184" s="161">
        <v>46.85</v>
      </c>
      <c r="G3184" s="162">
        <v>515.35</v>
      </c>
      <c r="H3184" s="67">
        <v>916</v>
      </c>
    </row>
    <row r="3185" spans="1:8" x14ac:dyDescent="0.25">
      <c r="A3185" s="212">
        <v>42054</v>
      </c>
      <c r="B3185" s="160" t="s">
        <v>623</v>
      </c>
      <c r="C3185" t="s">
        <v>7</v>
      </c>
      <c r="D3185" t="s">
        <v>27</v>
      </c>
      <c r="E3185" s="161">
        <v>10</v>
      </c>
      <c r="F3185" s="161">
        <v>46.85</v>
      </c>
      <c r="G3185" s="162">
        <v>468.5</v>
      </c>
      <c r="H3185" s="67">
        <v>916</v>
      </c>
    </row>
    <row r="3186" spans="1:8" x14ac:dyDescent="0.25">
      <c r="A3186" s="212">
        <v>42055</v>
      </c>
      <c r="B3186" s="160" t="s">
        <v>623</v>
      </c>
      <c r="C3186" t="s">
        <v>7</v>
      </c>
      <c r="D3186" t="s">
        <v>27</v>
      </c>
      <c r="E3186" s="161">
        <v>8</v>
      </c>
      <c r="F3186" s="161">
        <v>46.85</v>
      </c>
      <c r="G3186" s="162">
        <v>374.8</v>
      </c>
      <c r="H3186" s="67">
        <v>916</v>
      </c>
    </row>
    <row r="3187" spans="1:8" x14ac:dyDescent="0.25">
      <c r="A3187" s="212">
        <v>42057</v>
      </c>
      <c r="B3187" s="160" t="s">
        <v>1159</v>
      </c>
      <c r="C3187" t="s">
        <v>7</v>
      </c>
      <c r="D3187" t="s">
        <v>27</v>
      </c>
      <c r="E3187" s="161">
        <v>6</v>
      </c>
      <c r="F3187" s="161">
        <v>20</v>
      </c>
      <c r="G3187" s="162">
        <v>120</v>
      </c>
      <c r="H3187" s="67">
        <v>916</v>
      </c>
    </row>
    <row r="3188" spans="1:8" x14ac:dyDescent="0.25">
      <c r="A3188" s="212">
        <v>42059</v>
      </c>
      <c r="B3188" s="160" t="s">
        <v>623</v>
      </c>
      <c r="C3188" t="s">
        <v>7</v>
      </c>
      <c r="D3188" t="s">
        <v>27</v>
      </c>
      <c r="E3188" s="161">
        <v>11.5</v>
      </c>
      <c r="F3188" s="161">
        <v>46.85</v>
      </c>
      <c r="G3188" s="162">
        <v>538.77499999999998</v>
      </c>
      <c r="H3188" s="67">
        <v>916</v>
      </c>
    </row>
    <row r="3189" spans="1:8" x14ac:dyDescent="0.25">
      <c r="A3189" s="212">
        <v>42060</v>
      </c>
      <c r="B3189" s="160" t="s">
        <v>623</v>
      </c>
      <c r="C3189" t="s">
        <v>7</v>
      </c>
      <c r="D3189" t="s">
        <v>27</v>
      </c>
      <c r="E3189" s="161">
        <v>7</v>
      </c>
      <c r="F3189" s="161">
        <v>46.85</v>
      </c>
      <c r="G3189" s="162">
        <v>327.95</v>
      </c>
      <c r="H3189" s="67">
        <v>916</v>
      </c>
    </row>
    <row r="3190" spans="1:8" x14ac:dyDescent="0.25">
      <c r="A3190" s="212">
        <v>42061</v>
      </c>
      <c r="B3190" s="160" t="s">
        <v>623</v>
      </c>
      <c r="C3190" t="s">
        <v>7</v>
      </c>
      <c r="D3190" t="s">
        <v>27</v>
      </c>
      <c r="E3190" s="161">
        <v>10.5</v>
      </c>
      <c r="F3190" s="161">
        <v>46.85</v>
      </c>
      <c r="G3190" s="162">
        <v>491.92500000000001</v>
      </c>
      <c r="H3190" s="67">
        <v>916</v>
      </c>
    </row>
    <row r="3191" spans="1:8" x14ac:dyDescent="0.25">
      <c r="A3191" s="212">
        <v>42062</v>
      </c>
      <c r="B3191" s="160" t="s">
        <v>623</v>
      </c>
      <c r="C3191" t="s">
        <v>7</v>
      </c>
      <c r="D3191" t="s">
        <v>27</v>
      </c>
      <c r="E3191" s="161">
        <v>7.5</v>
      </c>
      <c r="F3191" s="161">
        <v>46.85</v>
      </c>
      <c r="G3191" s="162">
        <v>351.375</v>
      </c>
      <c r="H3191" s="67">
        <v>916</v>
      </c>
    </row>
    <row r="3192" spans="1:8" x14ac:dyDescent="0.25">
      <c r="A3192" s="212">
        <v>42063</v>
      </c>
      <c r="B3192" s="160" t="s">
        <v>1109</v>
      </c>
      <c r="C3192" t="s">
        <v>7</v>
      </c>
      <c r="D3192" t="s">
        <v>27</v>
      </c>
      <c r="E3192" s="161">
        <v>2</v>
      </c>
      <c r="F3192" s="161">
        <v>42.72</v>
      </c>
      <c r="G3192" s="162">
        <v>85.44</v>
      </c>
      <c r="H3192" s="67">
        <v>916</v>
      </c>
    </row>
    <row r="3193" spans="1:8" x14ac:dyDescent="0.25">
      <c r="A3193" s="212">
        <v>42064</v>
      </c>
      <c r="B3193" s="160" t="s">
        <v>1160</v>
      </c>
      <c r="C3193" t="s">
        <v>7</v>
      </c>
      <c r="D3193" t="s">
        <v>27</v>
      </c>
      <c r="E3193" s="161">
        <v>5</v>
      </c>
      <c r="F3193" s="161">
        <v>20</v>
      </c>
      <c r="G3193" s="162">
        <v>100</v>
      </c>
      <c r="H3193" s="67">
        <v>916</v>
      </c>
    </row>
    <row r="3194" spans="1:8" x14ac:dyDescent="0.25">
      <c r="A3194" s="212">
        <v>42075</v>
      </c>
      <c r="B3194" s="160" t="s">
        <v>1161</v>
      </c>
      <c r="C3194" t="s">
        <v>7</v>
      </c>
      <c r="D3194" t="s">
        <v>27</v>
      </c>
      <c r="E3194" s="161">
        <v>4</v>
      </c>
      <c r="F3194" s="161">
        <v>20</v>
      </c>
      <c r="G3194" s="162">
        <v>80</v>
      </c>
      <c r="H3194" s="67">
        <v>916</v>
      </c>
    </row>
    <row r="3195" spans="1:8" x14ac:dyDescent="0.25">
      <c r="A3195" s="213" t="s">
        <v>418</v>
      </c>
      <c r="B3195" s="214" t="s">
        <v>1162</v>
      </c>
      <c r="C3195" s="215" t="s">
        <v>418</v>
      </c>
      <c r="D3195" s="215" t="s">
        <v>418</v>
      </c>
      <c r="E3195" s="216"/>
      <c r="F3195" s="216"/>
      <c r="G3195" s="217">
        <v>68350.728999999948</v>
      </c>
      <c r="H3195" s="231" t="s">
        <v>418</v>
      </c>
    </row>
    <row r="3196" spans="1:8" x14ac:dyDescent="0.25">
      <c r="A3196" s="212" t="s">
        <v>418</v>
      </c>
      <c r="B3196" s="160" t="s">
        <v>418</v>
      </c>
      <c r="C3196" t="s">
        <v>418</v>
      </c>
      <c r="D3196" t="s">
        <v>418</v>
      </c>
      <c r="E3196" s="161"/>
      <c r="F3196" s="161"/>
      <c r="G3196" s="162"/>
      <c r="H3196" s="67" t="s">
        <v>418</v>
      </c>
    </row>
    <row r="3197" spans="1:8" x14ac:dyDescent="0.25">
      <c r="A3197" s="209" t="s">
        <v>418</v>
      </c>
      <c r="B3197" s="159" t="s">
        <v>1262</v>
      </c>
      <c r="C3197" s="35" t="s">
        <v>418</v>
      </c>
      <c r="D3197" s="35" t="s">
        <v>418</v>
      </c>
      <c r="E3197" s="210"/>
      <c r="F3197" s="210"/>
      <c r="G3197" s="211"/>
      <c r="H3197" s="229" t="s">
        <v>418</v>
      </c>
    </row>
    <row r="3198" spans="1:8" ht="30" x14ac:dyDescent="0.25">
      <c r="A3198" s="212">
        <v>42016</v>
      </c>
      <c r="B3198" s="160" t="s">
        <v>1163</v>
      </c>
      <c r="C3198" t="s">
        <v>1164</v>
      </c>
      <c r="D3198" t="s">
        <v>38</v>
      </c>
      <c r="E3198" s="161">
        <v>1</v>
      </c>
      <c r="F3198" s="161">
        <v>862.1</v>
      </c>
      <c r="G3198" s="162">
        <v>862.1</v>
      </c>
      <c r="H3198" s="67" t="s">
        <v>476</v>
      </c>
    </row>
    <row r="3199" spans="1:8" x14ac:dyDescent="0.25">
      <c r="A3199" s="213" t="s">
        <v>418</v>
      </c>
      <c r="B3199" s="214" t="s">
        <v>1165</v>
      </c>
      <c r="C3199" s="215" t="s">
        <v>418</v>
      </c>
      <c r="D3199" s="215" t="s">
        <v>418</v>
      </c>
      <c r="E3199" s="216"/>
      <c r="F3199" s="216"/>
      <c r="G3199" s="217">
        <v>862.1</v>
      </c>
      <c r="H3199" s="231" t="s">
        <v>418</v>
      </c>
    </row>
    <row r="3200" spans="1:8" x14ac:dyDescent="0.25">
      <c r="A3200" s="212" t="s">
        <v>418</v>
      </c>
      <c r="B3200" s="160" t="s">
        <v>418</v>
      </c>
      <c r="C3200" t="s">
        <v>418</v>
      </c>
      <c r="D3200" t="s">
        <v>418</v>
      </c>
      <c r="E3200" s="161"/>
      <c r="F3200" s="161"/>
      <c r="G3200" s="162"/>
      <c r="H3200" s="67" t="s">
        <v>418</v>
      </c>
    </row>
    <row r="3201" spans="1:8" x14ac:dyDescent="0.25">
      <c r="A3201" s="218" t="s">
        <v>418</v>
      </c>
      <c r="B3201" s="165" t="s">
        <v>1173</v>
      </c>
      <c r="C3201" s="164" t="s">
        <v>418</v>
      </c>
      <c r="D3201" s="164" t="s">
        <v>418</v>
      </c>
      <c r="E3201" s="166"/>
      <c r="F3201" s="166"/>
      <c r="G3201" s="167">
        <v>1928962.5282000005</v>
      </c>
      <c r="H3201" s="221" t="s">
        <v>418</v>
      </c>
    </row>
  </sheetData>
  <sortState xmlns:xlrd2="http://schemas.microsoft.com/office/spreadsheetml/2017/richdata2" ref="A2226:H2431">
    <sortCondition ref="A2226:A24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Estimate</vt:lpstr>
      <vt:lpstr>Resources</vt:lpstr>
      <vt:lpstr>Model Inputs</vt:lpstr>
      <vt:lpstr>Non-Work Days</vt:lpstr>
      <vt:lpstr>Program Links</vt:lpstr>
      <vt:lpstr>Budget &amp; Revenue</vt:lpstr>
      <vt:lpstr>Portfolio WBS</vt:lpstr>
      <vt:lpstr>Actual Costs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Thiele</dc:creator>
  <cp:lastModifiedBy>Abdulhaseeb Mohammed</cp:lastModifiedBy>
  <dcterms:created xsi:type="dcterms:W3CDTF">2019-05-18T04:06:05Z</dcterms:created>
  <dcterms:modified xsi:type="dcterms:W3CDTF">2024-06-28T23:49:30Z</dcterms:modified>
</cp:coreProperties>
</file>