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tabRatio="739" activeTab="3"/>
  </bookViews>
  <sheets>
    <sheet name="Azaad Digital" sheetId="1" r:id="rId1"/>
    <sheet name="Azaad Anchors " sheetId="11" r:id="rId2"/>
    <sheet name="Pukhtun Digital" sheetId="7" r:id="rId3"/>
    <sheet name="Pakhtun Anchors" sheetId="14" r:id="rId4"/>
    <sheet name="Kashmir Digital" sheetId="8" r:id="rId5"/>
    <sheet name="Kashmir Anchors" sheetId="13" r:id="rId6"/>
    <sheet name="Burak " sheetId="10" r:id="rId7"/>
    <sheet name="Burak Anchors 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<sst xmlns="http://schemas.openxmlformats.org/spreadsheetml/2006/main" count="773" uniqueCount="327">
  <si>
    <t>Daily Comparative Analysis ( 8-9 to 10-11 Sep 2025)</t>
  </si>
  <si>
    <t>Total Posts
 (8-Sep-2025)</t>
  </si>
  <si>
    <t>Total Posts
 (9-Sep-2025)</t>
  </si>
  <si>
    <t xml:space="preserve">Total </t>
  </si>
  <si>
    <t>Total Posts
 (10-Sep-2025)</t>
  </si>
  <si>
    <t>Total Posts
 (11-Sep-2025)</t>
  </si>
  <si>
    <t>Change %</t>
  </si>
  <si>
    <t>Impressions 
(8-Sep-2025)</t>
  </si>
  <si>
    <t>Impressions 
(9-Sep-2025)</t>
  </si>
  <si>
    <t>Total</t>
  </si>
  <si>
    <t>Impressions 
(10-Sep-2025)</t>
  </si>
  <si>
    <t>Impressions 
(11-Sep-2025)</t>
  </si>
  <si>
    <t>Followers</t>
  </si>
  <si>
    <t>Remarks</t>
  </si>
  <si>
    <t>Twitter (X)</t>
  </si>
  <si>
    <t>Azaad English</t>
  </si>
  <si>
    <t>Azaad Urdu</t>
  </si>
  <si>
    <t>Azaad Defence</t>
  </si>
  <si>
    <t>Azaad Fact Check</t>
  </si>
  <si>
    <t>Facebook</t>
  </si>
  <si>
    <t xml:space="preserve">Azaad Arabia </t>
  </si>
  <si>
    <t>Azaad Digital</t>
  </si>
  <si>
    <t>TikTok</t>
  </si>
  <si>
    <t>Instagram</t>
  </si>
  <si>
    <t>Website</t>
  </si>
  <si>
    <t>azaadurdu.pk</t>
  </si>
  <si>
    <t>-</t>
  </si>
  <si>
    <t>azaaddigital.com</t>
  </si>
  <si>
    <t>azaadchinese.com</t>
  </si>
  <si>
    <t>azaadarabia.com</t>
  </si>
  <si>
    <t>Youtube</t>
  </si>
  <si>
    <t>Azaad Siasat</t>
  </si>
  <si>
    <t>Azaad Media Academy</t>
  </si>
  <si>
    <t>AMA Facebook</t>
  </si>
  <si>
    <t xml:space="preserve">AMA Instagram </t>
  </si>
  <si>
    <t xml:space="preserve">AMA Tiktok </t>
  </si>
  <si>
    <t>AMA Twitter</t>
  </si>
  <si>
    <t>Assignment 8-9 September</t>
  </si>
  <si>
    <t>Bureau</t>
  </si>
  <si>
    <t xml:space="preserve"> Posted </t>
  </si>
  <si>
    <t xml:space="preserve">Not Posted </t>
  </si>
  <si>
    <t>Reported To B-C</t>
  </si>
  <si>
    <t>Azaad Isbd</t>
  </si>
  <si>
    <t>Azaad Punjab</t>
  </si>
  <si>
    <t>Azaad KP</t>
  </si>
  <si>
    <t>Azaad KP/DI Khan</t>
  </si>
  <si>
    <t>Azaad Khi</t>
  </si>
  <si>
    <t>Azaad Balochistan</t>
  </si>
  <si>
    <t>Azaad AJK</t>
  </si>
  <si>
    <t xml:space="preserve">Azaad Siasat Anchors </t>
  </si>
  <si>
    <t>Name</t>
  </si>
  <si>
    <t>No of Shows</t>
  </si>
  <si>
    <t>Views</t>
  </si>
  <si>
    <t>Ranking</t>
  </si>
  <si>
    <t xml:space="preserve">48 Hrs </t>
  </si>
  <si>
    <t>Highest Value</t>
  </si>
  <si>
    <t>48 Hrs</t>
  </si>
  <si>
    <t>no of Shows</t>
  </si>
  <si>
    <t>48 Hrs (8 &amp; 9)</t>
  </si>
  <si>
    <t>Rizwan Razi/Adeel Asif</t>
  </si>
  <si>
    <t>Imran Waseem</t>
  </si>
  <si>
    <t>Fayyaz Chohan</t>
  </si>
  <si>
    <t>Muzammil Suharwardy</t>
  </si>
  <si>
    <t>Ahmed Warraich</t>
  </si>
  <si>
    <t>Sana Mirza</t>
  </si>
  <si>
    <t>Tayyab Baloch / Farhan Virk</t>
  </si>
  <si>
    <t>Hassan Ayub</t>
  </si>
  <si>
    <t>Fayaz Chohan / Farhan Virk</t>
  </si>
  <si>
    <t>Mona Alam</t>
  </si>
  <si>
    <t>Aniq Naji</t>
  </si>
  <si>
    <t>Farhan Virk (FC)</t>
  </si>
  <si>
    <t>Azher Javed</t>
  </si>
  <si>
    <t>Safina Khan</t>
  </si>
  <si>
    <t>Khurram Rokhari</t>
  </si>
  <si>
    <t xml:space="preserve">Azaad Defence Anchors </t>
  </si>
  <si>
    <t>48 Hrs (10 &amp; 11)</t>
  </si>
  <si>
    <t>Gen R Zahid Mehmood</t>
  </si>
  <si>
    <t>Asad Ullah Khan</t>
  </si>
  <si>
    <t>Ahmed Hassan</t>
  </si>
  <si>
    <t>Jabbar Ch /Col Abid</t>
  </si>
  <si>
    <t>Dr Qadar Baloch</t>
  </si>
  <si>
    <t>Shahid Maitla</t>
  </si>
  <si>
    <t>Adnan Haider</t>
  </si>
  <si>
    <t>Shahab Uddin</t>
  </si>
  <si>
    <t>Maisam Raza Awan</t>
  </si>
  <si>
    <t>Col (R) Sheraz Ahmed</t>
  </si>
  <si>
    <t>Rashida Sial</t>
  </si>
  <si>
    <t>Jabbar Chaudhary</t>
  </si>
  <si>
    <t>Brig Ghazanfar Ali</t>
  </si>
  <si>
    <t>Col Abid Latif</t>
  </si>
  <si>
    <t>Dr Maryam</t>
  </si>
  <si>
    <t>Khalid Mehmood Abbasi</t>
  </si>
  <si>
    <t>Ali Furqan</t>
  </si>
  <si>
    <t>Reporters / Vloggers</t>
  </si>
  <si>
    <t>No of Vlogs</t>
  </si>
  <si>
    <t>YT Views</t>
  </si>
  <si>
    <t>Twitter Views</t>
  </si>
  <si>
    <t>TiktokViews</t>
  </si>
  <si>
    <t>FB Views</t>
  </si>
  <si>
    <t>Final Views</t>
  </si>
  <si>
    <t>Cahnge %</t>
  </si>
  <si>
    <t>Highest Values</t>
  </si>
  <si>
    <t xml:space="preserve">Final Views </t>
  </si>
  <si>
    <t>Final Views 48 Hrs(8 &amp; 9)</t>
  </si>
  <si>
    <t>Final Views 48 Hrs(10 &amp; 11)</t>
  </si>
  <si>
    <t>Tayyab Baloch</t>
  </si>
  <si>
    <t>Qaiser Khan</t>
  </si>
  <si>
    <t>Awais Ali</t>
  </si>
  <si>
    <t>Zahir Mehmood</t>
  </si>
  <si>
    <t>Hasam Uddin</t>
  </si>
  <si>
    <t>Shabbir Siham</t>
  </si>
  <si>
    <t>Adil Waqar</t>
  </si>
  <si>
    <t>Waseem Hashmi</t>
  </si>
  <si>
    <t xml:space="preserve">Husnain Chaudhary        </t>
  </si>
  <si>
    <t xml:space="preserve">Irfan khan </t>
  </si>
  <si>
    <t>Shahid Qureshi</t>
  </si>
  <si>
    <t>Zeeshan Khan</t>
  </si>
  <si>
    <t>Khawar Mughal</t>
  </si>
  <si>
    <t>Faiz Rabbani</t>
  </si>
  <si>
    <t>Sohaib Iqbal</t>
  </si>
  <si>
    <t>Duran Baloch</t>
  </si>
  <si>
    <t>Hazrat Ali</t>
  </si>
  <si>
    <t>Suleman Muazzam</t>
  </si>
  <si>
    <t>Faisal Jabbar</t>
  </si>
  <si>
    <t>Safeer Rasheed</t>
  </si>
  <si>
    <t>Shahid Hanif</t>
  </si>
  <si>
    <t>Taimoor Khan</t>
  </si>
  <si>
    <t>Amnan Rajput</t>
  </si>
  <si>
    <t>Syed Basir Ali</t>
  </si>
  <si>
    <t>Mushtaq Ahmed</t>
  </si>
  <si>
    <t>Mohsin Bilal</t>
  </si>
  <si>
    <t>Hizar Sheikh</t>
  </si>
  <si>
    <t>Taseer Mughal</t>
  </si>
  <si>
    <t>Arif Khan</t>
  </si>
  <si>
    <t>Asim Bhatti</t>
  </si>
  <si>
    <t>Asim Sidique</t>
  </si>
  <si>
    <t>Nadeem Khan</t>
  </si>
  <si>
    <t>Daily Comparative Analysis ( 8-9 to 10 -11  Sep 2025)</t>
  </si>
  <si>
    <t xml:space="preserve">Pakhtun Digital </t>
  </si>
  <si>
    <t>Pakhtun Digital New</t>
  </si>
  <si>
    <t>Websites</t>
  </si>
  <si>
    <t>Pakhtun urdu.pk</t>
  </si>
  <si>
    <t>Pakhtunenglish.pk</t>
  </si>
  <si>
    <t xml:space="preserve">Watch Time </t>
  </si>
  <si>
    <t>Pakhtun Siasat</t>
  </si>
  <si>
    <t>Pakhtun Digital</t>
  </si>
  <si>
    <t>Azaad Pakhtun</t>
  </si>
  <si>
    <t>Analysts</t>
  </si>
  <si>
    <t>Total 48 hrs Views</t>
  </si>
  <si>
    <t xml:space="preserve">No of Shows </t>
  </si>
  <si>
    <t>Daily Ranking</t>
  </si>
  <si>
    <t>48 hrs (8&amp;9)</t>
  </si>
  <si>
    <t xml:space="preserve"> 48 hrs</t>
  </si>
  <si>
    <t>48 Hrs (29, 30 &amp; 31  Aug)</t>
  </si>
  <si>
    <t xml:space="preserve">Aqeel Yousafzai </t>
  </si>
  <si>
    <t>Zahir Shah Sherazi</t>
  </si>
  <si>
    <t>Shagufta Malik</t>
  </si>
  <si>
    <t xml:space="preserve">Hammad Hassan </t>
  </si>
  <si>
    <t xml:space="preserve">Arbab Khizer Hayat </t>
  </si>
  <si>
    <t xml:space="preserve">Fida Adeel </t>
  </si>
  <si>
    <t>Tariq Afghan</t>
  </si>
  <si>
    <t>Tariq Waheed</t>
  </si>
  <si>
    <t xml:space="preserve">Arif Yousafzai </t>
  </si>
  <si>
    <t>Arshad Aziz Malik</t>
  </si>
  <si>
    <t>Ajmal Wazir</t>
  </si>
  <si>
    <t xml:space="preserve">Sardar Hussain Babak </t>
  </si>
  <si>
    <t xml:space="preserve">Samar Haroon Bilor </t>
  </si>
  <si>
    <t xml:space="preserve">Idrees Khan </t>
  </si>
  <si>
    <t>Meher Sultana</t>
  </si>
  <si>
    <t>Mehmood Jan Babar</t>
  </si>
  <si>
    <t>Anchors</t>
  </si>
  <si>
    <t>Sheraz Ahmad Sherazi</t>
  </si>
  <si>
    <t xml:space="preserve">Anum Malik </t>
  </si>
  <si>
    <t>Shahid Jan</t>
  </si>
  <si>
    <t>Kashif U Din Sayed</t>
  </si>
  <si>
    <t>Sajid Takar / Kamran Ali shaaf</t>
  </si>
  <si>
    <t>Imad Khan</t>
  </si>
  <si>
    <t>Salman Yousafzai</t>
  </si>
  <si>
    <t>Sajid Takar</t>
  </si>
  <si>
    <t xml:space="preserve">Shahid Jan </t>
  </si>
  <si>
    <t xml:space="preserve">Kamran Ali Shah </t>
  </si>
  <si>
    <t>Ejaz Afridi</t>
  </si>
  <si>
    <t>Rani Andleeb</t>
  </si>
  <si>
    <t>Tiktok Views</t>
  </si>
  <si>
    <t>Final Views 48 Hrs</t>
  </si>
  <si>
    <t xml:space="preserve">Fazl Nabi </t>
  </si>
  <si>
    <t>Shahzad Naveed</t>
  </si>
  <si>
    <t>Fazal Haq</t>
  </si>
  <si>
    <t>Junaid Shah</t>
  </si>
  <si>
    <t>Kamran Ali Shah</t>
  </si>
  <si>
    <t>Mehwish Qamas</t>
  </si>
  <si>
    <t>Tahir Rasheed</t>
  </si>
  <si>
    <t>Muhammad Abbas</t>
  </si>
  <si>
    <t>Sabiha Almas</t>
  </si>
  <si>
    <t>Syed Haroon Malal</t>
  </si>
  <si>
    <t>Istikhar Ali</t>
  </si>
  <si>
    <t>Noor Ali Wazir</t>
  </si>
  <si>
    <t>Jalal Mehsood</t>
  </si>
  <si>
    <t>Hamad Ullah</t>
  </si>
  <si>
    <t xml:space="preserve">Nasir Zada </t>
  </si>
  <si>
    <t>Salman Ali Khan</t>
  </si>
  <si>
    <t>Zafar Ali</t>
  </si>
  <si>
    <t>Ikram Siddiqui</t>
  </si>
  <si>
    <t xml:space="preserve">Sajid Takkar </t>
  </si>
  <si>
    <t>Shakir Khan</t>
  </si>
  <si>
    <t xml:space="preserve">Alif Khan Sherpao </t>
  </si>
  <si>
    <t>Daily Comparative Analysis ( 8-9 to 10 -11 Sep 2025)</t>
  </si>
  <si>
    <t xml:space="preserve">Kashmir Digital </t>
  </si>
  <si>
    <t>Kashmir Urdu</t>
  </si>
  <si>
    <t>Kashmir  Digital</t>
  </si>
  <si>
    <t>Kashmir Digital</t>
  </si>
  <si>
    <t>Kashmirurdu.pk</t>
  </si>
  <si>
    <t>Kashmirenglish.pk</t>
  </si>
  <si>
    <t>Subscribers</t>
  </si>
  <si>
    <t>Kashmir Siasat</t>
  </si>
  <si>
    <t>Azaad Kashmir</t>
  </si>
  <si>
    <t>48 Hrs Views</t>
  </si>
  <si>
    <t>% Change</t>
  </si>
  <si>
    <t xml:space="preserve">48 Hrs Views </t>
  </si>
  <si>
    <t>Riffat Arra (Kashmiri)</t>
  </si>
  <si>
    <t>Abdul Manan</t>
  </si>
  <si>
    <t>Rimsha Jameel</t>
  </si>
  <si>
    <t>Saima Ashraf</t>
  </si>
  <si>
    <t>Roshan Mughal</t>
  </si>
  <si>
    <t>Arooj Fatima</t>
  </si>
  <si>
    <t>Furqan</t>
  </si>
  <si>
    <t xml:space="preserve">Zulfiqar Ali </t>
  </si>
  <si>
    <t>Sajjad Mir</t>
  </si>
  <si>
    <t>Masood Abbasi</t>
  </si>
  <si>
    <t>Nausheen Khawaja</t>
  </si>
  <si>
    <t>Ghulamullah Awan/Raza Kazmi</t>
  </si>
  <si>
    <t>Wahid Iqbal Butt</t>
  </si>
  <si>
    <t>Raja Iftikhar</t>
  </si>
  <si>
    <t>Ishfaq Kazmi</t>
  </si>
  <si>
    <t>Shabir Shah</t>
  </si>
  <si>
    <t>Haq Nawaz Mughal</t>
  </si>
  <si>
    <t>Arif Bahar</t>
  </si>
  <si>
    <t>Raja Ejaz (Pahari)</t>
  </si>
  <si>
    <t>Dr Saniya Tariq</t>
  </si>
  <si>
    <t>Sajida Rafique (Gojri)</t>
  </si>
  <si>
    <t>Col Shiraz</t>
  </si>
  <si>
    <t>Abrar Haider (B-C)</t>
  </si>
  <si>
    <t>KD-0012</t>
  </si>
  <si>
    <t>SGM Bukhari</t>
  </si>
  <si>
    <t>KD-0002</t>
  </si>
  <si>
    <t xml:space="preserve">Tasleem Sahukat </t>
  </si>
  <si>
    <t>KD-0009</t>
  </si>
  <si>
    <t>Umer Bhatti Rajpoot</t>
  </si>
  <si>
    <t>KD-0001</t>
  </si>
  <si>
    <t>Raja Sajid</t>
  </si>
  <si>
    <t>KD-0008</t>
  </si>
  <si>
    <t>KD-0017</t>
  </si>
  <si>
    <t>Ammar Ali Kazmi</t>
  </si>
  <si>
    <t>KD-0007</t>
  </si>
  <si>
    <t>Abdul Saboor Awan</t>
  </si>
  <si>
    <t>KD-0006</t>
  </si>
  <si>
    <t xml:space="preserve">Nigar Kashmiri </t>
  </si>
  <si>
    <t>KD-0003</t>
  </si>
  <si>
    <t>Safeer Raza</t>
  </si>
  <si>
    <t>KD-0010</t>
  </si>
  <si>
    <t>Heesum Naqvi</t>
  </si>
  <si>
    <t>KD-0005</t>
  </si>
  <si>
    <t>Zafar Nazeer</t>
  </si>
  <si>
    <t>KD-0015</t>
  </si>
  <si>
    <t>Hina Mehboob Awan</t>
  </si>
  <si>
    <t>KD-0011</t>
  </si>
  <si>
    <t>Syed Shahab Abbas</t>
  </si>
  <si>
    <t>KD-0004</t>
  </si>
  <si>
    <t>Sardar Aurangzeb</t>
  </si>
  <si>
    <t>KD-0018</t>
  </si>
  <si>
    <t>M Toqeer</t>
  </si>
  <si>
    <t>KD-0016</t>
  </si>
  <si>
    <t>Sakhawat Sadozai</t>
  </si>
  <si>
    <t>KD-0020</t>
  </si>
  <si>
    <t>Asad Ali Baloch</t>
  </si>
  <si>
    <t>KD-0013</t>
  </si>
  <si>
    <t>Asim Chugtai</t>
  </si>
  <si>
    <t>KD-0014</t>
  </si>
  <si>
    <t>Madiha Abbasi</t>
  </si>
  <si>
    <t>KD-0019</t>
  </si>
  <si>
    <t>Rohan Ch</t>
  </si>
  <si>
    <t>KD-0021</t>
  </si>
  <si>
    <t>Shah Hussain</t>
  </si>
  <si>
    <t>KD-0022</t>
  </si>
  <si>
    <t>M Ashraf</t>
  </si>
  <si>
    <t xml:space="preserve">Burak Digital </t>
  </si>
  <si>
    <t>Baloch Kahani</t>
  </si>
  <si>
    <t>Baloch Wire</t>
  </si>
  <si>
    <t>Burak Digital</t>
  </si>
  <si>
    <t xml:space="preserve">Baloch Kahani </t>
  </si>
  <si>
    <t>Burakbaloch.pk</t>
  </si>
  <si>
    <t>Watch Time</t>
  </si>
  <si>
    <t xml:space="preserve">Assignment 10 Sep </t>
  </si>
  <si>
    <t xml:space="preserve">Assignment 11 Sep </t>
  </si>
  <si>
    <t xml:space="preserve">Assignment </t>
  </si>
  <si>
    <t xml:space="preserve">Filed </t>
  </si>
  <si>
    <t>Reported to B-C</t>
  </si>
  <si>
    <t xml:space="preserve"> Posted</t>
  </si>
  <si>
    <t>Not Posted</t>
  </si>
  <si>
    <t>Anchors/Analysts</t>
  </si>
  <si>
    <t xml:space="preserve"> Ranking</t>
  </si>
  <si>
    <t xml:space="preserve">Hazoor Buksh </t>
  </si>
  <si>
    <t xml:space="preserve">Pakeeza Khan </t>
  </si>
  <si>
    <t xml:space="preserve">Shaheer Sialvi </t>
  </si>
  <si>
    <t xml:space="preserve">Babar Khan Yousafzai </t>
  </si>
  <si>
    <t xml:space="preserve">Salma Yousafzai </t>
  </si>
  <si>
    <t xml:space="preserve">Muhammad Ali Achakzai </t>
  </si>
  <si>
    <t xml:space="preserve">Ghulam Mustafa Buzdar </t>
  </si>
  <si>
    <t xml:space="preserve">Marwa Baloch </t>
  </si>
  <si>
    <t xml:space="preserve">Tania Bazai </t>
  </si>
  <si>
    <t xml:space="preserve">Aashir Azeem </t>
  </si>
  <si>
    <t xml:space="preserve">Shabbir Baloch </t>
  </si>
  <si>
    <t xml:space="preserve">Kiran Khan </t>
  </si>
  <si>
    <t xml:space="preserve">Babar Khajak </t>
  </si>
  <si>
    <t xml:space="preserve">Adnan Saleem </t>
  </si>
  <si>
    <t xml:space="preserve">Abdullah Khan </t>
  </si>
  <si>
    <t xml:space="preserve">Instagram </t>
  </si>
  <si>
    <t xml:space="preserve">Hazrat Ali </t>
  </si>
  <si>
    <t>Muhammad Arif</t>
  </si>
  <si>
    <t xml:space="preserve">Noor Shah </t>
  </si>
  <si>
    <t>Hair Baz</t>
  </si>
  <si>
    <t xml:space="preserve">Haji Saeed </t>
  </si>
  <si>
    <t xml:space="preserve">Abdullah </t>
  </si>
  <si>
    <t xml:space="preserve">Saeed Malangzai </t>
  </si>
  <si>
    <t xml:space="preserve">Altaf Hussain </t>
  </si>
  <si>
    <t xml:space="preserve">Naseer Ahmed </t>
  </si>
  <si>
    <t>Abdul Razaq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</si>
</sst>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</numFmts>
  <fonts count="6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00B050"/>
      <name val="Calibri"/>
      <charset val="134"/>
      <scheme val="minor"/>
    </font>
    <font>
      <sz val="12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1"/>
      <color theme="0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1"/>
      <name val="Calibri "/>
      <charset val="134"/>
    </font>
    <font>
      <b/>
      <sz val="12"/>
      <color theme="1"/>
      <name val="Arial"/>
      <charset val="134"/>
    </font>
    <font>
      <b/>
      <sz val="12"/>
      <color theme="0"/>
      <name val="Calibri "/>
      <charset val="134"/>
    </font>
    <font>
      <b/>
      <sz val="12"/>
      <color theme="1"/>
      <name val="Calibri "/>
      <charset val="134"/>
    </font>
    <font>
      <b/>
      <sz val="12"/>
      <color rgb="FF00B050"/>
      <name val="Calibri "/>
      <charset val="134"/>
    </font>
    <font>
      <b/>
      <sz val="12"/>
      <color rgb="FFFFFFFF"/>
      <name val="Calibri "/>
      <charset val="134"/>
    </font>
    <font>
      <u/>
      <sz val="12"/>
      <color theme="10"/>
      <name val="Calibri "/>
      <charset val="134"/>
    </font>
    <font>
      <b/>
      <sz val="12"/>
      <color rgb="FFFF0000"/>
      <name val="Calibri "/>
      <charset val="134"/>
    </font>
    <font>
      <sz val="12"/>
      <color theme="1"/>
      <name val="Calibri Light"/>
      <charset val="134"/>
      <scheme val="maj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Arial"/>
      <charset val="134"/>
    </font>
    <font>
      <sz val="12"/>
      <name val="Calibri "/>
      <charset val="134"/>
    </font>
    <font>
      <sz val="12"/>
      <color rgb="FFFFFFFF"/>
      <name val="Calibri "/>
      <charset val="134"/>
    </font>
    <font>
      <sz val="12"/>
      <color theme="1"/>
      <name val="Arial"/>
      <charset val="134"/>
    </font>
    <font>
      <b/>
      <sz val="12"/>
      <color theme="0"/>
      <name val="Calibri Light"/>
      <charset val="134"/>
      <scheme val="major"/>
    </font>
    <font>
      <sz val="12"/>
      <name val="Calibri Light"/>
      <charset val="134"/>
      <scheme val="major"/>
    </font>
    <font>
      <b/>
      <sz val="12"/>
      <color rgb="FFFF0000"/>
      <name val="Calibri Light"/>
      <charset val="134"/>
      <scheme val="major"/>
    </font>
    <font>
      <b/>
      <sz val="12"/>
      <name val="Calibri Light"/>
      <charset val="134"/>
      <scheme val="major"/>
    </font>
    <font>
      <b/>
      <sz val="12"/>
      <color rgb="FF00B050"/>
      <name val="Calibri Light"/>
      <charset val="134"/>
      <scheme val="major"/>
    </font>
    <font>
      <sz val="12"/>
      <color rgb="FF00B050"/>
      <name val="Calibri Light"/>
      <charset val="134"/>
      <scheme val="major"/>
    </font>
    <font>
      <sz val="12"/>
      <color rgb="FFFF0000"/>
      <name val="Calibri Light"/>
      <charset val="134"/>
      <scheme val="major"/>
    </font>
    <font>
      <b/>
      <sz val="11"/>
      <name val="Calibri"/>
      <charset val="134"/>
      <scheme val="minor"/>
    </font>
    <font>
      <b/>
      <sz val="12"/>
      <name val="Calibri "/>
      <charset val="134"/>
    </font>
    <font>
      <sz val="11"/>
      <name val="Calibri"/>
      <charset val="134"/>
      <scheme val="minor"/>
    </font>
    <font>
      <b/>
      <sz val="16"/>
      <color theme="0"/>
      <name val="Calibri Light"/>
      <charset val="134"/>
      <scheme val="major"/>
    </font>
    <font>
      <b/>
      <sz val="12"/>
      <color rgb="FFFFFFFF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name val="Arial"/>
      <charset val="134"/>
    </font>
    <font>
      <b/>
      <sz val="12"/>
      <name val="Arial"/>
      <charset val="134"/>
    </font>
    <font>
      <b/>
      <sz val="12"/>
      <color rgb="FFFF0000"/>
      <name val="Arial"/>
      <charset val="134"/>
    </font>
    <font>
      <sz val="12"/>
      <color rgb="FF202124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</font>
  </fonts>
  <fills count="5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B5394"/>
      </patternFill>
    </fill>
    <fill>
      <patternFill patternType="solid">
        <fgColor rgb="FF0B5394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theme="0"/>
        <bgColor rgb="FFCC0000"/>
      </patternFill>
    </fill>
    <fill>
      <patternFill patternType="solid">
        <fgColor rgb="FF99999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8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24" borderId="20" applyNumberFormat="0" applyAlignment="0" applyProtection="0">
      <alignment vertical="center"/>
    </xf>
    <xf numFmtId="0" fontId="54" fillId="25" borderId="21" applyNumberFormat="0" applyAlignment="0" applyProtection="0">
      <alignment vertical="center"/>
    </xf>
    <xf numFmtId="0" fontId="55" fillId="25" borderId="20" applyNumberFormat="0" applyAlignment="0" applyProtection="0">
      <alignment vertical="center"/>
    </xf>
    <xf numFmtId="0" fontId="56" fillId="26" borderId="22" applyNumberFormat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64" fillId="0" borderId="0">
      <protection locked="0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64" fillId="0" borderId="0">
      <protection locked="0"/>
    </xf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0" fillId="0" borderId="0"/>
    <xf numFmtId="0" fontId="0" fillId="0" borderId="0"/>
    <xf numFmtId="0" fontId="37" fillId="0" borderId="0"/>
    <xf numFmtId="0" fontId="0" fillId="0" borderId="0"/>
    <xf numFmtId="0" fontId="37" fillId="0" borderId="0"/>
    <xf numFmtId="0" fontId="0" fillId="0" borderId="0"/>
    <xf numFmtId="0" fontId="65" fillId="0" borderId="0"/>
    <xf numFmtId="0" fontId="6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0" fillId="0" borderId="0"/>
    <xf numFmtId="0" fontId="65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4" fillId="0" borderId="0"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64" fillId="0" borderId="0">
      <protection locked="0"/>
    </xf>
  </cellStyleXfs>
  <cellXfs count="3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0" fontId="5" fillId="5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0" fontId="3" fillId="5" borderId="3" xfId="0" applyNumberFormat="1" applyFont="1" applyFill="1" applyBorder="1" applyAlignment="1">
      <alignment horizontal="center" vertical="center" wrapText="1"/>
    </xf>
    <xf numFmtId="10" fontId="7" fillId="5" borderId="3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8" fillId="2" borderId="4" xfId="154" applyFont="1" applyFill="1" applyBorder="1" applyAlignment="1">
      <alignment horizontal="center" vertical="center" wrapText="1"/>
    </xf>
    <xf numFmtId="0" fontId="8" fillId="2" borderId="2" xfId="154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ont="1" applyBorder="1"/>
    <xf numFmtId="10" fontId="10" fillId="0" borderId="3" xfId="0" applyNumberFormat="1" applyFont="1" applyBorder="1"/>
    <xf numFmtId="10" fontId="11" fillId="0" borderId="3" xfId="0" applyNumberFormat="1" applyFont="1" applyBorder="1"/>
    <xf numFmtId="10" fontId="12" fillId="5" borderId="3" xfId="0" applyNumberFormat="1" applyFont="1" applyFill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9" fontId="17" fillId="0" borderId="3" xfId="180" applyFont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8" fillId="12" borderId="5" xfId="0" applyFont="1" applyFill="1" applyBorder="1" applyAlignment="1">
      <alignment horizontal="center" vertical="center" wrapText="1"/>
    </xf>
    <xf numFmtId="0" fontId="18" fillId="12" borderId="6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8" fillId="13" borderId="6" xfId="0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0" fontId="18" fillId="14" borderId="6" xfId="0" applyFont="1" applyFill="1" applyBorder="1" applyAlignment="1">
      <alignment horizontal="center" vertical="center" wrapText="1"/>
    </xf>
    <xf numFmtId="0" fontId="19" fillId="0" borderId="3" xfId="6" applyFont="1" applyBorder="1" applyAlignment="1">
      <alignment horizontal="center" vertical="center" wrapText="1"/>
    </xf>
    <xf numFmtId="0" fontId="18" fillId="15" borderId="5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 wrapText="1"/>
    </xf>
    <xf numFmtId="0" fontId="18" fillId="15" borderId="9" xfId="0" applyFont="1" applyFill="1" applyBorder="1" applyAlignment="1">
      <alignment horizontal="center" vertical="center" wrapText="1"/>
    </xf>
    <xf numFmtId="0" fontId="16" fillId="16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17" borderId="3" xfId="0" applyFont="1" applyFill="1" applyBorder="1" applyAlignment="1">
      <alignment horizontal="center" vertical="center" wrapText="1"/>
    </xf>
    <xf numFmtId="0" fontId="14" fillId="18" borderId="3" xfId="142" applyFont="1" applyFill="1" applyBorder="1" applyAlignment="1">
      <alignment horizontal="center" vertical="center" wrapText="1"/>
    </xf>
    <xf numFmtId="0" fontId="14" fillId="5" borderId="3" xfId="142" applyFont="1" applyFill="1" applyBorder="1" applyAlignment="1">
      <alignment horizontal="center" vertical="center" wrapText="1"/>
    </xf>
    <xf numFmtId="0" fontId="14" fillId="0" borderId="3" xfId="145" applyFont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9" fontId="20" fillId="0" borderId="3" xfId="18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15" borderId="3" xfId="0" applyFont="1" applyFill="1" applyBorder="1" applyAlignment="1">
      <alignment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3" fillId="4" borderId="3" xfId="0" applyNumberFormat="1" applyFont="1" applyFill="1" applyBorder="1" applyAlignment="1">
      <alignment horizontal="center" vertical="center" wrapText="1"/>
    </xf>
    <xf numFmtId="10" fontId="7" fillId="4" borderId="3" xfId="0" applyNumberFormat="1" applyFont="1" applyFill="1" applyBorder="1" applyAlignment="1">
      <alignment horizontal="center" vertical="center" wrapText="1"/>
    </xf>
    <xf numFmtId="10" fontId="5" fillId="4" borderId="3" xfId="0" applyNumberFormat="1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6" fillId="5" borderId="3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/>
    </xf>
    <xf numFmtId="0" fontId="0" fillId="0" borderId="0" xfId="0" applyFont="1"/>
    <xf numFmtId="0" fontId="22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10" xfId="0" applyFont="1" applyBorder="1"/>
    <xf numFmtId="0" fontId="3" fillId="0" borderId="3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" fillId="0" borderId="3" xfId="0" applyFont="1" applyBorder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8" fillId="11" borderId="6" xfId="0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 wrapText="1"/>
    </xf>
    <xf numFmtId="0" fontId="25" fillId="0" borderId="11" xfId="165" applyFont="1" applyBorder="1" applyAlignment="1">
      <alignment horizontal="center" vertical="center" wrapText="1"/>
    </xf>
    <xf numFmtId="0" fontId="13" fillId="0" borderId="3" xfId="157" applyFont="1" applyBorder="1" applyAlignment="1">
      <alignment horizontal="center" vertical="center" wrapText="1"/>
    </xf>
    <xf numFmtId="0" fontId="13" fillId="0" borderId="3" xfId="138" applyFont="1" applyBorder="1" applyAlignment="1">
      <alignment horizontal="center" vertical="center" wrapText="1"/>
    </xf>
    <xf numFmtId="0" fontId="18" fillId="15" borderId="3" xfId="0" applyFont="1" applyFill="1" applyBorder="1" applyAlignment="1">
      <alignment horizontal="center" vertical="center" wrapText="1"/>
    </xf>
    <xf numFmtId="0" fontId="14" fillId="20" borderId="12" xfId="0" applyFont="1" applyFill="1" applyBorder="1" applyAlignment="1">
      <alignment horizontal="center" vertical="center" wrapText="1"/>
    </xf>
    <xf numFmtId="0" fontId="14" fillId="18" borderId="12" xfId="0" applyFont="1" applyFill="1" applyBorder="1" applyAlignment="1">
      <alignment horizontal="center" vertical="center" wrapText="1"/>
    </xf>
    <xf numFmtId="0" fontId="16" fillId="21" borderId="3" xfId="0" applyFont="1" applyFill="1" applyBorder="1" applyAlignment="1">
      <alignment horizontal="center" vertical="center" wrapText="1"/>
    </xf>
    <xf numFmtId="0" fontId="13" fillId="0" borderId="3" xfId="142" applyFont="1" applyBorder="1" applyAlignment="1">
      <alignment horizontal="center" vertical="center" wrapText="1"/>
    </xf>
    <xf numFmtId="0" fontId="25" fillId="0" borderId="0" xfId="165" applyFont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3" fontId="13" fillId="0" borderId="3" xfId="138" applyNumberFormat="1" applyFont="1" applyBorder="1" applyAlignment="1">
      <alignment horizontal="center" vertical="center" wrapText="1"/>
    </xf>
    <xf numFmtId="0" fontId="26" fillId="15" borderId="3" xfId="0" applyFont="1" applyFill="1" applyBorder="1" applyAlignment="1">
      <alignment vertical="center" wrapText="1"/>
    </xf>
    <xf numFmtId="0" fontId="13" fillId="0" borderId="3" xfId="18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wrapText="1"/>
    </xf>
    <xf numFmtId="0" fontId="28" fillId="2" borderId="4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16" fontId="9" fillId="3" borderId="3" xfId="0" applyNumberFormat="1" applyFont="1" applyFill="1" applyBorder="1" applyAlignment="1">
      <alignment horizontal="center" vertical="center" wrapText="1"/>
    </xf>
    <xf numFmtId="16" fontId="9" fillId="3" borderId="3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1" fillId="5" borderId="3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9" fontId="30" fillId="0" borderId="3" xfId="3" applyFont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/>
    </xf>
    <xf numFmtId="9" fontId="32" fillId="0" borderId="3" xfId="3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9" fontId="33" fillId="0" borderId="3" xfId="3" applyFont="1" applyBorder="1" applyAlignment="1">
      <alignment horizontal="center" vertical="center" wrapText="1"/>
    </xf>
    <xf numFmtId="0" fontId="21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31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16" fontId="31" fillId="3" borderId="3" xfId="0" applyNumberFormat="1" applyFont="1" applyFill="1" applyBorder="1" applyAlignment="1">
      <alignment horizontal="center" vertical="center" wrapText="1"/>
    </xf>
    <xf numFmtId="16" fontId="9" fillId="3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9" fontId="34" fillId="0" borderId="3" xfId="3" applyFont="1" applyBorder="1" applyAlignment="1">
      <alignment horizontal="center" vertical="center" wrapText="1"/>
    </xf>
    <xf numFmtId="9" fontId="34" fillId="0" borderId="5" xfId="3" applyFont="1" applyBorder="1" applyAlignment="1">
      <alignment horizontal="center" vertical="center" wrapText="1"/>
    </xf>
    <xf numFmtId="9" fontId="30" fillId="0" borderId="5" xfId="3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9" fontId="30" fillId="0" borderId="6" xfId="3" applyFont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16" fontId="21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 vertical="center" wrapText="1"/>
    </xf>
    <xf numFmtId="16" fontId="21" fillId="3" borderId="5" xfId="0" applyNumberFormat="1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vertical="center"/>
    </xf>
    <xf numFmtId="0" fontId="21" fillId="0" borderId="12" xfId="0" applyFont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9" fontId="34" fillId="0" borderId="4" xfId="3" applyFont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5" borderId="5" xfId="0" applyFont="1" applyFill="1" applyBorder="1" applyAlignment="1">
      <alignment horizontal="center" vertical="center"/>
    </xf>
    <xf numFmtId="0" fontId="21" fillId="0" borderId="3" xfId="0" applyFont="1" applyBorder="1"/>
    <xf numFmtId="0" fontId="21" fillId="0" borderId="3" xfId="0" applyFont="1" applyBorder="1" applyAlignment="1">
      <alignment horizontal="center"/>
    </xf>
    <xf numFmtId="9" fontId="33" fillId="0" borderId="5" xfId="3" applyFont="1" applyBorder="1" applyAlignment="1">
      <alignment horizontal="center" vertical="center" wrapText="1"/>
    </xf>
    <xf numFmtId="0" fontId="21" fillId="0" borderId="5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9" fillId="5" borderId="3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9" fontId="32" fillId="0" borderId="0" xfId="3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6" fontId="9" fillId="3" borderId="4" xfId="0" applyNumberFormat="1" applyFont="1" applyFill="1" applyBorder="1" applyAlignment="1">
      <alignment horizontal="center" vertical="center"/>
    </xf>
    <xf numFmtId="9" fontId="32" fillId="0" borderId="4" xfId="3" applyFont="1" applyBorder="1" applyAlignment="1">
      <alignment horizontal="center" vertical="center" wrapText="1"/>
    </xf>
    <xf numFmtId="9" fontId="30" fillId="0" borderId="4" xfId="3" applyFont="1" applyBorder="1" applyAlignment="1">
      <alignment horizontal="center" vertical="center" wrapText="1"/>
    </xf>
    <xf numFmtId="1" fontId="29" fillId="5" borderId="3" xfId="0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16" fontId="21" fillId="3" borderId="5" xfId="0" applyNumberFormat="1" applyFont="1" applyFill="1" applyBorder="1" applyAlignment="1">
      <alignment horizontal="center" vertical="center" wrapText="1"/>
    </xf>
    <xf numFmtId="16" fontId="29" fillId="3" borderId="5" xfId="0" applyNumberFormat="1" applyFont="1" applyFill="1" applyBorder="1" applyAlignment="1">
      <alignment horizontal="center" vertical="center" wrapText="1"/>
    </xf>
    <xf numFmtId="16" fontId="21" fillId="3" borderId="3" xfId="0" applyNumberFormat="1" applyFont="1" applyFill="1" applyBorder="1" applyAlignment="1">
      <alignment horizontal="center" vertical="center"/>
    </xf>
    <xf numFmtId="16" fontId="21" fillId="3" borderId="9" xfId="0" applyNumberFormat="1" applyFont="1" applyFill="1" applyBorder="1" applyAlignment="1">
      <alignment horizontal="center" vertical="center" wrapText="1"/>
    </xf>
    <xf numFmtId="0" fontId="31" fillId="5" borderId="12" xfId="0" applyFont="1" applyFill="1" applyBorder="1" applyAlignment="1">
      <alignment horizontal="center" vertical="center"/>
    </xf>
    <xf numFmtId="10" fontId="30" fillId="5" borderId="3" xfId="0" applyNumberFormat="1" applyFont="1" applyFill="1" applyBorder="1" applyAlignment="1">
      <alignment horizontal="center" vertical="center"/>
    </xf>
    <xf numFmtId="10" fontId="32" fillId="5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wrapText="1"/>
    </xf>
    <xf numFmtId="0" fontId="21" fillId="0" borderId="3" xfId="0" applyFont="1" applyBorder="1" applyAlignment="1">
      <alignment horizontal="center" wrapText="1"/>
    </xf>
    <xf numFmtId="10" fontId="32" fillId="0" borderId="3" xfId="0" applyNumberFormat="1" applyFont="1" applyBorder="1" applyAlignment="1">
      <alignment horizontal="center"/>
    </xf>
    <xf numFmtId="10" fontId="30" fillId="0" borderId="3" xfId="0" applyNumberFormat="1" applyFont="1" applyBorder="1" applyAlignment="1">
      <alignment horizontal="center"/>
    </xf>
    <xf numFmtId="10" fontId="9" fillId="0" borderId="3" xfId="0" applyNumberFormat="1" applyFont="1" applyBorder="1" applyAlignment="1">
      <alignment horizontal="center"/>
    </xf>
    <xf numFmtId="16" fontId="9" fillId="3" borderId="12" xfId="0" applyNumberFormat="1" applyFont="1" applyFill="1" applyBorder="1" applyAlignment="1">
      <alignment horizontal="center" vertical="center" wrapText="1"/>
    </xf>
    <xf numFmtId="9" fontId="30" fillId="0" borderId="12" xfId="3" applyFont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9" fontId="34" fillId="0" borderId="12" xfId="3" applyFont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3" xfId="0" applyFont="1" applyBorder="1" applyAlignment="1">
      <alignment wrapText="1"/>
    </xf>
    <xf numFmtId="0" fontId="9" fillId="0" borderId="3" xfId="0" applyFont="1" applyBorder="1" applyAlignment="1">
      <alignment horizontal="center" wrapText="1"/>
    </xf>
    <xf numFmtId="0" fontId="9" fillId="3" borderId="5" xfId="0" applyFont="1" applyFill="1" applyBorder="1" applyAlignment="1">
      <alignment horizontal="center" vertical="center" wrapText="1"/>
    </xf>
    <xf numFmtId="16" fontId="9" fillId="3" borderId="9" xfId="0" applyNumberFormat="1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center" vertical="center" wrapText="1"/>
    </xf>
    <xf numFmtId="3" fontId="16" fillId="5" borderId="3" xfId="0" applyNumberFormat="1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3" fontId="13" fillId="0" borderId="3" xfId="142" applyNumberFormat="1" applyFont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16" fillId="21" borderId="3" xfId="0" applyNumberFormat="1" applyFont="1" applyFill="1" applyBorder="1" applyAlignment="1">
      <alignment horizontal="center" vertical="center" wrapText="1"/>
    </xf>
    <xf numFmtId="3" fontId="36" fillId="0" borderId="3" xfId="180" applyNumberFormat="1" applyFont="1" applyBorder="1" applyAlignment="1">
      <alignment horizontal="center" vertical="center" wrapText="1"/>
    </xf>
    <xf numFmtId="0" fontId="17" fillId="0" borderId="3" xfId="142" applyFont="1" applyBorder="1" applyAlignment="1">
      <alignment horizontal="center" vertical="center" wrapText="1"/>
    </xf>
    <xf numFmtId="3" fontId="13" fillId="0" borderId="3" xfId="136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36" fillId="15" borderId="3" xfId="0" applyFont="1" applyFill="1" applyBorder="1" applyAlignment="1">
      <alignment vertical="center" wrapText="1"/>
    </xf>
    <xf numFmtId="0" fontId="13" fillId="0" borderId="3" xfId="136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9" fillId="0" borderId="3" xfId="154" applyFont="1" applyBorder="1" applyAlignment="1">
      <alignment horizontal="left" vertical="center" wrapText="1"/>
    </xf>
    <xf numFmtId="3" fontId="21" fillId="5" borderId="3" xfId="154" applyNumberFormat="1" applyFont="1" applyFill="1" applyBorder="1" applyAlignment="1">
      <alignment horizontal="center" vertical="center"/>
    </xf>
    <xf numFmtId="0" fontId="9" fillId="0" borderId="3" xfId="154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3" fontId="34" fillId="5" borderId="3" xfId="154" applyNumberFormat="1" applyFont="1" applyFill="1" applyBorder="1" applyAlignment="1">
      <alignment horizontal="center" vertical="center"/>
    </xf>
    <xf numFmtId="0" fontId="21" fillId="0" borderId="3" xfId="154" applyFont="1" applyBorder="1" applyAlignment="1">
      <alignment horizontal="center" vertical="center"/>
    </xf>
    <xf numFmtId="3" fontId="21" fillId="5" borderId="3" xfId="154" applyNumberFormat="1" applyFont="1" applyFill="1" applyBorder="1" applyAlignment="1">
      <alignment horizontal="center" vertical="center" wrapText="1"/>
    </xf>
    <xf numFmtId="0" fontId="9" fillId="0" borderId="3" xfId="154" applyFont="1" applyBorder="1" applyAlignment="1">
      <alignment horizontal="center" vertical="center" wrapText="1"/>
    </xf>
    <xf numFmtId="10" fontId="30" fillId="0" borderId="3" xfId="154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3" fontId="34" fillId="5" borderId="3" xfId="154" applyNumberFormat="1" applyFont="1" applyFill="1" applyBorder="1" applyAlignment="1">
      <alignment horizontal="center" vertical="center" wrapText="1"/>
    </xf>
    <xf numFmtId="0" fontId="21" fillId="0" borderId="3" xfId="154" applyFont="1" applyBorder="1" applyAlignment="1">
      <alignment horizontal="center" vertical="center" wrapText="1"/>
    </xf>
    <xf numFmtId="0" fontId="21" fillId="0" borderId="3" xfId="154" applyFont="1" applyBorder="1" applyAlignment="1">
      <alignment vertical="center"/>
    </xf>
    <xf numFmtId="0" fontId="21" fillId="5" borderId="3" xfId="154" applyFont="1" applyFill="1" applyBorder="1" applyAlignment="1">
      <alignment horizontal="center" vertical="center" wrapText="1"/>
    </xf>
    <xf numFmtId="10" fontId="32" fillId="0" borderId="3" xfId="154" applyNumberFormat="1" applyFont="1" applyBorder="1" applyAlignment="1">
      <alignment horizontal="center" vertical="center"/>
    </xf>
    <xf numFmtId="0" fontId="34" fillId="5" borderId="3" xfId="154" applyFont="1" applyFill="1" applyBorder="1" applyAlignment="1">
      <alignment horizontal="center" vertical="center" wrapText="1"/>
    </xf>
    <xf numFmtId="0" fontId="21" fillId="5" borderId="3" xfId="154" applyFont="1" applyFill="1" applyBorder="1" applyAlignment="1">
      <alignment horizontal="center" vertical="center"/>
    </xf>
    <xf numFmtId="0" fontId="9" fillId="5" borderId="3" xfId="154" applyFont="1" applyFill="1" applyBorder="1" applyAlignment="1">
      <alignment horizontal="center" vertical="center"/>
    </xf>
    <xf numFmtId="3" fontId="21" fillId="0" borderId="3" xfId="154" applyNumberFormat="1" applyFont="1" applyBorder="1" applyAlignment="1">
      <alignment horizontal="center" vertical="center"/>
    </xf>
    <xf numFmtId="3" fontId="9" fillId="0" borderId="3" xfId="154" applyNumberFormat="1" applyFont="1" applyBorder="1" applyAlignment="1">
      <alignment horizontal="center" vertical="center"/>
    </xf>
    <xf numFmtId="10" fontId="30" fillId="0" borderId="3" xfId="154" applyNumberFormat="1" applyFont="1" applyBorder="1" applyAlignment="1">
      <alignment horizontal="center" vertical="center" wrapText="1"/>
    </xf>
    <xf numFmtId="3" fontId="9" fillId="5" borderId="3" xfId="154" applyNumberFormat="1" applyFont="1" applyFill="1" applyBorder="1" applyAlignment="1">
      <alignment horizontal="center" vertical="center"/>
    </xf>
    <xf numFmtId="10" fontId="21" fillId="0" borderId="3" xfId="154" applyNumberFormat="1" applyFont="1" applyBorder="1" applyAlignment="1">
      <alignment horizontal="center" vertical="center" wrapText="1"/>
    </xf>
    <xf numFmtId="0" fontId="9" fillId="0" borderId="4" xfId="154" applyFont="1" applyBorder="1" applyAlignment="1">
      <alignment horizontal="left" vertical="center" wrapText="1"/>
    </xf>
    <xf numFmtId="0" fontId="21" fillId="0" borderId="2" xfId="154" applyFont="1" applyBorder="1" applyAlignment="1">
      <alignment horizontal="center" vertical="center" wrapText="1"/>
    </xf>
    <xf numFmtId="0" fontId="21" fillId="5" borderId="2" xfId="154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5" borderId="3" xfId="154" applyFont="1" applyFill="1" applyBorder="1" applyAlignment="1">
      <alignment horizontal="left" vertical="center" wrapText="1"/>
    </xf>
    <xf numFmtId="10" fontId="34" fillId="0" borderId="3" xfId="0" applyNumberFormat="1" applyFont="1" applyBorder="1" applyAlignment="1">
      <alignment horizontal="center" vertical="center" wrapText="1"/>
    </xf>
    <xf numFmtId="10" fontId="30" fillId="0" borderId="3" xfId="0" applyNumberFormat="1" applyFont="1" applyBorder="1" applyAlignment="1">
      <alignment horizontal="center" vertical="center" wrapText="1"/>
    </xf>
    <xf numFmtId="10" fontId="32" fillId="0" borderId="3" xfId="0" applyNumberFormat="1" applyFont="1" applyBorder="1" applyAlignment="1">
      <alignment horizontal="center" vertical="center" wrapText="1"/>
    </xf>
    <xf numFmtId="10" fontId="33" fillId="0" borderId="3" xfId="0" applyNumberFormat="1" applyFont="1" applyBorder="1" applyAlignment="1">
      <alignment horizontal="center" vertical="center" wrapText="1"/>
    </xf>
    <xf numFmtId="10" fontId="30" fillId="0" borderId="2" xfId="0" applyNumberFormat="1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" fontId="21" fillId="0" borderId="3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 vertical="center" wrapText="1"/>
    </xf>
    <xf numFmtId="10" fontId="32" fillId="0" borderId="3" xfId="0" applyNumberFormat="1" applyFont="1" applyBorder="1"/>
    <xf numFmtId="10" fontId="30" fillId="0" borderId="3" xfId="0" applyNumberFormat="1" applyFont="1" applyBorder="1"/>
    <xf numFmtId="10" fontId="9" fillId="0" borderId="3" xfId="0" applyNumberFormat="1" applyFont="1" applyBorder="1"/>
    <xf numFmtId="0" fontId="30" fillId="0" borderId="3" xfId="0" applyFont="1" applyBorder="1"/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3" fontId="3" fillId="5" borderId="3" xfId="0" applyNumberFormat="1" applyFont="1" applyFill="1" applyBorder="1" applyAlignment="1">
      <alignment horizontal="center" vertical="center" wrapText="1"/>
    </xf>
    <xf numFmtId="9" fontId="7" fillId="0" borderId="3" xfId="3" applyFont="1" applyBorder="1" applyAlignment="1">
      <alignment horizontal="center" vertical="center" wrapText="1"/>
    </xf>
    <xf numFmtId="0" fontId="4" fillId="0" borderId="3" xfId="142" applyFont="1" applyBorder="1" applyAlignment="1">
      <alignment horizontal="center" vertical="center" wrapText="1"/>
    </xf>
    <xf numFmtId="9" fontId="5" fillId="0" borderId="3" xfId="3" applyFont="1" applyBorder="1" applyAlignment="1">
      <alignment horizontal="center" vertical="center" wrapText="1"/>
    </xf>
    <xf numFmtId="0" fontId="39" fillId="11" borderId="3" xfId="0" applyFont="1" applyFill="1" applyBorder="1" applyAlignment="1">
      <alignment horizontal="center" vertical="center" wrapText="1"/>
    </xf>
    <xf numFmtId="0" fontId="4" fillId="0" borderId="11" xfId="136" applyFont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4" fillId="0" borderId="3" xfId="136" applyFont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 wrapText="1"/>
    </xf>
    <xf numFmtId="0" fontId="39" fillId="13" borderId="2" xfId="0" applyFont="1" applyFill="1" applyBorder="1" applyAlignment="1">
      <alignment horizontal="center" vertical="center" wrapText="1"/>
    </xf>
    <xf numFmtId="0" fontId="4" fillId="0" borderId="0" xfId="136" applyFont="1" applyAlignment="1">
      <alignment horizontal="center" vertical="center"/>
    </xf>
    <xf numFmtId="0" fontId="39" fillId="14" borderId="3" xfId="0" applyFont="1" applyFill="1" applyBorder="1" applyAlignment="1">
      <alignment horizontal="center" vertical="center" wrapText="1"/>
    </xf>
    <xf numFmtId="0" fontId="40" fillId="0" borderId="3" xfId="6" applyFont="1" applyBorder="1" applyAlignment="1">
      <alignment horizontal="center" vertical="center" wrapText="1"/>
    </xf>
    <xf numFmtId="0" fontId="4" fillId="0" borderId="3" xfId="140" applyFont="1" applyBorder="1" applyAlignment="1">
      <alignment horizontal="center" vertical="center" wrapText="1"/>
    </xf>
    <xf numFmtId="0" fontId="40" fillId="4" borderId="3" xfId="6" applyFont="1" applyFill="1" applyBorder="1" applyAlignment="1">
      <alignment horizontal="center" vertical="center" wrapText="1"/>
    </xf>
    <xf numFmtId="0" fontId="39" fillId="15" borderId="14" xfId="0" applyFont="1" applyFill="1" applyBorder="1" applyAlignment="1">
      <alignment horizontal="center" vertical="center" wrapText="1"/>
    </xf>
    <xf numFmtId="0" fontId="39" fillId="15" borderId="0" xfId="0" applyFont="1" applyFill="1" applyAlignment="1">
      <alignment horizontal="center" vertical="center" wrapText="1"/>
    </xf>
    <xf numFmtId="0" fontId="39" fillId="22" borderId="14" xfId="0" applyFont="1" applyFill="1" applyBorder="1" applyAlignment="1">
      <alignment horizontal="center" vertical="center" wrapText="1"/>
    </xf>
    <xf numFmtId="0" fontId="39" fillId="22" borderId="0" xfId="0" applyFont="1" applyFill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9" fontId="43" fillId="0" borderId="0" xfId="3" applyFont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3" fontId="4" fillId="0" borderId="11" xfId="159" applyNumberFormat="1" applyFont="1" applyBorder="1" applyAlignment="1">
      <alignment horizontal="center" vertical="center" wrapText="1"/>
    </xf>
    <xf numFmtId="3" fontId="3" fillId="21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22" fillId="5" borderId="3" xfId="0" applyNumberFormat="1" applyFont="1" applyFill="1" applyBorder="1" applyAlignment="1">
      <alignment horizontal="center" vertical="center" wrapText="1"/>
    </xf>
    <xf numFmtId="3" fontId="4" fillId="0" borderId="3" xfId="139" applyNumberFormat="1" applyFont="1" applyBorder="1" applyAlignment="1">
      <alignment horizontal="center" vertical="center" wrapText="1"/>
    </xf>
    <xf numFmtId="3" fontId="4" fillId="0" borderId="3" xfId="142" applyNumberFormat="1" applyFont="1" applyBorder="1" applyAlignment="1">
      <alignment horizontal="center" vertical="center" wrapText="1"/>
    </xf>
    <xf numFmtId="0" fontId="5" fillId="0" borderId="3" xfId="180" applyNumberFormat="1" applyFont="1" applyBorder="1" applyAlignment="1">
      <alignment horizontal="center" vertical="center" wrapText="1"/>
    </xf>
    <xf numFmtId="3" fontId="4" fillId="0" borderId="3" xfId="159" applyNumberFormat="1" applyFont="1" applyBorder="1" applyAlignment="1">
      <alignment horizontal="center" vertical="center" wrapText="1"/>
    </xf>
    <xf numFmtId="0" fontId="4" fillId="0" borderId="3" xfId="159" applyFont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 vertical="center" wrapText="1"/>
    </xf>
    <xf numFmtId="3" fontId="4" fillId="5" borderId="11" xfId="159" applyNumberFormat="1" applyFont="1" applyFill="1" applyBorder="1" applyAlignment="1">
      <alignment horizontal="center" vertical="center" wrapText="1"/>
    </xf>
    <xf numFmtId="9" fontId="5" fillId="5" borderId="3" xfId="3" applyFont="1" applyFill="1" applyBorder="1" applyAlignment="1">
      <alignment horizontal="center" vertical="center" wrapText="1"/>
    </xf>
    <xf numFmtId="3" fontId="44" fillId="0" borderId="0" xfId="140" applyNumberFormat="1" applyFont="1" applyAlignment="1">
      <alignment horizontal="center" vertical="center"/>
    </xf>
    <xf numFmtId="0" fontId="4" fillId="0" borderId="3" xfId="164" applyFont="1" applyBorder="1" applyAlignment="1">
      <alignment horizontal="center" vertical="center" wrapText="1"/>
    </xf>
    <xf numFmtId="0" fontId="4" fillId="0" borderId="11" xfId="159" applyFont="1" applyBorder="1" applyAlignment="1">
      <alignment horizontal="center" vertical="center" wrapText="1"/>
    </xf>
    <xf numFmtId="0" fontId="23" fillId="0" borderId="3" xfId="162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39" fillId="13" borderId="10" xfId="0" applyFont="1" applyFill="1" applyBorder="1" applyAlignment="1">
      <alignment horizontal="center" vertical="center" wrapText="1"/>
    </xf>
    <xf numFmtId="0" fontId="39" fillId="15" borderId="16" xfId="0" applyFont="1" applyFill="1" applyBorder="1" applyAlignment="1">
      <alignment horizontal="center" vertical="center" wrapText="1"/>
    </xf>
    <xf numFmtId="0" fontId="39" fillId="22" borderId="16" xfId="0" applyFont="1" applyFill="1" applyBorder="1" applyAlignment="1">
      <alignment horizontal="center" vertical="center" wrapText="1"/>
    </xf>
  </cellXfs>
  <cellStyles count="18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10" xfId="49"/>
    <cellStyle name="Comma [0] 11" xfId="50"/>
    <cellStyle name="Comma [0] 2" xfId="51"/>
    <cellStyle name="Comma [0] 3" xfId="52"/>
    <cellStyle name="Comma [0] 4" xfId="53"/>
    <cellStyle name="Comma [0] 5" xfId="54"/>
    <cellStyle name="Comma [0] 6" xfId="55"/>
    <cellStyle name="Comma [0] 7" xfId="56"/>
    <cellStyle name="Comma [0] 8" xfId="57"/>
    <cellStyle name="Comma [0] 9" xfId="58"/>
    <cellStyle name="Comma 10" xfId="59"/>
    <cellStyle name="Comma 11" xfId="60"/>
    <cellStyle name="Comma 12" xfId="61"/>
    <cellStyle name="Comma 13" xfId="62"/>
    <cellStyle name="Comma 14" xfId="63"/>
    <cellStyle name="Comma 15" xfId="64"/>
    <cellStyle name="Comma 16" xfId="65"/>
    <cellStyle name="Comma 17" xfId="66"/>
    <cellStyle name="Comma 2" xfId="67"/>
    <cellStyle name="Comma 2 10" xfId="68"/>
    <cellStyle name="Comma 2 11" xfId="69"/>
    <cellStyle name="Comma 2 12" xfId="70"/>
    <cellStyle name="Comma 2 13" xfId="71"/>
    <cellStyle name="Comma 2 14" xfId="72"/>
    <cellStyle name="Comma 2 15" xfId="73"/>
    <cellStyle name="Comma 2 16" xfId="74"/>
    <cellStyle name="Comma 2 17" xfId="75"/>
    <cellStyle name="Comma 2 18" xfId="76"/>
    <cellStyle name="Comma 2 2" xfId="77"/>
    <cellStyle name="Comma 2 3" xfId="78"/>
    <cellStyle name="Comma 2 4" xfId="79"/>
    <cellStyle name="Comma 2 5" xfId="80"/>
    <cellStyle name="Comma 2 6" xfId="81"/>
    <cellStyle name="Comma 2 7" xfId="82"/>
    <cellStyle name="Comma 2 8" xfId="83"/>
    <cellStyle name="Comma 2 9" xfId="84"/>
    <cellStyle name="Comma 21" xfId="85"/>
    <cellStyle name="Comma 23" xfId="86"/>
    <cellStyle name="Comma 24" xfId="87"/>
    <cellStyle name="Comma 26" xfId="88"/>
    <cellStyle name="Comma 27" xfId="89"/>
    <cellStyle name="Comma 29" xfId="90"/>
    <cellStyle name="Comma 3" xfId="91"/>
    <cellStyle name="Comma 3 10" xfId="92"/>
    <cellStyle name="Comma 3 11" xfId="93"/>
    <cellStyle name="Comma 3 12" xfId="94"/>
    <cellStyle name="Comma 3 13" xfId="95"/>
    <cellStyle name="Comma 3 14" xfId="96"/>
    <cellStyle name="Comma 3 15" xfId="97"/>
    <cellStyle name="Comma 3 16" xfId="98"/>
    <cellStyle name="Comma 3 17" xfId="99"/>
    <cellStyle name="Comma 3 18" xfId="100"/>
    <cellStyle name="Comma 3 2" xfId="101"/>
    <cellStyle name="Comma 3 3" xfId="102"/>
    <cellStyle name="Comma 3 4" xfId="103"/>
    <cellStyle name="Comma 3 5" xfId="104"/>
    <cellStyle name="Comma 3 6" xfId="105"/>
    <cellStyle name="Comma 3 7" xfId="106"/>
    <cellStyle name="Comma 3 8" xfId="107"/>
    <cellStyle name="Comma 3 9" xfId="108"/>
    <cellStyle name="Comma 30" xfId="109"/>
    <cellStyle name="Comma 33" xfId="110"/>
    <cellStyle name="Comma 4" xfId="111"/>
    <cellStyle name="Comma 40" xfId="112"/>
    <cellStyle name="Comma 42" xfId="113"/>
    <cellStyle name="Comma 5" xfId="114"/>
    <cellStyle name="Comma 6" xfId="115"/>
    <cellStyle name="Comma 7" xfId="116"/>
    <cellStyle name="Comma 8" xfId="117"/>
    <cellStyle name="Comma 9" xfId="118"/>
    <cellStyle name="Hyperlink 2" xfId="119"/>
    <cellStyle name="Normal 10" xfId="120"/>
    <cellStyle name="Normal 11" xfId="121"/>
    <cellStyle name="Normal 12" xfId="122"/>
    <cellStyle name="Normal 13" xfId="123"/>
    <cellStyle name="Normal 14" xfId="124"/>
    <cellStyle name="Normal 15" xfId="125"/>
    <cellStyle name="Normal 16" xfId="126"/>
    <cellStyle name="Normal 17" xfId="127"/>
    <cellStyle name="Normal 18" xfId="128"/>
    <cellStyle name="Normal 19" xfId="129"/>
    <cellStyle name="Normal 2" xfId="130"/>
    <cellStyle name="Normal 2 10" xfId="131"/>
    <cellStyle name="Normal 2 11" xfId="132"/>
    <cellStyle name="Normal 2 12" xfId="133"/>
    <cellStyle name="Normal 2 13" xfId="134"/>
    <cellStyle name="Normal 2 14" xfId="135"/>
    <cellStyle name="Normal 2 15" xfId="136"/>
    <cellStyle name="Normal 2 16" xfId="137"/>
    <cellStyle name="Normal 2 17" xfId="138"/>
    <cellStyle name="Normal 2 18" xfId="139"/>
    <cellStyle name="Normal 2 19" xfId="140"/>
    <cellStyle name="Normal 2 2" xfId="141"/>
    <cellStyle name="Normal 2 20" xfId="142"/>
    <cellStyle name="Normal 2 3" xfId="143"/>
    <cellStyle name="Normal 2 4" xfId="144"/>
    <cellStyle name="Normal 2 5" xfId="145"/>
    <cellStyle name="Normal 2 5 2" xfId="146"/>
    <cellStyle name="Normal 2 6" xfId="147"/>
    <cellStyle name="Normal 2 7" xfId="148"/>
    <cellStyle name="Normal 2 8" xfId="149"/>
    <cellStyle name="Normal 2 9" xfId="150"/>
    <cellStyle name="Normal 20" xfId="151"/>
    <cellStyle name="Normal 21" xfId="152"/>
    <cellStyle name="Normal 22" xfId="153"/>
    <cellStyle name="Normal 23" xfId="154"/>
    <cellStyle name="Normal 24" xfId="155"/>
    <cellStyle name="Normal 25" xfId="156"/>
    <cellStyle name="Normal 26" xfId="157"/>
    <cellStyle name="Normal 27" xfId="158"/>
    <cellStyle name="Normal 28" xfId="159"/>
    <cellStyle name="Normal 29" xfId="160"/>
    <cellStyle name="Normal 3" xfId="161"/>
    <cellStyle name="Normal 30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Percent 10" xfId="169"/>
    <cellStyle name="Percent 11" xfId="170"/>
    <cellStyle name="Percent 12" xfId="171"/>
    <cellStyle name="Percent 13" xfId="172"/>
    <cellStyle name="Percent 14" xfId="173"/>
    <cellStyle name="Percent 15" xfId="174"/>
    <cellStyle name="Percent 16" xfId="175"/>
    <cellStyle name="Percent 17" xfId="176"/>
    <cellStyle name="Percent 18" xfId="177"/>
    <cellStyle name="Percent 19" xfId="178"/>
    <cellStyle name="Percent 2" xfId="179"/>
    <cellStyle name="Percent 20" xfId="180"/>
    <cellStyle name="Percent 3" xfId="181"/>
    <cellStyle name="Percent 4" xfId="182"/>
    <cellStyle name="Percent 5" xfId="183"/>
    <cellStyle name="Percent 6" xfId="184"/>
    <cellStyle name="Percent 7" xfId="185"/>
    <cellStyle name="Percent 8" xfId="186"/>
    <cellStyle name="Percent 9" xfId="187"/>
  </cellStyles>
  <tableStyles count="0" defaultTableStyle="TableStyleMedium2" defaultPivotStyle="PivotStyleLight16"/>
  <colors>
    <mruColors>
      <color rgb="00D9E1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azaadarabia.com/" TargetMode="External"/><Relationship Id="rId3" Type="http://schemas.openxmlformats.org/officeDocument/2006/relationships/hyperlink" Target="http://azaadchinese.com/" TargetMode="External"/><Relationship Id="rId2" Type="http://schemas.openxmlformats.org/officeDocument/2006/relationships/hyperlink" Target="http://azaadenglish.pk/" TargetMode="External"/><Relationship Id="rId1" Type="http://schemas.openxmlformats.org/officeDocument/2006/relationships/hyperlink" Target="http://azaadurdu.p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"/>
  <sheetViews>
    <sheetView zoomScale="56" zoomScaleNormal="56" workbookViewId="0">
      <pane ySplit="1" topLeftCell="A2" activePane="bottomLeft" state="frozen"/>
      <selection/>
      <selection pane="bottomLeft" activeCell="M37" sqref="M37"/>
    </sheetView>
  </sheetViews>
  <sheetFormatPr defaultColWidth="9.14285714285714" defaultRowHeight="32.25" customHeight="1"/>
  <cols>
    <col min="1" max="1" width="27" style="30" customWidth="1"/>
    <col min="2" max="3" width="17.7142857142857" style="91" customWidth="1"/>
    <col min="4" max="4" width="16.2857142857143" style="30" customWidth="1"/>
    <col min="5" max="6" width="17.7142857142857" style="91" customWidth="1"/>
    <col min="7" max="7" width="8.85714285714286" style="30" customWidth="1"/>
    <col min="8" max="8" width="14.7142857142857" style="30" customWidth="1"/>
    <col min="9" max="9" width="19" style="30" customWidth="1"/>
    <col min="10" max="10" width="18" style="30" customWidth="1"/>
    <col min="11" max="11" width="18.5714285714286" style="30" customWidth="1"/>
    <col min="12" max="13" width="18" style="30" customWidth="1"/>
    <col min="14" max="14" width="16.5714285714286" style="30" customWidth="1"/>
    <col min="15" max="15" width="12.7142857142857" style="30" customWidth="1"/>
    <col min="16" max="16" width="15" style="30" customWidth="1"/>
    <col min="17" max="17" width="13.4285714285714" style="30" customWidth="1"/>
    <col min="18" max="18" width="16.1428571428571" style="30" customWidth="1"/>
    <col min="19" max="16384" width="9.14285714285714" style="30"/>
  </cols>
  <sheetData>
    <row r="1" customHeight="1" spans="1:17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ht="73.5" customHeight="1" spans="1:17">
      <c r="A2" s="32"/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3</v>
      </c>
      <c r="H2" s="33" t="s">
        <v>6</v>
      </c>
      <c r="I2" s="63" t="s">
        <v>7</v>
      </c>
      <c r="J2" s="63" t="s">
        <v>8</v>
      </c>
      <c r="K2" s="63" t="s">
        <v>9</v>
      </c>
      <c r="L2" s="63" t="s">
        <v>10</v>
      </c>
      <c r="M2" s="63" t="s">
        <v>11</v>
      </c>
      <c r="N2" s="63" t="s">
        <v>9</v>
      </c>
      <c r="O2" s="63" t="s">
        <v>6</v>
      </c>
      <c r="P2" s="63" t="s">
        <v>12</v>
      </c>
      <c r="Q2" s="63" t="s">
        <v>13</v>
      </c>
    </row>
    <row r="3" customHeight="1" spans="1:17">
      <c r="A3" s="263" t="s">
        <v>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310"/>
    </row>
    <row r="4" customHeight="1" spans="1:17">
      <c r="A4" s="11" t="s">
        <v>15</v>
      </c>
      <c r="B4" s="265">
        <v>68</v>
      </c>
      <c r="C4" s="73">
        <v>73</v>
      </c>
      <c r="D4" s="9">
        <f>C4+B4</f>
        <v>141</v>
      </c>
      <c r="E4" s="265">
        <v>62</v>
      </c>
      <c r="F4" s="73">
        <v>55</v>
      </c>
      <c r="G4" s="266">
        <f>E4+F4</f>
        <v>117</v>
      </c>
      <c r="H4" s="267">
        <f>(G4-D4)/D4</f>
        <v>-0.170212765957447</v>
      </c>
      <c r="I4" s="73">
        <v>13944</v>
      </c>
      <c r="J4" s="291">
        <v>16391</v>
      </c>
      <c r="K4" s="292">
        <f>I4+J4</f>
        <v>30335</v>
      </c>
      <c r="L4" s="73">
        <v>25443</v>
      </c>
      <c r="M4" s="291">
        <v>7787</v>
      </c>
      <c r="N4" s="266">
        <f>L4+M4</f>
        <v>33230</v>
      </c>
      <c r="O4" s="269">
        <v>0</v>
      </c>
      <c r="P4" s="293">
        <f>16+4</f>
        <v>20</v>
      </c>
      <c r="Q4" s="73"/>
    </row>
    <row r="5" customHeight="1" spans="1:17">
      <c r="A5" s="11" t="s">
        <v>16</v>
      </c>
      <c r="B5" s="73">
        <v>192</v>
      </c>
      <c r="C5" s="73">
        <v>209</v>
      </c>
      <c r="D5" s="9">
        <f>C5+B5</f>
        <v>401</v>
      </c>
      <c r="E5" s="73">
        <v>170</v>
      </c>
      <c r="F5" s="73">
        <v>163</v>
      </c>
      <c r="G5" s="266">
        <f t="shared" ref="G5:G7" si="0">E5+F5</f>
        <v>333</v>
      </c>
      <c r="H5" s="267">
        <f>(G5-D5)/D5</f>
        <v>-0.169576059850374</v>
      </c>
      <c r="I5" s="294">
        <v>256200</v>
      </c>
      <c r="J5" s="294">
        <v>495787</v>
      </c>
      <c r="K5" s="295">
        <f>J5+I5</f>
        <v>751987</v>
      </c>
      <c r="L5" s="294">
        <v>74464</v>
      </c>
      <c r="M5" s="294">
        <v>48673</v>
      </c>
      <c r="N5" s="266">
        <f t="shared" ref="N5:N7" si="1">L5+M5</f>
        <v>123137</v>
      </c>
      <c r="O5" s="267">
        <f>(N5-K5)/K5</f>
        <v>-0.836251158597157</v>
      </c>
      <c r="P5" s="293">
        <f>26+13</f>
        <v>39</v>
      </c>
      <c r="Q5" s="73"/>
    </row>
    <row r="6" customHeight="1" spans="1:17">
      <c r="A6" s="11" t="s">
        <v>17</v>
      </c>
      <c r="B6" s="268">
        <v>20</v>
      </c>
      <c r="C6" s="268">
        <v>22</v>
      </c>
      <c r="D6" s="9">
        <f>C6+B6</f>
        <v>42</v>
      </c>
      <c r="E6" s="268">
        <v>28</v>
      </c>
      <c r="F6" s="268">
        <v>22</v>
      </c>
      <c r="G6" s="266">
        <f t="shared" si="0"/>
        <v>50</v>
      </c>
      <c r="H6" s="269">
        <f>(G6-D6)/D6</f>
        <v>0.19047619047619</v>
      </c>
      <c r="I6" s="296">
        <v>15412</v>
      </c>
      <c r="J6" s="296">
        <v>4813</v>
      </c>
      <c r="K6" s="295">
        <f>J6+I6</f>
        <v>20225</v>
      </c>
      <c r="L6" s="297">
        <v>2436</v>
      </c>
      <c r="M6" s="297">
        <v>11807</v>
      </c>
      <c r="N6" s="266">
        <f t="shared" si="1"/>
        <v>14243</v>
      </c>
      <c r="O6" s="267">
        <f>(N6-K6)/K6</f>
        <v>-0.295772558714462</v>
      </c>
      <c r="P6" s="298">
        <f>12+14</f>
        <v>26</v>
      </c>
      <c r="Q6" s="73"/>
    </row>
    <row r="7" customHeight="1" spans="1:17">
      <c r="A7" s="11" t="s">
        <v>18</v>
      </c>
      <c r="B7" s="73">
        <v>3</v>
      </c>
      <c r="C7" s="73">
        <v>5</v>
      </c>
      <c r="D7" s="9">
        <f>C7+B7</f>
        <v>8</v>
      </c>
      <c r="E7" s="73">
        <v>4</v>
      </c>
      <c r="F7" s="73">
        <v>6</v>
      </c>
      <c r="G7" s="266">
        <f t="shared" si="0"/>
        <v>10</v>
      </c>
      <c r="H7" s="269">
        <f>(G7-D7)/D7</f>
        <v>0.25</v>
      </c>
      <c r="I7" s="294">
        <v>45939</v>
      </c>
      <c r="J7" s="294">
        <v>77711</v>
      </c>
      <c r="K7" s="295">
        <f>J7+I7</f>
        <v>123650</v>
      </c>
      <c r="L7" s="294">
        <v>34727</v>
      </c>
      <c r="M7" s="294">
        <v>3225</v>
      </c>
      <c r="N7" s="266">
        <f t="shared" si="1"/>
        <v>37952</v>
      </c>
      <c r="O7" s="267">
        <f>(N7-K7)/K7</f>
        <v>-0.693069146785281</v>
      </c>
      <c r="P7" s="293">
        <f>20+10</f>
        <v>30</v>
      </c>
      <c r="Q7" s="73"/>
    </row>
    <row r="8" customHeight="1" spans="1:17">
      <c r="A8" s="270" t="s">
        <v>19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</row>
    <row r="9" customHeight="1" spans="1:17">
      <c r="A9" s="87" t="s">
        <v>16</v>
      </c>
      <c r="B9" s="73">
        <v>165</v>
      </c>
      <c r="C9" s="73">
        <v>159</v>
      </c>
      <c r="D9" s="9">
        <f>C9+B9</f>
        <v>324</v>
      </c>
      <c r="E9" s="73">
        <v>147</v>
      </c>
      <c r="F9" s="73">
        <v>147</v>
      </c>
      <c r="G9" s="266">
        <f t="shared" ref="G9:G12" si="2">E9+F9</f>
        <v>294</v>
      </c>
      <c r="H9" s="267">
        <f>(G9-D9)/D9</f>
        <v>-0.0925925925925926</v>
      </c>
      <c r="I9" s="73">
        <v>14116102</v>
      </c>
      <c r="J9" s="73">
        <v>13666469</v>
      </c>
      <c r="K9" s="292">
        <f t="shared" ref="K9" si="3">I9+J9</f>
        <v>27782571</v>
      </c>
      <c r="L9" s="73">
        <v>10326151</v>
      </c>
      <c r="M9" s="73">
        <v>12591538</v>
      </c>
      <c r="N9" s="266">
        <f t="shared" ref="N9:N12" si="4">L9+M9</f>
        <v>22917689</v>
      </c>
      <c r="O9" s="267">
        <f>(N9-K9)/K9</f>
        <v>-0.175105536489046</v>
      </c>
      <c r="P9" s="293">
        <f>39136+1562</f>
        <v>40698</v>
      </c>
      <c r="Q9" s="73"/>
    </row>
    <row r="10" customHeight="1" spans="1:17">
      <c r="A10" s="87" t="s">
        <v>15</v>
      </c>
      <c r="B10" s="271">
        <v>28</v>
      </c>
      <c r="C10" s="73">
        <v>46</v>
      </c>
      <c r="D10" s="9">
        <f>C10+B10</f>
        <v>74</v>
      </c>
      <c r="E10" s="271">
        <v>46</v>
      </c>
      <c r="F10" s="73">
        <v>39</v>
      </c>
      <c r="G10" s="266">
        <f t="shared" si="2"/>
        <v>85</v>
      </c>
      <c r="H10" s="269">
        <f>(G10-D10)/D10</f>
        <v>0.148648648648649</v>
      </c>
      <c r="I10" s="73">
        <v>1536987</v>
      </c>
      <c r="J10" s="291">
        <v>2846505</v>
      </c>
      <c r="K10" s="9">
        <f>J10+I10</f>
        <v>4383492</v>
      </c>
      <c r="L10" s="73">
        <v>1386396</v>
      </c>
      <c r="M10" s="299">
        <v>1750293</v>
      </c>
      <c r="N10" s="266">
        <f t="shared" si="4"/>
        <v>3136689</v>
      </c>
      <c r="O10" s="267">
        <f>(N10-K10)/K10</f>
        <v>-0.284431453279714</v>
      </c>
      <c r="P10" s="293">
        <f>672+689</f>
        <v>1361</v>
      </c>
      <c r="Q10" s="73"/>
    </row>
    <row r="11" customHeight="1" spans="1:17">
      <c r="A11" s="87" t="s">
        <v>20</v>
      </c>
      <c r="B11" s="271">
        <v>17</v>
      </c>
      <c r="C11" s="73">
        <v>18</v>
      </c>
      <c r="D11" s="9">
        <f>C11+B11</f>
        <v>35</v>
      </c>
      <c r="E11" s="271">
        <v>16</v>
      </c>
      <c r="F11" s="73">
        <v>19</v>
      </c>
      <c r="G11" s="266">
        <f t="shared" si="2"/>
        <v>35</v>
      </c>
      <c r="H11" s="269">
        <f>(G11-D11)/D11</f>
        <v>0</v>
      </c>
      <c r="I11" s="73">
        <v>8300</v>
      </c>
      <c r="J11" s="300">
        <v>34400</v>
      </c>
      <c r="K11" s="292">
        <f t="shared" ref="K11:K12" si="5">I11+J11</f>
        <v>42700</v>
      </c>
      <c r="L11" s="73">
        <v>6600</v>
      </c>
      <c r="M11" s="300">
        <v>38800</v>
      </c>
      <c r="N11" s="266">
        <f t="shared" si="4"/>
        <v>45400</v>
      </c>
      <c r="O11" s="269">
        <f>(N11-K11)/K11</f>
        <v>0.063231850117096</v>
      </c>
      <c r="P11" s="293">
        <f>52+39</f>
        <v>91</v>
      </c>
      <c r="Q11" s="73"/>
    </row>
    <row r="12" customHeight="1" spans="1:17">
      <c r="A12" s="9" t="s">
        <v>21</v>
      </c>
      <c r="B12" s="73">
        <v>171</v>
      </c>
      <c r="C12" s="73">
        <v>157</v>
      </c>
      <c r="D12" s="9">
        <f>C12+B12</f>
        <v>328</v>
      </c>
      <c r="E12" s="73">
        <v>151</v>
      </c>
      <c r="F12" s="73">
        <v>149</v>
      </c>
      <c r="G12" s="266">
        <f t="shared" si="2"/>
        <v>300</v>
      </c>
      <c r="H12" s="267">
        <f>(G12-D12)/D12</f>
        <v>-0.0853658536585366</v>
      </c>
      <c r="I12" s="73">
        <v>4429839</v>
      </c>
      <c r="J12" s="73">
        <v>5897719</v>
      </c>
      <c r="K12" s="292">
        <f t="shared" si="5"/>
        <v>10327558</v>
      </c>
      <c r="L12" s="73">
        <v>5252604</v>
      </c>
      <c r="M12" s="73">
        <v>2766099</v>
      </c>
      <c r="N12" s="266">
        <f t="shared" si="4"/>
        <v>8018703</v>
      </c>
      <c r="O12" s="267">
        <f>(N12-K12)/K12</f>
        <v>-0.223562530464607</v>
      </c>
      <c r="P12" s="293">
        <f>1917+786</f>
        <v>2703</v>
      </c>
      <c r="Q12" s="73"/>
    </row>
    <row r="13" customHeight="1" spans="1:17">
      <c r="A13" s="272" t="s">
        <v>22</v>
      </c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</row>
    <row r="14" customHeight="1" spans="1:17">
      <c r="A14" s="87" t="s">
        <v>21</v>
      </c>
      <c r="B14" s="273">
        <v>36</v>
      </c>
      <c r="C14" s="73">
        <v>27</v>
      </c>
      <c r="D14" s="9">
        <f>C14+B14</f>
        <v>63</v>
      </c>
      <c r="E14" s="273">
        <v>26</v>
      </c>
      <c r="F14" s="73">
        <v>26</v>
      </c>
      <c r="G14" s="266">
        <f>E14+F14</f>
        <v>52</v>
      </c>
      <c r="H14" s="267">
        <f>(G14-D14)/D14</f>
        <v>-0.174603174603175</v>
      </c>
      <c r="I14" s="294">
        <v>118555</v>
      </c>
      <c r="J14" s="294">
        <v>107016</v>
      </c>
      <c r="K14" s="292">
        <f>I14+J14</f>
        <v>225571</v>
      </c>
      <c r="L14" s="294">
        <v>381727</v>
      </c>
      <c r="M14" s="294">
        <v>326817</v>
      </c>
      <c r="N14" s="266">
        <f>L14+M14</f>
        <v>708544</v>
      </c>
      <c r="O14" s="269">
        <f>(N14-K14)/K14</f>
        <v>2.14111299768144</v>
      </c>
      <c r="P14" s="293"/>
      <c r="Q14" s="73"/>
    </row>
    <row r="15" customHeight="1" spans="1:17">
      <c r="A15" s="274" t="s">
        <v>23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311"/>
    </row>
    <row r="16" customHeight="1" spans="1:17">
      <c r="A16" s="87" t="s">
        <v>21</v>
      </c>
      <c r="B16" s="276">
        <v>112</v>
      </c>
      <c r="C16" s="73">
        <v>168</v>
      </c>
      <c r="D16" s="9">
        <f>C16+B16</f>
        <v>280</v>
      </c>
      <c r="E16" s="276">
        <v>152</v>
      </c>
      <c r="F16" s="73">
        <v>120</v>
      </c>
      <c r="G16" s="266">
        <f>E16+F16</f>
        <v>272</v>
      </c>
      <c r="H16" s="269">
        <v>0</v>
      </c>
      <c r="I16" s="301">
        <v>1334894</v>
      </c>
      <c r="J16" s="302">
        <v>1212946</v>
      </c>
      <c r="K16" s="295">
        <f>J16+I16</f>
        <v>2547840</v>
      </c>
      <c r="L16" s="301">
        <v>1292176</v>
      </c>
      <c r="M16" s="302">
        <v>1213353</v>
      </c>
      <c r="N16" s="266">
        <f>L16+M16</f>
        <v>2505529</v>
      </c>
      <c r="O16" s="303">
        <v>0</v>
      </c>
      <c r="P16" s="293">
        <f>328+280</f>
        <v>608</v>
      </c>
      <c r="Q16" s="73"/>
    </row>
    <row r="17" ht="37.5" customHeight="1" spans="1:17">
      <c r="A17" s="277" t="s">
        <v>24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</row>
    <row r="18" customHeight="1" spans="1:17">
      <c r="A18" s="278" t="s">
        <v>25</v>
      </c>
      <c r="B18" s="279">
        <v>38</v>
      </c>
      <c r="C18" s="73">
        <v>40</v>
      </c>
      <c r="D18" s="9">
        <f>C18+B18</f>
        <v>78</v>
      </c>
      <c r="E18" s="279">
        <v>39</v>
      </c>
      <c r="F18" s="73">
        <v>28</v>
      </c>
      <c r="G18" s="266">
        <f>E18+F18</f>
        <v>67</v>
      </c>
      <c r="H18" s="267">
        <f>(G18-D18)/D18</f>
        <v>-0.141025641025641</v>
      </c>
      <c r="I18" s="294">
        <v>26250</v>
      </c>
      <c r="J18" s="294">
        <v>3953</v>
      </c>
      <c r="K18" s="295">
        <f>J18+I18</f>
        <v>30203</v>
      </c>
      <c r="L18" s="304">
        <v>14989</v>
      </c>
      <c r="M18" s="294">
        <v>5133</v>
      </c>
      <c r="N18" s="266">
        <f t="shared" ref="N18:N21" si="6">L18+M18</f>
        <v>20122</v>
      </c>
      <c r="O18" s="267">
        <f>(N18-K18)/K18</f>
        <v>-0.333774790583717</v>
      </c>
      <c r="P18" s="293" t="s">
        <v>26</v>
      </c>
      <c r="Q18" s="73"/>
    </row>
    <row r="19" customHeight="1" spans="1:17">
      <c r="A19" s="278" t="s">
        <v>27</v>
      </c>
      <c r="B19" s="271">
        <v>27</v>
      </c>
      <c r="C19" s="73">
        <v>29</v>
      </c>
      <c r="D19" s="9">
        <f>C19+B19</f>
        <v>56</v>
      </c>
      <c r="E19" s="271">
        <v>43</v>
      </c>
      <c r="F19" s="73">
        <v>41</v>
      </c>
      <c r="G19" s="266">
        <f>E19+F19</f>
        <v>84</v>
      </c>
      <c r="H19" s="269">
        <f>(G19-D19)/D19</f>
        <v>0.5</v>
      </c>
      <c r="I19" s="305">
        <v>5319</v>
      </c>
      <c r="J19" s="306">
        <v>2683</v>
      </c>
      <c r="K19" s="292">
        <f t="shared" ref="K19:K20" si="7">I19+J19</f>
        <v>8002</v>
      </c>
      <c r="L19" s="305">
        <v>735</v>
      </c>
      <c r="M19" s="306">
        <v>1198</v>
      </c>
      <c r="N19" s="266">
        <f t="shared" si="6"/>
        <v>1933</v>
      </c>
      <c r="O19" s="267">
        <f>(N19-K19)/K19</f>
        <v>-0.758435391152212</v>
      </c>
      <c r="P19" s="293" t="s">
        <v>26</v>
      </c>
      <c r="Q19" s="73"/>
    </row>
    <row r="20" customHeight="1" spans="1:17">
      <c r="A20" s="278" t="s">
        <v>28</v>
      </c>
      <c r="B20" s="73">
        <v>4</v>
      </c>
      <c r="C20" s="73">
        <v>3</v>
      </c>
      <c r="D20" s="9">
        <f>C20+B20</f>
        <v>7</v>
      </c>
      <c r="E20" s="73">
        <v>3</v>
      </c>
      <c r="F20" s="73">
        <v>3</v>
      </c>
      <c r="G20" s="266">
        <f>E20+F20</f>
        <v>6</v>
      </c>
      <c r="H20" s="267">
        <f>(G20-D20)/D20</f>
        <v>-0.142857142857143</v>
      </c>
      <c r="I20" s="73">
        <v>43</v>
      </c>
      <c r="J20" s="73">
        <v>34</v>
      </c>
      <c r="K20" s="292">
        <f t="shared" si="7"/>
        <v>77</v>
      </c>
      <c r="L20" s="73">
        <v>41</v>
      </c>
      <c r="M20" s="73">
        <v>36</v>
      </c>
      <c r="N20" s="266">
        <f t="shared" si="6"/>
        <v>77</v>
      </c>
      <c r="O20" s="269">
        <f>(N20-K20)/K20</f>
        <v>0</v>
      </c>
      <c r="P20" s="293" t="s">
        <v>26</v>
      </c>
      <c r="Q20" s="73"/>
    </row>
    <row r="21" customHeight="1" spans="1:17">
      <c r="A21" s="280" t="s">
        <v>29</v>
      </c>
      <c r="B21" s="271">
        <v>16</v>
      </c>
      <c r="C21" s="73">
        <v>24</v>
      </c>
      <c r="D21" s="9">
        <f>C21+B21</f>
        <v>40</v>
      </c>
      <c r="E21" s="271">
        <v>24</v>
      </c>
      <c r="F21" s="73">
        <v>24</v>
      </c>
      <c r="G21" s="266">
        <f>E21+F21</f>
        <v>48</v>
      </c>
      <c r="H21" s="269">
        <f>(G21-D21)/D21</f>
        <v>0.2</v>
      </c>
      <c r="I21" s="73">
        <v>95</v>
      </c>
      <c r="J21" s="73">
        <v>68</v>
      </c>
      <c r="K21" s="9">
        <f>J21+I21</f>
        <v>163</v>
      </c>
      <c r="L21" s="73">
        <v>15</v>
      </c>
      <c r="M21" s="306">
        <v>24</v>
      </c>
      <c r="N21" s="266">
        <f t="shared" si="6"/>
        <v>39</v>
      </c>
      <c r="O21" s="267">
        <f>(N21-K21)/K21</f>
        <v>-0.760736196319018</v>
      </c>
      <c r="P21" s="293" t="s">
        <v>26</v>
      </c>
      <c r="Q21" s="73"/>
    </row>
    <row r="22" customHeight="1" spans="1:17">
      <c r="A22" s="281" t="s">
        <v>30</v>
      </c>
      <c r="B22" s="282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312"/>
    </row>
    <row r="23" customHeight="1" spans="1:17">
      <c r="A23" s="87" t="s">
        <v>21</v>
      </c>
      <c r="B23" s="73">
        <v>5</v>
      </c>
      <c r="C23" s="73">
        <v>6</v>
      </c>
      <c r="D23" s="9">
        <f>C23+B23</f>
        <v>11</v>
      </c>
      <c r="E23" s="73">
        <v>6</v>
      </c>
      <c r="F23" s="73">
        <v>6</v>
      </c>
      <c r="G23" s="266">
        <f>E23+F23</f>
        <v>12</v>
      </c>
      <c r="H23" s="269">
        <f>(G23-D23)/D23</f>
        <v>0.0909090909090909</v>
      </c>
      <c r="I23" s="73">
        <v>2200</v>
      </c>
      <c r="J23" s="73">
        <v>1500</v>
      </c>
      <c r="K23" s="292">
        <f t="shared" ref="K23" si="8">I23+J23</f>
        <v>3700</v>
      </c>
      <c r="L23" s="73">
        <v>878</v>
      </c>
      <c r="M23" s="73">
        <v>603.7</v>
      </c>
      <c r="N23" s="266">
        <f t="shared" ref="N23:N26" si="9">L23+M23</f>
        <v>1481.7</v>
      </c>
      <c r="O23" s="267">
        <f>(N23-K23)/K23</f>
        <v>-0.599540540540541</v>
      </c>
      <c r="P23" s="293">
        <f>592+596</f>
        <v>1188</v>
      </c>
      <c r="Q23" s="73"/>
    </row>
    <row r="24" customHeight="1" spans="1:17">
      <c r="A24" s="87" t="s">
        <v>17</v>
      </c>
      <c r="B24" s="73">
        <v>5</v>
      </c>
      <c r="C24" s="73">
        <v>5</v>
      </c>
      <c r="D24" s="9">
        <f>C24+B24</f>
        <v>10</v>
      </c>
      <c r="E24" s="73">
        <v>6</v>
      </c>
      <c r="F24" s="73">
        <v>5</v>
      </c>
      <c r="G24" s="266">
        <f>E24+F24</f>
        <v>11</v>
      </c>
      <c r="H24" s="269">
        <f>(G24-D24)/D24</f>
        <v>0.1</v>
      </c>
      <c r="I24" s="294">
        <v>588.7</v>
      </c>
      <c r="J24" s="294">
        <v>372.2</v>
      </c>
      <c r="K24" s="295">
        <f>J24+I24</f>
        <v>960.9</v>
      </c>
      <c r="L24" s="294">
        <v>57</v>
      </c>
      <c r="M24" s="307">
        <v>36.4</v>
      </c>
      <c r="N24" s="266">
        <f t="shared" si="9"/>
        <v>93.4</v>
      </c>
      <c r="O24" s="267">
        <f>(N24-K24)/K24</f>
        <v>-0.90279945884067</v>
      </c>
      <c r="P24" s="293"/>
      <c r="Q24" s="73"/>
    </row>
    <row r="25" customHeight="1" spans="1:17">
      <c r="A25" s="87" t="s">
        <v>31</v>
      </c>
      <c r="B25" s="73">
        <v>7</v>
      </c>
      <c r="C25" s="73">
        <v>6</v>
      </c>
      <c r="D25" s="9">
        <f>C25+B25</f>
        <v>13</v>
      </c>
      <c r="E25" s="73">
        <v>6</v>
      </c>
      <c r="F25" s="73">
        <v>6</v>
      </c>
      <c r="G25" s="266">
        <f>E25+F25</f>
        <v>12</v>
      </c>
      <c r="H25" s="267">
        <f>(G25-D25)/D25</f>
        <v>-0.0769230769230769</v>
      </c>
      <c r="I25" s="294">
        <v>3900</v>
      </c>
      <c r="J25" s="307">
        <v>2900</v>
      </c>
      <c r="K25" s="292">
        <f t="shared" ref="K25:K26" si="10">I25+J25</f>
        <v>6800</v>
      </c>
      <c r="L25" s="294">
        <v>2100</v>
      </c>
      <c r="M25" s="307">
        <v>1700</v>
      </c>
      <c r="N25" s="266">
        <f t="shared" si="9"/>
        <v>3800</v>
      </c>
      <c r="O25" s="267">
        <f>(N25-K25)/K25</f>
        <v>-0.441176470588235</v>
      </c>
      <c r="P25" s="293">
        <f>6+1200</f>
        <v>1206</v>
      </c>
      <c r="Q25" s="73"/>
    </row>
    <row r="26" customHeight="1" spans="1:17">
      <c r="A26" s="87" t="s">
        <v>15</v>
      </c>
      <c r="B26" s="271">
        <v>7</v>
      </c>
      <c r="C26" s="73">
        <v>11</v>
      </c>
      <c r="D26" s="9">
        <f>C26+B26</f>
        <v>18</v>
      </c>
      <c r="E26" s="271">
        <v>13</v>
      </c>
      <c r="F26" s="73">
        <v>9</v>
      </c>
      <c r="G26" s="266">
        <f>E26+F26</f>
        <v>22</v>
      </c>
      <c r="H26" s="269">
        <f>(G26-D26)/D26</f>
        <v>0.222222222222222</v>
      </c>
      <c r="I26" s="294">
        <v>20.5</v>
      </c>
      <c r="J26" s="294">
        <v>140.6</v>
      </c>
      <c r="K26" s="292">
        <f t="shared" si="10"/>
        <v>161.1</v>
      </c>
      <c r="L26" s="294">
        <v>112</v>
      </c>
      <c r="M26" s="294">
        <v>83.4</v>
      </c>
      <c r="N26" s="266">
        <f t="shared" si="9"/>
        <v>195.4</v>
      </c>
      <c r="O26" s="269">
        <f>(N26-K26)/K26</f>
        <v>0.212911235257604</v>
      </c>
      <c r="P26" s="293">
        <f>196+268</f>
        <v>464</v>
      </c>
      <c r="Q26" s="73"/>
    </row>
    <row r="27" customHeight="1" spans="1:17">
      <c r="A27" s="283" t="s">
        <v>32</v>
      </c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313"/>
    </row>
    <row r="28" customHeight="1" spans="1:17">
      <c r="A28" s="87" t="s">
        <v>33</v>
      </c>
      <c r="B28" s="73">
        <v>3</v>
      </c>
      <c r="C28" s="73">
        <v>3</v>
      </c>
      <c r="D28" s="9">
        <f>C28+B28</f>
        <v>6</v>
      </c>
      <c r="E28" s="73">
        <v>3</v>
      </c>
      <c r="F28" s="73">
        <v>3</v>
      </c>
      <c r="G28" s="266">
        <f>E28+F28</f>
        <v>6</v>
      </c>
      <c r="H28" s="269">
        <f>(G28-D28)/D28</f>
        <v>0</v>
      </c>
      <c r="I28" s="308">
        <v>3073</v>
      </c>
      <c r="J28" s="294">
        <v>5577</v>
      </c>
      <c r="K28" s="295">
        <f>J28+I28</f>
        <v>8650</v>
      </c>
      <c r="L28" s="73">
        <v>885</v>
      </c>
      <c r="M28" s="73">
        <v>992</v>
      </c>
      <c r="N28" s="266">
        <f t="shared" ref="N28:N31" si="11">L28+M28</f>
        <v>1877</v>
      </c>
      <c r="O28" s="267">
        <f>(N28-K28)/K28</f>
        <v>-0.783005780346821</v>
      </c>
      <c r="P28" s="309">
        <f>-11-16</f>
        <v>-27</v>
      </c>
      <c r="Q28" s="73"/>
    </row>
    <row r="29" customHeight="1" spans="1:17">
      <c r="A29" s="87" t="s">
        <v>34</v>
      </c>
      <c r="B29" s="73">
        <v>3</v>
      </c>
      <c r="C29" s="73">
        <v>3</v>
      </c>
      <c r="D29" s="9">
        <f>C29+B29</f>
        <v>6</v>
      </c>
      <c r="E29" s="73">
        <v>3</v>
      </c>
      <c r="F29" s="73">
        <v>3</v>
      </c>
      <c r="G29" s="266">
        <f>E29+F29</f>
        <v>6</v>
      </c>
      <c r="H29" s="269">
        <f>(G29-D29)/D29</f>
        <v>0</v>
      </c>
      <c r="I29" s="294">
        <v>1554</v>
      </c>
      <c r="J29" s="294">
        <v>3017</v>
      </c>
      <c r="K29" s="292">
        <f t="shared" ref="K29" si="12">I29+J29</f>
        <v>4571</v>
      </c>
      <c r="L29" s="294">
        <v>3392</v>
      </c>
      <c r="M29" s="294">
        <v>3417</v>
      </c>
      <c r="N29" s="266">
        <f t="shared" si="11"/>
        <v>6809</v>
      </c>
      <c r="O29" s="269">
        <f>(N29-K29)/K29</f>
        <v>0.489608400787574</v>
      </c>
      <c r="P29" s="293"/>
      <c r="Q29" s="73"/>
    </row>
    <row r="30" customHeight="1" spans="1:17">
      <c r="A30" s="87" t="s">
        <v>35</v>
      </c>
      <c r="B30" s="73">
        <v>3</v>
      </c>
      <c r="C30" s="73">
        <v>3</v>
      </c>
      <c r="D30" s="9">
        <f>C30+B30</f>
        <v>6</v>
      </c>
      <c r="E30" s="73">
        <v>3</v>
      </c>
      <c r="F30" s="73">
        <v>3</v>
      </c>
      <c r="G30" s="266">
        <f>E30+F30</f>
        <v>6</v>
      </c>
      <c r="H30" s="269">
        <f>(G30-D30)/D30</f>
        <v>0</v>
      </c>
      <c r="I30" s="294">
        <v>2100</v>
      </c>
      <c r="J30" s="294">
        <v>2100</v>
      </c>
      <c r="K30" s="295">
        <f>J30+I30</f>
        <v>4200</v>
      </c>
      <c r="L30" s="294">
        <v>874</v>
      </c>
      <c r="M30" s="294">
        <v>874</v>
      </c>
      <c r="N30" s="266">
        <f t="shared" si="11"/>
        <v>1748</v>
      </c>
      <c r="O30" s="267">
        <f>(N30-K30)/K30</f>
        <v>-0.583809523809524</v>
      </c>
      <c r="P30" s="293"/>
      <c r="Q30" s="73"/>
    </row>
    <row r="31" customHeight="1" spans="1:17">
      <c r="A31" s="87" t="s">
        <v>36</v>
      </c>
      <c r="B31" s="73">
        <v>3</v>
      </c>
      <c r="C31" s="73">
        <v>3</v>
      </c>
      <c r="D31" s="9">
        <f>C31+B31</f>
        <v>6</v>
      </c>
      <c r="E31" s="73">
        <v>3</v>
      </c>
      <c r="F31" s="73">
        <v>3</v>
      </c>
      <c r="G31" s="266">
        <f>E31+F31</f>
        <v>6</v>
      </c>
      <c r="H31" s="269">
        <f>(G31-D31)/D31</f>
        <v>0</v>
      </c>
      <c r="I31" s="294">
        <f>144+45+22</f>
        <v>211</v>
      </c>
      <c r="J31" s="294">
        <f>190+47+17</f>
        <v>254</v>
      </c>
      <c r="K31" s="295">
        <f>J31+I31</f>
        <v>465</v>
      </c>
      <c r="L31" s="294">
        <v>97</v>
      </c>
      <c r="M31" s="294">
        <v>13</v>
      </c>
      <c r="N31" s="266">
        <f t="shared" si="11"/>
        <v>110</v>
      </c>
      <c r="O31" s="267">
        <f>(N31-K31)/K31</f>
        <v>-0.763440860215054</v>
      </c>
      <c r="P31" s="293"/>
      <c r="Q31" s="73"/>
    </row>
    <row r="32" customHeight="1" spans="1:16">
      <c r="A32" s="285"/>
      <c r="B32" s="286"/>
      <c r="C32" s="286"/>
      <c r="D32" s="287"/>
      <c r="E32" s="286"/>
      <c r="F32" s="286"/>
      <c r="G32" s="287"/>
      <c r="H32" s="288"/>
      <c r="I32" s="110"/>
      <c r="J32" s="110"/>
      <c r="K32" s="110"/>
      <c r="L32" s="110"/>
      <c r="M32" s="110"/>
      <c r="N32" s="110"/>
      <c r="O32" s="288"/>
      <c r="P32" s="110"/>
    </row>
    <row r="33" customHeight="1" spans="1:6">
      <c r="A33" s="59" t="s">
        <v>37</v>
      </c>
      <c r="B33" s="59"/>
      <c r="C33" s="59"/>
      <c r="D33" s="59"/>
      <c r="E33" s="59"/>
      <c r="F33" s="59"/>
    </row>
    <row r="34" customHeight="1" spans="1:6">
      <c r="A34" s="101" t="s">
        <v>38</v>
      </c>
      <c r="B34" s="102" t="s">
        <v>39</v>
      </c>
      <c r="C34" s="102" t="s">
        <v>40</v>
      </c>
      <c r="D34" s="102" t="s">
        <v>41</v>
      </c>
      <c r="E34" s="102" t="s">
        <v>39</v>
      </c>
      <c r="F34" s="102" t="s">
        <v>40</v>
      </c>
    </row>
    <row r="35" customHeight="1" spans="1:6">
      <c r="A35" s="289" t="s">
        <v>42</v>
      </c>
      <c r="B35" s="290"/>
      <c r="C35" s="290"/>
      <c r="D35" s="290"/>
      <c r="E35" s="290"/>
      <c r="F35" s="290"/>
    </row>
    <row r="36" customHeight="1" spans="1:6">
      <c r="A36" s="289" t="s">
        <v>43</v>
      </c>
      <c r="B36" s="290"/>
      <c r="C36" s="290"/>
      <c r="D36" s="290"/>
      <c r="E36" s="290"/>
      <c r="F36" s="290"/>
    </row>
    <row r="37" customHeight="1" spans="1:6">
      <c r="A37" s="289" t="s">
        <v>44</v>
      </c>
      <c r="B37" s="290"/>
      <c r="C37" s="290"/>
      <c r="D37" s="290"/>
      <c r="E37" s="290"/>
      <c r="F37" s="290"/>
    </row>
    <row r="38" customHeight="1" spans="1:6">
      <c r="A38" s="289" t="s">
        <v>45</v>
      </c>
      <c r="B38" s="290"/>
      <c r="C38" s="290"/>
      <c r="D38" s="290"/>
      <c r="E38" s="290"/>
      <c r="F38" s="290"/>
    </row>
    <row r="39" customHeight="1" spans="1:6">
      <c r="A39" s="289" t="s">
        <v>46</v>
      </c>
      <c r="B39" s="290"/>
      <c r="C39" s="290"/>
      <c r="D39" s="290"/>
      <c r="E39" s="290"/>
      <c r="F39" s="290"/>
    </row>
    <row r="40" customHeight="1" spans="1:6">
      <c r="A40" s="289" t="s">
        <v>47</v>
      </c>
      <c r="B40" s="290"/>
      <c r="C40" s="290"/>
      <c r="D40" s="290"/>
      <c r="E40" s="290"/>
      <c r="F40" s="290"/>
    </row>
    <row r="41" customHeight="1" spans="1:6">
      <c r="A41" s="289" t="s">
        <v>48</v>
      </c>
      <c r="B41" s="290"/>
      <c r="C41" s="290"/>
      <c r="D41" s="290"/>
      <c r="E41" s="290"/>
      <c r="F41" s="290"/>
    </row>
    <row r="78" customHeight="1" spans="16:16">
      <c r="P78" s="30">
        <v>27</v>
      </c>
    </row>
    <row r="104" customHeight="1" spans="2:7">
      <c r="B104" s="286"/>
      <c r="C104" s="286"/>
      <c r="D104" s="287"/>
      <c r="E104" s="286"/>
      <c r="F104" s="286"/>
      <c r="G104" s="287"/>
    </row>
  </sheetData>
  <sortState ref="I6:J19">
    <sortCondition ref="J6:J19" descending="1"/>
  </sortState>
  <mergeCells count="9">
    <mergeCell ref="A1:Q1"/>
    <mergeCell ref="A3:Q3"/>
    <mergeCell ref="A8:Q8"/>
    <mergeCell ref="A13:Q13"/>
    <mergeCell ref="A15:Q15"/>
    <mergeCell ref="A17:Q17"/>
    <mergeCell ref="A22:Q22"/>
    <mergeCell ref="A27:Q27"/>
    <mergeCell ref="A33:F33"/>
  </mergeCells>
  <hyperlinks>
    <hyperlink ref="A18" r:id="rId1" display="azaadurdu.pk"/>
    <hyperlink ref="A19" r:id="rId2" display="azaaddigital.com"/>
    <hyperlink ref="A20" r:id="rId3" display="azaadchinese.com"/>
    <hyperlink ref="A21" r:id="rId4" display="azaadarabia.com"/>
  </hyperlink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5"/>
  <sheetViews>
    <sheetView zoomScale="70" zoomScaleNormal="70" topLeftCell="A44" workbookViewId="0">
      <pane xSplit="1" topLeftCell="B1" activePane="topRight" state="frozen"/>
      <selection/>
      <selection pane="topRight" activeCell="A44" sqref="A44:A75"/>
    </sheetView>
  </sheetViews>
  <sheetFormatPr defaultColWidth="21.8571428571429" defaultRowHeight="15.75"/>
  <cols>
    <col min="1" max="1" width="34" style="112" customWidth="1"/>
    <col min="2" max="2" width="8.71428571428571" style="112" customWidth="1"/>
    <col min="3" max="3" width="8.42857142857143" style="112" customWidth="1"/>
    <col min="4" max="4" width="9.57142857142857" style="112" customWidth="1"/>
    <col min="5" max="5" width="11.1428571428571" style="112" customWidth="1"/>
    <col min="6" max="6" width="9.28571428571429" style="112" customWidth="1"/>
    <col min="7" max="7" width="13.8571428571429" style="112" customWidth="1"/>
    <col min="8" max="8" width="10.4285714285714" style="112" customWidth="1"/>
    <col min="9" max="9" width="14.4285714285714" style="112" customWidth="1"/>
    <col min="10" max="10" width="10" style="112" customWidth="1"/>
    <col min="11" max="11" width="8.14285714285714" style="112" customWidth="1"/>
    <col min="12" max="12" width="15" style="112" customWidth="1"/>
    <col min="13" max="13" width="9.14285714285714" style="112" customWidth="1"/>
    <col min="14" max="14" width="10" style="112" customWidth="1"/>
    <col min="15" max="15" width="14.8571428571429" style="112" customWidth="1"/>
    <col min="16" max="16" width="9.71428571428571" style="112" customWidth="1"/>
    <col min="17" max="17" width="12.2857142857143" style="112" customWidth="1"/>
    <col min="18" max="18" width="10.1428571428571" style="112" customWidth="1"/>
    <col min="19" max="19" width="9.71428571428571" style="112" customWidth="1"/>
    <col min="20" max="20" width="11.1428571428571" style="112" customWidth="1"/>
    <col min="21" max="21" width="11.2857142857143" style="112" customWidth="1"/>
    <col min="22" max="22" width="10.4285714285714" style="112" customWidth="1"/>
    <col min="23" max="23" width="14.8571428571429" style="112" customWidth="1"/>
    <col min="24" max="25" width="10.4285714285714" style="112" customWidth="1"/>
    <col min="26" max="26" width="11" style="112" customWidth="1"/>
    <col min="27" max="27" width="9.71428571428571" style="112" customWidth="1"/>
    <col min="28" max="28" width="11.1428571428571" style="112" customWidth="1"/>
    <col min="29" max="29" width="11.2857142857143" style="112" customWidth="1"/>
    <col min="30" max="30" width="13.8571428571429" style="112" customWidth="1"/>
    <col min="31" max="31" width="12.2857142857143" style="112" customWidth="1"/>
    <col min="32" max="32" width="10.4285714285714" style="112" customWidth="1"/>
    <col min="33" max="33" width="16.2857142857143" style="112" customWidth="1"/>
    <col min="34" max="34" width="15" style="112" customWidth="1"/>
    <col min="35" max="35" width="10.7142857142857" style="112" customWidth="1"/>
    <col min="36" max="36" width="16.2857142857143" style="112" customWidth="1"/>
    <col min="37" max="37" width="14.4285714285714" style="112" customWidth="1"/>
    <col min="38" max="38" width="10.7142857142857" style="112" customWidth="1"/>
    <col min="39" max="39" width="16.8571428571429" style="112" customWidth="1"/>
    <col min="40" max="40" width="15.1428571428571" style="112" customWidth="1"/>
    <col min="41" max="41" width="10" style="112" customWidth="1"/>
    <col min="42" max="16384" width="21.8571428571429" style="112"/>
  </cols>
  <sheetData>
    <row r="1" ht="30" customHeight="1" spans="1:23">
      <c r="A1" s="218" t="s">
        <v>49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</row>
    <row r="2" ht="31.5" spans="1:23">
      <c r="A2" s="19" t="s">
        <v>50</v>
      </c>
      <c r="B2" s="19" t="s">
        <v>51</v>
      </c>
      <c r="C2" s="19" t="s">
        <v>52</v>
      </c>
      <c r="D2" s="19" t="s">
        <v>53</v>
      </c>
      <c r="E2" s="19" t="s">
        <v>51</v>
      </c>
      <c r="F2" s="19" t="s">
        <v>54</v>
      </c>
      <c r="G2" s="19" t="s">
        <v>6</v>
      </c>
      <c r="H2" s="19" t="s">
        <v>53</v>
      </c>
      <c r="I2" s="19" t="s">
        <v>51</v>
      </c>
      <c r="J2" s="19" t="s">
        <v>55</v>
      </c>
      <c r="K2" s="19" t="s">
        <v>56</v>
      </c>
      <c r="L2" s="19" t="s">
        <v>6</v>
      </c>
      <c r="M2" s="19" t="s">
        <v>53</v>
      </c>
      <c r="N2" s="19" t="s">
        <v>55</v>
      </c>
      <c r="O2" s="19" t="s">
        <v>57</v>
      </c>
      <c r="P2" s="19" t="s">
        <v>58</v>
      </c>
      <c r="Q2" s="19" t="s">
        <v>6</v>
      </c>
      <c r="R2" s="19" t="s">
        <v>53</v>
      </c>
      <c r="S2" s="19" t="s">
        <v>55</v>
      </c>
      <c r="T2" s="19" t="s">
        <v>57</v>
      </c>
      <c r="U2" s="19" t="s">
        <v>54</v>
      </c>
      <c r="V2" s="19" t="s">
        <v>6</v>
      </c>
      <c r="W2" s="19" t="s">
        <v>53</v>
      </c>
    </row>
    <row r="3" spans="1:2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>
      <c r="A4" s="220" t="s">
        <v>59</v>
      </c>
      <c r="B4" s="221">
        <v>1</v>
      </c>
      <c r="C4" s="221">
        <v>11656</v>
      </c>
      <c r="D4" s="222">
        <v>1</v>
      </c>
      <c r="E4" s="223"/>
      <c r="F4" s="162"/>
      <c r="G4" s="224"/>
      <c r="H4" s="225"/>
      <c r="I4" s="221"/>
      <c r="J4" s="126">
        <v>11656</v>
      </c>
      <c r="K4" s="126"/>
      <c r="L4" s="250"/>
      <c r="M4" s="154"/>
      <c r="N4" s="159">
        <v>11656</v>
      </c>
      <c r="O4" s="155">
        <v>1</v>
      </c>
      <c r="P4" s="155">
        <v>8010</v>
      </c>
      <c r="Q4" s="183">
        <f>(P4-N4)/N4</f>
        <v>-0.312800274536719</v>
      </c>
      <c r="R4" s="159">
        <v>2</v>
      </c>
      <c r="S4" s="155">
        <v>11656</v>
      </c>
      <c r="T4" s="155">
        <v>2</v>
      </c>
      <c r="U4" s="155">
        <f>10462+6240</f>
        <v>16702</v>
      </c>
      <c r="V4" s="182">
        <f t="shared" ref="V4:V9" si="0">(U4-S4)/S4</f>
        <v>0.432910089224434</v>
      </c>
      <c r="W4" s="159">
        <v>1</v>
      </c>
    </row>
    <row r="5" spans="1:23">
      <c r="A5" s="220" t="s">
        <v>60</v>
      </c>
      <c r="B5" s="226">
        <v>2</v>
      </c>
      <c r="C5" s="225">
        <f>1545+3782</f>
        <v>5327</v>
      </c>
      <c r="D5" s="227">
        <v>3</v>
      </c>
      <c r="E5" s="223">
        <v>2</v>
      </c>
      <c r="F5" s="126">
        <f>790+2065</f>
        <v>2855</v>
      </c>
      <c r="G5" s="228">
        <f>(F5-C5)/C5</f>
        <v>-0.464051060634503</v>
      </c>
      <c r="H5" s="159">
        <v>2</v>
      </c>
      <c r="I5" s="226">
        <v>1</v>
      </c>
      <c r="J5" s="126">
        <v>5327</v>
      </c>
      <c r="K5" s="126">
        <v>1008</v>
      </c>
      <c r="L5" s="251">
        <f>(K5-J5)/J5</f>
        <v>-0.810775295663601</v>
      </c>
      <c r="M5" s="159">
        <v>8</v>
      </c>
      <c r="N5" s="159">
        <v>5327</v>
      </c>
      <c r="O5" s="155">
        <v>2</v>
      </c>
      <c r="P5" s="155">
        <f>2704+1434</f>
        <v>4138</v>
      </c>
      <c r="Q5" s="183">
        <f>(P5-N5)/N5</f>
        <v>-0.223202553031725</v>
      </c>
      <c r="R5" s="159">
        <v>6</v>
      </c>
      <c r="S5" s="155">
        <v>5327</v>
      </c>
      <c r="T5" s="155">
        <v>2</v>
      </c>
      <c r="U5" s="155">
        <f>925+2022</f>
        <v>2947</v>
      </c>
      <c r="V5" s="183">
        <f t="shared" si="0"/>
        <v>-0.446780551905388</v>
      </c>
      <c r="W5" s="159">
        <v>2</v>
      </c>
    </row>
    <row r="6" spans="1:23">
      <c r="A6" s="220" t="s">
        <v>61</v>
      </c>
      <c r="B6" s="226"/>
      <c r="C6" s="226"/>
      <c r="D6" s="225"/>
      <c r="E6" s="229"/>
      <c r="F6" s="126"/>
      <c r="G6" s="230"/>
      <c r="H6" s="226"/>
      <c r="I6" s="226"/>
      <c r="J6" s="126"/>
      <c r="K6" s="126"/>
      <c r="L6" s="251"/>
      <c r="M6" s="159"/>
      <c r="N6" s="159"/>
      <c r="O6" s="155">
        <v>1</v>
      </c>
      <c r="P6" s="155">
        <v>4374</v>
      </c>
      <c r="Q6" s="184"/>
      <c r="R6" s="159">
        <v>5</v>
      </c>
      <c r="S6" s="155">
        <v>4374</v>
      </c>
      <c r="T6" s="155">
        <v>1</v>
      </c>
      <c r="U6" s="155">
        <f>2804</f>
        <v>2804</v>
      </c>
      <c r="V6" s="183">
        <f t="shared" si="0"/>
        <v>-0.35893918609968</v>
      </c>
      <c r="W6" s="159">
        <v>3</v>
      </c>
    </row>
    <row r="7" spans="1:23">
      <c r="A7" s="220" t="s">
        <v>62</v>
      </c>
      <c r="B7" s="226">
        <v>2</v>
      </c>
      <c r="C7" s="225">
        <f>961+2203</f>
        <v>3164</v>
      </c>
      <c r="D7" s="222">
        <v>5</v>
      </c>
      <c r="E7" s="223">
        <v>1</v>
      </c>
      <c r="F7" s="126">
        <v>420</v>
      </c>
      <c r="G7" s="228">
        <f>(F7-C7)/C7</f>
        <v>-0.867256637168142</v>
      </c>
      <c r="H7" s="159">
        <v>6</v>
      </c>
      <c r="I7" s="226"/>
      <c r="J7" s="126">
        <v>3164</v>
      </c>
      <c r="K7" s="126"/>
      <c r="L7" s="250"/>
      <c r="M7" s="154"/>
      <c r="N7" s="159">
        <v>3164</v>
      </c>
      <c r="O7" s="155">
        <v>1</v>
      </c>
      <c r="P7" s="155">
        <v>1960</v>
      </c>
      <c r="Q7" s="183">
        <f>(P7-N7)/N7</f>
        <v>-0.380530973451327</v>
      </c>
      <c r="R7" s="159">
        <v>7</v>
      </c>
      <c r="S7" s="155">
        <v>3164</v>
      </c>
      <c r="T7" s="155">
        <v>2</v>
      </c>
      <c r="U7" s="155">
        <f>1560+1033</f>
        <v>2593</v>
      </c>
      <c r="V7" s="183">
        <f t="shared" si="0"/>
        <v>-0.180467762326169</v>
      </c>
      <c r="W7" s="159">
        <v>4</v>
      </c>
    </row>
    <row r="8" spans="1:23">
      <c r="A8" s="220" t="s">
        <v>63</v>
      </c>
      <c r="B8" s="231"/>
      <c r="C8" s="232"/>
      <c r="D8" s="225"/>
      <c r="E8" s="126"/>
      <c r="F8" s="126"/>
      <c r="G8" s="231"/>
      <c r="H8" s="126"/>
      <c r="I8" s="231">
        <v>2</v>
      </c>
      <c r="J8" s="126"/>
      <c r="K8" s="126">
        <f>617+885</f>
        <v>1502</v>
      </c>
      <c r="L8" s="251"/>
      <c r="M8" s="159">
        <v>7</v>
      </c>
      <c r="N8" s="159">
        <v>1502</v>
      </c>
      <c r="O8" s="155"/>
      <c r="P8" s="155"/>
      <c r="Q8" s="155"/>
      <c r="R8" s="155"/>
      <c r="S8" s="155">
        <v>1502</v>
      </c>
      <c r="T8" s="155">
        <v>2</v>
      </c>
      <c r="U8" s="155">
        <f>648+1477</f>
        <v>2125</v>
      </c>
      <c r="V8" s="182">
        <f t="shared" si="0"/>
        <v>0.414780292942743</v>
      </c>
      <c r="W8" s="159">
        <v>5</v>
      </c>
    </row>
    <row r="9" spans="1:23">
      <c r="A9" s="220" t="s">
        <v>64</v>
      </c>
      <c r="B9" s="233"/>
      <c r="C9" s="225"/>
      <c r="D9" s="225"/>
      <c r="E9" s="223">
        <v>2</v>
      </c>
      <c r="F9" s="126">
        <f>1146+405</f>
        <v>1551</v>
      </c>
      <c r="G9" s="228"/>
      <c r="H9" s="159">
        <v>4</v>
      </c>
      <c r="I9" s="233">
        <v>2</v>
      </c>
      <c r="J9" s="126">
        <v>1551</v>
      </c>
      <c r="K9" s="126">
        <f>441+1142</f>
        <v>1583</v>
      </c>
      <c r="L9" s="252">
        <f>(K9-J9)/J9</f>
        <v>0.0206318504190845</v>
      </c>
      <c r="M9" s="159">
        <v>6</v>
      </c>
      <c r="N9" s="159">
        <v>1583</v>
      </c>
      <c r="O9" s="155"/>
      <c r="P9" s="155"/>
      <c r="Q9" s="155"/>
      <c r="R9" s="155"/>
      <c r="S9" s="155">
        <v>1583</v>
      </c>
      <c r="T9" s="155">
        <v>1</v>
      </c>
      <c r="U9" s="155">
        <v>689</v>
      </c>
      <c r="V9" s="183">
        <f t="shared" si="0"/>
        <v>-0.564750473783954</v>
      </c>
      <c r="W9" s="159">
        <v>6</v>
      </c>
    </row>
    <row r="10" spans="1:23">
      <c r="A10" s="220" t="s">
        <v>65</v>
      </c>
      <c r="B10" s="226"/>
      <c r="C10" s="231"/>
      <c r="D10" s="222"/>
      <c r="E10" s="223"/>
      <c r="F10" s="126"/>
      <c r="G10" s="234"/>
      <c r="H10" s="159"/>
      <c r="I10" s="226"/>
      <c r="J10" s="126"/>
      <c r="K10" s="126"/>
      <c r="L10" s="252"/>
      <c r="M10" s="159"/>
      <c r="N10" s="159"/>
      <c r="O10" s="155">
        <v>1</v>
      </c>
      <c r="P10" s="155">
        <v>31638</v>
      </c>
      <c r="Q10" s="184"/>
      <c r="R10" s="159">
        <v>1</v>
      </c>
      <c r="S10" s="155">
        <v>31638</v>
      </c>
      <c r="T10" s="155"/>
      <c r="U10" s="155"/>
      <c r="V10" s="184"/>
      <c r="W10" s="154"/>
    </row>
    <row r="11" spans="1:23">
      <c r="A11" s="220" t="s">
        <v>66</v>
      </c>
      <c r="B11" s="226">
        <v>2</v>
      </c>
      <c r="C11" s="225">
        <f>4867+3578</f>
        <v>8445</v>
      </c>
      <c r="D11" s="222">
        <v>2</v>
      </c>
      <c r="E11" s="223">
        <v>1</v>
      </c>
      <c r="F11" s="126">
        <v>2231</v>
      </c>
      <c r="G11" s="228">
        <f>(F11-C11)/C11</f>
        <v>-0.735820011841326</v>
      </c>
      <c r="H11" s="159">
        <v>3</v>
      </c>
      <c r="I11" s="226">
        <v>1</v>
      </c>
      <c r="J11" s="126">
        <v>8445</v>
      </c>
      <c r="K11" s="126">
        <v>1656</v>
      </c>
      <c r="L11" s="251">
        <f>(K11-J11)/J11</f>
        <v>-0.803907637655417</v>
      </c>
      <c r="M11" s="159">
        <v>5</v>
      </c>
      <c r="N11" s="159">
        <v>8445</v>
      </c>
      <c r="O11" s="155">
        <v>2</v>
      </c>
      <c r="P11" s="155">
        <f>4747+1582</f>
        <v>6329</v>
      </c>
      <c r="Q11" s="183">
        <f>(P11-N11)/N11</f>
        <v>-0.250562462995856</v>
      </c>
      <c r="R11" s="159">
        <v>3</v>
      </c>
      <c r="S11" s="155">
        <v>8445</v>
      </c>
      <c r="T11" s="155"/>
      <c r="U11" s="155"/>
      <c r="V11" s="155"/>
      <c r="W11" s="154"/>
    </row>
    <row r="12" spans="1:23">
      <c r="A12" s="220" t="s">
        <v>67</v>
      </c>
      <c r="B12" s="226">
        <v>1</v>
      </c>
      <c r="C12" s="231">
        <f>4031</f>
        <v>4031</v>
      </c>
      <c r="D12" s="222">
        <v>4</v>
      </c>
      <c r="E12" s="223">
        <v>1</v>
      </c>
      <c r="F12" s="126">
        <v>4807</v>
      </c>
      <c r="G12" s="234">
        <f>(F12-C12)/C12</f>
        <v>0.192508062515505</v>
      </c>
      <c r="H12" s="159">
        <v>1</v>
      </c>
      <c r="I12" s="226">
        <v>1</v>
      </c>
      <c r="J12" s="126">
        <v>4807</v>
      </c>
      <c r="K12" s="126">
        <v>6250</v>
      </c>
      <c r="L12" s="252">
        <f>(K12-J12)/J12</f>
        <v>0.300187226960682</v>
      </c>
      <c r="M12" s="159">
        <v>1</v>
      </c>
      <c r="N12" s="159">
        <v>6250</v>
      </c>
      <c r="O12" s="155">
        <v>1</v>
      </c>
      <c r="P12" s="155">
        <f>4420</f>
        <v>4420</v>
      </c>
      <c r="Q12" s="183">
        <f>(P12-N12)/N12</f>
        <v>-0.2928</v>
      </c>
      <c r="R12" s="159">
        <v>4</v>
      </c>
      <c r="S12" s="155">
        <v>6250</v>
      </c>
      <c r="T12" s="155"/>
      <c r="U12" s="155"/>
      <c r="V12" s="155"/>
      <c r="W12" s="154"/>
    </row>
    <row r="13" spans="1:23">
      <c r="A13" s="220" t="s">
        <v>68</v>
      </c>
      <c r="B13" s="231"/>
      <c r="C13" s="232"/>
      <c r="D13" s="225"/>
      <c r="E13" s="126"/>
      <c r="F13" s="126"/>
      <c r="G13" s="231"/>
      <c r="H13" s="126"/>
      <c r="I13" s="231">
        <v>1</v>
      </c>
      <c r="J13" s="126"/>
      <c r="K13" s="126">
        <v>483</v>
      </c>
      <c r="L13" s="251"/>
      <c r="M13" s="159">
        <v>10</v>
      </c>
      <c r="N13" s="159">
        <v>483</v>
      </c>
      <c r="O13" s="155">
        <v>1</v>
      </c>
      <c r="P13" s="155">
        <v>1487</v>
      </c>
      <c r="Q13" s="182">
        <f>(P13-N13)/N13</f>
        <v>2.07867494824017</v>
      </c>
      <c r="R13" s="159">
        <v>8</v>
      </c>
      <c r="S13" s="155">
        <v>1487</v>
      </c>
      <c r="T13" s="155"/>
      <c r="U13" s="155"/>
      <c r="V13" s="155"/>
      <c r="W13" s="154"/>
    </row>
    <row r="14" spans="1:23">
      <c r="A14" s="220" t="s">
        <v>69</v>
      </c>
      <c r="B14" s="233"/>
      <c r="C14" s="232"/>
      <c r="D14" s="225"/>
      <c r="E14" s="162"/>
      <c r="F14" s="126"/>
      <c r="G14" s="235"/>
      <c r="H14" s="225"/>
      <c r="I14" s="233">
        <v>2</v>
      </c>
      <c r="J14" s="126"/>
      <c r="K14" s="126">
        <f>2260+596</f>
        <v>2856</v>
      </c>
      <c r="L14" s="251"/>
      <c r="M14" s="159">
        <v>4</v>
      </c>
      <c r="N14" s="159">
        <v>2856</v>
      </c>
      <c r="O14" s="155">
        <v>1</v>
      </c>
      <c r="P14" s="155">
        <v>1065</v>
      </c>
      <c r="Q14" s="183">
        <f>(P14-N14)/N14</f>
        <v>-0.627100840336134</v>
      </c>
      <c r="R14" s="159">
        <v>9</v>
      </c>
      <c r="S14" s="155">
        <v>2856</v>
      </c>
      <c r="T14" s="155"/>
      <c r="U14" s="155"/>
      <c r="V14" s="155"/>
      <c r="W14" s="154"/>
    </row>
    <row r="15" spans="1:23">
      <c r="A15" s="220" t="s">
        <v>70</v>
      </c>
      <c r="B15" s="226"/>
      <c r="C15" s="226"/>
      <c r="D15" s="225"/>
      <c r="E15" s="229"/>
      <c r="F15" s="126"/>
      <c r="G15" s="230"/>
      <c r="H15" s="226"/>
      <c r="I15" s="226">
        <v>1</v>
      </c>
      <c r="J15" s="126"/>
      <c r="K15" s="126">
        <v>4527</v>
      </c>
      <c r="L15" s="251"/>
      <c r="M15" s="159">
        <v>2</v>
      </c>
      <c r="N15" s="159">
        <v>4527</v>
      </c>
      <c r="O15" s="155"/>
      <c r="P15" s="155"/>
      <c r="Q15" s="155"/>
      <c r="R15" s="155"/>
      <c r="S15" s="155">
        <v>4527</v>
      </c>
      <c r="T15" s="155"/>
      <c r="U15" s="155"/>
      <c r="V15" s="155"/>
      <c r="W15" s="154"/>
    </row>
    <row r="16" spans="1:23">
      <c r="A16" s="220" t="s">
        <v>71</v>
      </c>
      <c r="B16" s="231">
        <v>2</v>
      </c>
      <c r="C16" s="225">
        <f>417+2133</f>
        <v>2550</v>
      </c>
      <c r="D16" s="222">
        <v>6</v>
      </c>
      <c r="E16" s="223">
        <v>1</v>
      </c>
      <c r="F16" s="126">
        <v>469</v>
      </c>
      <c r="G16" s="228">
        <f>(F16-C16)/C16</f>
        <v>-0.816078431372549</v>
      </c>
      <c r="H16" s="159">
        <v>5</v>
      </c>
      <c r="I16" s="231">
        <v>1</v>
      </c>
      <c r="J16" s="126">
        <v>2550</v>
      </c>
      <c r="K16" s="126">
        <v>2888</v>
      </c>
      <c r="L16" s="252">
        <f>(K16-J16)/J16</f>
        <v>0.132549019607843</v>
      </c>
      <c r="M16" s="159">
        <v>3</v>
      </c>
      <c r="N16" s="159">
        <v>2888</v>
      </c>
      <c r="O16" s="155"/>
      <c r="P16" s="155"/>
      <c r="Q16" s="155"/>
      <c r="R16" s="155"/>
      <c r="S16" s="155">
        <v>2888</v>
      </c>
      <c r="T16" s="155"/>
      <c r="U16" s="155"/>
      <c r="V16" s="155"/>
      <c r="W16" s="154"/>
    </row>
    <row r="17" spans="1:23">
      <c r="A17" s="220" t="s">
        <v>72</v>
      </c>
      <c r="B17" s="231"/>
      <c r="C17" s="232"/>
      <c r="D17" s="225"/>
      <c r="E17" s="162"/>
      <c r="F17" s="126"/>
      <c r="G17" s="231"/>
      <c r="H17" s="225"/>
      <c r="I17" s="231">
        <v>1</v>
      </c>
      <c r="J17" s="126"/>
      <c r="K17" s="126">
        <v>724</v>
      </c>
      <c r="L17" s="251"/>
      <c r="M17" s="159">
        <v>9</v>
      </c>
      <c r="N17" s="159">
        <v>724</v>
      </c>
      <c r="O17" s="155"/>
      <c r="P17" s="155"/>
      <c r="Q17" s="155"/>
      <c r="R17" s="155"/>
      <c r="S17" s="155">
        <v>724</v>
      </c>
      <c r="T17" s="155"/>
      <c r="U17" s="155"/>
      <c r="V17" s="155"/>
      <c r="W17" s="154"/>
    </row>
    <row r="18" spans="1:23">
      <c r="A18" s="220" t="s">
        <v>73</v>
      </c>
      <c r="B18" s="231"/>
      <c r="C18" s="232"/>
      <c r="D18" s="225"/>
      <c r="E18" s="162"/>
      <c r="F18" s="126"/>
      <c r="G18" s="231"/>
      <c r="H18" s="225"/>
      <c r="I18" s="231"/>
      <c r="J18" s="126"/>
      <c r="K18" s="126"/>
      <c r="L18" s="253"/>
      <c r="M18" s="154"/>
      <c r="N18" s="155"/>
      <c r="O18" s="155"/>
      <c r="P18" s="155"/>
      <c r="Q18" s="155"/>
      <c r="R18" s="155"/>
      <c r="S18" s="155"/>
      <c r="T18" s="155"/>
      <c r="U18" s="155"/>
      <c r="V18" s="155"/>
      <c r="W18" s="154"/>
    </row>
    <row r="19" spans="1:23">
      <c r="A19" s="220"/>
      <c r="B19" s="231"/>
      <c r="C19" s="232"/>
      <c r="D19" s="225"/>
      <c r="E19" s="126"/>
      <c r="F19" s="126"/>
      <c r="G19" s="231"/>
      <c r="H19" s="126"/>
      <c r="I19" s="231"/>
      <c r="J19" s="126"/>
      <c r="K19" s="126"/>
      <c r="L19" s="154"/>
      <c r="M19" s="154"/>
      <c r="N19" s="155"/>
      <c r="O19" s="155"/>
      <c r="P19" s="155"/>
      <c r="Q19" s="155"/>
      <c r="R19" s="155"/>
      <c r="S19" s="154"/>
      <c r="T19" s="154"/>
      <c r="U19" s="154"/>
      <c r="V19" s="154"/>
      <c r="W19" s="154"/>
    </row>
    <row r="20" ht="31.5" customHeight="1" spans="1:23">
      <c r="A20" s="218" t="s">
        <v>74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</row>
    <row r="21" ht="31.5" spans="1:23">
      <c r="A21" s="19" t="s">
        <v>50</v>
      </c>
      <c r="B21" s="19" t="s">
        <v>51</v>
      </c>
      <c r="C21" s="19" t="s">
        <v>52</v>
      </c>
      <c r="D21" s="19" t="s">
        <v>53</v>
      </c>
      <c r="E21" s="19" t="s">
        <v>51</v>
      </c>
      <c r="F21" s="19" t="s">
        <v>52</v>
      </c>
      <c r="G21" s="19" t="s">
        <v>6</v>
      </c>
      <c r="H21" s="19" t="s">
        <v>53</v>
      </c>
      <c r="I21" s="19" t="s">
        <v>55</v>
      </c>
      <c r="J21" s="19" t="s">
        <v>57</v>
      </c>
      <c r="K21" s="19" t="s">
        <v>56</v>
      </c>
      <c r="L21" s="19" t="s">
        <v>6</v>
      </c>
      <c r="M21" s="19" t="s">
        <v>53</v>
      </c>
      <c r="N21" s="19" t="s">
        <v>55</v>
      </c>
      <c r="O21" s="19" t="s">
        <v>57</v>
      </c>
      <c r="P21" s="19" t="s">
        <v>58</v>
      </c>
      <c r="Q21" s="19" t="s">
        <v>6</v>
      </c>
      <c r="R21" s="19" t="s">
        <v>53</v>
      </c>
      <c r="S21" s="19" t="s">
        <v>55</v>
      </c>
      <c r="T21" s="19" t="s">
        <v>57</v>
      </c>
      <c r="U21" s="19" t="s">
        <v>75</v>
      </c>
      <c r="V21" s="19" t="s">
        <v>6</v>
      </c>
      <c r="W21" s="19" t="s">
        <v>53</v>
      </c>
    </row>
    <row r="22" spans="1:2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ht="16.5" customHeight="1" spans="1:23">
      <c r="A23" s="220" t="s">
        <v>76</v>
      </c>
      <c r="B23" s="231"/>
      <c r="C23" s="236"/>
      <c r="D23" s="126"/>
      <c r="E23" s="223">
        <v>1</v>
      </c>
      <c r="F23" s="162">
        <v>404</v>
      </c>
      <c r="G23" s="231"/>
      <c r="H23" s="237">
        <v>1</v>
      </c>
      <c r="I23" s="126">
        <v>404</v>
      </c>
      <c r="J23" s="126">
        <v>1</v>
      </c>
      <c r="K23" s="126">
        <v>344</v>
      </c>
      <c r="L23" s="251">
        <f>(K23-I23)/I23</f>
        <v>-0.148514851485149</v>
      </c>
      <c r="M23" s="159">
        <v>2</v>
      </c>
      <c r="N23" s="159">
        <v>404</v>
      </c>
      <c r="O23" s="155">
        <v>1</v>
      </c>
      <c r="P23" s="159">
        <v>184</v>
      </c>
      <c r="Q23" s="183">
        <f>(P23-N23)/N23</f>
        <v>-0.544554455445545</v>
      </c>
      <c r="R23" s="159">
        <v>4</v>
      </c>
      <c r="S23" s="159">
        <v>404</v>
      </c>
      <c r="T23" s="155">
        <v>1</v>
      </c>
      <c r="U23" s="155">
        <v>171</v>
      </c>
      <c r="V23" s="183">
        <f>(U23-S23)/S23</f>
        <v>-0.576732673267327</v>
      </c>
      <c r="W23" s="159">
        <v>1</v>
      </c>
    </row>
    <row r="24" spans="1:23">
      <c r="A24" s="220" t="s">
        <v>77</v>
      </c>
      <c r="B24" s="231">
        <v>1</v>
      </c>
      <c r="C24" s="238">
        <v>1781</v>
      </c>
      <c r="D24" s="162">
        <v>1</v>
      </c>
      <c r="E24" s="223"/>
      <c r="F24" s="162"/>
      <c r="G24" s="231"/>
      <c r="H24" s="239"/>
      <c r="I24" s="126">
        <v>1781</v>
      </c>
      <c r="J24" s="126">
        <v>2</v>
      </c>
      <c r="K24" s="126">
        <f>137+1253</f>
        <v>1390</v>
      </c>
      <c r="L24" s="251">
        <f>(K24-I24)/I24</f>
        <v>-0.219539584503088</v>
      </c>
      <c r="M24" s="159">
        <v>1</v>
      </c>
      <c r="N24" s="159">
        <v>1781</v>
      </c>
      <c r="O24" s="154"/>
      <c r="P24" s="154"/>
      <c r="Q24" s="257"/>
      <c r="R24" s="155"/>
      <c r="S24" s="159">
        <v>1781</v>
      </c>
      <c r="T24" s="155">
        <v>1</v>
      </c>
      <c r="U24" s="155">
        <f>124</f>
        <v>124</v>
      </c>
      <c r="V24" s="183">
        <f t="shared" ref="V24:V30" si="1">(U24-S24)/S24</f>
        <v>-0.930376193149916</v>
      </c>
      <c r="W24" s="159">
        <v>2</v>
      </c>
    </row>
    <row r="25" spans="1:23">
      <c r="A25" s="220" t="s">
        <v>78</v>
      </c>
      <c r="B25" s="231"/>
      <c r="C25" s="238"/>
      <c r="D25" s="126"/>
      <c r="E25" s="223"/>
      <c r="F25" s="162"/>
      <c r="G25" s="231"/>
      <c r="H25" s="238"/>
      <c r="I25" s="126"/>
      <c r="J25" s="126">
        <v>1</v>
      </c>
      <c r="K25" s="126">
        <v>56</v>
      </c>
      <c r="L25" s="251"/>
      <c r="M25" s="159">
        <v>9</v>
      </c>
      <c r="N25" s="159">
        <v>56</v>
      </c>
      <c r="O25" s="155">
        <v>1</v>
      </c>
      <c r="P25" s="159">
        <v>242</v>
      </c>
      <c r="Q25" s="182">
        <f>(P25-N25)/N25</f>
        <v>3.32142857142857</v>
      </c>
      <c r="R25" s="159">
        <v>1</v>
      </c>
      <c r="S25" s="159">
        <v>242</v>
      </c>
      <c r="T25" s="155">
        <v>1</v>
      </c>
      <c r="U25" s="155">
        <f>89</f>
        <v>89</v>
      </c>
      <c r="V25" s="183">
        <f t="shared" si="1"/>
        <v>-0.632231404958678</v>
      </c>
      <c r="W25" s="159">
        <v>3</v>
      </c>
    </row>
    <row r="26" spans="1:23">
      <c r="A26" s="220" t="s">
        <v>79</v>
      </c>
      <c r="B26" s="231"/>
      <c r="C26" s="221"/>
      <c r="D26" s="162"/>
      <c r="E26" s="223"/>
      <c r="F26" s="162"/>
      <c r="G26" s="240"/>
      <c r="H26" s="241"/>
      <c r="I26" s="126"/>
      <c r="J26" s="126"/>
      <c r="K26" s="126"/>
      <c r="L26" s="250"/>
      <c r="M26" s="154"/>
      <c r="N26" s="159"/>
      <c r="O26" s="155"/>
      <c r="P26" s="159"/>
      <c r="Q26" s="183"/>
      <c r="R26" s="159"/>
      <c r="S26" s="155"/>
      <c r="T26" s="155">
        <v>2</v>
      </c>
      <c r="U26" s="155">
        <f>47+25</f>
        <v>72</v>
      </c>
      <c r="V26" s="183"/>
      <c r="W26" s="159">
        <v>4</v>
      </c>
    </row>
    <row r="27" spans="1:23">
      <c r="A27" s="220" t="s">
        <v>80</v>
      </c>
      <c r="B27" s="231">
        <v>1</v>
      </c>
      <c r="C27" s="236">
        <v>330</v>
      </c>
      <c r="D27" s="162">
        <v>5</v>
      </c>
      <c r="E27" s="223">
        <v>1</v>
      </c>
      <c r="F27" s="162">
        <v>204</v>
      </c>
      <c r="G27" s="240">
        <f>(F27-C27)/C27</f>
        <v>-0.381818181818182</v>
      </c>
      <c r="H27" s="237">
        <v>3</v>
      </c>
      <c r="I27" s="126">
        <v>330</v>
      </c>
      <c r="J27" s="126">
        <v>1</v>
      </c>
      <c r="K27" s="126">
        <v>97</v>
      </c>
      <c r="L27" s="251">
        <f>(K27-I27)/I27</f>
        <v>-0.706060606060606</v>
      </c>
      <c r="M27" s="159">
        <v>7</v>
      </c>
      <c r="N27" s="159">
        <v>330</v>
      </c>
      <c r="O27" s="155">
        <v>1</v>
      </c>
      <c r="P27" s="159">
        <v>43</v>
      </c>
      <c r="Q27" s="183">
        <f>(P27-N27)/N27</f>
        <v>-0.86969696969697</v>
      </c>
      <c r="R27" s="159">
        <v>6</v>
      </c>
      <c r="S27" s="159">
        <v>330</v>
      </c>
      <c r="T27" s="155">
        <v>1</v>
      </c>
      <c r="U27" s="155">
        <v>57</v>
      </c>
      <c r="V27" s="183">
        <f t="shared" si="1"/>
        <v>-0.827272727272727</v>
      </c>
      <c r="W27" s="159">
        <v>5</v>
      </c>
    </row>
    <row r="28" spans="1:23">
      <c r="A28" s="220" t="s">
        <v>81</v>
      </c>
      <c r="B28" s="231">
        <v>1</v>
      </c>
      <c r="C28" s="238">
        <v>121</v>
      </c>
      <c r="D28" s="162">
        <v>7</v>
      </c>
      <c r="E28" s="223"/>
      <c r="F28" s="162"/>
      <c r="G28" s="231"/>
      <c r="H28" s="238"/>
      <c r="I28" s="126">
        <v>121</v>
      </c>
      <c r="J28" s="126"/>
      <c r="K28" s="126"/>
      <c r="L28" s="250"/>
      <c r="M28" s="154"/>
      <c r="N28" s="159">
        <v>121</v>
      </c>
      <c r="O28" s="154"/>
      <c r="P28" s="154"/>
      <c r="Q28" s="154"/>
      <c r="R28" s="154"/>
      <c r="S28" s="159">
        <v>121</v>
      </c>
      <c r="T28" s="155">
        <v>1</v>
      </c>
      <c r="U28" s="155">
        <v>40</v>
      </c>
      <c r="V28" s="183">
        <f t="shared" si="1"/>
        <v>-0.669421487603306</v>
      </c>
      <c r="W28" s="159">
        <v>6</v>
      </c>
    </row>
    <row r="29" spans="1:23">
      <c r="A29" s="220" t="s">
        <v>82</v>
      </c>
      <c r="B29" s="231"/>
      <c r="C29" s="221"/>
      <c r="D29" s="126"/>
      <c r="E29" s="223">
        <v>2</v>
      </c>
      <c r="F29" s="162">
        <f>77+218</f>
        <v>295</v>
      </c>
      <c r="G29" s="231"/>
      <c r="H29" s="241">
        <v>2</v>
      </c>
      <c r="I29" s="126">
        <v>295</v>
      </c>
      <c r="J29" s="126">
        <v>1</v>
      </c>
      <c r="K29" s="126">
        <v>250</v>
      </c>
      <c r="L29" s="251">
        <f>(K29-I29)/I29</f>
        <v>-0.152542372881356</v>
      </c>
      <c r="M29" s="159">
        <v>3</v>
      </c>
      <c r="N29" s="159">
        <v>295</v>
      </c>
      <c r="O29" s="154"/>
      <c r="P29" s="154"/>
      <c r="Q29" s="257"/>
      <c r="R29" s="155"/>
      <c r="S29" s="159">
        <v>295</v>
      </c>
      <c r="T29" s="155">
        <v>1</v>
      </c>
      <c r="U29" s="155">
        <v>24</v>
      </c>
      <c r="V29" s="183">
        <f t="shared" si="1"/>
        <v>-0.91864406779661</v>
      </c>
      <c r="W29" s="159">
        <v>7</v>
      </c>
    </row>
    <row r="30" spans="1:23">
      <c r="A30" s="220" t="s">
        <v>83</v>
      </c>
      <c r="B30" s="231"/>
      <c r="C30" s="238"/>
      <c r="D30" s="126"/>
      <c r="E30" s="223"/>
      <c r="F30" s="162"/>
      <c r="G30" s="231"/>
      <c r="H30" s="238"/>
      <c r="I30" s="126"/>
      <c r="J30" s="126">
        <v>1</v>
      </c>
      <c r="K30" s="126">
        <v>74</v>
      </c>
      <c r="L30" s="251"/>
      <c r="M30" s="159">
        <v>8</v>
      </c>
      <c r="N30" s="159">
        <v>74</v>
      </c>
      <c r="O30" s="154"/>
      <c r="P30" s="154"/>
      <c r="Q30" s="154"/>
      <c r="R30" s="154"/>
      <c r="S30" s="159">
        <v>74</v>
      </c>
      <c r="T30" s="155">
        <v>1</v>
      </c>
      <c r="U30" s="155">
        <v>22</v>
      </c>
      <c r="V30" s="183">
        <f t="shared" si="1"/>
        <v>-0.702702702702703</v>
      </c>
      <c r="W30" s="159">
        <v>8</v>
      </c>
    </row>
    <row r="31" spans="1:23">
      <c r="A31" s="220" t="s">
        <v>84</v>
      </c>
      <c r="B31" s="231">
        <v>1</v>
      </c>
      <c r="C31" s="126">
        <f>728</f>
        <v>728</v>
      </c>
      <c r="D31" s="162">
        <v>2</v>
      </c>
      <c r="E31" s="223"/>
      <c r="F31" s="126"/>
      <c r="G31" s="231"/>
      <c r="H31" s="126"/>
      <c r="I31" s="126">
        <v>728</v>
      </c>
      <c r="J31" s="126"/>
      <c r="K31" s="126"/>
      <c r="L31" s="251"/>
      <c r="M31" s="154"/>
      <c r="N31" s="159">
        <v>728</v>
      </c>
      <c r="O31" s="154"/>
      <c r="P31" s="154"/>
      <c r="Q31" s="154"/>
      <c r="R31" s="154"/>
      <c r="S31" s="159">
        <v>728</v>
      </c>
      <c r="T31" s="155"/>
      <c r="U31" s="155"/>
      <c r="V31" s="155"/>
      <c r="W31" s="155"/>
    </row>
    <row r="32" spans="1:23">
      <c r="A32" s="220" t="s">
        <v>85</v>
      </c>
      <c r="B32" s="231">
        <v>2</v>
      </c>
      <c r="C32" s="238">
        <f>234+306</f>
        <v>540</v>
      </c>
      <c r="D32" s="162">
        <v>3</v>
      </c>
      <c r="E32" s="223"/>
      <c r="F32" s="162"/>
      <c r="G32" s="231"/>
      <c r="H32" s="238"/>
      <c r="I32" s="126">
        <v>540</v>
      </c>
      <c r="J32" s="126"/>
      <c r="K32" s="126"/>
      <c r="L32" s="250"/>
      <c r="M32" s="154"/>
      <c r="N32" s="159">
        <v>540</v>
      </c>
      <c r="O32" s="154"/>
      <c r="P32" s="154"/>
      <c r="Q32" s="154"/>
      <c r="R32" s="154"/>
      <c r="S32" s="159">
        <v>540</v>
      </c>
      <c r="T32" s="155"/>
      <c r="U32" s="159"/>
      <c r="V32" s="155"/>
      <c r="W32" s="155"/>
    </row>
    <row r="33" spans="1:23">
      <c r="A33" s="220" t="s">
        <v>86</v>
      </c>
      <c r="B33" s="231">
        <v>1</v>
      </c>
      <c r="C33" s="238">
        <f>436</f>
        <v>436</v>
      </c>
      <c r="D33" s="162">
        <v>4</v>
      </c>
      <c r="E33" s="223"/>
      <c r="F33" s="162"/>
      <c r="G33" s="231"/>
      <c r="H33" s="238"/>
      <c r="I33" s="126">
        <v>436</v>
      </c>
      <c r="J33" s="126">
        <v>1</v>
      </c>
      <c r="K33" s="126">
        <v>130</v>
      </c>
      <c r="L33" s="251">
        <f>(K33-I33)/I33</f>
        <v>-0.701834862385321</v>
      </c>
      <c r="M33" s="159">
        <v>6</v>
      </c>
      <c r="N33" s="159">
        <v>436</v>
      </c>
      <c r="O33" s="154"/>
      <c r="P33" s="154"/>
      <c r="Q33" s="154"/>
      <c r="R33" s="154"/>
      <c r="S33" s="159">
        <v>436</v>
      </c>
      <c r="T33" s="155"/>
      <c r="U33" s="159"/>
      <c r="V33" s="155"/>
      <c r="W33" s="155"/>
    </row>
    <row r="34" spans="1:23">
      <c r="A34" s="220" t="s">
        <v>87</v>
      </c>
      <c r="B34" s="231">
        <v>1</v>
      </c>
      <c r="C34" s="221">
        <f>220</f>
        <v>220</v>
      </c>
      <c r="D34" s="162">
        <v>6</v>
      </c>
      <c r="E34" s="223">
        <v>1</v>
      </c>
      <c r="F34" s="162">
        <v>161</v>
      </c>
      <c r="G34" s="240">
        <f>(F34-C34)/C34</f>
        <v>-0.268181818181818</v>
      </c>
      <c r="H34" s="241">
        <v>4</v>
      </c>
      <c r="I34" s="126">
        <v>220</v>
      </c>
      <c r="J34" s="126"/>
      <c r="K34" s="126"/>
      <c r="L34" s="250"/>
      <c r="M34" s="154"/>
      <c r="N34" s="159">
        <v>220</v>
      </c>
      <c r="O34" s="155">
        <v>3</v>
      </c>
      <c r="P34" s="159">
        <f>53+59+76</f>
        <v>188</v>
      </c>
      <c r="Q34" s="183">
        <f>(P34-N34)/N34</f>
        <v>-0.145454545454545</v>
      </c>
      <c r="R34" s="159">
        <v>3</v>
      </c>
      <c r="S34" s="159">
        <v>220</v>
      </c>
      <c r="T34" s="155"/>
      <c r="U34" s="159"/>
      <c r="V34" s="155"/>
      <c r="W34" s="155"/>
    </row>
    <row r="35" spans="1:23">
      <c r="A35" s="220" t="s">
        <v>88</v>
      </c>
      <c r="B35" s="231"/>
      <c r="C35" s="126"/>
      <c r="D35" s="126"/>
      <c r="E35" s="223">
        <v>1</v>
      </c>
      <c r="F35" s="162">
        <v>81</v>
      </c>
      <c r="G35" s="242"/>
      <c r="H35" s="162">
        <v>5</v>
      </c>
      <c r="I35" s="126">
        <v>81</v>
      </c>
      <c r="J35" s="126">
        <v>1</v>
      </c>
      <c r="K35" s="126">
        <v>201</v>
      </c>
      <c r="L35" s="252">
        <f>(K35-I35)/I35</f>
        <v>1.48148148148148</v>
      </c>
      <c r="M35" s="159">
        <v>4</v>
      </c>
      <c r="N35" s="159">
        <v>201</v>
      </c>
      <c r="O35" s="155">
        <v>1</v>
      </c>
      <c r="P35" s="159">
        <v>209</v>
      </c>
      <c r="Q35" s="182">
        <f>(P35-N35)/N35</f>
        <v>0.0398009950248756</v>
      </c>
      <c r="R35" s="159">
        <v>2</v>
      </c>
      <c r="S35" s="159">
        <v>209</v>
      </c>
      <c r="T35" s="155"/>
      <c r="U35" s="159"/>
      <c r="V35" s="155"/>
      <c r="W35" s="155"/>
    </row>
    <row r="36" spans="1:23">
      <c r="A36" s="220" t="s">
        <v>89</v>
      </c>
      <c r="B36" s="231"/>
      <c r="C36" s="221"/>
      <c r="D36" s="126"/>
      <c r="E36" s="223"/>
      <c r="F36" s="162"/>
      <c r="G36" s="231"/>
      <c r="H36" s="221"/>
      <c r="I36" s="126"/>
      <c r="J36" s="126">
        <v>1</v>
      </c>
      <c r="K36" s="126">
        <f>89+76</f>
        <v>165</v>
      </c>
      <c r="L36" s="251"/>
      <c r="M36" s="159">
        <v>5</v>
      </c>
      <c r="N36" s="159">
        <v>165</v>
      </c>
      <c r="O36" s="154"/>
      <c r="P36" s="154"/>
      <c r="Q36" s="257"/>
      <c r="R36" s="155"/>
      <c r="S36" s="159">
        <v>165</v>
      </c>
      <c r="T36" s="155"/>
      <c r="U36" s="159"/>
      <c r="V36" s="155"/>
      <c r="W36" s="155"/>
    </row>
    <row r="37" spans="1:23">
      <c r="A37" s="220" t="s">
        <v>90</v>
      </c>
      <c r="B37" s="231"/>
      <c r="C37" s="236"/>
      <c r="D37" s="126"/>
      <c r="E37" s="223"/>
      <c r="F37" s="162"/>
      <c r="G37" s="231"/>
      <c r="H37" s="236"/>
      <c r="I37" s="126"/>
      <c r="J37" s="126"/>
      <c r="K37" s="126"/>
      <c r="L37" s="251"/>
      <c r="M37" s="154"/>
      <c r="N37" s="154"/>
      <c r="O37" s="155">
        <v>1</v>
      </c>
      <c r="P37" s="159">
        <v>62</v>
      </c>
      <c r="Q37" s="183"/>
      <c r="R37" s="159">
        <v>5</v>
      </c>
      <c r="S37" s="159">
        <v>62</v>
      </c>
      <c r="T37" s="155"/>
      <c r="U37" s="159"/>
      <c r="V37" s="155"/>
      <c r="W37" s="155"/>
    </row>
    <row r="38" spans="1:23">
      <c r="A38" s="220" t="s">
        <v>91</v>
      </c>
      <c r="B38" s="231"/>
      <c r="C38" s="221"/>
      <c r="D38" s="126"/>
      <c r="E38" s="223"/>
      <c r="F38" s="162"/>
      <c r="G38" s="231"/>
      <c r="H38" s="221"/>
      <c r="I38" s="126"/>
      <c r="J38" s="126"/>
      <c r="K38" s="126"/>
      <c r="L38" s="250"/>
      <c r="M38" s="154"/>
      <c r="N38" s="154"/>
      <c r="O38" s="154"/>
      <c r="P38" s="154"/>
      <c r="Q38" s="154"/>
      <c r="R38" s="154"/>
      <c r="S38" s="155"/>
      <c r="T38" s="155"/>
      <c r="U38" s="155"/>
      <c r="V38" s="155"/>
      <c r="W38" s="155"/>
    </row>
    <row r="39" spans="1:23">
      <c r="A39" s="220" t="s">
        <v>92</v>
      </c>
      <c r="B39" s="231"/>
      <c r="C39" s="238"/>
      <c r="D39" s="126"/>
      <c r="E39" s="223"/>
      <c r="F39" s="162"/>
      <c r="G39" s="231"/>
      <c r="H39" s="238"/>
      <c r="I39" s="126"/>
      <c r="J39" s="126"/>
      <c r="K39" s="126"/>
      <c r="L39" s="250"/>
      <c r="M39" s="154"/>
      <c r="N39" s="154"/>
      <c r="O39" s="154"/>
      <c r="P39" s="154"/>
      <c r="Q39" s="154"/>
      <c r="R39" s="154"/>
      <c r="S39" s="155"/>
      <c r="T39" s="155"/>
      <c r="U39" s="155"/>
      <c r="V39" s="155"/>
      <c r="W39" s="155"/>
    </row>
    <row r="40" spans="1:12">
      <c r="A40" s="243"/>
      <c r="B40" s="244"/>
      <c r="C40" s="245"/>
      <c r="D40" s="246"/>
      <c r="E40" s="247"/>
      <c r="F40" s="248"/>
      <c r="G40" s="244"/>
      <c r="H40" s="245"/>
      <c r="I40" s="246"/>
      <c r="J40" s="246"/>
      <c r="K40" s="246"/>
      <c r="L40" s="254"/>
    </row>
    <row r="41" ht="26.45" customHeight="1" spans="1:41">
      <c r="A41" s="218" t="s">
        <v>93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</row>
    <row r="42" ht="47.25" spans="1:41">
      <c r="A42" s="19" t="s">
        <v>50</v>
      </c>
      <c r="B42" s="19" t="s">
        <v>94</v>
      </c>
      <c r="C42" s="19" t="s">
        <v>95</v>
      </c>
      <c r="D42" s="19" t="s">
        <v>96</v>
      </c>
      <c r="E42" s="19" t="s">
        <v>97</v>
      </c>
      <c r="F42" s="19" t="s">
        <v>98</v>
      </c>
      <c r="G42" s="19" t="s">
        <v>99</v>
      </c>
      <c r="H42" s="19" t="s">
        <v>53</v>
      </c>
      <c r="I42" s="19" t="s">
        <v>94</v>
      </c>
      <c r="J42" s="19" t="s">
        <v>95</v>
      </c>
      <c r="K42" s="19" t="s">
        <v>96</v>
      </c>
      <c r="L42" s="19" t="s">
        <v>97</v>
      </c>
      <c r="M42" s="19" t="s">
        <v>98</v>
      </c>
      <c r="N42" s="19" t="s">
        <v>99</v>
      </c>
      <c r="O42" s="19" t="s">
        <v>100</v>
      </c>
      <c r="P42" s="19" t="s">
        <v>53</v>
      </c>
      <c r="Q42" s="19" t="s">
        <v>101</v>
      </c>
      <c r="R42" s="19" t="s">
        <v>95</v>
      </c>
      <c r="S42" s="19" t="s">
        <v>96</v>
      </c>
      <c r="T42" s="19" t="s">
        <v>97</v>
      </c>
      <c r="U42" s="19" t="s">
        <v>98</v>
      </c>
      <c r="V42" s="19" t="s">
        <v>102</v>
      </c>
      <c r="W42" s="19" t="s">
        <v>100</v>
      </c>
      <c r="X42" s="19" t="s">
        <v>53</v>
      </c>
      <c r="Y42" s="19" t="s">
        <v>55</v>
      </c>
      <c r="Z42" s="19" t="s">
        <v>95</v>
      </c>
      <c r="AA42" s="19" t="s">
        <v>96</v>
      </c>
      <c r="AB42" s="19" t="s">
        <v>97</v>
      </c>
      <c r="AC42" s="19" t="s">
        <v>98</v>
      </c>
      <c r="AD42" s="19" t="s">
        <v>103</v>
      </c>
      <c r="AE42" s="19" t="s">
        <v>6</v>
      </c>
      <c r="AF42" s="19" t="s">
        <v>53</v>
      </c>
      <c r="AG42" s="19" t="s">
        <v>55</v>
      </c>
      <c r="AH42" s="19" t="s">
        <v>51</v>
      </c>
      <c r="AI42" s="19" t="s">
        <v>95</v>
      </c>
      <c r="AJ42" s="19" t="s">
        <v>96</v>
      </c>
      <c r="AK42" s="19" t="s">
        <v>97</v>
      </c>
      <c r="AL42" s="19" t="s">
        <v>98</v>
      </c>
      <c r="AM42" s="19" t="s">
        <v>104</v>
      </c>
      <c r="AN42" s="19" t="s">
        <v>6</v>
      </c>
      <c r="AO42" s="19" t="s">
        <v>53</v>
      </c>
    </row>
    <row r="43" spans="1:4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1:41">
      <c r="A44" s="220" t="s">
        <v>105</v>
      </c>
      <c r="B44" s="225"/>
      <c r="C44" s="225"/>
      <c r="D44" s="126">
        <v>107</v>
      </c>
      <c r="E44" s="126"/>
      <c r="F44" s="126">
        <f>526+991+633</f>
        <v>2150</v>
      </c>
      <c r="G44" s="162">
        <f>F44+E44+D44+C44</f>
        <v>2257</v>
      </c>
      <c r="H44" s="162">
        <v>15</v>
      </c>
      <c r="I44" s="225"/>
      <c r="J44" s="225"/>
      <c r="K44" s="126">
        <v>300</v>
      </c>
      <c r="L44" s="126"/>
      <c r="M44" s="126">
        <f>577+1400</f>
        <v>1977</v>
      </c>
      <c r="N44" s="162">
        <f t="shared" ref="N44:N52" si="2">M44+L44+K44+J44</f>
        <v>2277</v>
      </c>
      <c r="O44" s="252">
        <f>(N44-G44)/G44</f>
        <v>0.00886132033673017</v>
      </c>
      <c r="P44" s="162">
        <v>18</v>
      </c>
      <c r="Q44" s="222">
        <v>2277</v>
      </c>
      <c r="R44" s="225"/>
      <c r="S44" s="126">
        <f>10200+9982+136+229</f>
        <v>20547</v>
      </c>
      <c r="T44" s="126"/>
      <c r="U44" s="126">
        <f>4800+34900+9900</f>
        <v>49600</v>
      </c>
      <c r="V44" s="258">
        <f>U44+T44+S44+R44</f>
        <v>70147</v>
      </c>
      <c r="W44" s="252">
        <f>(V44-Q44)/Q44</f>
        <v>29.8067632850242</v>
      </c>
      <c r="X44" s="222">
        <v>3</v>
      </c>
      <c r="Y44" s="222">
        <v>70147</v>
      </c>
      <c r="Z44" s="225"/>
      <c r="AA44" s="126"/>
      <c r="AB44" s="126"/>
      <c r="AC44" s="126"/>
      <c r="AD44" s="258"/>
      <c r="AE44" s="255"/>
      <c r="AF44" s="162"/>
      <c r="AG44" s="159">
        <v>70147</v>
      </c>
      <c r="AH44" s="155"/>
      <c r="AI44" s="155"/>
      <c r="AJ44" s="155">
        <f>254+145+380+182+24500</f>
        <v>25461</v>
      </c>
      <c r="AK44" s="155">
        <f>280+1019</f>
        <v>1299</v>
      </c>
      <c r="AL44" s="155">
        <f>1900+178900+6700+12100+19400+77900</f>
        <v>296900</v>
      </c>
      <c r="AM44" s="159">
        <f t="shared" ref="AM44:AM68" si="3">AL44+AK44+AJ44+AI44</f>
        <v>323660</v>
      </c>
      <c r="AN44" s="259">
        <f>(AM44-AG44)/AG44</f>
        <v>3.6140248335638</v>
      </c>
      <c r="AO44" s="159">
        <v>1</v>
      </c>
    </row>
    <row r="45" spans="1:41">
      <c r="A45" s="220" t="s">
        <v>106</v>
      </c>
      <c r="B45" s="225"/>
      <c r="C45" s="225"/>
      <c r="D45" s="126">
        <v>116</v>
      </c>
      <c r="E45" s="126"/>
      <c r="F45" s="126">
        <v>1000</v>
      </c>
      <c r="G45" s="162">
        <f>F45+E45+D45+C45</f>
        <v>1116</v>
      </c>
      <c r="H45" s="162">
        <v>18</v>
      </c>
      <c r="I45" s="225"/>
      <c r="J45" s="225"/>
      <c r="K45" s="126">
        <f>124+130+200</f>
        <v>454</v>
      </c>
      <c r="L45" s="126"/>
      <c r="M45" s="126">
        <f>1800+1100+3500</f>
        <v>6400</v>
      </c>
      <c r="N45" s="162">
        <f t="shared" si="2"/>
        <v>6854</v>
      </c>
      <c r="O45" s="252">
        <f>(N45-G45)/G45</f>
        <v>5.1415770609319</v>
      </c>
      <c r="P45" s="162">
        <v>9</v>
      </c>
      <c r="Q45" s="237">
        <v>6854</v>
      </c>
      <c r="R45" s="236"/>
      <c r="S45" s="126">
        <v>132</v>
      </c>
      <c r="T45" s="126"/>
      <c r="U45" s="256">
        <f>2700+1300</f>
        <v>4000</v>
      </c>
      <c r="V45" s="258">
        <f>U45+T45+S45+R45</f>
        <v>4132</v>
      </c>
      <c r="W45" s="251">
        <f>(V45-Q45)/Q45</f>
        <v>-0.397140355996498</v>
      </c>
      <c r="X45" s="222">
        <v>13</v>
      </c>
      <c r="Y45" s="222">
        <v>6854</v>
      </c>
      <c r="Z45" s="236"/>
      <c r="AA45" s="126">
        <f>118</f>
        <v>118</v>
      </c>
      <c r="AB45" s="126"/>
      <c r="AC45" s="126">
        <f>1200+3500</f>
        <v>4700</v>
      </c>
      <c r="AD45" s="258">
        <f>(AC45+AB45+AA45+Z45)</f>
        <v>4818</v>
      </c>
      <c r="AE45" s="251">
        <f>(AD45-Y45)/Y45</f>
        <v>-0.297052815873942</v>
      </c>
      <c r="AF45" s="162">
        <v>11</v>
      </c>
      <c r="AG45" s="159">
        <v>6854</v>
      </c>
      <c r="AH45" s="155">
        <v>1</v>
      </c>
      <c r="AI45" s="155">
        <v>376</v>
      </c>
      <c r="AJ45" s="155">
        <f>161+169+155</f>
        <v>485</v>
      </c>
      <c r="AK45" s="155"/>
      <c r="AL45" s="155">
        <f>84000+2500+4500</f>
        <v>91000</v>
      </c>
      <c r="AM45" s="159">
        <f t="shared" si="3"/>
        <v>91861</v>
      </c>
      <c r="AN45" s="259">
        <f t="shared" ref="AN45:AN68" si="4">(AM45-AG45)/AG45</f>
        <v>12.4025386635541</v>
      </c>
      <c r="AO45" s="159">
        <v>2</v>
      </c>
    </row>
    <row r="46" spans="1:41">
      <c r="A46" s="220" t="s">
        <v>107</v>
      </c>
      <c r="B46" s="236">
        <v>1</v>
      </c>
      <c r="C46" s="236">
        <v>23</v>
      </c>
      <c r="D46" s="126">
        <f>126+125</f>
        <v>251</v>
      </c>
      <c r="E46" s="126"/>
      <c r="F46" s="126">
        <f>1800+65900</f>
        <v>67700</v>
      </c>
      <c r="G46" s="162">
        <f>F46+E46+D46+C46</f>
        <v>67974</v>
      </c>
      <c r="H46" s="162">
        <v>2</v>
      </c>
      <c r="I46" s="236">
        <v>3</v>
      </c>
      <c r="J46" s="225">
        <f>124+36+62</f>
        <v>222</v>
      </c>
      <c r="K46" s="126">
        <f>171+156</f>
        <v>327</v>
      </c>
      <c r="L46" s="126"/>
      <c r="M46" s="126">
        <f>633+4600</f>
        <v>5233</v>
      </c>
      <c r="N46" s="162">
        <f t="shared" si="2"/>
        <v>5782</v>
      </c>
      <c r="O46" s="251">
        <f>(N46-G46)/G46</f>
        <v>-0.914938064554094</v>
      </c>
      <c r="P46" s="162">
        <v>10</v>
      </c>
      <c r="Q46" s="227">
        <v>67700</v>
      </c>
      <c r="R46" s="231">
        <v>813</v>
      </c>
      <c r="S46" s="126">
        <f>113+131+139</f>
        <v>383</v>
      </c>
      <c r="T46" s="126"/>
      <c r="U46" s="126">
        <f>5600+140300+16100+99000</f>
        <v>261000</v>
      </c>
      <c r="V46" s="258">
        <f>U46+T46+S46+R46</f>
        <v>262196</v>
      </c>
      <c r="W46" s="252">
        <f>(V46-Q46)/Q46</f>
        <v>2.87290989660266</v>
      </c>
      <c r="X46" s="222">
        <v>2</v>
      </c>
      <c r="Y46" s="222">
        <v>262196</v>
      </c>
      <c r="Z46" s="225"/>
      <c r="AA46" s="126"/>
      <c r="AB46" s="126"/>
      <c r="AC46" s="126"/>
      <c r="AD46" s="258"/>
      <c r="AE46" s="255"/>
      <c r="AF46" s="162"/>
      <c r="AG46" s="159">
        <v>262196</v>
      </c>
      <c r="AH46" s="155">
        <v>6</v>
      </c>
      <c r="AI46" s="155">
        <f>935+141+38+716+14+73</f>
        <v>1917</v>
      </c>
      <c r="AJ46" s="155">
        <f>121+121+117+127+119+118+111+108+110+115+126</f>
        <v>1293</v>
      </c>
      <c r="AK46" s="155"/>
      <c r="AL46" s="155">
        <f>838+2300+2100+26300+784+849+2000+1100+2300</f>
        <v>38571</v>
      </c>
      <c r="AM46" s="159">
        <f t="shared" si="3"/>
        <v>41781</v>
      </c>
      <c r="AN46" s="260">
        <f t="shared" si="4"/>
        <v>-0.840649742940396</v>
      </c>
      <c r="AO46" s="159">
        <v>3</v>
      </c>
    </row>
    <row r="47" spans="1:41">
      <c r="A47" s="249" t="s">
        <v>108</v>
      </c>
      <c r="B47" s="231">
        <v>3</v>
      </c>
      <c r="C47" s="231">
        <v>601</v>
      </c>
      <c r="D47" s="126">
        <f>115+183</f>
        <v>298</v>
      </c>
      <c r="E47" s="126"/>
      <c r="F47" s="126">
        <f>1200+1500+4400+5400</f>
        <v>12500</v>
      </c>
      <c r="G47" s="162">
        <f>F47+E47+D47+C47</f>
        <v>13399</v>
      </c>
      <c r="H47" s="162">
        <v>6</v>
      </c>
      <c r="I47" s="231">
        <v>2</v>
      </c>
      <c r="J47" s="126">
        <f>34+153</f>
        <v>187</v>
      </c>
      <c r="K47" s="126">
        <v>96</v>
      </c>
      <c r="L47" s="126"/>
      <c r="M47" s="126">
        <f>1100+40000</f>
        <v>41100</v>
      </c>
      <c r="N47" s="162">
        <f t="shared" si="2"/>
        <v>41383</v>
      </c>
      <c r="O47" s="252">
        <f>(N47-G47)/G47</f>
        <v>2.08851406821405</v>
      </c>
      <c r="P47" s="162">
        <v>2</v>
      </c>
      <c r="Q47" s="222">
        <v>41383</v>
      </c>
      <c r="R47" s="225">
        <v>8449</v>
      </c>
      <c r="S47" s="126">
        <f>165+9975+160+114+9847</f>
        <v>20261</v>
      </c>
      <c r="T47" s="126"/>
      <c r="U47" s="126"/>
      <c r="V47" s="258">
        <f>U47+T47+S47+R47</f>
        <v>28710</v>
      </c>
      <c r="W47" s="251">
        <f>(V47-Q47)/Q47</f>
        <v>-0.306236860546601</v>
      </c>
      <c r="X47" s="222">
        <v>4</v>
      </c>
      <c r="Y47" s="222">
        <v>41383</v>
      </c>
      <c r="Z47" s="225">
        <v>4674</v>
      </c>
      <c r="AA47" s="126">
        <f>145+126+131+282</f>
        <v>684</v>
      </c>
      <c r="AB47" s="126"/>
      <c r="AC47" s="126">
        <f>51400+6900+73200</f>
        <v>131500</v>
      </c>
      <c r="AD47" s="258">
        <f>(AC47+AB47+AA47+Z47)</f>
        <v>136858</v>
      </c>
      <c r="AE47" s="252">
        <f>(AD47-Y47)/Y47</f>
        <v>2.30710678297852</v>
      </c>
      <c r="AF47" s="162">
        <v>1</v>
      </c>
      <c r="AG47" s="159">
        <v>41383</v>
      </c>
      <c r="AH47" s="155">
        <v>2</v>
      </c>
      <c r="AI47" s="155">
        <f>18+465</f>
        <v>483</v>
      </c>
      <c r="AJ47" s="155">
        <f>11800+163+168+140</f>
        <v>12271</v>
      </c>
      <c r="AK47" s="155">
        <f>669+483+395</f>
        <v>1547</v>
      </c>
      <c r="AL47" s="155">
        <f>1300+5700</f>
        <v>7000</v>
      </c>
      <c r="AM47" s="159">
        <f t="shared" si="3"/>
        <v>21301</v>
      </c>
      <c r="AN47" s="260">
        <f t="shared" si="4"/>
        <v>-0.485271729937414</v>
      </c>
      <c r="AO47" s="159">
        <v>4</v>
      </c>
    </row>
    <row r="48" spans="1:41">
      <c r="A48" s="220" t="s">
        <v>109</v>
      </c>
      <c r="B48" s="225"/>
      <c r="C48" s="225"/>
      <c r="D48" s="126"/>
      <c r="E48" s="126"/>
      <c r="F48" s="126"/>
      <c r="G48" s="162"/>
      <c r="H48" s="162"/>
      <c r="I48" s="225"/>
      <c r="J48" s="126"/>
      <c r="K48" s="126">
        <v>137</v>
      </c>
      <c r="L48" s="126"/>
      <c r="M48" s="126">
        <v>5000</v>
      </c>
      <c r="N48" s="162">
        <f t="shared" si="2"/>
        <v>5137</v>
      </c>
      <c r="O48" s="255"/>
      <c r="P48" s="162">
        <v>13</v>
      </c>
      <c r="Q48" s="237">
        <v>5137</v>
      </c>
      <c r="R48" s="236"/>
      <c r="S48" s="126"/>
      <c r="T48" s="126"/>
      <c r="U48" s="126"/>
      <c r="V48" s="258"/>
      <c r="W48" s="162"/>
      <c r="X48" s="225"/>
      <c r="Y48" s="222">
        <v>5137</v>
      </c>
      <c r="Z48" s="225"/>
      <c r="AA48" s="126">
        <f>136+145+98+112+55+244</f>
        <v>790</v>
      </c>
      <c r="AB48" s="126">
        <f>245</f>
        <v>245</v>
      </c>
      <c r="AC48" s="126">
        <f>919+1700+46600+3800</f>
        <v>53019</v>
      </c>
      <c r="AD48" s="258">
        <f>(AC48+AB48+AA48+Z48)</f>
        <v>54054</v>
      </c>
      <c r="AE48" s="252">
        <f>(AD48-Y48)/Y48</f>
        <v>9.52248394004283</v>
      </c>
      <c r="AF48" s="162">
        <v>2</v>
      </c>
      <c r="AG48" s="159">
        <v>5137</v>
      </c>
      <c r="AH48" s="155"/>
      <c r="AI48" s="155"/>
      <c r="AJ48" s="155">
        <f>125+126</f>
        <v>251</v>
      </c>
      <c r="AK48" s="155"/>
      <c r="AL48" s="155">
        <f>1100+17800</f>
        <v>18900</v>
      </c>
      <c r="AM48" s="159">
        <f t="shared" si="3"/>
        <v>19151</v>
      </c>
      <c r="AN48" s="259">
        <f t="shared" si="4"/>
        <v>2.72805139186296</v>
      </c>
      <c r="AO48" s="159">
        <v>5</v>
      </c>
    </row>
    <row r="49" spans="1:41">
      <c r="A49" s="220" t="s">
        <v>110</v>
      </c>
      <c r="B49" s="236"/>
      <c r="C49" s="236"/>
      <c r="D49" s="126"/>
      <c r="E49" s="126"/>
      <c r="F49" s="126"/>
      <c r="G49" s="162"/>
      <c r="H49" s="162"/>
      <c r="I49" s="236"/>
      <c r="J49" s="225"/>
      <c r="K49" s="126">
        <f>154</f>
        <v>154</v>
      </c>
      <c r="L49" s="126">
        <v>521</v>
      </c>
      <c r="M49" s="126">
        <f>3000</f>
        <v>3000</v>
      </c>
      <c r="N49" s="162">
        <f t="shared" si="2"/>
        <v>3675</v>
      </c>
      <c r="O49" s="255"/>
      <c r="P49" s="162">
        <v>14</v>
      </c>
      <c r="Q49" s="222">
        <v>3675</v>
      </c>
      <c r="R49" s="225"/>
      <c r="S49" s="126">
        <f>160+950</f>
        <v>1110</v>
      </c>
      <c r="T49" s="126">
        <v>601</v>
      </c>
      <c r="U49" s="126">
        <f>3400+375400+14700</f>
        <v>393500</v>
      </c>
      <c r="V49" s="258">
        <f>U49+T49+S49+R49</f>
        <v>395211</v>
      </c>
      <c r="W49" s="252">
        <f>(V49-Q49)/Q49</f>
        <v>106.540408163265</v>
      </c>
      <c r="X49" s="222">
        <v>1</v>
      </c>
      <c r="Y49" s="222">
        <v>395211</v>
      </c>
      <c r="Z49" s="225"/>
      <c r="AA49" s="126">
        <f>200</f>
        <v>200</v>
      </c>
      <c r="AB49" s="126"/>
      <c r="AC49" s="126">
        <f>18800</f>
        <v>18800</v>
      </c>
      <c r="AD49" s="258">
        <f>(AC49+AB49+AA49+Z49)</f>
        <v>19000</v>
      </c>
      <c r="AE49" s="251">
        <f>(AD49-Y49)/Y49</f>
        <v>-0.951924415059297</v>
      </c>
      <c r="AF49" s="162">
        <v>5</v>
      </c>
      <c r="AG49" s="159">
        <v>395211</v>
      </c>
      <c r="AH49" s="155"/>
      <c r="AI49" s="155"/>
      <c r="AJ49" s="155">
        <f>141</f>
        <v>141</v>
      </c>
      <c r="AK49" s="155"/>
      <c r="AL49" s="155">
        <f>17600</f>
        <v>17600</v>
      </c>
      <c r="AM49" s="159">
        <f t="shared" si="3"/>
        <v>17741</v>
      </c>
      <c r="AN49" s="260">
        <f t="shared" si="4"/>
        <v>-0.955110055135105</v>
      </c>
      <c r="AO49" s="159">
        <v>6</v>
      </c>
    </row>
    <row r="50" spans="1:41">
      <c r="A50" s="220" t="s">
        <v>111</v>
      </c>
      <c r="B50" s="225"/>
      <c r="C50" s="225"/>
      <c r="D50" s="126"/>
      <c r="E50" s="126"/>
      <c r="F50" s="126">
        <v>20300</v>
      </c>
      <c r="G50" s="162">
        <f>F50+E50+D50+C50</f>
        <v>20300</v>
      </c>
      <c r="H50" s="162">
        <v>4</v>
      </c>
      <c r="I50" s="225">
        <v>1</v>
      </c>
      <c r="J50" s="225">
        <v>6605</v>
      </c>
      <c r="K50" s="126">
        <f>106</f>
        <v>106</v>
      </c>
      <c r="L50" s="126"/>
      <c r="M50" s="126">
        <f>828+1900</f>
        <v>2728</v>
      </c>
      <c r="N50" s="162">
        <f t="shared" si="2"/>
        <v>9439</v>
      </c>
      <c r="O50" s="251">
        <f>(N50-G50)/G50</f>
        <v>-0.535024630541872</v>
      </c>
      <c r="P50" s="162">
        <v>6</v>
      </c>
      <c r="Q50" s="162">
        <v>20300</v>
      </c>
      <c r="R50" s="126"/>
      <c r="S50" s="126"/>
      <c r="T50" s="126"/>
      <c r="U50" s="126">
        <v>1600</v>
      </c>
      <c r="V50" s="258">
        <f>U50+T50+S50+R50</f>
        <v>1600</v>
      </c>
      <c r="W50" s="251">
        <f>(V50-Q50)/Q50</f>
        <v>-0.921182266009852</v>
      </c>
      <c r="X50" s="222">
        <v>18</v>
      </c>
      <c r="Y50" s="222">
        <v>20300</v>
      </c>
      <c r="Z50" s="225"/>
      <c r="AA50" s="126"/>
      <c r="AB50" s="126"/>
      <c r="AC50" s="126"/>
      <c r="AD50" s="258"/>
      <c r="AE50" s="255"/>
      <c r="AF50" s="162"/>
      <c r="AG50" s="159">
        <v>20300</v>
      </c>
      <c r="AH50" s="155"/>
      <c r="AI50" s="155"/>
      <c r="AJ50" s="155">
        <f>11500+155</f>
        <v>11655</v>
      </c>
      <c r="AK50" s="155"/>
      <c r="AL50" s="155">
        <f>2200+2000</f>
        <v>4200</v>
      </c>
      <c r="AM50" s="159">
        <f t="shared" si="3"/>
        <v>15855</v>
      </c>
      <c r="AN50" s="260">
        <f t="shared" si="4"/>
        <v>-0.218965517241379</v>
      </c>
      <c r="AO50" s="159">
        <v>7</v>
      </c>
    </row>
    <row r="51" spans="1:41">
      <c r="A51" s="220" t="s">
        <v>112</v>
      </c>
      <c r="B51" s="236"/>
      <c r="C51" s="236"/>
      <c r="D51" s="126"/>
      <c r="E51" s="126"/>
      <c r="F51" s="126">
        <f>74500+3500+3100</f>
        <v>81100</v>
      </c>
      <c r="G51" s="162">
        <f>F51+E51+D51+C51</f>
        <v>81100</v>
      </c>
      <c r="H51" s="162">
        <v>1</v>
      </c>
      <c r="I51" s="236"/>
      <c r="J51" s="225"/>
      <c r="K51" s="126">
        <f>180+9521+129</f>
        <v>9830</v>
      </c>
      <c r="L51" s="126"/>
      <c r="M51" s="126">
        <f>885+1200+1600+3200</f>
        <v>6885</v>
      </c>
      <c r="N51" s="162">
        <f t="shared" si="2"/>
        <v>16715</v>
      </c>
      <c r="O51" s="251">
        <f>(N51-G51)/G51</f>
        <v>-0.793896424167694</v>
      </c>
      <c r="P51" s="162">
        <v>3</v>
      </c>
      <c r="Q51" s="222">
        <v>81100</v>
      </c>
      <c r="R51" s="225"/>
      <c r="S51" s="126">
        <f>175</f>
        <v>175</v>
      </c>
      <c r="T51" s="126"/>
      <c r="U51" s="126"/>
      <c r="V51" s="258">
        <f>U51+T51+S51+R51</f>
        <v>175</v>
      </c>
      <c r="W51" s="251">
        <f>(V51-Q51)/Q51</f>
        <v>-0.997842170160296</v>
      </c>
      <c r="X51" s="222">
        <v>24</v>
      </c>
      <c r="Y51" s="222">
        <v>81100</v>
      </c>
      <c r="Z51" s="225">
        <v>193</v>
      </c>
      <c r="AA51" s="126">
        <f>100</f>
        <v>100</v>
      </c>
      <c r="AB51" s="126"/>
      <c r="AC51" s="126">
        <f>19400</f>
        <v>19400</v>
      </c>
      <c r="AD51" s="258">
        <f>(AC51+AB51+AA51+Z51)</f>
        <v>19693</v>
      </c>
      <c r="AE51" s="251">
        <f>(AD51-Y51)/Y51</f>
        <v>-0.757176325524044</v>
      </c>
      <c r="AF51" s="162">
        <v>4</v>
      </c>
      <c r="AG51" s="159">
        <v>81100</v>
      </c>
      <c r="AH51" s="155"/>
      <c r="AI51" s="155"/>
      <c r="AJ51" s="155">
        <f>11800</f>
        <v>11800</v>
      </c>
      <c r="AK51" s="155"/>
      <c r="AL51" s="155">
        <f>3200</f>
        <v>3200</v>
      </c>
      <c r="AM51" s="159">
        <f t="shared" si="3"/>
        <v>15000</v>
      </c>
      <c r="AN51" s="260">
        <f t="shared" si="4"/>
        <v>-0.815043156596794</v>
      </c>
      <c r="AO51" s="159">
        <v>8</v>
      </c>
    </row>
    <row r="52" spans="1:41">
      <c r="A52" s="220" t="s">
        <v>113</v>
      </c>
      <c r="B52" s="236">
        <v>1</v>
      </c>
      <c r="C52" s="236">
        <v>362</v>
      </c>
      <c r="D52" s="126"/>
      <c r="E52" s="126"/>
      <c r="F52" s="126"/>
      <c r="G52" s="162">
        <f>F52+E52+D52+C52</f>
        <v>362</v>
      </c>
      <c r="H52" s="162">
        <v>20</v>
      </c>
      <c r="I52" s="236">
        <v>1</v>
      </c>
      <c r="J52" s="126">
        <f>1460</f>
        <v>1460</v>
      </c>
      <c r="K52" s="126"/>
      <c r="L52" s="126">
        <f>229+232+296+60200</f>
        <v>60957</v>
      </c>
      <c r="M52" s="126"/>
      <c r="N52" s="162">
        <f t="shared" si="2"/>
        <v>62417</v>
      </c>
      <c r="O52" s="252">
        <f>(N52-G52)/G52</f>
        <v>171.422651933702</v>
      </c>
      <c r="P52" s="162">
        <v>1</v>
      </c>
      <c r="Q52" s="222">
        <v>62417</v>
      </c>
      <c r="R52" s="225"/>
      <c r="S52" s="126"/>
      <c r="T52" s="126"/>
      <c r="U52" s="126"/>
      <c r="V52" s="258"/>
      <c r="W52" s="162"/>
      <c r="X52" s="225"/>
      <c r="Y52" s="222">
        <v>62417</v>
      </c>
      <c r="Z52" s="225">
        <v>44</v>
      </c>
      <c r="AA52" s="126">
        <f>332+137</f>
        <v>469</v>
      </c>
      <c r="AB52" s="126"/>
      <c r="AC52" s="126">
        <f>1600+3500</f>
        <v>5100</v>
      </c>
      <c r="AD52" s="258">
        <f>(AC52+AB52+AA52+Z52)</f>
        <v>5613</v>
      </c>
      <c r="AE52" s="251">
        <f>(AD52-Y52)/Y52</f>
        <v>-0.910072576381435</v>
      </c>
      <c r="AF52" s="162">
        <v>10</v>
      </c>
      <c r="AG52" s="159">
        <v>62417</v>
      </c>
      <c r="AH52" s="155"/>
      <c r="AI52" s="155"/>
      <c r="AJ52" s="155">
        <f>10100</f>
        <v>10100</v>
      </c>
      <c r="AK52" s="155"/>
      <c r="AL52" s="155">
        <f>867</f>
        <v>867</v>
      </c>
      <c r="AM52" s="159">
        <f t="shared" si="3"/>
        <v>10967</v>
      </c>
      <c r="AN52" s="260">
        <f t="shared" si="4"/>
        <v>-0.824294663312879</v>
      </c>
      <c r="AO52" s="159">
        <v>9</v>
      </c>
    </row>
    <row r="53" spans="1:41">
      <c r="A53" s="220" t="s">
        <v>114</v>
      </c>
      <c r="B53" s="236"/>
      <c r="C53" s="225"/>
      <c r="D53" s="126"/>
      <c r="E53" s="126"/>
      <c r="F53" s="126"/>
      <c r="G53" s="162"/>
      <c r="H53" s="162"/>
      <c r="I53" s="236"/>
      <c r="J53" s="126"/>
      <c r="K53" s="126"/>
      <c r="L53" s="126"/>
      <c r="M53" s="126"/>
      <c r="N53" s="162"/>
      <c r="O53" s="126"/>
      <c r="P53" s="162"/>
      <c r="Q53" s="126"/>
      <c r="R53" s="126"/>
      <c r="S53" s="126"/>
      <c r="T53" s="126"/>
      <c r="U53" s="126"/>
      <c r="V53" s="256"/>
      <c r="W53" s="162"/>
      <c r="X53" s="126"/>
      <c r="Y53" s="126"/>
      <c r="Z53" s="126"/>
      <c r="AA53" s="126"/>
      <c r="AB53" s="126"/>
      <c r="AC53" s="126"/>
      <c r="AD53" s="258"/>
      <c r="AE53" s="258"/>
      <c r="AF53" s="162"/>
      <c r="AG53" s="154"/>
      <c r="AH53" s="155"/>
      <c r="AI53" s="155"/>
      <c r="AJ53" s="155">
        <f>10000</f>
        <v>10000</v>
      </c>
      <c r="AK53" s="155"/>
      <c r="AL53" s="155"/>
      <c r="AM53" s="159">
        <f t="shared" si="3"/>
        <v>10000</v>
      </c>
      <c r="AN53" s="261"/>
      <c r="AO53" s="159">
        <v>10</v>
      </c>
    </row>
    <row r="54" spans="1:41">
      <c r="A54" s="220" t="s">
        <v>115</v>
      </c>
      <c r="B54" s="225"/>
      <c r="C54" s="225"/>
      <c r="D54" s="126">
        <f>141</f>
        <v>141</v>
      </c>
      <c r="E54" s="126"/>
      <c r="F54" s="126">
        <f>1500+792+21900+839</f>
        <v>25031</v>
      </c>
      <c r="G54" s="162">
        <f t="shared" ref="G54:G59" si="5">F54+E54+D54+C54</f>
        <v>25172</v>
      </c>
      <c r="H54" s="162">
        <v>3</v>
      </c>
      <c r="I54" s="225"/>
      <c r="J54" s="225"/>
      <c r="K54" s="126"/>
      <c r="L54" s="126"/>
      <c r="M54" s="126"/>
      <c r="N54" s="162">
        <f t="shared" ref="N54:N71" si="6">M54+L54+K54+J54</f>
        <v>0</v>
      </c>
      <c r="O54" s="229"/>
      <c r="P54" s="162"/>
      <c r="Q54" s="225"/>
      <c r="R54" s="225"/>
      <c r="S54" s="126"/>
      <c r="T54" s="126"/>
      <c r="U54" s="126"/>
      <c r="V54" s="258"/>
      <c r="W54" s="162"/>
      <c r="X54" s="225"/>
      <c r="Y54" s="222"/>
      <c r="Z54" s="225">
        <v>633</v>
      </c>
      <c r="AA54" s="126">
        <f>135+139+100+110+89+147+174</f>
        <v>894</v>
      </c>
      <c r="AB54" s="126">
        <f>467</f>
        <v>467</v>
      </c>
      <c r="AC54" s="126">
        <f>26700+4900+2200+2700+2800</f>
        <v>39300</v>
      </c>
      <c r="AD54" s="258">
        <f t="shared" ref="AD54:AD64" si="7">(AC54+AB54+AA54+Z54)</f>
        <v>41294</v>
      </c>
      <c r="AE54" s="255"/>
      <c r="AF54" s="162">
        <v>3</v>
      </c>
      <c r="AG54" s="159">
        <v>41294</v>
      </c>
      <c r="AH54" s="155"/>
      <c r="AI54" s="155"/>
      <c r="AJ54" s="155">
        <f>162+135+163+56+163+228</f>
        <v>907</v>
      </c>
      <c r="AK54" s="155">
        <f>477</f>
        <v>477</v>
      </c>
      <c r="AL54" s="155">
        <f>1000+1300+1300+796+555+2900</f>
        <v>7851</v>
      </c>
      <c r="AM54" s="159">
        <f t="shared" si="3"/>
        <v>9235</v>
      </c>
      <c r="AN54" s="259">
        <f t="shared" si="4"/>
        <v>-0.776359761708723</v>
      </c>
      <c r="AO54" s="159">
        <v>11</v>
      </c>
    </row>
    <row r="55" spans="1:41">
      <c r="A55" s="220" t="s">
        <v>116</v>
      </c>
      <c r="B55" s="225"/>
      <c r="C55" s="225"/>
      <c r="D55" s="126">
        <f>103+129</f>
        <v>232</v>
      </c>
      <c r="E55" s="126"/>
      <c r="F55" s="126">
        <f>371+480+1400+1200</f>
        <v>3451</v>
      </c>
      <c r="G55" s="162">
        <f t="shared" si="5"/>
        <v>3683</v>
      </c>
      <c r="H55" s="162">
        <v>11</v>
      </c>
      <c r="I55" s="225"/>
      <c r="J55" s="225"/>
      <c r="K55" s="126">
        <f>109+141+91+170</f>
        <v>511</v>
      </c>
      <c r="L55" s="126"/>
      <c r="M55" s="126">
        <f>2400+406+618+917+589</f>
        <v>4930</v>
      </c>
      <c r="N55" s="162">
        <f t="shared" si="6"/>
        <v>5441</v>
      </c>
      <c r="O55" s="252">
        <f>(N55-G55)/G55</f>
        <v>0.477328265001358</v>
      </c>
      <c r="P55" s="162">
        <v>12</v>
      </c>
      <c r="Q55" s="237">
        <v>5441</v>
      </c>
      <c r="R55" s="236"/>
      <c r="S55" s="126">
        <f>185+162+124</f>
        <v>471</v>
      </c>
      <c r="T55" s="126"/>
      <c r="U55" s="126">
        <f>2700+7600+949</f>
        <v>11249</v>
      </c>
      <c r="V55" s="258">
        <f t="shared" ref="V55:V71" si="8">U55+T55+S55+R55</f>
        <v>11720</v>
      </c>
      <c r="W55" s="252">
        <f t="shared" ref="W55:W69" si="9">(V55-Q55)/Q55</f>
        <v>1.15401580591803</v>
      </c>
      <c r="X55" s="222">
        <v>7</v>
      </c>
      <c r="Y55" s="222">
        <v>11720</v>
      </c>
      <c r="Z55" s="126"/>
      <c r="AA55" s="126">
        <f>110+102</f>
        <v>212</v>
      </c>
      <c r="AB55" s="126">
        <f>424</f>
        <v>424</v>
      </c>
      <c r="AC55" s="126">
        <f>2100+4300+700</f>
        <v>7100</v>
      </c>
      <c r="AD55" s="258">
        <f t="shared" si="7"/>
        <v>7736</v>
      </c>
      <c r="AE55" s="251">
        <f t="shared" ref="AE55:AE64" si="10">(AD55-Y55)/Y55</f>
        <v>-0.339931740614334</v>
      </c>
      <c r="AF55" s="162">
        <v>6</v>
      </c>
      <c r="AG55" s="159">
        <v>11720</v>
      </c>
      <c r="AH55" s="155"/>
      <c r="AI55" s="155"/>
      <c r="AJ55" s="155">
        <f>132+135+125</f>
        <v>392</v>
      </c>
      <c r="AK55" s="155">
        <f>424</f>
        <v>424</v>
      </c>
      <c r="AL55" s="155">
        <f>1400+2200</f>
        <v>3600</v>
      </c>
      <c r="AM55" s="159">
        <f t="shared" si="3"/>
        <v>4416</v>
      </c>
      <c r="AN55" s="260">
        <f t="shared" si="4"/>
        <v>-0.62320819112628</v>
      </c>
      <c r="AO55" s="159">
        <v>12</v>
      </c>
    </row>
    <row r="56" spans="1:41">
      <c r="A56" s="220" t="s">
        <v>117</v>
      </c>
      <c r="B56" s="225">
        <v>1</v>
      </c>
      <c r="C56" s="225">
        <v>2124</v>
      </c>
      <c r="D56" s="126">
        <v>146</v>
      </c>
      <c r="E56" s="126"/>
      <c r="F56" s="126">
        <f>474+1100+1400</f>
        <v>2974</v>
      </c>
      <c r="G56" s="162">
        <f t="shared" si="5"/>
        <v>5244</v>
      </c>
      <c r="H56" s="162">
        <v>9</v>
      </c>
      <c r="I56" s="225">
        <v>1</v>
      </c>
      <c r="J56" s="236">
        <v>645</v>
      </c>
      <c r="K56" s="126">
        <f>134+160</f>
        <v>294</v>
      </c>
      <c r="L56" s="126"/>
      <c r="M56" s="256">
        <f>652+1500</f>
        <v>2152</v>
      </c>
      <c r="N56" s="162">
        <f t="shared" si="6"/>
        <v>3091</v>
      </c>
      <c r="O56" s="251">
        <f>(N56-G56)/G56</f>
        <v>-0.410564454614798</v>
      </c>
      <c r="P56" s="162">
        <v>16</v>
      </c>
      <c r="Q56" s="222">
        <v>2974</v>
      </c>
      <c r="R56" s="225">
        <v>408</v>
      </c>
      <c r="S56" s="126"/>
      <c r="T56" s="126"/>
      <c r="U56" s="126"/>
      <c r="V56" s="258">
        <f t="shared" si="8"/>
        <v>408</v>
      </c>
      <c r="W56" s="251">
        <f t="shared" si="9"/>
        <v>-0.862811028917283</v>
      </c>
      <c r="X56" s="222">
        <v>22</v>
      </c>
      <c r="Y56" s="222">
        <v>2974</v>
      </c>
      <c r="Z56" s="126"/>
      <c r="AA56" s="126">
        <f>130+113</f>
        <v>243</v>
      </c>
      <c r="AB56" s="126"/>
      <c r="AC56" s="126">
        <f>1200+1200</f>
        <v>2400</v>
      </c>
      <c r="AD56" s="258">
        <f t="shared" si="7"/>
        <v>2643</v>
      </c>
      <c r="AE56" s="251">
        <f t="shared" si="10"/>
        <v>-0.111297915265636</v>
      </c>
      <c r="AF56" s="162">
        <v>14</v>
      </c>
      <c r="AG56" s="159">
        <v>2974</v>
      </c>
      <c r="AH56" s="155"/>
      <c r="AI56" s="155"/>
      <c r="AJ56" s="155">
        <f>126</f>
        <v>126</v>
      </c>
      <c r="AK56" s="155"/>
      <c r="AL56" s="155">
        <f>554+1500+1600</f>
        <v>3654</v>
      </c>
      <c r="AM56" s="159">
        <f t="shared" si="3"/>
        <v>3780</v>
      </c>
      <c r="AN56" s="259">
        <f t="shared" si="4"/>
        <v>0.271015467383995</v>
      </c>
      <c r="AO56" s="159">
        <v>13</v>
      </c>
    </row>
    <row r="57" spans="1:41">
      <c r="A57" s="220" t="s">
        <v>118</v>
      </c>
      <c r="B57" s="126"/>
      <c r="C57" s="126"/>
      <c r="D57" s="126">
        <f>124+157</f>
        <v>281</v>
      </c>
      <c r="E57" s="126"/>
      <c r="F57" s="126">
        <f>1200+1900</f>
        <v>3100</v>
      </c>
      <c r="G57" s="162">
        <f t="shared" si="5"/>
        <v>3381</v>
      </c>
      <c r="H57" s="162">
        <v>12</v>
      </c>
      <c r="I57" s="126"/>
      <c r="J57" s="236"/>
      <c r="K57" s="126"/>
      <c r="L57" s="126"/>
      <c r="M57" s="126">
        <f>600+846</f>
        <v>1446</v>
      </c>
      <c r="N57" s="162">
        <f t="shared" si="6"/>
        <v>1446</v>
      </c>
      <c r="O57" s="251">
        <f>(N57-G57)/G57</f>
        <v>-0.572315882874889</v>
      </c>
      <c r="P57" s="162">
        <v>20</v>
      </c>
      <c r="Q57" s="227">
        <v>3381</v>
      </c>
      <c r="R57" s="126"/>
      <c r="S57" s="126">
        <f>100+4017+225+142</f>
        <v>4484</v>
      </c>
      <c r="T57" s="126"/>
      <c r="U57" s="126">
        <f>2200+2400+1400+948</f>
        <v>6948</v>
      </c>
      <c r="V57" s="258">
        <f t="shared" si="8"/>
        <v>11432</v>
      </c>
      <c r="W57" s="252">
        <f t="shared" si="9"/>
        <v>2.38124815143449</v>
      </c>
      <c r="X57" s="222">
        <v>8</v>
      </c>
      <c r="Y57" s="222">
        <v>11432</v>
      </c>
      <c r="Z57" s="126"/>
      <c r="AA57" s="126">
        <f>125</f>
        <v>125</v>
      </c>
      <c r="AB57" s="126"/>
      <c r="AC57" s="126">
        <f>2500</f>
        <v>2500</v>
      </c>
      <c r="AD57" s="258">
        <f t="shared" si="7"/>
        <v>2625</v>
      </c>
      <c r="AE57" s="251">
        <f t="shared" si="10"/>
        <v>-0.770381385584325</v>
      </c>
      <c r="AF57" s="162">
        <v>15</v>
      </c>
      <c r="AG57" s="159">
        <v>11432</v>
      </c>
      <c r="AH57" s="155"/>
      <c r="AI57" s="155"/>
      <c r="AJ57" s="155">
        <f>119+123</f>
        <v>242</v>
      </c>
      <c r="AK57" s="155"/>
      <c r="AL57" s="155">
        <f>3200</f>
        <v>3200</v>
      </c>
      <c r="AM57" s="159">
        <f t="shared" si="3"/>
        <v>3442</v>
      </c>
      <c r="AN57" s="260">
        <f t="shared" si="4"/>
        <v>-0.698915325402379</v>
      </c>
      <c r="AO57" s="159">
        <v>14</v>
      </c>
    </row>
    <row r="58" spans="1:41">
      <c r="A58" s="220" t="s">
        <v>119</v>
      </c>
      <c r="B58" s="225"/>
      <c r="C58" s="225"/>
      <c r="D58" s="126">
        <f>207+212</f>
        <v>419</v>
      </c>
      <c r="E58" s="126"/>
      <c r="F58" s="126">
        <f>619+5700+2600+3500+2100</f>
        <v>14519</v>
      </c>
      <c r="G58" s="162">
        <f t="shared" si="5"/>
        <v>14938</v>
      </c>
      <c r="H58" s="162">
        <v>5</v>
      </c>
      <c r="I58" s="225">
        <v>1</v>
      </c>
      <c r="J58" s="225">
        <v>29</v>
      </c>
      <c r="K58" s="126">
        <f>144+124+210+260</f>
        <v>738</v>
      </c>
      <c r="L58" s="126">
        <v>185</v>
      </c>
      <c r="M58" s="126">
        <f>3800+1100+2000+887</f>
        <v>7787</v>
      </c>
      <c r="N58" s="162">
        <f t="shared" si="6"/>
        <v>8739</v>
      </c>
      <c r="O58" s="251">
        <f>(N58-G58)/G58</f>
        <v>-0.414981925291204</v>
      </c>
      <c r="P58" s="162">
        <v>7</v>
      </c>
      <c r="Q58" s="227">
        <v>14938</v>
      </c>
      <c r="R58" s="126"/>
      <c r="S58" s="126">
        <f>147+174</f>
        <v>321</v>
      </c>
      <c r="T58" s="126"/>
      <c r="U58" s="126">
        <f>1400</f>
        <v>1400</v>
      </c>
      <c r="V58" s="258">
        <f t="shared" si="8"/>
        <v>1721</v>
      </c>
      <c r="W58" s="251">
        <f t="shared" si="9"/>
        <v>-0.884790467264694</v>
      </c>
      <c r="X58" s="222">
        <v>17</v>
      </c>
      <c r="Y58" s="222">
        <v>14938</v>
      </c>
      <c r="Z58" s="126"/>
      <c r="AA58" s="126">
        <f>159</f>
        <v>159</v>
      </c>
      <c r="AB58" s="126"/>
      <c r="AC58" s="126"/>
      <c r="AD58" s="258">
        <f t="shared" si="7"/>
        <v>159</v>
      </c>
      <c r="AE58" s="251">
        <f t="shared" si="10"/>
        <v>-0.989356004819922</v>
      </c>
      <c r="AF58" s="162">
        <v>20</v>
      </c>
      <c r="AG58" s="159">
        <v>14938</v>
      </c>
      <c r="AH58" s="155"/>
      <c r="AI58" s="155"/>
      <c r="AJ58" s="155">
        <f>177</f>
        <v>177</v>
      </c>
      <c r="AK58" s="155"/>
      <c r="AL58" s="155">
        <f>1800+1400</f>
        <v>3200</v>
      </c>
      <c r="AM58" s="159">
        <f t="shared" si="3"/>
        <v>3377</v>
      </c>
      <c r="AN58" s="260">
        <f t="shared" si="4"/>
        <v>-0.773932253313697</v>
      </c>
      <c r="AO58" s="159">
        <v>15</v>
      </c>
    </row>
    <row r="59" spans="1:41">
      <c r="A59" s="220" t="s">
        <v>120</v>
      </c>
      <c r="B59" s="225"/>
      <c r="C59" s="225"/>
      <c r="D59" s="126">
        <v>124</v>
      </c>
      <c r="E59" s="126"/>
      <c r="F59" s="126">
        <v>5200</v>
      </c>
      <c r="G59" s="162">
        <f t="shared" si="5"/>
        <v>5324</v>
      </c>
      <c r="H59" s="162">
        <v>8</v>
      </c>
      <c r="I59" s="225">
        <v>1</v>
      </c>
      <c r="J59" s="126">
        <v>782</v>
      </c>
      <c r="K59" s="126"/>
      <c r="L59" s="126"/>
      <c r="M59" s="126"/>
      <c r="N59" s="162">
        <f t="shared" si="6"/>
        <v>782</v>
      </c>
      <c r="O59" s="251">
        <f>(N59-G59)/G59</f>
        <v>-0.853117956423742</v>
      </c>
      <c r="P59" s="162">
        <v>24</v>
      </c>
      <c r="Q59" s="162">
        <v>5200</v>
      </c>
      <c r="R59" s="225">
        <v>2565</v>
      </c>
      <c r="S59" s="126"/>
      <c r="T59" s="126">
        <v>3161</v>
      </c>
      <c r="U59" s="126">
        <f>938</f>
        <v>938</v>
      </c>
      <c r="V59" s="258">
        <f t="shared" si="8"/>
        <v>6664</v>
      </c>
      <c r="W59" s="252">
        <f t="shared" si="9"/>
        <v>0.281538461538462</v>
      </c>
      <c r="X59" s="222">
        <v>9</v>
      </c>
      <c r="Y59" s="222">
        <v>6664</v>
      </c>
      <c r="Z59" s="236">
        <v>21</v>
      </c>
      <c r="AA59" s="126">
        <f>142</f>
        <v>142</v>
      </c>
      <c r="AB59" s="126"/>
      <c r="AC59" s="256"/>
      <c r="AD59" s="258">
        <f t="shared" si="7"/>
        <v>163</v>
      </c>
      <c r="AE59" s="251">
        <f t="shared" si="10"/>
        <v>-0.975540216086435</v>
      </c>
      <c r="AF59" s="162">
        <v>19</v>
      </c>
      <c r="AG59" s="159">
        <v>6664</v>
      </c>
      <c r="AH59" s="155"/>
      <c r="AI59" s="155"/>
      <c r="AJ59" s="155">
        <f>144</f>
        <v>144</v>
      </c>
      <c r="AK59" s="155"/>
      <c r="AL59" s="155">
        <f>563+2500</f>
        <v>3063</v>
      </c>
      <c r="AM59" s="159">
        <f t="shared" si="3"/>
        <v>3207</v>
      </c>
      <c r="AN59" s="260">
        <f t="shared" si="4"/>
        <v>-0.5187575030012</v>
      </c>
      <c r="AO59" s="159">
        <v>16</v>
      </c>
    </row>
    <row r="60" spans="1:41">
      <c r="A60" s="220" t="s">
        <v>121</v>
      </c>
      <c r="B60" s="126"/>
      <c r="C60" s="126"/>
      <c r="D60" s="126"/>
      <c r="E60" s="126"/>
      <c r="F60" s="126"/>
      <c r="G60" s="162"/>
      <c r="H60" s="162"/>
      <c r="I60" s="126"/>
      <c r="J60" s="225"/>
      <c r="K60" s="126"/>
      <c r="L60" s="126"/>
      <c r="M60" s="126">
        <f>1300</f>
        <v>1300</v>
      </c>
      <c r="N60" s="162">
        <f t="shared" si="6"/>
        <v>1300</v>
      </c>
      <c r="O60" s="251"/>
      <c r="P60" s="162">
        <v>21</v>
      </c>
      <c r="Q60" s="162">
        <v>1300</v>
      </c>
      <c r="R60" s="126">
        <v>538</v>
      </c>
      <c r="S60" s="126">
        <f>2353+139+150</f>
        <v>2642</v>
      </c>
      <c r="T60" s="126">
        <v>1239</v>
      </c>
      <c r="U60" s="126">
        <f>882+111+8100</f>
        <v>9093</v>
      </c>
      <c r="V60" s="258">
        <f t="shared" si="8"/>
        <v>13512</v>
      </c>
      <c r="W60" s="252">
        <f t="shared" si="9"/>
        <v>9.39384615384615</v>
      </c>
      <c r="X60" s="222">
        <v>6</v>
      </c>
      <c r="Y60" s="222">
        <v>13512</v>
      </c>
      <c r="Z60" s="126"/>
      <c r="AA60" s="126"/>
      <c r="AB60" s="126">
        <f>125</f>
        <v>125</v>
      </c>
      <c r="AC60" s="126"/>
      <c r="AD60" s="258">
        <f t="shared" si="7"/>
        <v>125</v>
      </c>
      <c r="AE60" s="251">
        <f t="shared" si="10"/>
        <v>-0.990748963883955</v>
      </c>
      <c r="AF60" s="162">
        <v>22</v>
      </c>
      <c r="AG60" s="159">
        <v>13512</v>
      </c>
      <c r="AH60" s="155">
        <v>1</v>
      </c>
      <c r="AI60" s="155">
        <v>122</v>
      </c>
      <c r="AJ60" s="155">
        <f>1082</f>
        <v>1082</v>
      </c>
      <c r="AK60" s="155"/>
      <c r="AL60" s="155">
        <f>1500</f>
        <v>1500</v>
      </c>
      <c r="AM60" s="159">
        <f t="shared" si="3"/>
        <v>2704</v>
      </c>
      <c r="AN60" s="260">
        <f t="shared" si="4"/>
        <v>-0.799881586737715</v>
      </c>
      <c r="AO60" s="159">
        <v>17</v>
      </c>
    </row>
    <row r="61" spans="1:41">
      <c r="A61" s="220" t="s">
        <v>122</v>
      </c>
      <c r="B61" s="126"/>
      <c r="C61" s="126"/>
      <c r="D61" s="126">
        <f>140</f>
        <v>140</v>
      </c>
      <c r="E61" s="126"/>
      <c r="F61" s="126">
        <v>1200</v>
      </c>
      <c r="G61" s="162">
        <f>F61+E61+D61+C61</f>
        <v>1340</v>
      </c>
      <c r="H61" s="162">
        <v>16</v>
      </c>
      <c r="I61" s="126"/>
      <c r="J61" s="225"/>
      <c r="K61" s="126">
        <v>123</v>
      </c>
      <c r="L61" s="126">
        <v>70</v>
      </c>
      <c r="M61" s="126">
        <f>404+1000+447</f>
        <v>1851</v>
      </c>
      <c r="N61" s="162">
        <f t="shared" si="6"/>
        <v>2044</v>
      </c>
      <c r="O61" s="252">
        <f>(N61-G61)/G61</f>
        <v>0.525373134328358</v>
      </c>
      <c r="P61" s="162">
        <v>19</v>
      </c>
      <c r="Q61" s="222">
        <v>2044</v>
      </c>
      <c r="R61" s="225"/>
      <c r="S61" s="126">
        <f>172+157</f>
        <v>329</v>
      </c>
      <c r="T61" s="126">
        <f>185</f>
        <v>185</v>
      </c>
      <c r="U61" s="126">
        <f>4500+1100</f>
        <v>5600</v>
      </c>
      <c r="V61" s="258">
        <f t="shared" si="8"/>
        <v>6114</v>
      </c>
      <c r="W61" s="252">
        <f t="shared" si="9"/>
        <v>1.99119373776908</v>
      </c>
      <c r="X61" s="222">
        <v>11</v>
      </c>
      <c r="Y61" s="222">
        <v>6114</v>
      </c>
      <c r="Z61" s="225"/>
      <c r="AA61" s="126"/>
      <c r="AB61" s="126"/>
      <c r="AC61" s="126">
        <f>1800+4200</f>
        <v>6000</v>
      </c>
      <c r="AD61" s="258">
        <f t="shared" si="7"/>
        <v>6000</v>
      </c>
      <c r="AE61" s="251">
        <f t="shared" si="10"/>
        <v>-0.0186457311089303</v>
      </c>
      <c r="AF61" s="162">
        <v>8</v>
      </c>
      <c r="AG61" s="159">
        <v>6114</v>
      </c>
      <c r="AH61" s="155">
        <v>1</v>
      </c>
      <c r="AI61" s="155">
        <v>85</v>
      </c>
      <c r="AJ61" s="155">
        <f>180+177</f>
        <v>357</v>
      </c>
      <c r="AK61" s="155"/>
      <c r="AL61" s="155">
        <f>721+1300</f>
        <v>2021</v>
      </c>
      <c r="AM61" s="159">
        <f t="shared" si="3"/>
        <v>2463</v>
      </c>
      <c r="AN61" s="260">
        <f t="shared" si="4"/>
        <v>-0.597154072620216</v>
      </c>
      <c r="AO61" s="159">
        <v>18</v>
      </c>
    </row>
    <row r="62" spans="1:41">
      <c r="A62" s="220" t="s">
        <v>123</v>
      </c>
      <c r="B62" s="126"/>
      <c r="C62" s="126"/>
      <c r="D62" s="126">
        <f>121+127+135</f>
        <v>383</v>
      </c>
      <c r="E62" s="126"/>
      <c r="F62" s="126">
        <f>1300+925+1600</f>
        <v>3825</v>
      </c>
      <c r="G62" s="162">
        <f>F62+E62+D62+C62</f>
        <v>4208</v>
      </c>
      <c r="H62" s="162">
        <v>10</v>
      </c>
      <c r="I62" s="126"/>
      <c r="J62" s="231"/>
      <c r="K62" s="126">
        <f>170</f>
        <v>170</v>
      </c>
      <c r="L62" s="126"/>
      <c r="M62" s="126">
        <f>5500</f>
        <v>5500</v>
      </c>
      <c r="N62" s="162">
        <f t="shared" si="6"/>
        <v>5670</v>
      </c>
      <c r="O62" s="252">
        <f>(N62-G62)/G62</f>
        <v>0.347433460076046</v>
      </c>
      <c r="P62" s="162">
        <v>11</v>
      </c>
      <c r="Q62" s="222">
        <v>5670</v>
      </c>
      <c r="R62" s="225"/>
      <c r="S62" s="126">
        <f>125+168+164</f>
        <v>457</v>
      </c>
      <c r="T62" s="126"/>
      <c r="U62" s="126">
        <f>2700+3500</f>
        <v>6200</v>
      </c>
      <c r="V62" s="258">
        <f t="shared" si="8"/>
        <v>6657</v>
      </c>
      <c r="W62" s="252">
        <f t="shared" si="9"/>
        <v>0.174074074074074</v>
      </c>
      <c r="X62" s="222">
        <v>10</v>
      </c>
      <c r="Y62" s="222">
        <v>6657</v>
      </c>
      <c r="Z62" s="231"/>
      <c r="AA62" s="126"/>
      <c r="AB62" s="126"/>
      <c r="AC62" s="126">
        <f>1300</f>
        <v>1300</v>
      </c>
      <c r="AD62" s="258">
        <f t="shared" si="7"/>
        <v>1300</v>
      </c>
      <c r="AE62" s="251">
        <f t="shared" si="10"/>
        <v>-0.804716839417155</v>
      </c>
      <c r="AF62" s="162">
        <v>18</v>
      </c>
      <c r="AG62" s="159">
        <v>6657</v>
      </c>
      <c r="AH62" s="155"/>
      <c r="AI62" s="155"/>
      <c r="AJ62" s="155">
        <f>157</f>
        <v>157</v>
      </c>
      <c r="AK62" s="155"/>
      <c r="AL62" s="155">
        <f>1900</f>
        <v>1900</v>
      </c>
      <c r="AM62" s="159">
        <f t="shared" si="3"/>
        <v>2057</v>
      </c>
      <c r="AN62" s="260">
        <f t="shared" si="4"/>
        <v>-0.691001952831606</v>
      </c>
      <c r="AO62" s="159">
        <v>19</v>
      </c>
    </row>
    <row r="63" spans="1:41">
      <c r="A63" s="220" t="s">
        <v>124</v>
      </c>
      <c r="B63" s="225"/>
      <c r="C63" s="225"/>
      <c r="D63" s="126">
        <v>121</v>
      </c>
      <c r="E63" s="126"/>
      <c r="F63" s="126">
        <v>626</v>
      </c>
      <c r="G63" s="162">
        <f>F63+E63+D63+C63</f>
        <v>747</v>
      </c>
      <c r="H63" s="162">
        <v>19</v>
      </c>
      <c r="I63" s="225"/>
      <c r="J63" s="225"/>
      <c r="K63" s="126">
        <v>145</v>
      </c>
      <c r="L63" s="126"/>
      <c r="M63" s="126"/>
      <c r="N63" s="162">
        <f t="shared" si="6"/>
        <v>145</v>
      </c>
      <c r="O63" s="251">
        <f>(N63-G63)/G63</f>
        <v>-0.805890227576975</v>
      </c>
      <c r="P63" s="162">
        <v>25</v>
      </c>
      <c r="Q63" s="162">
        <v>626</v>
      </c>
      <c r="R63" s="225"/>
      <c r="S63" s="126">
        <f>153+125</f>
        <v>278</v>
      </c>
      <c r="T63" s="126"/>
      <c r="U63" s="126">
        <v>2000</v>
      </c>
      <c r="V63" s="258">
        <f t="shared" si="8"/>
        <v>2278</v>
      </c>
      <c r="W63" s="252">
        <f t="shared" si="9"/>
        <v>2.63897763578275</v>
      </c>
      <c r="X63" s="222">
        <v>16</v>
      </c>
      <c r="Y63" s="222">
        <v>2278</v>
      </c>
      <c r="Z63" s="225"/>
      <c r="AA63" s="126">
        <f>133+124</f>
        <v>257</v>
      </c>
      <c r="AB63" s="126"/>
      <c r="AC63" s="126">
        <f>3000+2800</f>
        <v>5800</v>
      </c>
      <c r="AD63" s="258">
        <f t="shared" si="7"/>
        <v>6057</v>
      </c>
      <c r="AE63" s="252">
        <f t="shared" si="10"/>
        <v>1.65891132572432</v>
      </c>
      <c r="AF63" s="162">
        <v>7</v>
      </c>
      <c r="AG63" s="159">
        <v>6057</v>
      </c>
      <c r="AH63" s="155"/>
      <c r="AI63" s="155"/>
      <c r="AJ63" s="155">
        <f>155</f>
        <v>155</v>
      </c>
      <c r="AK63" s="155"/>
      <c r="AL63" s="155">
        <f>591+926</f>
        <v>1517</v>
      </c>
      <c r="AM63" s="159">
        <f t="shared" si="3"/>
        <v>1672</v>
      </c>
      <c r="AN63" s="260">
        <f t="shared" si="4"/>
        <v>-0.723955753673436</v>
      </c>
      <c r="AO63" s="159">
        <v>20</v>
      </c>
    </row>
    <row r="64" spans="1:41">
      <c r="A64" s="220" t="s">
        <v>125</v>
      </c>
      <c r="B64" s="225">
        <v>1</v>
      </c>
      <c r="C64" s="225">
        <v>143</v>
      </c>
      <c r="D64" s="126">
        <f>208</f>
        <v>208</v>
      </c>
      <c r="E64" s="126">
        <v>396</v>
      </c>
      <c r="F64" s="126">
        <f>1600+692</f>
        <v>2292</v>
      </c>
      <c r="G64" s="162">
        <f>F64+E64+D64+C64</f>
        <v>3039</v>
      </c>
      <c r="H64" s="162">
        <v>13</v>
      </c>
      <c r="I64" s="225"/>
      <c r="J64" s="236"/>
      <c r="K64" s="126"/>
      <c r="L64" s="126"/>
      <c r="M64" s="126">
        <f>810+12500</f>
        <v>13310</v>
      </c>
      <c r="N64" s="162">
        <f t="shared" si="6"/>
        <v>13310</v>
      </c>
      <c r="O64" s="252">
        <f>(N64-G64)/G64</f>
        <v>3.37973017439947</v>
      </c>
      <c r="P64" s="162">
        <v>4</v>
      </c>
      <c r="Q64" s="222">
        <v>13310</v>
      </c>
      <c r="R64" s="225">
        <v>92</v>
      </c>
      <c r="S64" s="126">
        <f>191</f>
        <v>191</v>
      </c>
      <c r="T64" s="126">
        <v>673</v>
      </c>
      <c r="U64" s="126"/>
      <c r="V64" s="258">
        <f t="shared" si="8"/>
        <v>956</v>
      </c>
      <c r="W64" s="251">
        <f t="shared" si="9"/>
        <v>-0.928174305033809</v>
      </c>
      <c r="X64" s="222">
        <v>21</v>
      </c>
      <c r="Y64" s="222">
        <v>13310</v>
      </c>
      <c r="Z64" s="126"/>
      <c r="AA64" s="126">
        <f>140</f>
        <v>140</v>
      </c>
      <c r="AB64" s="126"/>
      <c r="AC64" s="126"/>
      <c r="AD64" s="258">
        <f t="shared" si="7"/>
        <v>140</v>
      </c>
      <c r="AE64" s="251">
        <f t="shared" si="10"/>
        <v>-0.989481592787378</v>
      </c>
      <c r="AF64" s="162">
        <v>21</v>
      </c>
      <c r="AG64" s="159">
        <v>13310</v>
      </c>
      <c r="AH64" s="155"/>
      <c r="AI64" s="155"/>
      <c r="AJ64" s="155">
        <f>133+141</f>
        <v>274</v>
      </c>
      <c r="AK64" s="155"/>
      <c r="AL64" s="155">
        <v>686</v>
      </c>
      <c r="AM64" s="159">
        <f t="shared" si="3"/>
        <v>960</v>
      </c>
      <c r="AN64" s="260">
        <f t="shared" si="4"/>
        <v>-0.927873779113448</v>
      </c>
      <c r="AO64" s="159">
        <v>21</v>
      </c>
    </row>
    <row r="65" spans="1:41">
      <c r="A65" s="220" t="s">
        <v>126</v>
      </c>
      <c r="B65" s="225"/>
      <c r="C65" s="225"/>
      <c r="D65" s="126"/>
      <c r="E65" s="126"/>
      <c r="F65" s="126"/>
      <c r="G65" s="162"/>
      <c r="H65" s="162"/>
      <c r="I65" s="225"/>
      <c r="J65" s="225"/>
      <c r="K65" s="126">
        <v>10000</v>
      </c>
      <c r="L65" s="126"/>
      <c r="M65" s="126">
        <f>2800</f>
        <v>2800</v>
      </c>
      <c r="N65" s="162">
        <f t="shared" si="6"/>
        <v>12800</v>
      </c>
      <c r="O65" s="251"/>
      <c r="P65" s="162">
        <v>5</v>
      </c>
      <c r="Q65" s="222">
        <v>12800</v>
      </c>
      <c r="R65" s="225"/>
      <c r="S65" s="126">
        <f>2674+10900</f>
        <v>13574</v>
      </c>
      <c r="T65" s="126"/>
      <c r="U65" s="126">
        <f>2800+1900</f>
        <v>4700</v>
      </c>
      <c r="V65" s="258">
        <f t="shared" si="8"/>
        <v>18274</v>
      </c>
      <c r="W65" s="252">
        <f t="shared" si="9"/>
        <v>0.42765625</v>
      </c>
      <c r="X65" s="222">
        <v>5</v>
      </c>
      <c r="Y65" s="222">
        <v>18274</v>
      </c>
      <c r="Z65" s="225"/>
      <c r="AA65" s="126"/>
      <c r="AB65" s="126"/>
      <c r="AC65" s="126"/>
      <c r="AD65" s="258"/>
      <c r="AE65" s="255"/>
      <c r="AF65" s="162"/>
      <c r="AG65" s="159">
        <v>18274</v>
      </c>
      <c r="AH65" s="155"/>
      <c r="AI65" s="155"/>
      <c r="AJ65" s="155">
        <f>139</f>
        <v>139</v>
      </c>
      <c r="AK65" s="155"/>
      <c r="AL65" s="155">
        <f>812</f>
        <v>812</v>
      </c>
      <c r="AM65" s="159">
        <f t="shared" si="3"/>
        <v>951</v>
      </c>
      <c r="AN65" s="260">
        <f t="shared" si="4"/>
        <v>-0.947958848637408</v>
      </c>
      <c r="AO65" s="159">
        <v>22</v>
      </c>
    </row>
    <row r="66" spans="1:41">
      <c r="A66" s="220" t="s">
        <v>127</v>
      </c>
      <c r="B66" s="225"/>
      <c r="C66" s="225"/>
      <c r="D66" s="126"/>
      <c r="E66" s="126"/>
      <c r="F66" s="126">
        <v>1300</v>
      </c>
      <c r="G66" s="162">
        <f>F66+E66+D66+C66</f>
        <v>1300</v>
      </c>
      <c r="H66" s="162">
        <v>17</v>
      </c>
      <c r="I66" s="225"/>
      <c r="J66" s="126"/>
      <c r="K66" s="126"/>
      <c r="L66" s="126"/>
      <c r="M66" s="126">
        <f>5200+1800</f>
        <v>7000</v>
      </c>
      <c r="N66" s="162">
        <f t="shared" si="6"/>
        <v>7000</v>
      </c>
      <c r="O66" s="252">
        <f>(N66-G66)/G66</f>
        <v>4.38461538461539</v>
      </c>
      <c r="P66" s="162">
        <v>8</v>
      </c>
      <c r="Q66" s="162">
        <v>7000</v>
      </c>
      <c r="R66" s="126"/>
      <c r="S66" s="126"/>
      <c r="T66" s="126"/>
      <c r="U66" s="126">
        <v>3700</v>
      </c>
      <c r="V66" s="258">
        <f t="shared" si="8"/>
        <v>3700</v>
      </c>
      <c r="W66" s="251">
        <f t="shared" si="9"/>
        <v>-0.471428571428571</v>
      </c>
      <c r="X66" s="222">
        <v>14</v>
      </c>
      <c r="Y66" s="222">
        <v>7000</v>
      </c>
      <c r="Z66" s="225"/>
      <c r="AA66" s="126">
        <f>144+115</f>
        <v>259</v>
      </c>
      <c r="AB66" s="126"/>
      <c r="AC66" s="126">
        <f>1400+2600</f>
        <v>4000</v>
      </c>
      <c r="AD66" s="258">
        <f>(AC66+AB66+AA66+Z66)</f>
        <v>4259</v>
      </c>
      <c r="AE66" s="251">
        <f>(AD66-Y66)/Y66</f>
        <v>-0.391571428571429</v>
      </c>
      <c r="AF66" s="162">
        <v>13</v>
      </c>
      <c r="AG66" s="159">
        <v>7000</v>
      </c>
      <c r="AH66" s="155"/>
      <c r="AI66" s="155"/>
      <c r="AJ66" s="155">
        <f>122</f>
        <v>122</v>
      </c>
      <c r="AK66" s="155"/>
      <c r="AL66" s="155">
        <f>802</f>
        <v>802</v>
      </c>
      <c r="AM66" s="159">
        <f t="shared" si="3"/>
        <v>924</v>
      </c>
      <c r="AN66" s="260">
        <f t="shared" si="4"/>
        <v>-0.868</v>
      </c>
      <c r="AO66" s="159">
        <v>23</v>
      </c>
    </row>
    <row r="67" spans="1:41">
      <c r="A67" s="220" t="s">
        <v>128</v>
      </c>
      <c r="B67" s="227"/>
      <c r="C67" s="126"/>
      <c r="D67" s="126"/>
      <c r="E67" s="126"/>
      <c r="F67" s="126"/>
      <c r="G67" s="162"/>
      <c r="H67" s="126"/>
      <c r="I67" s="227"/>
      <c r="J67" s="225"/>
      <c r="K67" s="126"/>
      <c r="L67" s="126"/>
      <c r="M67" s="126">
        <f>1200</f>
        <v>1200</v>
      </c>
      <c r="N67" s="162">
        <f t="shared" si="6"/>
        <v>1200</v>
      </c>
      <c r="O67" s="251"/>
      <c r="P67" s="162">
        <v>22</v>
      </c>
      <c r="Q67" s="162">
        <v>1200</v>
      </c>
      <c r="R67" s="126"/>
      <c r="S67" s="126">
        <f>211+114</f>
        <v>325</v>
      </c>
      <c r="T67" s="126"/>
      <c r="U67" s="126">
        <v>2500</v>
      </c>
      <c r="V67" s="258">
        <f t="shared" si="8"/>
        <v>2825</v>
      </c>
      <c r="W67" s="252">
        <f t="shared" si="9"/>
        <v>1.35416666666667</v>
      </c>
      <c r="X67" s="222">
        <v>15</v>
      </c>
      <c r="Y67" s="222">
        <v>2825</v>
      </c>
      <c r="Z67" s="225"/>
      <c r="AA67" s="126"/>
      <c r="AB67" s="126"/>
      <c r="AC67" s="126">
        <f>4600</f>
        <v>4600</v>
      </c>
      <c r="AD67" s="258">
        <f>(AC67+AB67+AA67+Z67)</f>
        <v>4600</v>
      </c>
      <c r="AE67" s="252">
        <f>(AD67-Y67)/Y67</f>
        <v>0.628318584070796</v>
      </c>
      <c r="AF67" s="162">
        <v>12</v>
      </c>
      <c r="AG67" s="159">
        <v>4600</v>
      </c>
      <c r="AH67" s="155"/>
      <c r="AI67" s="155"/>
      <c r="AJ67" s="155">
        <f>141+151</f>
        <v>292</v>
      </c>
      <c r="AK67" s="155"/>
      <c r="AL67" s="155">
        <f>592</f>
        <v>592</v>
      </c>
      <c r="AM67" s="159">
        <f t="shared" si="3"/>
        <v>884</v>
      </c>
      <c r="AN67" s="260">
        <f t="shared" si="4"/>
        <v>-0.807826086956522</v>
      </c>
      <c r="AO67" s="159">
        <v>24</v>
      </c>
    </row>
    <row r="68" spans="1:41">
      <c r="A68" s="220" t="s">
        <v>129</v>
      </c>
      <c r="B68" s="162"/>
      <c r="C68" s="126"/>
      <c r="D68" s="126"/>
      <c r="E68" s="126"/>
      <c r="F68" s="126">
        <f>2900</f>
        <v>2900</v>
      </c>
      <c r="G68" s="162">
        <f>F68+E68+D68+C68</f>
        <v>2900</v>
      </c>
      <c r="H68" s="162">
        <v>14</v>
      </c>
      <c r="I68" s="162"/>
      <c r="J68" s="225"/>
      <c r="K68" s="126">
        <f>150+130</f>
        <v>280</v>
      </c>
      <c r="L68" s="126"/>
      <c r="M68" s="126">
        <f>1200+1400</f>
        <v>2600</v>
      </c>
      <c r="N68" s="162">
        <f t="shared" si="6"/>
        <v>2880</v>
      </c>
      <c r="O68" s="251">
        <f>(N68-G68)/G68</f>
        <v>-0.00689655172413793</v>
      </c>
      <c r="P68" s="162">
        <v>17</v>
      </c>
      <c r="Q68" s="162">
        <v>2900</v>
      </c>
      <c r="R68" s="126"/>
      <c r="S68" s="126">
        <f>135</f>
        <v>135</v>
      </c>
      <c r="T68" s="126"/>
      <c r="U68" s="126">
        <f>2000+2900</f>
        <v>4900</v>
      </c>
      <c r="V68" s="258">
        <f t="shared" si="8"/>
        <v>5035</v>
      </c>
      <c r="W68" s="252">
        <f t="shared" si="9"/>
        <v>0.736206896551724</v>
      </c>
      <c r="X68" s="222">
        <v>12</v>
      </c>
      <c r="Y68" s="222">
        <v>5035</v>
      </c>
      <c r="Z68" s="236"/>
      <c r="AA68" s="126">
        <f>167</f>
        <v>167</v>
      </c>
      <c r="AB68" s="126"/>
      <c r="AC68" s="126">
        <f>1500</f>
        <v>1500</v>
      </c>
      <c r="AD68" s="258">
        <f>(AC68+AB68+AA68+Z68)</f>
        <v>1667</v>
      </c>
      <c r="AE68" s="251">
        <f>(AD68-Y68)/Y68</f>
        <v>-0.668917576961271</v>
      </c>
      <c r="AF68" s="162">
        <v>17</v>
      </c>
      <c r="AG68" s="159">
        <v>5035</v>
      </c>
      <c r="AH68" s="155"/>
      <c r="AI68" s="155"/>
      <c r="AJ68" s="155">
        <f>122+121</f>
        <v>243</v>
      </c>
      <c r="AK68" s="155"/>
      <c r="AL68" s="155">
        <f>531</f>
        <v>531</v>
      </c>
      <c r="AM68" s="159">
        <f t="shared" si="3"/>
        <v>774</v>
      </c>
      <c r="AN68" s="260">
        <f t="shared" si="4"/>
        <v>-0.846276067527309</v>
      </c>
      <c r="AO68" s="159">
        <v>25</v>
      </c>
    </row>
    <row r="69" spans="1:41">
      <c r="A69" s="220" t="s">
        <v>130</v>
      </c>
      <c r="B69" s="225"/>
      <c r="C69" s="225"/>
      <c r="D69" s="126">
        <f>1208+129+995</f>
        <v>2332</v>
      </c>
      <c r="E69" s="126"/>
      <c r="F69" s="126">
        <f>1400+724+1500+4400</f>
        <v>8024</v>
      </c>
      <c r="G69" s="162">
        <f>F69+E69+D69+C69</f>
        <v>10356</v>
      </c>
      <c r="H69" s="162">
        <v>7</v>
      </c>
      <c r="I69" s="225">
        <v>2</v>
      </c>
      <c r="J69" s="126">
        <f>154+98</f>
        <v>252</v>
      </c>
      <c r="K69" s="126">
        <f>95+212+161</f>
        <v>468</v>
      </c>
      <c r="L69" s="126">
        <v>185</v>
      </c>
      <c r="M69" s="126">
        <f>732+1200+802</f>
        <v>2734</v>
      </c>
      <c r="N69" s="162">
        <f t="shared" si="6"/>
        <v>3639</v>
      </c>
      <c r="O69" s="251">
        <f>(N69-G69)/G69</f>
        <v>-0.648609501738123</v>
      </c>
      <c r="P69" s="162">
        <v>15</v>
      </c>
      <c r="Q69" s="222">
        <v>8024</v>
      </c>
      <c r="R69" s="225"/>
      <c r="S69" s="126">
        <f>151+121</f>
        <v>272</v>
      </c>
      <c r="T69" s="126"/>
      <c r="U69" s="126">
        <v>1200</v>
      </c>
      <c r="V69" s="258">
        <f t="shared" si="8"/>
        <v>1472</v>
      </c>
      <c r="W69" s="251">
        <f t="shared" si="9"/>
        <v>-0.816550348953141</v>
      </c>
      <c r="X69" s="222">
        <v>19</v>
      </c>
      <c r="Y69" s="222">
        <v>8024</v>
      </c>
      <c r="Z69" s="225"/>
      <c r="AA69" s="126">
        <f>200</f>
        <v>200</v>
      </c>
      <c r="AB69" s="126"/>
      <c r="AC69" s="126">
        <f>5600</f>
        <v>5600</v>
      </c>
      <c r="AD69" s="258">
        <f>(AC69+AB69+AA69+Z69)</f>
        <v>5800</v>
      </c>
      <c r="AE69" s="251">
        <f>(AD69-Y69)/Y69</f>
        <v>-0.277168494516451</v>
      </c>
      <c r="AF69" s="162">
        <v>9</v>
      </c>
      <c r="AG69" s="159">
        <v>8024</v>
      </c>
      <c r="AH69" s="155"/>
      <c r="AI69" s="155"/>
      <c r="AJ69" s="155"/>
      <c r="AK69" s="155"/>
      <c r="AL69" s="155"/>
      <c r="AM69" s="159"/>
      <c r="AN69" s="262"/>
      <c r="AO69" s="154"/>
    </row>
    <row r="70" spans="1:41">
      <c r="A70" s="220" t="s">
        <v>131</v>
      </c>
      <c r="B70" s="126"/>
      <c r="C70" s="126"/>
      <c r="D70" s="126">
        <f>125</f>
        <v>125</v>
      </c>
      <c r="E70" s="126"/>
      <c r="F70" s="126"/>
      <c r="G70" s="162">
        <f>F70+E70+D70+C70</f>
        <v>125</v>
      </c>
      <c r="H70" s="162">
        <v>21</v>
      </c>
      <c r="I70" s="126"/>
      <c r="J70" s="126"/>
      <c r="K70" s="126"/>
      <c r="L70" s="126"/>
      <c r="M70" s="126"/>
      <c r="N70" s="162">
        <f t="shared" si="6"/>
        <v>0</v>
      </c>
      <c r="O70" s="229"/>
      <c r="P70" s="162"/>
      <c r="Q70" s="225"/>
      <c r="R70" s="225"/>
      <c r="S70" s="126"/>
      <c r="T70" s="126"/>
      <c r="U70" s="126">
        <f>1400</f>
        <v>1400</v>
      </c>
      <c r="V70" s="258">
        <f t="shared" si="8"/>
        <v>1400</v>
      </c>
      <c r="W70" s="255"/>
      <c r="X70" s="222">
        <v>20</v>
      </c>
      <c r="Y70" s="258">
        <v>1400</v>
      </c>
      <c r="Z70" s="126"/>
      <c r="AA70" s="126"/>
      <c r="AB70" s="126"/>
      <c r="AC70" s="126">
        <f>2600</f>
        <v>2600</v>
      </c>
      <c r="AD70" s="258">
        <f>(AC70+AB70+AA70+Z70)</f>
        <v>2600</v>
      </c>
      <c r="AE70" s="252">
        <f>(AD70-Y70)/Y70</f>
        <v>0.857142857142857</v>
      </c>
      <c r="AF70" s="162">
        <v>16</v>
      </c>
      <c r="AG70" s="159">
        <v>2600</v>
      </c>
      <c r="AH70" s="155"/>
      <c r="AI70" s="155"/>
      <c r="AJ70" s="155"/>
      <c r="AK70" s="155"/>
      <c r="AL70" s="155"/>
      <c r="AM70" s="159"/>
      <c r="AN70" s="154"/>
      <c r="AO70" s="154"/>
    </row>
    <row r="71" spans="1:41">
      <c r="A71" s="220" t="s">
        <v>132</v>
      </c>
      <c r="B71" s="126"/>
      <c r="C71" s="126"/>
      <c r="D71" s="126"/>
      <c r="E71" s="126"/>
      <c r="F71" s="126"/>
      <c r="G71" s="162"/>
      <c r="H71" s="162"/>
      <c r="I71" s="126"/>
      <c r="J71" s="225"/>
      <c r="K71" s="126"/>
      <c r="L71" s="126"/>
      <c r="M71" s="126">
        <f>814</f>
        <v>814</v>
      </c>
      <c r="N71" s="162">
        <f t="shared" si="6"/>
        <v>814</v>
      </c>
      <c r="O71" s="251"/>
      <c r="P71" s="162">
        <v>23</v>
      </c>
      <c r="Q71" s="162">
        <v>814</v>
      </c>
      <c r="R71" s="126"/>
      <c r="S71" s="126">
        <f>156+129</f>
        <v>285</v>
      </c>
      <c r="T71" s="126"/>
      <c r="U71" s="126"/>
      <c r="V71" s="258">
        <f t="shared" si="8"/>
        <v>285</v>
      </c>
      <c r="W71" s="251">
        <f>(V71-Q71)/Q71</f>
        <v>-0.64987714987715</v>
      </c>
      <c r="X71" s="222">
        <v>23</v>
      </c>
      <c r="Y71" s="162">
        <v>814</v>
      </c>
      <c r="Z71" s="126"/>
      <c r="AA71" s="126"/>
      <c r="AB71" s="126"/>
      <c r="AC71" s="126"/>
      <c r="AD71" s="258"/>
      <c r="AE71" s="255"/>
      <c r="AF71" s="162"/>
      <c r="AG71" s="159">
        <v>814</v>
      </c>
      <c r="AH71" s="154"/>
      <c r="AI71" s="154"/>
      <c r="AJ71" s="154"/>
      <c r="AK71" s="154"/>
      <c r="AL71" s="154"/>
      <c r="AM71" s="159"/>
      <c r="AN71" s="154"/>
      <c r="AO71" s="154"/>
    </row>
    <row r="72" spans="1:41">
      <c r="A72" s="220" t="s">
        <v>133</v>
      </c>
      <c r="B72" s="225"/>
      <c r="C72" s="225"/>
      <c r="D72" s="126"/>
      <c r="E72" s="126"/>
      <c r="F72" s="126"/>
      <c r="G72" s="162"/>
      <c r="H72" s="162"/>
      <c r="I72" s="225"/>
      <c r="J72" s="126"/>
      <c r="K72" s="126"/>
      <c r="L72" s="126"/>
      <c r="M72" s="126"/>
      <c r="N72" s="162"/>
      <c r="O72" s="229"/>
      <c r="P72" s="162"/>
      <c r="Q72" s="236"/>
      <c r="R72" s="236"/>
      <c r="S72" s="126"/>
      <c r="T72" s="126"/>
      <c r="U72" s="126"/>
      <c r="V72" s="258"/>
      <c r="W72" s="162"/>
      <c r="X72" s="236"/>
      <c r="Y72" s="222"/>
      <c r="Z72" s="236"/>
      <c r="AA72" s="126"/>
      <c r="AB72" s="126"/>
      <c r="AC72" s="126"/>
      <c r="AD72" s="258"/>
      <c r="AE72" s="258"/>
      <c r="AF72" s="162"/>
      <c r="AG72" s="154"/>
      <c r="AH72" s="154"/>
      <c r="AI72" s="154"/>
      <c r="AJ72" s="154"/>
      <c r="AK72" s="154"/>
      <c r="AL72" s="154"/>
      <c r="AM72" s="159"/>
      <c r="AN72" s="154"/>
      <c r="AO72" s="154"/>
    </row>
    <row r="73" spans="1:41">
      <c r="A73" s="220" t="s">
        <v>134</v>
      </c>
      <c r="B73" s="225"/>
      <c r="C73" s="225"/>
      <c r="D73" s="126"/>
      <c r="E73" s="126"/>
      <c r="F73" s="126"/>
      <c r="G73" s="162"/>
      <c r="H73" s="162"/>
      <c r="I73" s="225"/>
      <c r="J73" s="225"/>
      <c r="K73" s="126"/>
      <c r="L73" s="126"/>
      <c r="M73" s="126"/>
      <c r="N73" s="162"/>
      <c r="O73" s="126"/>
      <c r="P73" s="162"/>
      <c r="Q73" s="236"/>
      <c r="R73" s="225"/>
      <c r="S73" s="126"/>
      <c r="T73" s="126"/>
      <c r="U73" s="126"/>
      <c r="V73" s="258"/>
      <c r="W73" s="162"/>
      <c r="X73" s="236"/>
      <c r="Y73" s="236"/>
      <c r="Z73" s="225"/>
      <c r="AA73" s="126"/>
      <c r="AB73" s="126"/>
      <c r="AC73" s="126"/>
      <c r="AD73" s="258"/>
      <c r="AE73" s="258"/>
      <c r="AF73" s="162"/>
      <c r="AG73" s="154"/>
      <c r="AH73" s="154"/>
      <c r="AI73" s="154"/>
      <c r="AJ73" s="154"/>
      <c r="AK73" s="154"/>
      <c r="AL73" s="154"/>
      <c r="AM73" s="159"/>
      <c r="AN73" s="154"/>
      <c r="AO73" s="154"/>
    </row>
    <row r="74" spans="1:41">
      <c r="A74" s="220" t="s">
        <v>135</v>
      </c>
      <c r="B74" s="227"/>
      <c r="C74" s="126"/>
      <c r="D74" s="126"/>
      <c r="E74" s="126"/>
      <c r="F74" s="126"/>
      <c r="G74" s="162"/>
      <c r="H74" s="162"/>
      <c r="I74" s="227"/>
      <c r="J74" s="236"/>
      <c r="K74" s="126"/>
      <c r="L74" s="126"/>
      <c r="M74" s="126"/>
      <c r="N74" s="162"/>
      <c r="O74" s="126"/>
      <c r="P74" s="162"/>
      <c r="Q74" s="126"/>
      <c r="R74" s="126"/>
      <c r="S74" s="126"/>
      <c r="T74" s="126"/>
      <c r="U74" s="126"/>
      <c r="V74" s="256"/>
      <c r="W74" s="162"/>
      <c r="X74" s="126"/>
      <c r="Y74" s="126"/>
      <c r="Z74" s="126"/>
      <c r="AA74" s="126"/>
      <c r="AB74" s="126"/>
      <c r="AC74" s="126"/>
      <c r="AD74" s="258"/>
      <c r="AE74" s="258"/>
      <c r="AF74" s="162"/>
      <c r="AG74" s="154"/>
      <c r="AH74" s="154"/>
      <c r="AI74" s="154"/>
      <c r="AJ74" s="154"/>
      <c r="AK74" s="154"/>
      <c r="AL74" s="154"/>
      <c r="AM74" s="159"/>
      <c r="AN74" s="154"/>
      <c r="AO74" s="154"/>
    </row>
    <row r="75" spans="1:41">
      <c r="A75" s="220" t="s">
        <v>136</v>
      </c>
      <c r="B75" s="126"/>
      <c r="C75" s="126"/>
      <c r="D75" s="126"/>
      <c r="E75" s="126"/>
      <c r="F75" s="126"/>
      <c r="G75" s="162"/>
      <c r="H75" s="162"/>
      <c r="I75" s="126"/>
      <c r="J75" s="126"/>
      <c r="K75" s="126"/>
      <c r="L75" s="126"/>
      <c r="M75" s="126"/>
      <c r="N75" s="162"/>
      <c r="O75" s="126"/>
      <c r="P75" s="162"/>
      <c r="Q75" s="225"/>
      <c r="R75" s="225"/>
      <c r="S75" s="126"/>
      <c r="T75" s="126"/>
      <c r="U75" s="126"/>
      <c r="V75" s="258"/>
      <c r="W75" s="162"/>
      <c r="X75" s="225"/>
      <c r="Y75" s="225"/>
      <c r="Z75" s="225"/>
      <c r="AA75" s="126"/>
      <c r="AB75" s="126"/>
      <c r="AC75" s="126"/>
      <c r="AD75" s="258"/>
      <c r="AE75" s="258"/>
      <c r="AF75" s="162"/>
      <c r="AG75" s="154"/>
      <c r="AH75" s="154"/>
      <c r="AI75" s="154"/>
      <c r="AJ75" s="154"/>
      <c r="AK75" s="154"/>
      <c r="AL75" s="154"/>
      <c r="AM75" s="159"/>
      <c r="AN75" s="154"/>
      <c r="AO75" s="154"/>
    </row>
  </sheetData>
  <sortState ref="A23:U40">
    <sortCondition ref="U23:U40" descending="1"/>
  </sortState>
  <mergeCells count="3">
    <mergeCell ref="A1:W1"/>
    <mergeCell ref="A20:W20"/>
    <mergeCell ref="A41:AO4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zoomScale="58" zoomScaleNormal="58" workbookViewId="0">
      <pane ySplit="1" topLeftCell="A2" activePane="bottomLeft" state="frozen"/>
      <selection/>
      <selection pane="bottomLeft" activeCell="L2" sqref="L2"/>
    </sheetView>
  </sheetViews>
  <sheetFormatPr defaultColWidth="9.14285714285714" defaultRowHeight="32.25" customHeight="1"/>
  <cols>
    <col min="1" max="1" width="30" style="30" customWidth="1"/>
    <col min="2" max="2" width="16.8571428571429" style="91" customWidth="1"/>
    <col min="3" max="3" width="17" style="91" customWidth="1"/>
    <col min="4" max="4" width="15" style="57" customWidth="1"/>
    <col min="5" max="5" width="16.8571428571429" style="91" customWidth="1"/>
    <col min="6" max="6" width="17" style="91" customWidth="1"/>
    <col min="7" max="7" width="8.71428571428571" style="198" customWidth="1"/>
    <col min="8" max="8" width="13.5714285714286" style="30" customWidth="1"/>
    <col min="9" max="9" width="19.2857142857143" style="30" customWidth="1"/>
    <col min="10" max="10" width="19" style="30" customWidth="1"/>
    <col min="11" max="11" width="16.5714285714286" style="30" customWidth="1"/>
    <col min="12" max="12" width="17" style="91" customWidth="1"/>
    <col min="13" max="13" width="17.8571428571429" style="91" customWidth="1"/>
    <col min="14" max="14" width="16.2857142857143" style="199" customWidth="1"/>
    <col min="15" max="15" width="13.5714285714286" style="30" customWidth="1"/>
    <col min="16" max="16" width="14.4285714285714" style="30" customWidth="1"/>
    <col min="17" max="17" width="12.5714285714286" style="30" customWidth="1"/>
    <col min="18" max="18" width="9.14285714285714" style="30"/>
    <col min="19" max="19" width="13.7142857142857" style="30" customWidth="1"/>
    <col min="20" max="20" width="7.42857142857143" style="30" customWidth="1"/>
    <col min="21" max="21" width="5.14285714285714" style="30" customWidth="1"/>
    <col min="22" max="22" width="12.5714285714286" style="30" customWidth="1"/>
    <col min="23" max="23" width="8.14285714285714" style="30" customWidth="1"/>
    <col min="24" max="16384" width="9.14285714285714" style="30"/>
  </cols>
  <sheetData>
    <row r="1" customHeight="1" spans="1:17">
      <c r="A1" s="31" t="s">
        <v>137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ht="46.5" customHeight="1" spans="1:17">
      <c r="A2" s="32"/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3</v>
      </c>
      <c r="H2" s="33" t="s">
        <v>6</v>
      </c>
      <c r="I2" s="63" t="s">
        <v>7</v>
      </c>
      <c r="J2" s="63" t="s">
        <v>8</v>
      </c>
      <c r="K2" s="63" t="s">
        <v>9</v>
      </c>
      <c r="L2" s="63" t="s">
        <v>10</v>
      </c>
      <c r="M2" s="63" t="s">
        <v>11</v>
      </c>
      <c r="N2" s="63" t="s">
        <v>9</v>
      </c>
      <c r="O2" s="63" t="s">
        <v>6</v>
      </c>
      <c r="P2" s="63" t="s">
        <v>12</v>
      </c>
      <c r="Q2" s="63" t="s">
        <v>13</v>
      </c>
    </row>
    <row r="3" customHeight="1" spans="1:17">
      <c r="A3" s="200" t="s">
        <v>14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87"/>
    </row>
    <row r="4" customHeight="1" spans="1:17">
      <c r="A4" s="201" t="s">
        <v>138</v>
      </c>
      <c r="B4" s="104">
        <v>138</v>
      </c>
      <c r="C4" s="104">
        <v>165</v>
      </c>
      <c r="D4" s="202">
        <f>C4+B4</f>
        <v>303</v>
      </c>
      <c r="E4" s="104">
        <v>164</v>
      </c>
      <c r="F4" s="104">
        <v>139</v>
      </c>
      <c r="G4" s="203">
        <f>E4+F4</f>
        <v>303</v>
      </c>
      <c r="H4" s="39">
        <f>(G4-D4)/D4</f>
        <v>0</v>
      </c>
      <c r="I4" s="205">
        <v>17345</v>
      </c>
      <c r="J4" s="205">
        <v>11028</v>
      </c>
      <c r="K4" s="208">
        <f>J4+I4</f>
        <v>28373</v>
      </c>
      <c r="L4" s="205">
        <v>10320</v>
      </c>
      <c r="M4" s="205">
        <v>8134</v>
      </c>
      <c r="N4" s="209">
        <f>L4+M4</f>
        <v>18454</v>
      </c>
      <c r="O4" s="65">
        <f>(N4-K4)/K4</f>
        <v>-0.349592922849188</v>
      </c>
      <c r="P4" s="210">
        <f>7</f>
        <v>7</v>
      </c>
      <c r="Q4" s="73"/>
    </row>
    <row r="5" customHeight="1" spans="1:17">
      <c r="A5" s="204" t="s">
        <v>19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73"/>
    </row>
    <row r="6" customHeight="1" spans="1:17">
      <c r="A6" s="201" t="s">
        <v>139</v>
      </c>
      <c r="B6" s="104">
        <v>99</v>
      </c>
      <c r="C6" s="104">
        <v>111</v>
      </c>
      <c r="D6" s="202">
        <f>C6+B6</f>
        <v>210</v>
      </c>
      <c r="E6" s="104">
        <v>127</v>
      </c>
      <c r="F6" s="104">
        <v>101</v>
      </c>
      <c r="G6" s="203">
        <f>E6+F6</f>
        <v>228</v>
      </c>
      <c r="H6" s="39">
        <f>(G6-D6)/D6</f>
        <v>0.0857142857142857</v>
      </c>
      <c r="I6" s="205">
        <v>251033</v>
      </c>
      <c r="J6" s="205">
        <v>247802</v>
      </c>
      <c r="K6" s="208">
        <f>J6+I6</f>
        <v>498835</v>
      </c>
      <c r="L6" s="205">
        <v>196259</v>
      </c>
      <c r="M6" s="205">
        <v>194804</v>
      </c>
      <c r="N6" s="209">
        <f>L6+M6</f>
        <v>391063</v>
      </c>
      <c r="O6" s="65">
        <f>(N6-K6)/K6</f>
        <v>-0.216047390419678</v>
      </c>
      <c r="P6" s="210">
        <f>281+337</f>
        <v>618</v>
      </c>
      <c r="Q6" s="73"/>
    </row>
    <row r="7" customHeight="1" spans="1:17">
      <c r="A7" s="201" t="s">
        <v>138</v>
      </c>
      <c r="B7" s="205">
        <v>152</v>
      </c>
      <c r="C7" s="205">
        <v>169</v>
      </c>
      <c r="D7" s="202">
        <f>C7+B7</f>
        <v>321</v>
      </c>
      <c r="E7" s="205">
        <v>174</v>
      </c>
      <c r="F7" s="205">
        <v>165</v>
      </c>
      <c r="G7" s="203">
        <f>E7+F7</f>
        <v>339</v>
      </c>
      <c r="H7" s="39">
        <f>(G7-D7)/D7</f>
        <v>0.0560747663551402</v>
      </c>
      <c r="I7" s="205">
        <v>10725250</v>
      </c>
      <c r="J7" s="205">
        <v>11101990</v>
      </c>
      <c r="K7" s="208">
        <f>J7+I7</f>
        <v>21827240</v>
      </c>
      <c r="L7" s="205">
        <v>12094115</v>
      </c>
      <c r="M7" s="205">
        <v>9205626</v>
      </c>
      <c r="N7" s="209">
        <f>L7+M7</f>
        <v>21299741</v>
      </c>
      <c r="O7" s="39">
        <v>0</v>
      </c>
      <c r="P7" s="210">
        <f>3873+2757</f>
        <v>6630</v>
      </c>
      <c r="Q7" s="73"/>
    </row>
    <row r="8" customHeight="1" spans="1:17">
      <c r="A8" s="95" t="s">
        <v>22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73"/>
    </row>
    <row r="9" customHeight="1" spans="1:17">
      <c r="A9" s="201" t="s">
        <v>138</v>
      </c>
      <c r="B9" s="104">
        <v>31</v>
      </c>
      <c r="C9" s="104">
        <v>46</v>
      </c>
      <c r="D9" s="202">
        <f>C9+B9</f>
        <v>77</v>
      </c>
      <c r="E9" s="104">
        <v>43</v>
      </c>
      <c r="F9" s="104">
        <v>38</v>
      </c>
      <c r="G9" s="203">
        <f>E9+F9</f>
        <v>81</v>
      </c>
      <c r="H9" s="39">
        <f>(G9-D9)/D9</f>
        <v>0.051948051948052</v>
      </c>
      <c r="I9" s="211">
        <v>2259551</v>
      </c>
      <c r="J9" s="37">
        <v>1768658</v>
      </c>
      <c r="K9" s="203">
        <f>J9+I9</f>
        <v>4028209</v>
      </c>
      <c r="L9" s="205">
        <v>746732</v>
      </c>
      <c r="M9" s="205">
        <v>817595</v>
      </c>
      <c r="N9" s="209">
        <f>L9+M9</f>
        <v>1564327</v>
      </c>
      <c r="O9" s="65">
        <f>(N9-K9)/K9</f>
        <v>-0.611656942328464</v>
      </c>
      <c r="P9" s="210">
        <f>949+883</f>
        <v>1832</v>
      </c>
      <c r="Q9" s="73"/>
    </row>
    <row r="10" customHeight="1" spans="1:17">
      <c r="A10" s="206" t="s">
        <v>23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73"/>
    </row>
    <row r="11" customHeight="1" spans="1:17">
      <c r="A11" s="201" t="s">
        <v>138</v>
      </c>
      <c r="B11" s="104">
        <v>44</v>
      </c>
      <c r="C11" s="104">
        <v>37</v>
      </c>
      <c r="D11" s="202">
        <f>C11+B11</f>
        <v>81</v>
      </c>
      <c r="E11" s="104">
        <v>49</v>
      </c>
      <c r="F11" s="104">
        <v>34</v>
      </c>
      <c r="G11" s="203">
        <f>E11+F11</f>
        <v>83</v>
      </c>
      <c r="H11" s="39">
        <f>(G11-D11)/D11</f>
        <v>0.0246913580246914</v>
      </c>
      <c r="I11" s="212">
        <v>29146</v>
      </c>
      <c r="J11" s="212">
        <v>74040</v>
      </c>
      <c r="K11" s="203">
        <f>J11+I11</f>
        <v>103186</v>
      </c>
      <c r="L11" s="205">
        <v>20250</v>
      </c>
      <c r="M11" s="205">
        <v>21761</v>
      </c>
      <c r="N11" s="209">
        <f>L11+M11</f>
        <v>42011</v>
      </c>
      <c r="O11" s="65">
        <f>(N11-K11)/K11</f>
        <v>-0.592861434690753</v>
      </c>
      <c r="P11" s="210"/>
      <c r="Q11" s="73"/>
    </row>
    <row r="12" customHeight="1" spans="1:17">
      <c r="A12" s="96" t="s">
        <v>140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73"/>
    </row>
    <row r="13" customHeight="1" spans="1:17">
      <c r="A13" s="201" t="s">
        <v>141</v>
      </c>
      <c r="B13" s="37">
        <v>47</v>
      </c>
      <c r="C13" s="37">
        <v>46</v>
      </c>
      <c r="D13" s="202">
        <f>C13+B13</f>
        <v>93</v>
      </c>
      <c r="E13" s="37">
        <v>47</v>
      </c>
      <c r="F13" s="37">
        <v>46</v>
      </c>
      <c r="G13" s="203">
        <f>E13+F13</f>
        <v>93</v>
      </c>
      <c r="H13" s="39">
        <f>(G13-D13)/D13</f>
        <v>0</v>
      </c>
      <c r="I13" s="211">
        <v>9520</v>
      </c>
      <c r="J13" s="37">
        <v>11698</v>
      </c>
      <c r="K13" s="208">
        <f>J13+I13</f>
        <v>21218</v>
      </c>
      <c r="L13" s="211">
        <v>8703</v>
      </c>
      <c r="M13" s="37">
        <v>6898</v>
      </c>
      <c r="N13" s="209">
        <f>L13+M13</f>
        <v>15601</v>
      </c>
      <c r="O13" s="65">
        <f>(N13-K13)/K13</f>
        <v>-0.264728061080215</v>
      </c>
      <c r="P13" s="38"/>
      <c r="Q13" s="73"/>
    </row>
    <row r="14" customHeight="1" spans="1:17">
      <c r="A14" s="201" t="s">
        <v>142</v>
      </c>
      <c r="B14" s="37">
        <v>33</v>
      </c>
      <c r="C14" s="37">
        <v>34</v>
      </c>
      <c r="D14" s="202">
        <f>C14+B14</f>
        <v>67</v>
      </c>
      <c r="E14" s="37">
        <v>31</v>
      </c>
      <c r="F14" s="37"/>
      <c r="G14" s="203">
        <f>E14+F14</f>
        <v>31</v>
      </c>
      <c r="H14" s="65">
        <f>(G14-D14)/D14</f>
        <v>-0.537313432835821</v>
      </c>
      <c r="I14" s="211">
        <v>363</v>
      </c>
      <c r="J14" s="37">
        <v>1296</v>
      </c>
      <c r="K14" s="208">
        <f>J14+I14</f>
        <v>1659</v>
      </c>
      <c r="L14" s="211">
        <v>1072</v>
      </c>
      <c r="M14" s="37"/>
      <c r="N14" s="209">
        <f>L14+M14</f>
        <v>1072</v>
      </c>
      <c r="O14" s="39">
        <f>(N14-K14)/K14</f>
        <v>-0.353827606992164</v>
      </c>
      <c r="P14" s="38"/>
      <c r="Q14" s="73"/>
    </row>
    <row r="15" customHeight="1" spans="1:17">
      <c r="A15" s="100" t="s">
        <v>30</v>
      </c>
      <c r="B15" s="100"/>
      <c r="C15" s="100"/>
      <c r="D15" s="100"/>
      <c r="E15" s="100"/>
      <c r="F15" s="100"/>
      <c r="G15" s="100"/>
      <c r="H15" s="67"/>
      <c r="I15" s="67" t="s">
        <v>143</v>
      </c>
      <c r="J15" s="67"/>
      <c r="K15" s="67"/>
      <c r="L15" s="213" t="s">
        <v>143</v>
      </c>
      <c r="M15" s="213"/>
      <c r="N15" s="214"/>
      <c r="O15" s="67"/>
      <c r="P15" s="100"/>
      <c r="Q15" s="73"/>
    </row>
    <row r="16" customHeight="1" spans="1:17">
      <c r="A16" s="201" t="s">
        <v>144</v>
      </c>
      <c r="B16" s="104">
        <v>5</v>
      </c>
      <c r="C16" s="104">
        <v>8</v>
      </c>
      <c r="D16" s="202">
        <f>C16+B16</f>
        <v>13</v>
      </c>
      <c r="E16" s="104">
        <v>11</v>
      </c>
      <c r="F16" s="104">
        <v>5</v>
      </c>
      <c r="G16" s="203">
        <f>E16+F16</f>
        <v>16</v>
      </c>
      <c r="H16" s="39">
        <f>(G16-D16)/D16</f>
        <v>0.230769230769231</v>
      </c>
      <c r="I16" s="215">
        <v>629.5</v>
      </c>
      <c r="J16" s="37">
        <v>328.8</v>
      </c>
      <c r="K16" s="202">
        <f>J16+I16</f>
        <v>958.3</v>
      </c>
      <c r="L16" s="104">
        <v>289.4</v>
      </c>
      <c r="M16" s="104">
        <v>279.7</v>
      </c>
      <c r="N16" s="209">
        <f>L16+M16</f>
        <v>569.1</v>
      </c>
      <c r="O16" s="65">
        <f>(N16-K16)/K16</f>
        <v>-0.406135865595325</v>
      </c>
      <c r="P16" s="210">
        <f>132+899</f>
        <v>1031</v>
      </c>
      <c r="Q16" s="73"/>
    </row>
    <row r="17" customHeight="1" spans="1:17">
      <c r="A17" s="201" t="s">
        <v>145</v>
      </c>
      <c r="B17" s="104">
        <v>4</v>
      </c>
      <c r="C17" s="104">
        <v>4</v>
      </c>
      <c r="D17" s="202">
        <f>C17+B17</f>
        <v>8</v>
      </c>
      <c r="E17" s="104">
        <v>3</v>
      </c>
      <c r="F17" s="104">
        <v>8</v>
      </c>
      <c r="G17" s="203">
        <f>E17+F17</f>
        <v>11</v>
      </c>
      <c r="H17" s="39">
        <f>(G17-D17)/D17</f>
        <v>0.375</v>
      </c>
      <c r="I17" s="215">
        <v>2047.7</v>
      </c>
      <c r="J17" s="212">
        <v>1260</v>
      </c>
      <c r="K17" s="203">
        <f>J17+I17</f>
        <v>3307.7</v>
      </c>
      <c r="L17" s="104">
        <v>713.4</v>
      </c>
      <c r="M17" s="104">
        <f>640.5</f>
        <v>640.5</v>
      </c>
      <c r="N17" s="209">
        <f>L17+M17</f>
        <v>1353.9</v>
      </c>
      <c r="O17" s="65">
        <f>(N17-K17)/K17</f>
        <v>-0.590682347250355</v>
      </c>
      <c r="P17" s="210">
        <f>86+117</f>
        <v>203</v>
      </c>
      <c r="Q17" s="73"/>
    </row>
    <row r="18" customHeight="1" spans="8:10">
      <c r="H18" s="207"/>
      <c r="I18" s="207"/>
      <c r="J18" s="207"/>
    </row>
    <row r="19" customHeight="1" spans="1:14">
      <c r="A19" s="59" t="s">
        <v>37</v>
      </c>
      <c r="B19" s="59"/>
      <c r="C19" s="59"/>
      <c r="D19" s="59"/>
      <c r="E19" s="59"/>
      <c r="F19" s="59"/>
      <c r="G19" s="30"/>
      <c r="K19" s="216"/>
      <c r="N19" s="217"/>
    </row>
    <row r="20" customHeight="1" spans="1:14">
      <c r="A20" s="101" t="s">
        <v>38</v>
      </c>
      <c r="B20" s="102" t="s">
        <v>39</v>
      </c>
      <c r="C20" s="102" t="s">
        <v>40</v>
      </c>
      <c r="D20" s="102" t="s">
        <v>41</v>
      </c>
      <c r="E20" s="102" t="s">
        <v>39</v>
      </c>
      <c r="F20" s="102" t="s">
        <v>40</v>
      </c>
      <c r="G20" s="30"/>
      <c r="J20" s="216"/>
      <c r="K20" s="91"/>
      <c r="N20" s="30"/>
    </row>
    <row r="21" customHeight="1" spans="1:14">
      <c r="A21" s="61" t="s">
        <v>146</v>
      </c>
      <c r="B21" s="62">
        <v>34</v>
      </c>
      <c r="C21" s="62">
        <v>0</v>
      </c>
      <c r="D21" s="62">
        <v>9</v>
      </c>
      <c r="E21" s="62">
        <v>34</v>
      </c>
      <c r="F21" s="62">
        <v>0</v>
      </c>
      <c r="G21" s="30"/>
      <c r="J21" s="216"/>
      <c r="K21" s="91"/>
      <c r="N21" s="30"/>
    </row>
    <row r="23" customHeight="1" spans="4:7">
      <c r="D23" s="30"/>
      <c r="G23" s="30"/>
    </row>
  </sheetData>
  <sortState ref="I3:O18">
    <sortCondition ref="O3:O18" descending="1"/>
  </sortState>
  <mergeCells count="8">
    <mergeCell ref="A1:Q1"/>
    <mergeCell ref="A3:P3"/>
    <mergeCell ref="A5:P5"/>
    <mergeCell ref="A8:P8"/>
    <mergeCell ref="A10:P10"/>
    <mergeCell ref="A12:P12"/>
    <mergeCell ref="A15:G15"/>
    <mergeCell ref="A19:F19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"/>
  <sheetViews>
    <sheetView tabSelected="1" zoomScale="68" zoomScaleNormal="68" topLeftCell="A41" workbookViewId="0">
      <pane xSplit="1" topLeftCell="R1" activePane="topRight" state="frozen"/>
      <selection/>
      <selection pane="topRight" activeCell="AH59" sqref="AH59"/>
    </sheetView>
  </sheetViews>
  <sheetFormatPr defaultColWidth="9" defaultRowHeight="15.75"/>
  <cols>
    <col min="1" max="1" width="29.8571428571429" style="112" customWidth="1"/>
    <col min="2" max="2" width="7.85714285714286" style="112" customWidth="1"/>
    <col min="3" max="3" width="8.14285714285714" style="112" customWidth="1"/>
    <col min="4" max="4" width="9.85714285714286" style="112" customWidth="1"/>
    <col min="5" max="5" width="9" style="112" customWidth="1"/>
    <col min="6" max="6" width="8.14285714285714" style="112" customWidth="1"/>
    <col min="7" max="7" width="13.8571428571429" style="112" customWidth="1"/>
    <col min="8" max="9" width="8.57142857142857" style="112" customWidth="1"/>
    <col min="10" max="10" width="7.85714285714286" style="112" customWidth="1"/>
    <col min="11" max="11" width="14.1428571428571" style="112" customWidth="1"/>
    <col min="12" max="12" width="15.1428571428571" style="112" customWidth="1"/>
    <col min="13" max="13" width="9.85714285714286" style="113" customWidth="1"/>
    <col min="14" max="14" width="10.8571428571429" style="112" customWidth="1"/>
    <col min="15" max="15" width="14.4285714285714" style="112" customWidth="1"/>
    <col min="16" max="16" width="14.1428571428571" style="112" customWidth="1"/>
    <col min="17" max="17" width="10.8571428571429" style="113" customWidth="1"/>
    <col min="18" max="18" width="9.85714285714286" style="112" customWidth="1"/>
    <col min="19" max="19" width="10.4285714285714" style="112" customWidth="1"/>
    <col min="20" max="20" width="9.57142857142857" style="112" customWidth="1"/>
    <col min="21" max="21" width="11" style="112" customWidth="1"/>
    <col min="22" max="22" width="13.5714285714286" style="113" customWidth="1"/>
    <col min="23" max="23" width="13.5714285714286" style="112" customWidth="1"/>
    <col min="24" max="24" width="8.57142857142857" style="112" customWidth="1"/>
    <col min="25" max="25" width="10.7142857142857" style="112" customWidth="1"/>
    <col min="26" max="26" width="9" style="112" customWidth="1"/>
    <col min="27" max="27" width="9.28571428571429" style="112" customWidth="1"/>
    <col min="28" max="28" width="9" style="112" customWidth="1"/>
    <col min="29" max="29" width="7.71428571428571" style="112" customWidth="1"/>
    <col min="30" max="30" width="10.8571428571429" style="112" customWidth="1"/>
    <col min="31" max="31" width="12" style="112" customWidth="1"/>
    <col min="32" max="32" width="8.42857142857143" style="112" customWidth="1"/>
    <col min="33" max="33" width="10.7142857142857" style="112" customWidth="1"/>
    <col min="34" max="38" width="9.28571428571429" style="112" customWidth="1"/>
    <col min="39" max="39" width="10.7142857142857" style="112" customWidth="1"/>
    <col min="40" max="40" width="11.8571428571429" style="112" customWidth="1"/>
    <col min="41" max="41" width="9.28571428571429" style="112" customWidth="1"/>
    <col min="42" max="16384" width="9.14285714285714" style="112"/>
  </cols>
  <sheetData>
    <row r="1" spans="1:28">
      <c r="A1" s="114" t="s">
        <v>147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</row>
    <row r="2" ht="63" spans="1:28">
      <c r="A2" s="116" t="s">
        <v>50</v>
      </c>
      <c r="B2" s="117" t="s">
        <v>51</v>
      </c>
      <c r="C2" s="117" t="s">
        <v>148</v>
      </c>
      <c r="D2" s="117" t="s">
        <v>53</v>
      </c>
      <c r="E2" s="117" t="s">
        <v>51</v>
      </c>
      <c r="F2" s="117" t="s">
        <v>148</v>
      </c>
      <c r="G2" s="118" t="s">
        <v>6</v>
      </c>
      <c r="H2" s="117" t="s">
        <v>53</v>
      </c>
      <c r="I2" s="117" t="s">
        <v>55</v>
      </c>
      <c r="J2" s="117" t="s">
        <v>149</v>
      </c>
      <c r="K2" s="132" t="s">
        <v>148</v>
      </c>
      <c r="L2" s="118" t="s">
        <v>6</v>
      </c>
      <c r="M2" s="117" t="s">
        <v>150</v>
      </c>
      <c r="N2" s="117" t="s">
        <v>149</v>
      </c>
      <c r="O2" s="117" t="s">
        <v>55</v>
      </c>
      <c r="P2" s="132" t="s">
        <v>151</v>
      </c>
      <c r="Q2" s="117" t="s">
        <v>6</v>
      </c>
      <c r="R2" s="117" t="s">
        <v>150</v>
      </c>
      <c r="S2" s="117" t="s">
        <v>55</v>
      </c>
      <c r="T2" s="117" t="s">
        <v>149</v>
      </c>
      <c r="U2" s="132" t="s">
        <v>152</v>
      </c>
      <c r="V2" s="117" t="s">
        <v>6</v>
      </c>
      <c r="W2" s="117" t="s">
        <v>150</v>
      </c>
      <c r="X2" s="117" t="s">
        <v>149</v>
      </c>
      <c r="Y2" s="117" t="s">
        <v>55</v>
      </c>
      <c r="Z2" s="19" t="s">
        <v>153</v>
      </c>
      <c r="AA2" s="117" t="s">
        <v>6</v>
      </c>
      <c r="AB2" s="117" t="s">
        <v>150</v>
      </c>
    </row>
    <row r="3" spans="1:28">
      <c r="A3" s="119" t="s">
        <v>154</v>
      </c>
      <c r="B3" s="120"/>
      <c r="C3" s="121"/>
      <c r="D3" s="122"/>
      <c r="E3" s="120"/>
      <c r="F3" s="121"/>
      <c r="G3" s="123"/>
      <c r="H3" s="121"/>
      <c r="I3" s="122"/>
      <c r="J3" s="120"/>
      <c r="K3" s="121"/>
      <c r="L3" s="123"/>
      <c r="M3" s="162"/>
      <c r="N3" s="121"/>
      <c r="O3" s="120"/>
      <c r="P3" s="121"/>
      <c r="Q3" s="123"/>
      <c r="R3" s="126"/>
      <c r="S3" s="121"/>
      <c r="T3" s="162">
        <v>1</v>
      </c>
      <c r="U3" s="121">
        <v>1655</v>
      </c>
      <c r="V3" s="123"/>
      <c r="W3" s="162">
        <v>1</v>
      </c>
      <c r="X3" s="121"/>
      <c r="Y3" s="121"/>
      <c r="Z3" s="121"/>
      <c r="AA3" s="123"/>
      <c r="AB3" s="162"/>
    </row>
    <row r="4" spans="1:28">
      <c r="A4" s="119" t="s">
        <v>155</v>
      </c>
      <c r="B4" s="120"/>
      <c r="C4" s="124"/>
      <c r="D4" s="120"/>
      <c r="E4" s="120">
        <v>1</v>
      </c>
      <c r="F4" s="121">
        <v>928</v>
      </c>
      <c r="G4" s="125"/>
      <c r="H4" s="124">
        <v>3</v>
      </c>
      <c r="I4" s="124">
        <v>928</v>
      </c>
      <c r="J4" s="121">
        <v>1</v>
      </c>
      <c r="K4" s="124">
        <v>431</v>
      </c>
      <c r="L4" s="123">
        <f>(K4-I4)/I4</f>
        <v>-0.535560344827586</v>
      </c>
      <c r="M4" s="162">
        <v>8</v>
      </c>
      <c r="N4" s="121"/>
      <c r="O4" s="122">
        <v>928</v>
      </c>
      <c r="P4" s="121"/>
      <c r="Q4" s="123"/>
      <c r="R4" s="126"/>
      <c r="S4" s="124">
        <v>928</v>
      </c>
      <c r="T4" s="162">
        <v>1</v>
      </c>
      <c r="U4" s="121">
        <v>1466</v>
      </c>
      <c r="V4" s="125">
        <f t="shared" ref="V4:V10" si="0">(U4-S4)/S4</f>
        <v>0.579741379310345</v>
      </c>
      <c r="W4" s="162">
        <v>2</v>
      </c>
      <c r="X4" s="121"/>
      <c r="Y4" s="120"/>
      <c r="Z4" s="121"/>
      <c r="AA4" s="123"/>
      <c r="AB4" s="162"/>
    </row>
    <row r="5" spans="1:28">
      <c r="A5" s="119" t="s">
        <v>156</v>
      </c>
      <c r="B5" s="126"/>
      <c r="C5" s="124"/>
      <c r="D5" s="122"/>
      <c r="E5" s="126"/>
      <c r="F5" s="121"/>
      <c r="G5" s="125"/>
      <c r="H5" s="125"/>
      <c r="I5" s="125"/>
      <c r="J5" s="121">
        <v>2</v>
      </c>
      <c r="K5" s="124">
        <v>1188</v>
      </c>
      <c r="L5" s="123"/>
      <c r="M5" s="162">
        <v>2</v>
      </c>
      <c r="N5" s="121"/>
      <c r="O5" s="122">
        <v>1188</v>
      </c>
      <c r="P5" s="121"/>
      <c r="Q5" s="125"/>
      <c r="R5" s="126"/>
      <c r="S5" s="124">
        <v>1188</v>
      </c>
      <c r="T5" s="162">
        <v>1</v>
      </c>
      <c r="U5" s="121">
        <f>1112</f>
        <v>1112</v>
      </c>
      <c r="V5" s="123">
        <f t="shared" si="0"/>
        <v>-0.063973063973064</v>
      </c>
      <c r="W5" s="162">
        <v>3</v>
      </c>
      <c r="X5" s="121"/>
      <c r="Y5" s="121"/>
      <c r="Z5" s="121"/>
      <c r="AA5" s="125"/>
      <c r="AB5" s="162"/>
    </row>
    <row r="6" spans="1:28">
      <c r="A6" s="119" t="s">
        <v>157</v>
      </c>
      <c r="B6" s="120">
        <v>1</v>
      </c>
      <c r="C6" s="124">
        <v>544</v>
      </c>
      <c r="D6" s="122">
        <v>6</v>
      </c>
      <c r="E6" s="120">
        <v>1</v>
      </c>
      <c r="F6" s="121">
        <v>1278</v>
      </c>
      <c r="G6" s="125">
        <f>(F6-C6)/C6</f>
        <v>1.34926470588235</v>
      </c>
      <c r="H6" s="124">
        <v>2</v>
      </c>
      <c r="I6" s="124">
        <v>1278</v>
      </c>
      <c r="J6" s="121">
        <v>1</v>
      </c>
      <c r="K6" s="124">
        <v>819</v>
      </c>
      <c r="L6" s="123">
        <f>(K6-I6)/I6</f>
        <v>-0.359154929577465</v>
      </c>
      <c r="M6" s="162">
        <v>5</v>
      </c>
      <c r="N6" s="121">
        <v>1</v>
      </c>
      <c r="O6" s="122">
        <v>1278</v>
      </c>
      <c r="P6" s="121">
        <v>1039</v>
      </c>
      <c r="Q6" s="123">
        <f>(P6-O6)/O6</f>
        <v>-0.187010954616588</v>
      </c>
      <c r="R6" s="162">
        <v>3</v>
      </c>
      <c r="S6" s="124">
        <v>1278</v>
      </c>
      <c r="T6" s="162">
        <v>1</v>
      </c>
      <c r="U6" s="121">
        <v>1025</v>
      </c>
      <c r="V6" s="123">
        <f t="shared" si="0"/>
        <v>-0.197965571205008</v>
      </c>
      <c r="W6" s="162">
        <v>4</v>
      </c>
      <c r="X6" s="121"/>
      <c r="Y6" s="121"/>
      <c r="Z6" s="121"/>
      <c r="AA6" s="123"/>
      <c r="AB6" s="162"/>
    </row>
    <row r="7" spans="1:28">
      <c r="A7" s="119" t="s">
        <v>158</v>
      </c>
      <c r="B7" s="126">
        <v>1</v>
      </c>
      <c r="C7" s="124">
        <v>1351</v>
      </c>
      <c r="D7" s="122">
        <v>2</v>
      </c>
      <c r="E7" s="126"/>
      <c r="F7" s="121"/>
      <c r="G7" s="122"/>
      <c r="H7" s="122"/>
      <c r="I7" s="124">
        <v>1351</v>
      </c>
      <c r="J7" s="121"/>
      <c r="K7" s="121"/>
      <c r="L7" s="125"/>
      <c r="M7" s="126"/>
      <c r="N7" s="121"/>
      <c r="O7" s="122">
        <v>1351</v>
      </c>
      <c r="P7" s="121"/>
      <c r="Q7" s="125"/>
      <c r="R7" s="126"/>
      <c r="S7" s="124">
        <v>1351</v>
      </c>
      <c r="T7" s="162">
        <v>1</v>
      </c>
      <c r="U7" s="121">
        <v>912</v>
      </c>
      <c r="V7" s="123">
        <f t="shared" si="0"/>
        <v>-0.324944485566247</v>
      </c>
      <c r="W7" s="162">
        <v>5</v>
      </c>
      <c r="X7" s="121"/>
      <c r="Y7" s="121"/>
      <c r="Z7" s="121"/>
      <c r="AA7" s="125"/>
      <c r="AB7" s="126"/>
    </row>
    <row r="8" spans="1:28">
      <c r="A8" s="119" t="s">
        <v>159</v>
      </c>
      <c r="B8" s="120">
        <v>1</v>
      </c>
      <c r="C8" s="124">
        <v>112</v>
      </c>
      <c r="D8" s="122"/>
      <c r="E8" s="120"/>
      <c r="F8" s="121"/>
      <c r="G8" s="125"/>
      <c r="H8" s="127"/>
      <c r="I8" s="124">
        <v>112</v>
      </c>
      <c r="J8" s="121"/>
      <c r="K8" s="121"/>
      <c r="L8" s="125"/>
      <c r="M8" s="162"/>
      <c r="N8" s="121"/>
      <c r="O8" s="122">
        <v>112</v>
      </c>
      <c r="P8" s="121"/>
      <c r="Q8" s="125"/>
      <c r="R8" s="126"/>
      <c r="S8" s="124">
        <v>112</v>
      </c>
      <c r="T8" s="162">
        <v>1</v>
      </c>
      <c r="U8" s="121">
        <v>475</v>
      </c>
      <c r="V8" s="125">
        <f t="shared" si="0"/>
        <v>3.24107142857143</v>
      </c>
      <c r="W8" s="162">
        <v>6</v>
      </c>
      <c r="X8" s="121"/>
      <c r="Y8" s="121"/>
      <c r="Z8" s="121"/>
      <c r="AA8" s="125"/>
      <c r="AB8" s="162"/>
    </row>
    <row r="9" spans="1:28">
      <c r="A9" s="119" t="s">
        <v>160</v>
      </c>
      <c r="B9" s="120"/>
      <c r="C9" s="124"/>
      <c r="D9" s="122"/>
      <c r="E9" s="120"/>
      <c r="F9" s="121"/>
      <c r="G9" s="125"/>
      <c r="H9" s="127"/>
      <c r="I9" s="122"/>
      <c r="J9" s="120">
        <v>1</v>
      </c>
      <c r="K9" s="124">
        <v>386</v>
      </c>
      <c r="L9" s="123"/>
      <c r="M9" s="162">
        <v>10</v>
      </c>
      <c r="N9" s="121"/>
      <c r="O9" s="122">
        <v>386</v>
      </c>
      <c r="P9" s="121"/>
      <c r="Q9" s="123"/>
      <c r="R9" s="162"/>
      <c r="S9" s="124">
        <v>386</v>
      </c>
      <c r="T9" s="162">
        <v>1</v>
      </c>
      <c r="U9" s="121">
        <v>69</v>
      </c>
      <c r="V9" s="123">
        <f t="shared" si="0"/>
        <v>-0.821243523316062</v>
      </c>
      <c r="W9" s="162">
        <v>7</v>
      </c>
      <c r="X9" s="121"/>
      <c r="Y9" s="121"/>
      <c r="Z9" s="121"/>
      <c r="AA9" s="125"/>
      <c r="AB9" s="162"/>
    </row>
    <row r="10" spans="1:28">
      <c r="A10" s="119" t="s">
        <v>161</v>
      </c>
      <c r="B10" s="120"/>
      <c r="C10" s="124"/>
      <c r="D10" s="122"/>
      <c r="E10" s="120">
        <v>1</v>
      </c>
      <c r="F10" s="121">
        <v>885</v>
      </c>
      <c r="G10" s="123"/>
      <c r="H10" s="124">
        <v>4</v>
      </c>
      <c r="I10" s="124">
        <v>885</v>
      </c>
      <c r="J10" s="121"/>
      <c r="K10" s="121"/>
      <c r="L10" s="123"/>
      <c r="M10" s="162"/>
      <c r="N10" s="121">
        <v>1</v>
      </c>
      <c r="O10" s="122">
        <v>885</v>
      </c>
      <c r="P10" s="121">
        <v>141</v>
      </c>
      <c r="Q10" s="123">
        <f t="shared" ref="Q10:Q16" si="1">(P10-O10)/O10</f>
        <v>-0.840677966101695</v>
      </c>
      <c r="R10" s="162">
        <v>8</v>
      </c>
      <c r="S10" s="124">
        <v>885</v>
      </c>
      <c r="T10" s="162">
        <v>1</v>
      </c>
      <c r="U10" s="121">
        <v>44</v>
      </c>
      <c r="V10" s="123">
        <f t="shared" si="0"/>
        <v>-0.950282485875706</v>
      </c>
      <c r="W10" s="162">
        <v>8</v>
      </c>
      <c r="X10" s="121"/>
      <c r="Y10" s="121"/>
      <c r="Z10" s="121"/>
      <c r="AA10" s="123"/>
      <c r="AB10" s="162"/>
    </row>
    <row r="11" spans="1:28">
      <c r="A11" s="119" t="s">
        <v>162</v>
      </c>
      <c r="B11" s="120">
        <v>1</v>
      </c>
      <c r="C11" s="124">
        <v>1251</v>
      </c>
      <c r="D11" s="122">
        <v>3</v>
      </c>
      <c r="E11" s="120"/>
      <c r="F11" s="121"/>
      <c r="G11" s="123"/>
      <c r="H11" s="121"/>
      <c r="I11" s="124">
        <v>1251</v>
      </c>
      <c r="J11" s="121">
        <v>1</v>
      </c>
      <c r="K11" s="124">
        <v>386</v>
      </c>
      <c r="L11" s="123">
        <f>(K11-I11)/I11</f>
        <v>-0.691446842525979</v>
      </c>
      <c r="M11" s="162">
        <v>9</v>
      </c>
      <c r="N11" s="121">
        <v>1</v>
      </c>
      <c r="O11" s="122">
        <v>1251</v>
      </c>
      <c r="P11" s="121">
        <v>1248</v>
      </c>
      <c r="Q11" s="125">
        <f t="shared" si="1"/>
        <v>-0.00239808153477218</v>
      </c>
      <c r="R11" s="162">
        <v>1</v>
      </c>
      <c r="S11" s="124">
        <v>1248</v>
      </c>
      <c r="T11" s="162"/>
      <c r="U11" s="121"/>
      <c r="V11" s="125"/>
      <c r="W11" s="162"/>
      <c r="X11" s="121"/>
      <c r="Y11" s="121"/>
      <c r="Z11" s="121"/>
      <c r="AA11" s="123"/>
      <c r="AB11" s="162"/>
    </row>
    <row r="12" spans="1:28">
      <c r="A12" s="119" t="s">
        <v>163</v>
      </c>
      <c r="B12" s="120">
        <v>1</v>
      </c>
      <c r="C12" s="124">
        <v>3166</v>
      </c>
      <c r="D12" s="122">
        <v>1</v>
      </c>
      <c r="E12" s="120"/>
      <c r="F12" s="121"/>
      <c r="G12" s="123"/>
      <c r="H12" s="121"/>
      <c r="I12" s="124">
        <v>3166</v>
      </c>
      <c r="J12" s="121">
        <v>1</v>
      </c>
      <c r="K12" s="124">
        <v>2025</v>
      </c>
      <c r="L12" s="123">
        <f>(K12-I12)/I12</f>
        <v>-0.360391661402401</v>
      </c>
      <c r="M12" s="162">
        <v>1</v>
      </c>
      <c r="N12" s="121">
        <v>1</v>
      </c>
      <c r="O12" s="122">
        <v>3166</v>
      </c>
      <c r="P12" s="121">
        <v>1093</v>
      </c>
      <c r="Q12" s="123">
        <f t="shared" si="1"/>
        <v>-0.654769425142135</v>
      </c>
      <c r="R12" s="162">
        <v>2</v>
      </c>
      <c r="S12" s="124">
        <v>3166</v>
      </c>
      <c r="T12" s="162"/>
      <c r="U12" s="121"/>
      <c r="V12" s="123"/>
      <c r="W12" s="162"/>
      <c r="X12" s="121"/>
      <c r="Y12" s="121"/>
      <c r="Z12" s="121"/>
      <c r="AA12" s="123"/>
      <c r="AB12" s="162"/>
    </row>
    <row r="13" spans="1:28">
      <c r="A13" s="119" t="s">
        <v>164</v>
      </c>
      <c r="B13" s="120">
        <v>1</v>
      </c>
      <c r="C13" s="124">
        <v>1172</v>
      </c>
      <c r="D13" s="122">
        <v>4</v>
      </c>
      <c r="E13" s="120"/>
      <c r="F13" s="121"/>
      <c r="G13" s="125"/>
      <c r="H13" s="121"/>
      <c r="I13" s="124">
        <v>1172</v>
      </c>
      <c r="J13" s="121"/>
      <c r="K13" s="121"/>
      <c r="L13" s="125"/>
      <c r="M13" s="162"/>
      <c r="N13" s="121">
        <v>1</v>
      </c>
      <c r="O13" s="122">
        <v>1172</v>
      </c>
      <c r="P13" s="121">
        <v>266</v>
      </c>
      <c r="Q13" s="123">
        <f t="shared" si="1"/>
        <v>-0.773037542662116</v>
      </c>
      <c r="R13" s="162">
        <v>4</v>
      </c>
      <c r="S13" s="124">
        <v>1172</v>
      </c>
      <c r="T13" s="162"/>
      <c r="U13" s="121"/>
      <c r="V13" s="123"/>
      <c r="W13" s="162"/>
      <c r="X13" s="121"/>
      <c r="Y13" s="121"/>
      <c r="Z13" s="121"/>
      <c r="AA13" s="123"/>
      <c r="AB13" s="162"/>
    </row>
    <row r="14" spans="1:28">
      <c r="A14" s="119" t="s">
        <v>165</v>
      </c>
      <c r="B14" s="120">
        <v>1</v>
      </c>
      <c r="C14" s="124">
        <v>754</v>
      </c>
      <c r="D14" s="122">
        <v>5</v>
      </c>
      <c r="E14" s="120"/>
      <c r="F14" s="121"/>
      <c r="G14" s="125"/>
      <c r="H14" s="124"/>
      <c r="I14" s="124">
        <v>754</v>
      </c>
      <c r="J14" s="121">
        <v>1</v>
      </c>
      <c r="K14" s="124">
        <v>1086</v>
      </c>
      <c r="L14" s="125">
        <f>(K14-I14)/I14</f>
        <v>0.440318302387268</v>
      </c>
      <c r="M14" s="162">
        <v>3</v>
      </c>
      <c r="N14" s="121">
        <v>1</v>
      </c>
      <c r="O14" s="122">
        <v>1086</v>
      </c>
      <c r="P14" s="121">
        <v>220</v>
      </c>
      <c r="Q14" s="123">
        <f t="shared" si="1"/>
        <v>-0.797421731123389</v>
      </c>
      <c r="R14" s="162">
        <v>5</v>
      </c>
      <c r="S14" s="124">
        <v>1086</v>
      </c>
      <c r="T14" s="162"/>
      <c r="U14" s="121"/>
      <c r="V14" s="125"/>
      <c r="W14" s="126"/>
      <c r="X14" s="121"/>
      <c r="Y14" s="121"/>
      <c r="Z14" s="121"/>
      <c r="AA14" s="125"/>
      <c r="AB14" s="126"/>
    </row>
    <row r="15" spans="1:28">
      <c r="A15" s="119" t="s">
        <v>166</v>
      </c>
      <c r="B15" s="120"/>
      <c r="C15" s="124"/>
      <c r="D15" s="120"/>
      <c r="E15" s="120">
        <v>1</v>
      </c>
      <c r="F15" s="121">
        <v>2236</v>
      </c>
      <c r="G15" s="125"/>
      <c r="H15" s="124">
        <v>1</v>
      </c>
      <c r="I15" s="124">
        <v>2236</v>
      </c>
      <c r="J15" s="121">
        <v>1</v>
      </c>
      <c r="K15" s="124">
        <v>739</v>
      </c>
      <c r="L15" s="123">
        <f>(K15-I15)/I15</f>
        <v>-0.669499105545617</v>
      </c>
      <c r="M15" s="162">
        <v>7</v>
      </c>
      <c r="N15" s="121">
        <v>1</v>
      </c>
      <c r="O15" s="122">
        <v>2236</v>
      </c>
      <c r="P15" s="121">
        <v>212</v>
      </c>
      <c r="Q15" s="123">
        <f t="shared" si="1"/>
        <v>-0.905187835420394</v>
      </c>
      <c r="R15" s="162">
        <v>6</v>
      </c>
      <c r="S15" s="124">
        <v>2236</v>
      </c>
      <c r="T15" s="162"/>
      <c r="U15" s="121"/>
      <c r="V15" s="123"/>
      <c r="W15" s="162"/>
      <c r="X15" s="121"/>
      <c r="Y15" s="121"/>
      <c r="Z15" s="121"/>
      <c r="AA15" s="123"/>
      <c r="AB15" s="162"/>
    </row>
    <row r="16" spans="1:28">
      <c r="A16" s="119" t="s">
        <v>167</v>
      </c>
      <c r="B16" s="120"/>
      <c r="C16" s="124"/>
      <c r="D16" s="123"/>
      <c r="E16" s="120"/>
      <c r="F16" s="121"/>
      <c r="G16" s="125"/>
      <c r="H16" s="121"/>
      <c r="I16" s="122"/>
      <c r="J16" s="120">
        <v>1</v>
      </c>
      <c r="K16" s="124">
        <v>1060</v>
      </c>
      <c r="L16" s="123"/>
      <c r="M16" s="162">
        <v>4</v>
      </c>
      <c r="N16" s="121">
        <v>1</v>
      </c>
      <c r="O16" s="122">
        <v>1060</v>
      </c>
      <c r="P16" s="121">
        <v>178</v>
      </c>
      <c r="Q16" s="123">
        <f t="shared" si="1"/>
        <v>-0.832075471698113</v>
      </c>
      <c r="R16" s="162">
        <v>7</v>
      </c>
      <c r="S16" s="124">
        <v>1060</v>
      </c>
      <c r="T16" s="162"/>
      <c r="U16" s="121"/>
      <c r="V16" s="123"/>
      <c r="W16" s="162"/>
      <c r="X16" s="121"/>
      <c r="Y16" s="121"/>
      <c r="Z16" s="121"/>
      <c r="AA16" s="123"/>
      <c r="AB16" s="162"/>
    </row>
    <row r="17" spans="1:28">
      <c r="A17" s="119" t="s">
        <v>168</v>
      </c>
      <c r="B17" s="120"/>
      <c r="C17" s="124"/>
      <c r="D17" s="122"/>
      <c r="E17" s="120"/>
      <c r="F17" s="121"/>
      <c r="G17" s="125"/>
      <c r="H17" s="125"/>
      <c r="I17" s="122"/>
      <c r="J17" s="120">
        <v>1</v>
      </c>
      <c r="K17" s="124">
        <v>770</v>
      </c>
      <c r="L17" s="123"/>
      <c r="M17" s="162">
        <v>6</v>
      </c>
      <c r="N17" s="121"/>
      <c r="O17" s="122">
        <v>770</v>
      </c>
      <c r="P17" s="121"/>
      <c r="Q17" s="125"/>
      <c r="R17" s="126"/>
      <c r="S17" s="124">
        <v>770</v>
      </c>
      <c r="T17" s="162"/>
      <c r="U17" s="121"/>
      <c r="V17" s="125"/>
      <c r="W17" s="126"/>
      <c r="X17" s="121"/>
      <c r="Y17" s="121"/>
      <c r="Z17" s="121"/>
      <c r="AA17" s="125"/>
      <c r="AB17" s="126"/>
    </row>
    <row r="18" spans="1:28">
      <c r="A18" s="119" t="s">
        <v>169</v>
      </c>
      <c r="B18" s="120"/>
      <c r="C18" s="124"/>
      <c r="D18" s="122"/>
      <c r="E18" s="120"/>
      <c r="F18" s="121"/>
      <c r="G18" s="125"/>
      <c r="H18" s="121"/>
      <c r="I18" s="122"/>
      <c r="J18" s="120">
        <v>1</v>
      </c>
      <c r="K18" s="124">
        <v>185</v>
      </c>
      <c r="L18" s="123"/>
      <c r="M18" s="162">
        <v>11</v>
      </c>
      <c r="N18" s="121"/>
      <c r="O18" s="122">
        <v>185</v>
      </c>
      <c r="P18" s="121"/>
      <c r="Q18" s="125"/>
      <c r="R18" s="126"/>
      <c r="S18" s="124">
        <v>185</v>
      </c>
      <c r="T18" s="162"/>
      <c r="U18" s="121"/>
      <c r="V18" s="123"/>
      <c r="W18" s="126"/>
      <c r="X18" s="121"/>
      <c r="Y18" s="121"/>
      <c r="Z18" s="121"/>
      <c r="AA18" s="123"/>
      <c r="AB18" s="162"/>
    </row>
    <row r="19" spans="1:18">
      <c r="A19" s="128"/>
      <c r="B19" s="129"/>
      <c r="C19" s="130"/>
      <c r="D19" s="131"/>
      <c r="E19" s="129"/>
      <c r="F19" s="130"/>
      <c r="G19" s="131"/>
      <c r="H19" s="131"/>
      <c r="I19" s="131"/>
      <c r="J19" s="131"/>
      <c r="K19" s="130"/>
      <c r="L19" s="163"/>
      <c r="M19" s="164"/>
      <c r="N19" s="131"/>
      <c r="O19" s="131"/>
      <c r="P19" s="130"/>
      <c r="Q19" s="163"/>
      <c r="R19" s="164"/>
    </row>
    <row r="20" spans="1:28">
      <c r="A20" s="114" t="s">
        <v>170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</row>
    <row r="21" ht="47.25" spans="1:28">
      <c r="A21" s="116" t="s">
        <v>50</v>
      </c>
      <c r="B21" s="117" t="s">
        <v>51</v>
      </c>
      <c r="C21" s="117" t="s">
        <v>148</v>
      </c>
      <c r="D21" s="117" t="s">
        <v>53</v>
      </c>
      <c r="E21" s="117" t="s">
        <v>51</v>
      </c>
      <c r="F21" s="132" t="s">
        <v>148</v>
      </c>
      <c r="G21" s="118" t="s">
        <v>6</v>
      </c>
      <c r="H21" s="117" t="s">
        <v>53</v>
      </c>
      <c r="I21" s="117" t="s">
        <v>55</v>
      </c>
      <c r="J21" s="117" t="s">
        <v>149</v>
      </c>
      <c r="K21" s="132" t="s">
        <v>148</v>
      </c>
      <c r="L21" s="118" t="s">
        <v>6</v>
      </c>
      <c r="M21" s="117" t="s">
        <v>150</v>
      </c>
      <c r="N21" s="117" t="s">
        <v>149</v>
      </c>
      <c r="O21" s="117" t="s">
        <v>55</v>
      </c>
      <c r="P21" s="132" t="s">
        <v>151</v>
      </c>
      <c r="Q21" s="117" t="s">
        <v>6</v>
      </c>
      <c r="R21" s="117" t="s">
        <v>150</v>
      </c>
      <c r="S21" s="117" t="s">
        <v>55</v>
      </c>
      <c r="T21" s="117" t="s">
        <v>149</v>
      </c>
      <c r="U21" s="132" t="s">
        <v>152</v>
      </c>
      <c r="V21" s="117" t="s">
        <v>6</v>
      </c>
      <c r="W21" s="117" t="s">
        <v>150</v>
      </c>
      <c r="X21" s="117" t="s">
        <v>149</v>
      </c>
      <c r="Y21" s="117" t="s">
        <v>55</v>
      </c>
      <c r="Z21" s="19" t="s">
        <v>56</v>
      </c>
      <c r="AA21" s="117" t="s">
        <v>6</v>
      </c>
      <c r="AB21" s="117" t="s">
        <v>150</v>
      </c>
    </row>
    <row r="22" spans="1:28">
      <c r="A22" s="116"/>
      <c r="B22" s="117"/>
      <c r="C22" s="117"/>
      <c r="D22" s="117"/>
      <c r="E22" s="117"/>
      <c r="F22" s="132"/>
      <c r="G22" s="133"/>
      <c r="H22" s="117"/>
      <c r="I22" s="117"/>
      <c r="J22" s="117"/>
      <c r="K22" s="132"/>
      <c r="L22" s="165"/>
      <c r="M22" s="117"/>
      <c r="N22" s="117"/>
      <c r="O22" s="117"/>
      <c r="P22" s="132"/>
      <c r="Q22" s="185"/>
      <c r="R22" s="117"/>
      <c r="S22" s="117"/>
      <c r="T22" s="117"/>
      <c r="U22" s="132"/>
      <c r="V22" s="117"/>
      <c r="W22" s="117"/>
      <c r="X22" s="117"/>
      <c r="Y22" s="117"/>
      <c r="Z22" s="19"/>
      <c r="AA22" s="117"/>
      <c r="AB22" s="117"/>
    </row>
    <row r="23" spans="1:28">
      <c r="A23" s="134" t="s">
        <v>171</v>
      </c>
      <c r="B23" s="122"/>
      <c r="C23" s="124"/>
      <c r="D23" s="123"/>
      <c r="E23" s="120">
        <v>3</v>
      </c>
      <c r="F23" s="121">
        <v>2693</v>
      </c>
      <c r="G23" s="123"/>
      <c r="H23" s="124"/>
      <c r="I23" s="124">
        <v>1040</v>
      </c>
      <c r="J23" s="120">
        <v>7</v>
      </c>
      <c r="K23" s="124">
        <v>5298</v>
      </c>
      <c r="L23" s="166">
        <f>(K23-I23)/I23</f>
        <v>4.09423076923077</v>
      </c>
      <c r="M23" s="162">
        <v>2</v>
      </c>
      <c r="N23" s="121">
        <v>2</v>
      </c>
      <c r="O23" s="122">
        <v>1040</v>
      </c>
      <c r="P23" s="121">
        <v>377</v>
      </c>
      <c r="Q23" s="123">
        <f t="shared" ref="Q23:Q24" si="2">(P23-O23)/O23</f>
        <v>-0.6375</v>
      </c>
      <c r="R23" s="162">
        <v>1</v>
      </c>
      <c r="S23" s="124">
        <v>5298</v>
      </c>
      <c r="T23" s="121">
        <v>3</v>
      </c>
      <c r="U23" s="121">
        <v>3031</v>
      </c>
      <c r="V23" s="123">
        <f>(U23-S23)/S23</f>
        <v>-0.427897319743299</v>
      </c>
      <c r="W23" s="162">
        <v>1</v>
      </c>
      <c r="X23" s="124"/>
      <c r="Y23" s="121"/>
      <c r="Z23" s="154"/>
      <c r="AA23" s="123"/>
      <c r="AB23" s="126"/>
    </row>
    <row r="24" spans="1:28">
      <c r="A24" s="135" t="s">
        <v>172</v>
      </c>
      <c r="B24" s="120"/>
      <c r="C24" s="121"/>
      <c r="D24" s="136"/>
      <c r="E24" s="120">
        <v>2</v>
      </c>
      <c r="F24" s="121">
        <v>1040</v>
      </c>
      <c r="G24" s="137"/>
      <c r="H24" s="137"/>
      <c r="I24" s="122"/>
      <c r="J24" s="120"/>
      <c r="K24" s="124">
        <v>920</v>
      </c>
      <c r="L24" s="167"/>
      <c r="M24" s="162">
        <v>5</v>
      </c>
      <c r="N24" s="121">
        <v>2</v>
      </c>
      <c r="O24" s="122">
        <v>920</v>
      </c>
      <c r="P24" s="121">
        <v>295</v>
      </c>
      <c r="Q24" s="123">
        <f t="shared" si="2"/>
        <v>-0.679347826086957</v>
      </c>
      <c r="R24" s="162">
        <v>2</v>
      </c>
      <c r="S24" s="124">
        <v>920</v>
      </c>
      <c r="T24" s="121">
        <v>3</v>
      </c>
      <c r="U24" s="120">
        <f>3242</f>
        <v>3242</v>
      </c>
      <c r="V24" s="125">
        <f>(U24-S24)/S24</f>
        <v>2.52391304347826</v>
      </c>
      <c r="W24" s="162">
        <v>2</v>
      </c>
      <c r="X24" s="138"/>
      <c r="Y24" s="122"/>
      <c r="Z24" s="124"/>
      <c r="AA24" s="123"/>
      <c r="AB24" s="126"/>
    </row>
    <row r="25" spans="1:28">
      <c r="A25" s="134" t="s">
        <v>173</v>
      </c>
      <c r="B25" s="120"/>
      <c r="C25" s="121"/>
      <c r="D25" s="136"/>
      <c r="E25" s="120"/>
      <c r="F25" s="121"/>
      <c r="G25" s="136"/>
      <c r="H25" s="121"/>
      <c r="I25" s="122"/>
      <c r="J25" s="122"/>
      <c r="K25" s="124">
        <v>1180</v>
      </c>
      <c r="L25" s="123"/>
      <c r="M25" s="162">
        <v>4</v>
      </c>
      <c r="N25" s="121"/>
      <c r="O25" s="122">
        <v>1180</v>
      </c>
      <c r="P25" s="121"/>
      <c r="Q25" s="123"/>
      <c r="R25" s="126"/>
      <c r="S25" s="124">
        <v>1180</v>
      </c>
      <c r="T25" s="121">
        <v>1</v>
      </c>
      <c r="U25" s="120">
        <v>1381</v>
      </c>
      <c r="V25" s="125">
        <f>(U25-S25)/S25</f>
        <v>0.170338983050847</v>
      </c>
      <c r="W25" s="162">
        <v>3</v>
      </c>
      <c r="X25" s="124"/>
      <c r="Y25" s="122"/>
      <c r="Z25" s="124"/>
      <c r="AA25" s="123"/>
      <c r="AB25" s="126"/>
    </row>
    <row r="26" spans="1:28">
      <c r="A26" s="134" t="s">
        <v>174</v>
      </c>
      <c r="B26" s="122"/>
      <c r="C26" s="124"/>
      <c r="D26" s="123"/>
      <c r="E26" s="122"/>
      <c r="F26" s="124"/>
      <c r="G26" s="123"/>
      <c r="H26" s="124"/>
      <c r="I26" s="124">
        <v>2693</v>
      </c>
      <c r="J26" s="122">
        <v>3</v>
      </c>
      <c r="K26" s="124">
        <v>2205</v>
      </c>
      <c r="L26" s="123">
        <f>(K26-I26)/I26</f>
        <v>-0.181210545859636</v>
      </c>
      <c r="M26" s="162">
        <v>3</v>
      </c>
      <c r="N26" s="168">
        <v>1</v>
      </c>
      <c r="O26" s="122">
        <v>2693</v>
      </c>
      <c r="P26" s="121">
        <v>141</v>
      </c>
      <c r="Q26" s="123">
        <f>(P26-O26)/O26</f>
        <v>-0.94764203490531</v>
      </c>
      <c r="R26" s="162">
        <v>4</v>
      </c>
      <c r="S26" s="124">
        <v>2205</v>
      </c>
      <c r="T26" s="121">
        <v>1</v>
      </c>
      <c r="U26" s="120">
        <v>37</v>
      </c>
      <c r="V26" s="123">
        <f>(U26-S26)/S26</f>
        <v>-0.983219954648526</v>
      </c>
      <c r="W26" s="162">
        <v>4</v>
      </c>
      <c r="X26" s="124"/>
      <c r="Y26" s="122"/>
      <c r="Z26" s="124"/>
      <c r="AA26" s="123"/>
      <c r="AB26" s="126"/>
    </row>
    <row r="27" spans="1:28">
      <c r="A27" s="135" t="s">
        <v>175</v>
      </c>
      <c r="B27" s="120">
        <v>6</v>
      </c>
      <c r="C27" s="121">
        <v>8433</v>
      </c>
      <c r="D27" s="136"/>
      <c r="E27" s="120">
        <v>6</v>
      </c>
      <c r="F27" s="121">
        <v>4826</v>
      </c>
      <c r="G27" s="138">
        <f>(F27-C27)/C27</f>
        <v>-0.427724415984822</v>
      </c>
      <c r="H27" s="121"/>
      <c r="I27" s="124">
        <v>3785</v>
      </c>
      <c r="J27" s="120">
        <v>1</v>
      </c>
      <c r="K27" s="124">
        <v>739</v>
      </c>
      <c r="L27" s="167">
        <f>(K27-I27)/I27</f>
        <v>-0.804755614266843</v>
      </c>
      <c r="M27" s="162">
        <v>6</v>
      </c>
      <c r="N27" s="121">
        <v>1</v>
      </c>
      <c r="O27" s="122">
        <v>3785</v>
      </c>
      <c r="P27" s="121">
        <v>212</v>
      </c>
      <c r="Q27" s="186">
        <f>(P27-O27)/O27</f>
        <v>-0.943989431968296</v>
      </c>
      <c r="R27" s="162">
        <v>3</v>
      </c>
      <c r="S27" s="124">
        <v>739</v>
      </c>
      <c r="T27" s="121"/>
      <c r="U27" s="120"/>
      <c r="V27" s="123"/>
      <c r="W27" s="162">
        <v>5</v>
      </c>
      <c r="X27" s="121"/>
      <c r="Y27" s="120"/>
      <c r="Z27" s="154"/>
      <c r="AA27" s="123"/>
      <c r="AB27" s="162"/>
    </row>
    <row r="28" spans="1:28">
      <c r="A28" s="134" t="s">
        <v>176</v>
      </c>
      <c r="B28" s="120"/>
      <c r="C28" s="121"/>
      <c r="D28" s="136"/>
      <c r="E28" s="120">
        <v>2</v>
      </c>
      <c r="F28" s="121">
        <v>3785</v>
      </c>
      <c r="G28" s="136"/>
      <c r="H28" s="121"/>
      <c r="I28" s="124">
        <v>8433</v>
      </c>
      <c r="J28" s="120">
        <v>4</v>
      </c>
      <c r="K28" s="124">
        <v>7111</v>
      </c>
      <c r="L28" s="167">
        <f>(K28-I28)/I28</f>
        <v>-0.15676508952923</v>
      </c>
      <c r="M28" s="162">
        <v>1</v>
      </c>
      <c r="N28" s="121"/>
      <c r="O28" s="122">
        <v>8433</v>
      </c>
      <c r="P28" s="121"/>
      <c r="Q28" s="123"/>
      <c r="R28" s="126"/>
      <c r="S28" s="124">
        <v>8433</v>
      </c>
      <c r="T28" s="121"/>
      <c r="U28" s="120"/>
      <c r="V28" s="123"/>
      <c r="W28" s="162">
        <v>6</v>
      </c>
      <c r="X28" s="124"/>
      <c r="Y28" s="122"/>
      <c r="Z28" s="124"/>
      <c r="AA28" s="123"/>
      <c r="AB28" s="126"/>
    </row>
    <row r="29" spans="1:28">
      <c r="A29" s="134"/>
      <c r="B29" s="139"/>
      <c r="C29" s="140"/>
      <c r="D29" s="141"/>
      <c r="E29" s="139"/>
      <c r="F29" s="140"/>
      <c r="G29" s="141"/>
      <c r="H29" s="140"/>
      <c r="I29" s="139"/>
      <c r="J29" s="139"/>
      <c r="K29" s="140"/>
      <c r="L29" s="141"/>
      <c r="M29" s="169"/>
      <c r="N29" s="140"/>
      <c r="O29" s="139"/>
      <c r="P29" s="140"/>
      <c r="Q29" s="141"/>
      <c r="R29" s="169"/>
      <c r="S29" s="140"/>
      <c r="T29" s="139"/>
      <c r="U29" s="140"/>
      <c r="V29" s="141"/>
      <c r="W29" s="169"/>
      <c r="X29" s="140"/>
      <c r="Y29" s="139"/>
      <c r="Z29" s="140"/>
      <c r="AA29" s="141"/>
      <c r="AB29" s="169"/>
    </row>
    <row r="30" spans="1:28">
      <c r="A30" s="142" t="s">
        <v>93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</row>
    <row r="31" ht="47.25" spans="1:28">
      <c r="A31" s="116" t="s">
        <v>50</v>
      </c>
      <c r="B31" s="117" t="s">
        <v>51</v>
      </c>
      <c r="C31" s="117" t="s">
        <v>148</v>
      </c>
      <c r="D31" s="117" t="s">
        <v>53</v>
      </c>
      <c r="E31" s="117" t="s">
        <v>51</v>
      </c>
      <c r="F31" s="132" t="s">
        <v>148</v>
      </c>
      <c r="G31" s="118" t="s">
        <v>6</v>
      </c>
      <c r="H31" s="117" t="s">
        <v>53</v>
      </c>
      <c r="I31" s="117" t="s">
        <v>55</v>
      </c>
      <c r="J31" s="117" t="s">
        <v>149</v>
      </c>
      <c r="K31" s="132" t="s">
        <v>148</v>
      </c>
      <c r="L31" s="118" t="s">
        <v>6</v>
      </c>
      <c r="M31" s="117" t="s">
        <v>150</v>
      </c>
      <c r="N31" s="117" t="s">
        <v>149</v>
      </c>
      <c r="O31" s="117" t="s">
        <v>55</v>
      </c>
      <c r="P31" s="132" t="s">
        <v>148</v>
      </c>
      <c r="Q31" s="117" t="s">
        <v>6</v>
      </c>
      <c r="R31" s="117" t="s">
        <v>150</v>
      </c>
      <c r="S31" s="117" t="s">
        <v>55</v>
      </c>
      <c r="T31" s="117" t="s">
        <v>149</v>
      </c>
      <c r="U31" s="132" t="s">
        <v>152</v>
      </c>
      <c r="V31" s="117" t="s">
        <v>6</v>
      </c>
      <c r="W31" s="117" t="s">
        <v>150</v>
      </c>
      <c r="X31" s="117" t="s">
        <v>149</v>
      </c>
      <c r="Y31" s="117" t="s">
        <v>55</v>
      </c>
      <c r="Z31" s="19" t="s">
        <v>54</v>
      </c>
      <c r="AA31" s="117" t="s">
        <v>6</v>
      </c>
      <c r="AB31" s="117" t="s">
        <v>150</v>
      </c>
    </row>
    <row r="32" spans="1:28">
      <c r="A32" s="116"/>
      <c r="B32" s="144"/>
      <c r="C32" s="144"/>
      <c r="D32" s="144"/>
      <c r="E32" s="144"/>
      <c r="F32" s="145"/>
      <c r="G32" s="146"/>
      <c r="H32" s="144"/>
      <c r="I32" s="144"/>
      <c r="J32" s="170"/>
      <c r="K32" s="171"/>
      <c r="L32" s="172"/>
      <c r="M32" s="173"/>
      <c r="N32" s="144"/>
      <c r="O32" s="144"/>
      <c r="P32" s="171"/>
      <c r="Q32" s="144"/>
      <c r="R32" s="173"/>
      <c r="S32" s="144"/>
      <c r="T32" s="144"/>
      <c r="U32" s="171"/>
      <c r="V32" s="144"/>
      <c r="W32" s="173"/>
      <c r="X32" s="117"/>
      <c r="Y32" s="117"/>
      <c r="Z32" s="195"/>
      <c r="AA32" s="117"/>
      <c r="AB32" s="196"/>
    </row>
    <row r="33" spans="1:28">
      <c r="A33" s="147" t="s">
        <v>177</v>
      </c>
      <c r="B33" s="148"/>
      <c r="C33" s="149"/>
      <c r="D33" s="148">
        <v>2</v>
      </c>
      <c r="E33" s="148"/>
      <c r="F33" s="149"/>
      <c r="G33" s="150"/>
      <c r="H33" s="121"/>
      <c r="I33" s="174"/>
      <c r="J33" s="120"/>
      <c r="K33" s="124"/>
      <c r="L33" s="175"/>
      <c r="M33" s="162"/>
      <c r="N33" s="121">
        <v>5</v>
      </c>
      <c r="O33" s="122"/>
      <c r="P33" s="121">
        <v>3646</v>
      </c>
      <c r="Q33" s="187"/>
      <c r="R33" s="162">
        <v>1</v>
      </c>
      <c r="S33" s="124"/>
      <c r="T33" s="122"/>
      <c r="U33" s="124"/>
      <c r="V33" s="188"/>
      <c r="W33" s="126"/>
      <c r="X33" s="124"/>
      <c r="Y33" s="122"/>
      <c r="Z33" s="124"/>
      <c r="AA33" s="188"/>
      <c r="AB33" s="126"/>
    </row>
    <row r="34" spans="1:28">
      <c r="A34" s="147" t="s">
        <v>178</v>
      </c>
      <c r="B34" s="148"/>
      <c r="C34" s="149"/>
      <c r="D34" s="148"/>
      <c r="E34" s="148"/>
      <c r="F34" s="149">
        <v>546</v>
      </c>
      <c r="G34" s="151"/>
      <c r="H34" s="121">
        <v>3</v>
      </c>
      <c r="I34" s="174">
        <v>546</v>
      </c>
      <c r="J34" s="120">
        <v>1</v>
      </c>
      <c r="K34" s="124">
        <v>65</v>
      </c>
      <c r="L34" s="175">
        <f>(K34-I34)/I34</f>
        <v>-0.880952380952381</v>
      </c>
      <c r="M34" s="162">
        <v>4</v>
      </c>
      <c r="N34" s="121">
        <v>1</v>
      </c>
      <c r="O34" s="122">
        <v>546</v>
      </c>
      <c r="P34" s="121">
        <v>38</v>
      </c>
      <c r="Q34" s="123">
        <f t="shared" ref="Q34" si="3">(P34-O34)/O34</f>
        <v>-0.93040293040293</v>
      </c>
      <c r="R34" s="162">
        <v>2</v>
      </c>
      <c r="S34" s="124"/>
      <c r="T34" s="122">
        <v>7</v>
      </c>
      <c r="U34" s="124">
        <v>4293</v>
      </c>
      <c r="V34" s="189"/>
      <c r="W34" s="126"/>
      <c r="X34" s="124"/>
      <c r="Y34" s="122"/>
      <c r="Z34" s="124"/>
      <c r="AA34" s="188"/>
      <c r="AB34" s="126"/>
    </row>
    <row r="35" spans="1:28">
      <c r="A35" s="152" t="s">
        <v>179</v>
      </c>
      <c r="B35" s="120"/>
      <c r="C35" s="121"/>
      <c r="D35" s="120">
        <v>1</v>
      </c>
      <c r="E35" s="120"/>
      <c r="F35" s="121">
        <v>1724</v>
      </c>
      <c r="G35" s="153"/>
      <c r="H35" s="121">
        <v>1</v>
      </c>
      <c r="I35" s="124">
        <v>1724</v>
      </c>
      <c r="J35" s="120">
        <v>1</v>
      </c>
      <c r="K35" s="124">
        <v>1032</v>
      </c>
      <c r="L35" s="175">
        <f>(K35-I35)/I35</f>
        <v>-0.40139211136891</v>
      </c>
      <c r="M35" s="162">
        <v>1</v>
      </c>
      <c r="N35" s="121"/>
      <c r="O35" s="122">
        <v>1724</v>
      </c>
      <c r="P35" s="121"/>
      <c r="Q35" s="190"/>
      <c r="R35" s="162"/>
      <c r="S35" s="124"/>
      <c r="T35" s="121"/>
      <c r="U35" s="124"/>
      <c r="V35" s="186"/>
      <c r="W35" s="126"/>
      <c r="X35" s="121"/>
      <c r="Y35" s="121"/>
      <c r="Z35" s="124"/>
      <c r="AA35" s="125"/>
      <c r="AB35" s="162"/>
    </row>
    <row r="36" spans="1:28">
      <c r="A36" s="154" t="s">
        <v>180</v>
      </c>
      <c r="B36" s="154"/>
      <c r="C36" s="154"/>
      <c r="D36" s="155">
        <v>1</v>
      </c>
      <c r="E36" s="155"/>
      <c r="F36" s="121">
        <v>30</v>
      </c>
      <c r="G36" s="156"/>
      <c r="H36" s="121">
        <v>4</v>
      </c>
      <c r="I36" s="124">
        <v>30</v>
      </c>
      <c r="J36" s="120"/>
      <c r="K36" s="124">
        <v>924</v>
      </c>
      <c r="L36" s="176">
        <f>(K36-I36)/I36</f>
        <v>29.8</v>
      </c>
      <c r="M36" s="162">
        <v>2</v>
      </c>
      <c r="N36" s="121"/>
      <c r="O36" s="124">
        <v>924</v>
      </c>
      <c r="P36" s="121"/>
      <c r="Q36" s="190"/>
      <c r="R36" s="162"/>
      <c r="S36" s="124"/>
      <c r="T36" s="120"/>
      <c r="U36" s="124"/>
      <c r="V36" s="186"/>
      <c r="W36" s="126"/>
      <c r="X36" s="121"/>
      <c r="Y36" s="120"/>
      <c r="Z36" s="124"/>
      <c r="AA36" s="123"/>
      <c r="AB36" s="162"/>
    </row>
    <row r="37" spans="1:28">
      <c r="A37" s="152" t="s">
        <v>181</v>
      </c>
      <c r="B37" s="120"/>
      <c r="C37" s="121"/>
      <c r="D37" s="120">
        <v>1</v>
      </c>
      <c r="E37" s="120"/>
      <c r="F37" s="155">
        <v>35</v>
      </c>
      <c r="G37" s="157"/>
      <c r="H37" s="155">
        <v>5</v>
      </c>
      <c r="I37" s="159">
        <v>35</v>
      </c>
      <c r="J37" s="157"/>
      <c r="K37" s="177">
        <v>854</v>
      </c>
      <c r="L37" s="176">
        <f>(K37-I37)/I37</f>
        <v>23.4</v>
      </c>
      <c r="M37" s="178">
        <v>3</v>
      </c>
      <c r="N37" s="121"/>
      <c r="O37" s="122">
        <v>854</v>
      </c>
      <c r="P37" s="179"/>
      <c r="Q37" s="136"/>
      <c r="R37" s="178"/>
      <c r="S37" s="124"/>
      <c r="T37" s="120"/>
      <c r="U37" s="191"/>
      <c r="V37" s="123"/>
      <c r="W37" s="192"/>
      <c r="X37" s="121"/>
      <c r="Y37" s="120"/>
      <c r="Z37" s="191"/>
      <c r="AA37" s="123"/>
      <c r="AB37" s="192"/>
    </row>
    <row r="38" spans="1:28">
      <c r="A38" s="135" t="s">
        <v>182</v>
      </c>
      <c r="B38" s="120">
        <v>2</v>
      </c>
      <c r="C38" s="121">
        <v>716</v>
      </c>
      <c r="D38" s="120">
        <v>2</v>
      </c>
      <c r="E38" s="120"/>
      <c r="F38" s="121">
        <v>974</v>
      </c>
      <c r="G38" s="125">
        <f>(F38-C38)/C38</f>
        <v>0.360335195530726</v>
      </c>
      <c r="H38" s="121">
        <v>2</v>
      </c>
      <c r="I38" s="124">
        <v>974</v>
      </c>
      <c r="J38" s="120">
        <v>2</v>
      </c>
      <c r="K38" s="124"/>
      <c r="L38" s="158"/>
      <c r="M38" s="180"/>
      <c r="N38" s="154"/>
      <c r="O38" s="159">
        <v>974</v>
      </c>
      <c r="P38" s="154"/>
      <c r="Q38" s="193"/>
      <c r="R38" s="154"/>
      <c r="S38" s="154"/>
      <c r="T38" s="154"/>
      <c r="U38" s="154"/>
      <c r="V38" s="193"/>
      <c r="W38" s="154"/>
      <c r="X38" s="154"/>
      <c r="Y38" s="154"/>
      <c r="Z38" s="154"/>
      <c r="AA38" s="193"/>
      <c r="AB38" s="154"/>
    </row>
    <row r="40" spans="1:32">
      <c r="A40" s="114" t="s">
        <v>93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</row>
    <row r="41" ht="47.25" spans="1:41">
      <c r="A41" s="19" t="s">
        <v>50</v>
      </c>
      <c r="B41" s="19" t="s">
        <v>94</v>
      </c>
      <c r="C41" s="19" t="s">
        <v>95</v>
      </c>
      <c r="D41" s="19" t="s">
        <v>96</v>
      </c>
      <c r="E41" s="19" t="s">
        <v>97</v>
      </c>
      <c r="F41" s="19" t="s">
        <v>98</v>
      </c>
      <c r="G41" s="19" t="s">
        <v>99</v>
      </c>
      <c r="H41" s="19" t="s">
        <v>150</v>
      </c>
      <c r="I41" s="19" t="s">
        <v>94</v>
      </c>
      <c r="J41" s="19" t="s">
        <v>95</v>
      </c>
      <c r="K41" s="19" t="s">
        <v>96</v>
      </c>
      <c r="L41" s="19" t="s">
        <v>183</v>
      </c>
      <c r="M41" s="19" t="s">
        <v>98</v>
      </c>
      <c r="N41" s="19" t="s">
        <v>99</v>
      </c>
      <c r="O41" s="19" t="s">
        <v>6</v>
      </c>
      <c r="P41" s="19" t="s">
        <v>55</v>
      </c>
      <c r="Q41" s="19" t="s">
        <v>53</v>
      </c>
      <c r="R41" s="19" t="s">
        <v>95</v>
      </c>
      <c r="S41" s="19" t="s">
        <v>96</v>
      </c>
      <c r="T41" s="19" t="s">
        <v>183</v>
      </c>
      <c r="U41" s="19" t="s">
        <v>98</v>
      </c>
      <c r="V41" s="19" t="s">
        <v>102</v>
      </c>
      <c r="W41" s="19" t="s">
        <v>6</v>
      </c>
      <c r="X41" s="19" t="s">
        <v>150</v>
      </c>
      <c r="Y41" s="19" t="s">
        <v>55</v>
      </c>
      <c r="Z41" s="19" t="s">
        <v>95</v>
      </c>
      <c r="AA41" s="19" t="s">
        <v>96</v>
      </c>
      <c r="AB41" s="19" t="s">
        <v>183</v>
      </c>
      <c r="AC41" s="19" t="s">
        <v>98</v>
      </c>
      <c r="AD41" s="19" t="s">
        <v>184</v>
      </c>
      <c r="AE41" s="19" t="s">
        <v>6</v>
      </c>
      <c r="AF41" s="19" t="s">
        <v>150</v>
      </c>
      <c r="AG41" s="19" t="s">
        <v>55</v>
      </c>
      <c r="AH41" s="19" t="s">
        <v>51</v>
      </c>
      <c r="AI41" s="19" t="s">
        <v>95</v>
      </c>
      <c r="AJ41" s="19" t="s">
        <v>96</v>
      </c>
      <c r="AK41" s="19" t="s">
        <v>183</v>
      </c>
      <c r="AL41" s="19" t="s">
        <v>98</v>
      </c>
      <c r="AM41" s="19" t="s">
        <v>184</v>
      </c>
      <c r="AN41" s="19" t="s">
        <v>6</v>
      </c>
      <c r="AO41" s="19" t="s">
        <v>150</v>
      </c>
    </row>
    <row r="42" spans="1:41">
      <c r="A42" s="19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19"/>
      <c r="P42" s="19"/>
      <c r="Q42" s="72"/>
      <c r="R42" s="72"/>
      <c r="S42" s="72"/>
      <c r="T42" s="72"/>
      <c r="U42" s="72"/>
      <c r="V42" s="72"/>
      <c r="W42" s="72"/>
      <c r="X42" s="19"/>
      <c r="Y42" s="19"/>
      <c r="Z42" s="19"/>
      <c r="AA42" s="19"/>
      <c r="AB42" s="19"/>
      <c r="AC42" s="19"/>
      <c r="AD42" s="19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>
      <c r="A43" s="158" t="s">
        <v>182</v>
      </c>
      <c r="B43" s="155"/>
      <c r="C43" s="155"/>
      <c r="D43" s="155">
        <f>23+46</f>
        <v>69</v>
      </c>
      <c r="E43" s="155">
        <f>1940+1589+880</f>
        <v>4409</v>
      </c>
      <c r="F43" s="155">
        <f>10100+1200+1100</f>
        <v>12400</v>
      </c>
      <c r="G43" s="159">
        <f>F43+E43+D43+C43</f>
        <v>16878</v>
      </c>
      <c r="H43" s="159">
        <v>7</v>
      </c>
      <c r="I43" s="155"/>
      <c r="J43" s="155"/>
      <c r="K43" s="155">
        <f>32+12+14+48+17</f>
        <v>123</v>
      </c>
      <c r="L43" s="181">
        <f>1198+1648+87400</f>
        <v>90246</v>
      </c>
      <c r="M43" s="155">
        <f>2900+1100+948+1300+1500+1700</f>
        <v>9448</v>
      </c>
      <c r="N43" s="159">
        <f>M43+L43+K43+J43</f>
        <v>99817</v>
      </c>
      <c r="O43" s="182">
        <f>(N43-G43)/G43</f>
        <v>4.91403009835289</v>
      </c>
      <c r="P43" s="159">
        <v>99817</v>
      </c>
      <c r="Q43" s="194">
        <v>4</v>
      </c>
      <c r="R43" s="155"/>
      <c r="S43" s="155">
        <f>44+19</f>
        <v>63</v>
      </c>
      <c r="T43" s="181">
        <f>1263</f>
        <v>1263</v>
      </c>
      <c r="U43" s="155">
        <f>2400+3700+9700+963</f>
        <v>16763</v>
      </c>
      <c r="V43" s="194">
        <f>U43+T43+S43+R43</f>
        <v>18089</v>
      </c>
      <c r="W43" s="183">
        <f>(V43-P43)/P43</f>
        <v>-0.818778364406865</v>
      </c>
      <c r="X43" s="194">
        <v>9</v>
      </c>
      <c r="Y43" s="159">
        <v>99817</v>
      </c>
      <c r="Z43" s="155"/>
      <c r="AA43" s="181">
        <f>27+25+52</f>
        <v>104</v>
      </c>
      <c r="AB43" s="155">
        <f>180200+2134</f>
        <v>182334</v>
      </c>
      <c r="AC43" s="181">
        <f>5900+4200+21700</f>
        <v>31800</v>
      </c>
      <c r="AD43" s="159">
        <f>AC43+AB43+AA43+Z43</f>
        <v>214238</v>
      </c>
      <c r="AE43" s="182">
        <f>(AD43-Y43)/Y43</f>
        <v>1.14630774317</v>
      </c>
      <c r="AF43" s="159">
        <v>1</v>
      </c>
      <c r="AG43" s="159">
        <v>214238</v>
      </c>
      <c r="AH43" s="155">
        <v>1</v>
      </c>
      <c r="AI43" s="155">
        <v>509</v>
      </c>
      <c r="AJ43" s="155">
        <f>18+32+15</f>
        <v>65</v>
      </c>
      <c r="AK43" s="155">
        <f>1099+202900</f>
        <v>203999</v>
      </c>
      <c r="AL43" s="155">
        <f>4500+8400</f>
        <v>12900</v>
      </c>
      <c r="AM43" s="159">
        <f>AL43+AK43+AJ43+AI43</f>
        <v>217473</v>
      </c>
      <c r="AN43" s="182">
        <f>(AM43-AG43)/AG43</f>
        <v>0.0151000289397773</v>
      </c>
      <c r="AO43" s="159">
        <v>1</v>
      </c>
    </row>
    <row r="44" spans="1:41">
      <c r="A44" s="158" t="s">
        <v>185</v>
      </c>
      <c r="B44" s="155">
        <v>1</v>
      </c>
      <c r="C44" s="155">
        <v>7036</v>
      </c>
      <c r="D44" s="155">
        <v>14</v>
      </c>
      <c r="E44" s="155"/>
      <c r="F44" s="155">
        <f>899+7100+8000</f>
        <v>15999</v>
      </c>
      <c r="G44" s="159">
        <f>F44+E44+D44+C44</f>
        <v>23049</v>
      </c>
      <c r="H44" s="159">
        <v>6</v>
      </c>
      <c r="I44" s="155"/>
      <c r="J44" s="155"/>
      <c r="K44" s="155">
        <f>21+5+29</f>
        <v>55</v>
      </c>
      <c r="L44" s="181">
        <f>1183+1411</f>
        <v>2594</v>
      </c>
      <c r="M44" s="155">
        <f>749+500+885</f>
        <v>2134</v>
      </c>
      <c r="N44" s="159">
        <f>M44+L44+K44+J44</f>
        <v>4783</v>
      </c>
      <c r="O44" s="183">
        <f>(N44-G44)/G44</f>
        <v>-0.792485574211462</v>
      </c>
      <c r="P44" s="159">
        <v>23049</v>
      </c>
      <c r="Q44" s="194">
        <v>10</v>
      </c>
      <c r="R44" s="155"/>
      <c r="S44" s="155"/>
      <c r="T44" s="181"/>
      <c r="U44" s="155">
        <f>1900</f>
        <v>1900</v>
      </c>
      <c r="V44" s="194">
        <f>U44+T44+S44+R44</f>
        <v>1900</v>
      </c>
      <c r="W44" s="183">
        <f>(V44-P44)/P44</f>
        <v>-0.917566922643065</v>
      </c>
      <c r="X44" s="194">
        <v>21</v>
      </c>
      <c r="Y44" s="159">
        <v>23049</v>
      </c>
      <c r="Z44" s="155">
        <v>710</v>
      </c>
      <c r="AA44" s="181"/>
      <c r="AB44" s="155">
        <f>1864+1195+1044</f>
        <v>4103</v>
      </c>
      <c r="AC44" s="181">
        <f>4100+9000</f>
        <v>13100</v>
      </c>
      <c r="AD44" s="159">
        <f>AC44+AB44+AA44+Z44</f>
        <v>17913</v>
      </c>
      <c r="AE44" s="183">
        <f>(AD44-Y44)/Y44</f>
        <v>-0.222829623844852</v>
      </c>
      <c r="AF44" s="159">
        <v>7</v>
      </c>
      <c r="AG44" s="159">
        <v>23049</v>
      </c>
      <c r="AH44" s="155">
        <v>1</v>
      </c>
      <c r="AI44" s="155">
        <f>423</f>
        <v>423</v>
      </c>
      <c r="AJ44" s="155">
        <f>20+26</f>
        <v>46</v>
      </c>
      <c r="AK44" s="155">
        <f>25400</f>
        <v>25400</v>
      </c>
      <c r="AL44" s="155">
        <f>70200+3000</f>
        <v>73200</v>
      </c>
      <c r="AM44" s="159">
        <f>AL44+AK44+AJ44+AI44</f>
        <v>99069</v>
      </c>
      <c r="AN44" s="182">
        <f>(AM44-AG44)/AG44</f>
        <v>3.29819081088117</v>
      </c>
      <c r="AO44" s="159">
        <v>2</v>
      </c>
    </row>
    <row r="45" spans="1:41">
      <c r="A45" s="158" t="s">
        <v>186</v>
      </c>
      <c r="B45" s="155">
        <v>1</v>
      </c>
      <c r="C45" s="155">
        <v>79</v>
      </c>
      <c r="D45" s="155">
        <f>25+29</f>
        <v>54</v>
      </c>
      <c r="E45" s="155">
        <f>589+37900</f>
        <v>38489</v>
      </c>
      <c r="F45" s="155">
        <f>1000+1900+6500+1700+1500</f>
        <v>12600</v>
      </c>
      <c r="G45" s="159">
        <f t="shared" ref="G45:G66" si="4">F45+E45+D45+C45</f>
        <v>51222</v>
      </c>
      <c r="H45" s="159">
        <v>1</v>
      </c>
      <c r="I45" s="155"/>
      <c r="J45" s="155"/>
      <c r="K45" s="155">
        <f>18</f>
        <v>18</v>
      </c>
      <c r="L45" s="181"/>
      <c r="M45" s="155">
        <f>1400+395+2600+791</f>
        <v>5186</v>
      </c>
      <c r="N45" s="159">
        <f>M45+L45+K45+J45</f>
        <v>5204</v>
      </c>
      <c r="O45" s="183">
        <f>(N45-G45)/G45</f>
        <v>-0.898403029948069</v>
      </c>
      <c r="P45" s="159">
        <v>51222</v>
      </c>
      <c r="Q45" s="194">
        <v>9</v>
      </c>
      <c r="R45" s="155"/>
      <c r="S45" s="155">
        <f>7070</f>
        <v>7070</v>
      </c>
      <c r="T45" s="181"/>
      <c r="U45" s="155">
        <f>52000</f>
        <v>52000</v>
      </c>
      <c r="V45" s="194">
        <f t="shared" ref="V45:V60" si="5">U45+T45+S45+R45</f>
        <v>59070</v>
      </c>
      <c r="W45" s="182">
        <f>(V45-P45)/P45</f>
        <v>0.153215415251259</v>
      </c>
      <c r="X45" s="194">
        <v>5</v>
      </c>
      <c r="Y45" s="159">
        <v>59070</v>
      </c>
      <c r="Z45" s="155"/>
      <c r="AA45" s="181"/>
      <c r="AB45" s="155"/>
      <c r="AC45" s="194"/>
      <c r="AD45" s="159"/>
      <c r="AE45" s="197"/>
      <c r="AF45" s="154"/>
      <c r="AG45" s="159">
        <v>59070</v>
      </c>
      <c r="AH45" s="155">
        <v>2</v>
      </c>
      <c r="AI45" s="155">
        <f>396+15308</f>
        <v>15704</v>
      </c>
      <c r="AJ45" s="155">
        <f>23+27</f>
        <v>50</v>
      </c>
      <c r="AK45" s="155">
        <f>2074+29100</f>
        <v>31174</v>
      </c>
      <c r="AL45" s="155">
        <f>1000+3300+5500</f>
        <v>9800</v>
      </c>
      <c r="AM45" s="159">
        <f t="shared" ref="AM45:AM61" si="6">AL45+AK45+AJ45+AI45</f>
        <v>56728</v>
      </c>
      <c r="AN45" s="183">
        <f t="shared" ref="AN45:AN61" si="7">(AM45-AG45)/AG45</f>
        <v>-0.0396478754020653</v>
      </c>
      <c r="AO45" s="159">
        <v>4</v>
      </c>
    </row>
    <row r="46" spans="1:41">
      <c r="A46" s="160" t="s">
        <v>181</v>
      </c>
      <c r="B46" s="155">
        <v>2</v>
      </c>
      <c r="C46" s="155">
        <v>2161</v>
      </c>
      <c r="D46" s="155">
        <v>30</v>
      </c>
      <c r="E46" s="155"/>
      <c r="F46" s="155">
        <f>17600+3100+2700+11900</f>
        <v>35300</v>
      </c>
      <c r="G46" s="159">
        <f t="shared" si="4"/>
        <v>37491</v>
      </c>
      <c r="H46" s="159">
        <v>3</v>
      </c>
      <c r="I46" s="155">
        <v>1</v>
      </c>
      <c r="J46" s="155">
        <v>1561</v>
      </c>
      <c r="K46" s="155">
        <f>25+29</f>
        <v>54</v>
      </c>
      <c r="L46" s="181">
        <f>514+10800</f>
        <v>11314</v>
      </c>
      <c r="M46" s="155">
        <f>20300+29700</f>
        <v>50000</v>
      </c>
      <c r="N46" s="159">
        <f>M46+L46+K46+J46</f>
        <v>62929</v>
      </c>
      <c r="O46" s="182">
        <f>(N46-G46)/G46</f>
        <v>0.678509508948814</v>
      </c>
      <c r="P46" s="159">
        <v>62929</v>
      </c>
      <c r="Q46" s="194">
        <v>5</v>
      </c>
      <c r="R46" s="155"/>
      <c r="S46" s="155">
        <f>40+23</f>
        <v>63</v>
      </c>
      <c r="T46" s="181">
        <f>1350+596</f>
        <v>1946</v>
      </c>
      <c r="U46" s="155">
        <f>73900+24800</f>
        <v>98700</v>
      </c>
      <c r="V46" s="194">
        <f t="shared" si="5"/>
        <v>100709</v>
      </c>
      <c r="W46" s="182">
        <f>(V46-P46)/P46</f>
        <v>0.60035913489806</v>
      </c>
      <c r="X46" s="194">
        <v>2</v>
      </c>
      <c r="Y46" s="159">
        <v>100709</v>
      </c>
      <c r="Z46" s="155"/>
      <c r="AA46" s="181">
        <f>37+25+32+41</f>
        <v>135</v>
      </c>
      <c r="AB46" s="155">
        <f>878+1254+1357</f>
        <v>3489</v>
      </c>
      <c r="AC46" s="181">
        <f>3400+3900+864+4200</f>
        <v>12364</v>
      </c>
      <c r="AD46" s="159">
        <f t="shared" ref="AD46:AD52" si="8">AC46+AB46+AA46+Z46</f>
        <v>15988</v>
      </c>
      <c r="AE46" s="183">
        <f t="shared" ref="AE46:AE52" si="9">(AD46-Y46)/Y46</f>
        <v>-0.841245568916383</v>
      </c>
      <c r="AF46" s="159">
        <v>8</v>
      </c>
      <c r="AG46" s="159">
        <v>100709</v>
      </c>
      <c r="AH46" s="155"/>
      <c r="AI46" s="155"/>
      <c r="AJ46" s="155">
        <f>17+32+19</f>
        <v>68</v>
      </c>
      <c r="AK46" s="155">
        <f>30100+916</f>
        <v>31016</v>
      </c>
      <c r="AL46" s="155">
        <f>1700+7100+2300</f>
        <v>11100</v>
      </c>
      <c r="AM46" s="159">
        <f t="shared" si="6"/>
        <v>42184</v>
      </c>
      <c r="AN46" s="183">
        <f t="shared" si="7"/>
        <v>-0.581129789790386</v>
      </c>
      <c r="AO46" s="159">
        <v>5</v>
      </c>
    </row>
    <row r="47" spans="1:41">
      <c r="A47" s="158" t="s">
        <v>187</v>
      </c>
      <c r="B47" s="155"/>
      <c r="C47" s="155"/>
      <c r="D47" s="155">
        <f>36+25+58+36</f>
        <v>155</v>
      </c>
      <c r="E47" s="155">
        <f>1533+1454+1373+665</f>
        <v>5025</v>
      </c>
      <c r="F47" s="155">
        <f>1600+913</f>
        <v>2513</v>
      </c>
      <c r="G47" s="159">
        <f t="shared" si="4"/>
        <v>7693</v>
      </c>
      <c r="H47" s="159">
        <v>11</v>
      </c>
      <c r="I47" s="155"/>
      <c r="J47" s="155"/>
      <c r="K47" s="155">
        <f>37+20+23</f>
        <v>80</v>
      </c>
      <c r="L47" s="181">
        <f>4128+1595+1502</f>
        <v>7225</v>
      </c>
      <c r="M47" s="155">
        <f>785+1000+942+30</f>
        <v>2757</v>
      </c>
      <c r="N47" s="159">
        <f>M47+L47+K47+J47</f>
        <v>10062</v>
      </c>
      <c r="O47" s="183">
        <f>(N47-G47)/G47</f>
        <v>0.307942285194333</v>
      </c>
      <c r="P47" s="159">
        <v>7693</v>
      </c>
      <c r="Q47" s="194">
        <v>8</v>
      </c>
      <c r="R47" s="155">
        <v>1888</v>
      </c>
      <c r="S47" s="155">
        <f>25+255</f>
        <v>280</v>
      </c>
      <c r="T47" s="181"/>
      <c r="U47" s="155">
        <f>80300+3000+2700</f>
        <v>86000</v>
      </c>
      <c r="V47" s="194">
        <f t="shared" si="5"/>
        <v>88168</v>
      </c>
      <c r="W47" s="182">
        <f>(V47-P47)/P47</f>
        <v>10.4608085272325</v>
      </c>
      <c r="X47" s="194">
        <v>3</v>
      </c>
      <c r="Y47" s="159">
        <v>88168</v>
      </c>
      <c r="Z47" s="155">
        <v>1122</v>
      </c>
      <c r="AA47" s="181">
        <f>38</f>
        <v>38</v>
      </c>
      <c r="AB47" s="155">
        <f>2648</f>
        <v>2648</v>
      </c>
      <c r="AC47" s="181">
        <f>1100+864+5700</f>
        <v>7664</v>
      </c>
      <c r="AD47" s="159">
        <f t="shared" si="8"/>
        <v>11472</v>
      </c>
      <c r="AE47" s="183">
        <f t="shared" si="9"/>
        <v>-0.869884765447781</v>
      </c>
      <c r="AF47" s="159">
        <v>10</v>
      </c>
      <c r="AG47" s="159">
        <v>88168</v>
      </c>
      <c r="AH47" s="155"/>
      <c r="AI47" s="155"/>
      <c r="AJ47" s="155">
        <f>22+30+12</f>
        <v>64</v>
      </c>
      <c r="AK47" s="155">
        <f>2960</f>
        <v>2960</v>
      </c>
      <c r="AL47" s="155">
        <f>4400+3300+1300</f>
        <v>9000</v>
      </c>
      <c r="AM47" s="159">
        <f t="shared" si="6"/>
        <v>12024</v>
      </c>
      <c r="AN47" s="183">
        <f t="shared" si="7"/>
        <v>-0.86362399056347</v>
      </c>
      <c r="AO47" s="159">
        <v>6</v>
      </c>
    </row>
    <row r="48" spans="1:41">
      <c r="A48" s="158" t="s">
        <v>188</v>
      </c>
      <c r="B48" s="155"/>
      <c r="C48" s="155"/>
      <c r="D48" s="155">
        <f>27+17</f>
        <v>44</v>
      </c>
      <c r="E48" s="155">
        <f>1244</f>
        <v>1244</v>
      </c>
      <c r="F48" s="155">
        <v>1100</v>
      </c>
      <c r="G48" s="159">
        <f t="shared" si="4"/>
        <v>2388</v>
      </c>
      <c r="H48" s="159">
        <v>15</v>
      </c>
      <c r="I48" s="155"/>
      <c r="J48" s="155"/>
      <c r="K48" s="155">
        <f>21+22</f>
        <v>43</v>
      </c>
      <c r="L48" s="181">
        <f>1082+1309</f>
        <v>2391</v>
      </c>
      <c r="M48" s="155">
        <f>983</f>
        <v>983</v>
      </c>
      <c r="N48" s="159">
        <f>M48+L48+K48+J48</f>
        <v>3417</v>
      </c>
      <c r="O48" s="182">
        <f>(N48-G48)/G48</f>
        <v>0.430904522613065</v>
      </c>
      <c r="P48" s="159">
        <v>3417</v>
      </c>
      <c r="Q48" s="194">
        <v>13</v>
      </c>
      <c r="R48" s="155"/>
      <c r="S48" s="155">
        <f>33</f>
        <v>33</v>
      </c>
      <c r="T48" s="181"/>
      <c r="U48" s="155">
        <f>3100</f>
        <v>3100</v>
      </c>
      <c r="V48" s="194">
        <f t="shared" si="5"/>
        <v>3133</v>
      </c>
      <c r="W48" s="183">
        <f>(V48-P48)/P48</f>
        <v>-0.0831138425519461</v>
      </c>
      <c r="X48" s="194">
        <v>18</v>
      </c>
      <c r="Y48" s="159">
        <v>3417</v>
      </c>
      <c r="Z48" s="155"/>
      <c r="AA48" s="181">
        <f>27</f>
        <v>27</v>
      </c>
      <c r="AB48" s="155"/>
      <c r="AC48" s="181">
        <f>1400+1600+5500</f>
        <v>8500</v>
      </c>
      <c r="AD48" s="159">
        <f t="shared" si="8"/>
        <v>8527</v>
      </c>
      <c r="AE48" s="182">
        <f t="shared" si="9"/>
        <v>1.49546385718467</v>
      </c>
      <c r="AF48" s="159">
        <v>11</v>
      </c>
      <c r="AG48" s="159">
        <v>8527</v>
      </c>
      <c r="AH48" s="155"/>
      <c r="AI48" s="155"/>
      <c r="AJ48" s="155">
        <f>31+20+30</f>
        <v>81</v>
      </c>
      <c r="AK48" s="155">
        <f>1040</f>
        <v>1040</v>
      </c>
      <c r="AL48" s="155">
        <f>600+1800+5100+3300</f>
        <v>10800</v>
      </c>
      <c r="AM48" s="159">
        <f t="shared" si="6"/>
        <v>11921</v>
      </c>
      <c r="AN48" s="182">
        <f t="shared" si="7"/>
        <v>0.398029787733083</v>
      </c>
      <c r="AO48" s="159">
        <v>7</v>
      </c>
    </row>
    <row r="49" spans="1:41">
      <c r="A49" s="158" t="s">
        <v>189</v>
      </c>
      <c r="B49" s="155"/>
      <c r="C49" s="155"/>
      <c r="D49" s="155"/>
      <c r="E49" s="155">
        <f>19900</f>
        <v>19900</v>
      </c>
      <c r="F49" s="155">
        <f>4400</f>
        <v>4400</v>
      </c>
      <c r="G49" s="159">
        <f t="shared" si="4"/>
        <v>24300</v>
      </c>
      <c r="H49" s="159">
        <v>5</v>
      </c>
      <c r="I49" s="155"/>
      <c r="J49" s="155"/>
      <c r="K49" s="155">
        <f>23</f>
        <v>23</v>
      </c>
      <c r="L49" s="181">
        <f>1056</f>
        <v>1056</v>
      </c>
      <c r="M49" s="155">
        <f>870</f>
        <v>870</v>
      </c>
      <c r="N49" s="159">
        <f>M49+L49+K49+J49</f>
        <v>1949</v>
      </c>
      <c r="O49" s="183">
        <f>(N49-G49)/G49</f>
        <v>-0.919794238683128</v>
      </c>
      <c r="P49" s="159">
        <v>24300</v>
      </c>
      <c r="Q49" s="194">
        <v>17</v>
      </c>
      <c r="R49" s="155">
        <v>1212</v>
      </c>
      <c r="S49" s="155">
        <f>26+37+34</f>
        <v>97</v>
      </c>
      <c r="T49" s="181">
        <f>863+2197+1126</f>
        <v>4186</v>
      </c>
      <c r="U49" s="155">
        <f>965+2200+23500</f>
        <v>26665</v>
      </c>
      <c r="V49" s="194">
        <f t="shared" si="5"/>
        <v>32160</v>
      </c>
      <c r="W49" s="182">
        <f>(V49-P49)/P49</f>
        <v>0.323456790123457</v>
      </c>
      <c r="X49" s="194">
        <v>7</v>
      </c>
      <c r="Y49" s="159">
        <v>32160</v>
      </c>
      <c r="Z49" s="155">
        <v>522</v>
      </c>
      <c r="AA49" s="126"/>
      <c r="AB49" s="155">
        <f>262+1027+5725+885+2203</f>
        <v>10102</v>
      </c>
      <c r="AC49" s="181">
        <f>1900+3900+2000+3400+7200</f>
        <v>18400</v>
      </c>
      <c r="AD49" s="159">
        <f t="shared" si="8"/>
        <v>29024</v>
      </c>
      <c r="AE49" s="183">
        <f t="shared" si="9"/>
        <v>-0.0975124378109453</v>
      </c>
      <c r="AF49" s="159">
        <v>3</v>
      </c>
      <c r="AG49" s="159">
        <v>32160</v>
      </c>
      <c r="AH49" s="155">
        <v>1</v>
      </c>
      <c r="AI49" s="155">
        <f>205</f>
        <v>205</v>
      </c>
      <c r="AJ49" s="155">
        <f>23+19</f>
        <v>42</v>
      </c>
      <c r="AK49" s="155">
        <f>641+1047</f>
        <v>1688</v>
      </c>
      <c r="AL49" s="155">
        <f>802+5000+3800</f>
        <v>9602</v>
      </c>
      <c r="AM49" s="159">
        <f t="shared" si="6"/>
        <v>11537</v>
      </c>
      <c r="AN49" s="183">
        <f t="shared" si="7"/>
        <v>-0.641262437810945</v>
      </c>
      <c r="AO49" s="159">
        <v>8</v>
      </c>
    </row>
    <row r="50" spans="1:41">
      <c r="A50" s="158" t="s">
        <v>190</v>
      </c>
      <c r="B50" s="155"/>
      <c r="C50" s="155"/>
      <c r="D50" s="155"/>
      <c r="E50" s="155"/>
      <c r="F50" s="155"/>
      <c r="G50" s="159">
        <f t="shared" si="4"/>
        <v>0</v>
      </c>
      <c r="H50" s="159"/>
      <c r="I50" s="155"/>
      <c r="J50" s="155"/>
      <c r="K50" s="155"/>
      <c r="L50" s="181"/>
      <c r="M50" s="155"/>
      <c r="N50" s="159"/>
      <c r="O50" s="184"/>
      <c r="P50" s="159"/>
      <c r="Q50" s="181"/>
      <c r="R50" s="155"/>
      <c r="S50" s="155">
        <f>104</f>
        <v>104</v>
      </c>
      <c r="T50" s="181"/>
      <c r="U50" s="155">
        <f>2800</f>
        <v>2800</v>
      </c>
      <c r="V50" s="194">
        <f t="shared" si="5"/>
        <v>2904</v>
      </c>
      <c r="W50" s="184"/>
      <c r="X50" s="194">
        <v>20</v>
      </c>
      <c r="Y50" s="159">
        <v>2904</v>
      </c>
      <c r="Z50" s="155"/>
      <c r="AA50" s="181">
        <f>30</f>
        <v>30</v>
      </c>
      <c r="AB50" s="155"/>
      <c r="AC50" s="181">
        <f>6000</f>
        <v>6000</v>
      </c>
      <c r="AD50" s="159">
        <f t="shared" si="8"/>
        <v>6030</v>
      </c>
      <c r="AE50" s="182">
        <f t="shared" si="9"/>
        <v>1.07644628099174</v>
      </c>
      <c r="AF50" s="159">
        <v>13</v>
      </c>
      <c r="AG50" s="159">
        <v>6030</v>
      </c>
      <c r="AH50" s="155">
        <v>1</v>
      </c>
      <c r="AI50" s="155">
        <v>124</v>
      </c>
      <c r="AJ50" s="155">
        <f>25</f>
        <v>25</v>
      </c>
      <c r="AK50" s="155"/>
      <c r="AL50" s="155">
        <f>800+5500</f>
        <v>6300</v>
      </c>
      <c r="AM50" s="159">
        <f t="shared" si="6"/>
        <v>6449</v>
      </c>
      <c r="AN50" s="182">
        <f t="shared" si="7"/>
        <v>0.069485903814262</v>
      </c>
      <c r="AO50" s="159">
        <v>9</v>
      </c>
    </row>
    <row r="51" spans="1:41">
      <c r="A51" s="158" t="s">
        <v>191</v>
      </c>
      <c r="B51" s="155">
        <v>1</v>
      </c>
      <c r="C51" s="155">
        <v>5740</v>
      </c>
      <c r="D51" s="155"/>
      <c r="E51" s="155">
        <f>1768</f>
        <v>1768</v>
      </c>
      <c r="F51" s="155">
        <v>18000</v>
      </c>
      <c r="G51" s="159">
        <f t="shared" si="4"/>
        <v>25508</v>
      </c>
      <c r="H51" s="159">
        <v>4</v>
      </c>
      <c r="I51" s="155"/>
      <c r="J51" s="155"/>
      <c r="K51" s="155">
        <f>23+15</f>
        <v>38</v>
      </c>
      <c r="L51" s="181"/>
      <c r="M51" s="155">
        <f>1000</f>
        <v>1000</v>
      </c>
      <c r="N51" s="159">
        <f t="shared" ref="N51:N61" si="10">M51+L51+K51+J51</f>
        <v>1038</v>
      </c>
      <c r="O51" s="183">
        <f>(N51-G51)/G51</f>
        <v>-0.959306884114787</v>
      </c>
      <c r="P51" s="159">
        <v>25508</v>
      </c>
      <c r="Q51" s="194">
        <v>20</v>
      </c>
      <c r="R51" s="155">
        <v>922</v>
      </c>
      <c r="S51" s="155">
        <f>63+53</f>
        <v>116</v>
      </c>
      <c r="T51" s="181">
        <f>56900</f>
        <v>56900</v>
      </c>
      <c r="U51" s="155"/>
      <c r="V51" s="194">
        <f t="shared" si="5"/>
        <v>57938</v>
      </c>
      <c r="W51" s="182">
        <f t="shared" ref="W51:W60" si="11">(V51-P51)/P51</f>
        <v>1.2713658460091</v>
      </c>
      <c r="X51" s="194">
        <v>6</v>
      </c>
      <c r="Y51" s="159">
        <v>57938</v>
      </c>
      <c r="Z51" s="155">
        <v>94</v>
      </c>
      <c r="AA51" s="181">
        <f>26</f>
        <v>26</v>
      </c>
      <c r="AB51" s="155">
        <v>109900</v>
      </c>
      <c r="AC51" s="181">
        <f>3400+11500</f>
        <v>14900</v>
      </c>
      <c r="AD51" s="159">
        <f t="shared" si="8"/>
        <v>124920</v>
      </c>
      <c r="AE51" s="182">
        <f t="shared" si="9"/>
        <v>1.15609789775277</v>
      </c>
      <c r="AF51" s="159">
        <v>2</v>
      </c>
      <c r="AG51" s="159">
        <v>124920</v>
      </c>
      <c r="AH51" s="155">
        <v>1</v>
      </c>
      <c r="AI51" s="155">
        <v>1453</v>
      </c>
      <c r="AJ51" s="155">
        <f>19</f>
        <v>19</v>
      </c>
      <c r="AK51" s="155"/>
      <c r="AL51" s="155">
        <f>4500</f>
        <v>4500</v>
      </c>
      <c r="AM51" s="159">
        <f t="shared" si="6"/>
        <v>5972</v>
      </c>
      <c r="AN51" s="183">
        <f t="shared" si="7"/>
        <v>-0.952193403778418</v>
      </c>
      <c r="AO51" s="159">
        <v>10</v>
      </c>
    </row>
    <row r="52" spans="1:41">
      <c r="A52" s="161" t="s">
        <v>177</v>
      </c>
      <c r="B52" s="155">
        <v>1</v>
      </c>
      <c r="C52" s="155">
        <v>245</v>
      </c>
      <c r="D52" s="155"/>
      <c r="E52" s="155"/>
      <c r="F52" s="155"/>
      <c r="G52" s="159">
        <f t="shared" si="4"/>
        <v>245</v>
      </c>
      <c r="H52" s="159">
        <v>18</v>
      </c>
      <c r="I52" s="155"/>
      <c r="J52" s="155"/>
      <c r="K52" s="155">
        <f>47+17+150+13</f>
        <v>227</v>
      </c>
      <c r="L52" s="181">
        <f>1379+42700</f>
        <v>44079</v>
      </c>
      <c r="M52" s="155">
        <f>2100+2400+102100+750</f>
        <v>107350</v>
      </c>
      <c r="N52" s="159">
        <f t="shared" si="10"/>
        <v>151656</v>
      </c>
      <c r="O52" s="182">
        <f>(N52-G52)/G52</f>
        <v>618.004081632653</v>
      </c>
      <c r="P52" s="159">
        <v>151656</v>
      </c>
      <c r="Q52" s="194">
        <v>1</v>
      </c>
      <c r="R52" s="155">
        <v>685</v>
      </c>
      <c r="S52" s="155">
        <f>28+45</f>
        <v>73</v>
      </c>
      <c r="T52" s="126">
        <f>4335+1427+68900</f>
        <v>74662</v>
      </c>
      <c r="U52" s="155">
        <f>5500</f>
        <v>5500</v>
      </c>
      <c r="V52" s="194">
        <f t="shared" si="5"/>
        <v>80920</v>
      </c>
      <c r="W52" s="183">
        <f t="shared" si="11"/>
        <v>-0.466424012238223</v>
      </c>
      <c r="X52" s="194">
        <v>4</v>
      </c>
      <c r="Y52" s="159">
        <v>151656</v>
      </c>
      <c r="Z52" s="155">
        <v>299</v>
      </c>
      <c r="AA52" s="181">
        <f>19+18+30</f>
        <v>67</v>
      </c>
      <c r="AB52" s="155">
        <f>2562+2947</f>
        <v>5509</v>
      </c>
      <c r="AC52" s="181">
        <f>4300+2800+7400</f>
        <v>14500</v>
      </c>
      <c r="AD52" s="159">
        <f t="shared" si="8"/>
        <v>20375</v>
      </c>
      <c r="AE52" s="183">
        <f t="shared" si="9"/>
        <v>-0.865649891860526</v>
      </c>
      <c r="AF52" s="159">
        <v>5</v>
      </c>
      <c r="AG52" s="159">
        <v>151656</v>
      </c>
      <c r="AH52" s="155"/>
      <c r="AI52" s="155"/>
      <c r="AJ52" s="155">
        <f>20</f>
        <v>20</v>
      </c>
      <c r="AK52" s="155">
        <f>3924</f>
        <v>3924</v>
      </c>
      <c r="AL52" s="155">
        <f>1800</f>
        <v>1800</v>
      </c>
      <c r="AM52" s="159">
        <f t="shared" si="6"/>
        <v>5744</v>
      </c>
      <c r="AN52" s="183">
        <f t="shared" si="7"/>
        <v>-0.96212480877776</v>
      </c>
      <c r="AO52" s="159">
        <v>11</v>
      </c>
    </row>
    <row r="53" spans="1:41">
      <c r="A53" s="158" t="s">
        <v>121</v>
      </c>
      <c r="B53" s="155"/>
      <c r="C53" s="155"/>
      <c r="D53" s="155"/>
      <c r="E53" s="155"/>
      <c r="F53" s="155"/>
      <c r="G53" s="159">
        <f t="shared" si="4"/>
        <v>0</v>
      </c>
      <c r="H53" s="159"/>
      <c r="I53" s="155">
        <v>1</v>
      </c>
      <c r="J53" s="155">
        <v>1027</v>
      </c>
      <c r="K53" s="155">
        <f>41+14+24</f>
        <v>79</v>
      </c>
      <c r="L53" s="181">
        <f>1350</f>
        <v>1350</v>
      </c>
      <c r="M53" s="155">
        <f>7400+2400+1400</f>
        <v>11200</v>
      </c>
      <c r="N53" s="159">
        <f t="shared" si="10"/>
        <v>13656</v>
      </c>
      <c r="O53" s="184"/>
      <c r="P53" s="159">
        <v>13656</v>
      </c>
      <c r="Q53" s="194">
        <v>7</v>
      </c>
      <c r="R53" s="155"/>
      <c r="S53" s="155"/>
      <c r="T53" s="126">
        <f>514</f>
        <v>514</v>
      </c>
      <c r="U53" s="155"/>
      <c r="V53" s="194">
        <f t="shared" si="5"/>
        <v>514</v>
      </c>
      <c r="W53" s="183">
        <f t="shared" si="11"/>
        <v>-0.96236086701816</v>
      </c>
      <c r="X53" s="194">
        <v>25</v>
      </c>
      <c r="Y53" s="159">
        <v>13656</v>
      </c>
      <c r="Z53" s="155"/>
      <c r="AA53" s="181"/>
      <c r="AB53" s="155"/>
      <c r="AC53" s="194"/>
      <c r="AD53" s="159"/>
      <c r="AE53" s="159"/>
      <c r="AF53" s="154"/>
      <c r="AG53" s="159">
        <v>13656</v>
      </c>
      <c r="AH53" s="155"/>
      <c r="AI53" s="155"/>
      <c r="AJ53" s="155">
        <f>25</f>
        <v>25</v>
      </c>
      <c r="AK53" s="155"/>
      <c r="AL53" s="155">
        <f>4400</f>
        <v>4400</v>
      </c>
      <c r="AM53" s="159">
        <f t="shared" si="6"/>
        <v>4425</v>
      </c>
      <c r="AN53" s="183">
        <f t="shared" si="7"/>
        <v>-0.675966608084358</v>
      </c>
      <c r="AO53" s="159">
        <v>12</v>
      </c>
    </row>
    <row r="54" spans="1:41">
      <c r="A54" s="158" t="s">
        <v>192</v>
      </c>
      <c r="B54" s="155"/>
      <c r="C54" s="155"/>
      <c r="D54" s="155"/>
      <c r="E54" s="155"/>
      <c r="F54" s="155"/>
      <c r="G54" s="159">
        <f t="shared" si="4"/>
        <v>0</v>
      </c>
      <c r="H54" s="155"/>
      <c r="I54" s="155"/>
      <c r="J54" s="155"/>
      <c r="K54" s="155">
        <f>25+24</f>
        <v>49</v>
      </c>
      <c r="L54" s="181"/>
      <c r="M54" s="155">
        <f>1200+1800</f>
        <v>3000</v>
      </c>
      <c r="N54" s="159">
        <f t="shared" si="10"/>
        <v>3049</v>
      </c>
      <c r="O54" s="184"/>
      <c r="P54" s="159">
        <v>3049</v>
      </c>
      <c r="Q54" s="194">
        <v>15</v>
      </c>
      <c r="R54" s="155"/>
      <c r="S54" s="155">
        <f>33+25</f>
        <v>58</v>
      </c>
      <c r="T54" s="181"/>
      <c r="U54" s="155">
        <f>2400+656</f>
        <v>3056</v>
      </c>
      <c r="V54" s="194">
        <f t="shared" si="5"/>
        <v>3114</v>
      </c>
      <c r="W54" s="182">
        <f t="shared" si="11"/>
        <v>0.0213184650705149</v>
      </c>
      <c r="X54" s="194">
        <v>19</v>
      </c>
      <c r="Y54" s="159">
        <v>3114</v>
      </c>
      <c r="Z54" s="155"/>
      <c r="AA54" s="181">
        <f>32</f>
        <v>32</v>
      </c>
      <c r="AB54" s="155"/>
      <c r="AC54" s="181"/>
      <c r="AD54" s="159">
        <f t="shared" ref="AD54:AD67" si="12">AC54+AB54+AA54+Z54</f>
        <v>32</v>
      </c>
      <c r="AE54" s="183">
        <f t="shared" ref="AE54:AE66" si="13">(AD54-Y54)/Y54</f>
        <v>-0.989723827874117</v>
      </c>
      <c r="AF54" s="159">
        <v>22</v>
      </c>
      <c r="AG54" s="159">
        <v>3114</v>
      </c>
      <c r="AH54" s="155">
        <v>1</v>
      </c>
      <c r="AI54" s="155">
        <v>96</v>
      </c>
      <c r="AJ54" s="155">
        <f>23</f>
        <v>23</v>
      </c>
      <c r="AK54" s="155"/>
      <c r="AL54" s="155">
        <f>1200+3100</f>
        <v>4300</v>
      </c>
      <c r="AM54" s="159">
        <f t="shared" si="6"/>
        <v>4419</v>
      </c>
      <c r="AN54" s="182">
        <f t="shared" si="7"/>
        <v>0.419075144508671</v>
      </c>
      <c r="AO54" s="159">
        <v>13</v>
      </c>
    </row>
    <row r="55" spans="1:41">
      <c r="A55" s="158" t="s">
        <v>193</v>
      </c>
      <c r="B55" s="155"/>
      <c r="C55" s="155"/>
      <c r="D55" s="155"/>
      <c r="E55" s="155"/>
      <c r="F55" s="155">
        <f>1800</f>
        <v>1800</v>
      </c>
      <c r="G55" s="159">
        <f t="shared" si="4"/>
        <v>1800</v>
      </c>
      <c r="H55" s="159">
        <v>16</v>
      </c>
      <c r="I55" s="155"/>
      <c r="J55" s="155"/>
      <c r="K55" s="155">
        <f>19</f>
        <v>19</v>
      </c>
      <c r="L55" s="181"/>
      <c r="M55" s="155">
        <f>887</f>
        <v>887</v>
      </c>
      <c r="N55" s="159">
        <f t="shared" si="10"/>
        <v>906</v>
      </c>
      <c r="O55" s="183">
        <f t="shared" ref="O55:O61" si="14">(N55-G55)/G55</f>
        <v>-0.496666666666667</v>
      </c>
      <c r="P55" s="159">
        <v>1800</v>
      </c>
      <c r="Q55" s="194">
        <v>21</v>
      </c>
      <c r="R55" s="155"/>
      <c r="S55" s="155">
        <f>26</f>
        <v>26</v>
      </c>
      <c r="T55" s="181"/>
      <c r="U55" s="155">
        <f>4800</f>
        <v>4800</v>
      </c>
      <c r="V55" s="194">
        <f t="shared" si="5"/>
        <v>4826</v>
      </c>
      <c r="W55" s="182">
        <f t="shared" si="11"/>
        <v>1.68111111111111</v>
      </c>
      <c r="X55" s="194">
        <v>14</v>
      </c>
      <c r="Y55" s="159">
        <v>4826</v>
      </c>
      <c r="Z55" s="155"/>
      <c r="AA55" s="181">
        <f>20+30+434</f>
        <v>484</v>
      </c>
      <c r="AB55" s="155">
        <f>846</f>
        <v>846</v>
      </c>
      <c r="AC55" s="181">
        <f>1300</f>
        <v>1300</v>
      </c>
      <c r="AD55" s="159">
        <f t="shared" si="12"/>
        <v>2630</v>
      </c>
      <c r="AE55" s="183">
        <f t="shared" si="13"/>
        <v>-0.455035225859925</v>
      </c>
      <c r="AF55" s="159">
        <v>20</v>
      </c>
      <c r="AG55" s="159">
        <v>4826</v>
      </c>
      <c r="AH55" s="155"/>
      <c r="AI55" s="155"/>
      <c r="AJ55" s="155">
        <f>22</f>
        <v>22</v>
      </c>
      <c r="AK55" s="155">
        <f>900</f>
        <v>900</v>
      </c>
      <c r="AL55" s="155">
        <f>3300</f>
        <v>3300</v>
      </c>
      <c r="AM55" s="159">
        <f t="shared" si="6"/>
        <v>4222</v>
      </c>
      <c r="AN55" s="183">
        <f t="shared" si="7"/>
        <v>-0.125155408205553</v>
      </c>
      <c r="AO55" s="159">
        <v>14</v>
      </c>
    </row>
    <row r="56" spans="1:41">
      <c r="A56" s="158" t="s">
        <v>194</v>
      </c>
      <c r="B56" s="155">
        <v>1</v>
      </c>
      <c r="C56" s="155">
        <v>5425</v>
      </c>
      <c r="D56" s="155">
        <f>19+26</f>
        <v>45</v>
      </c>
      <c r="E56" s="155">
        <f>593+1240</f>
        <v>1833</v>
      </c>
      <c r="F56" s="155">
        <f>1200+2900+1700</f>
        <v>5800</v>
      </c>
      <c r="G56" s="159">
        <f t="shared" si="4"/>
        <v>13103</v>
      </c>
      <c r="H56" s="159">
        <v>8</v>
      </c>
      <c r="I56" s="155">
        <v>1</v>
      </c>
      <c r="J56" s="155">
        <v>7444</v>
      </c>
      <c r="K56" s="155">
        <f>19+24</f>
        <v>43</v>
      </c>
      <c r="L56" s="181">
        <f>633</f>
        <v>633</v>
      </c>
      <c r="M56" s="155">
        <f>724+12300</f>
        <v>13024</v>
      </c>
      <c r="N56" s="159">
        <f t="shared" si="10"/>
        <v>21144</v>
      </c>
      <c r="O56" s="182">
        <f t="shared" si="14"/>
        <v>0.613676257345646</v>
      </c>
      <c r="P56" s="159">
        <v>21144</v>
      </c>
      <c r="Q56" s="194">
        <v>6</v>
      </c>
      <c r="R56" s="155">
        <v>5338</v>
      </c>
      <c r="S56" s="155">
        <f>28</f>
        <v>28</v>
      </c>
      <c r="T56" s="181"/>
      <c r="U56" s="155">
        <v>10000</v>
      </c>
      <c r="V56" s="194">
        <f t="shared" si="5"/>
        <v>15366</v>
      </c>
      <c r="W56" s="183">
        <f t="shared" si="11"/>
        <v>-0.273269012485812</v>
      </c>
      <c r="X56" s="194">
        <v>10</v>
      </c>
      <c r="Y56" s="159">
        <v>21144</v>
      </c>
      <c r="Z56" s="155"/>
      <c r="AA56" s="181">
        <f>29+19+43</f>
        <v>91</v>
      </c>
      <c r="AB56" s="155">
        <f>1282</f>
        <v>1282</v>
      </c>
      <c r="AC56" s="181">
        <f>3700+7200+427+2600</f>
        <v>13927</v>
      </c>
      <c r="AD56" s="159">
        <f t="shared" si="12"/>
        <v>15300</v>
      </c>
      <c r="AE56" s="183">
        <f t="shared" si="13"/>
        <v>-0.27639046538025</v>
      </c>
      <c r="AF56" s="159">
        <v>9</v>
      </c>
      <c r="AG56" s="159">
        <v>21144</v>
      </c>
      <c r="AH56" s="155"/>
      <c r="AI56" s="155"/>
      <c r="AJ56" s="155">
        <f>12+28</f>
        <v>40</v>
      </c>
      <c r="AK56" s="155"/>
      <c r="AL56" s="155">
        <f>657+3300</f>
        <v>3957</v>
      </c>
      <c r="AM56" s="159">
        <f t="shared" si="6"/>
        <v>3997</v>
      </c>
      <c r="AN56" s="183">
        <f t="shared" si="7"/>
        <v>-0.810962920923193</v>
      </c>
      <c r="AO56" s="159">
        <v>15</v>
      </c>
    </row>
    <row r="57" spans="1:41">
      <c r="A57" s="158" t="s">
        <v>195</v>
      </c>
      <c r="B57" s="155"/>
      <c r="C57" s="155"/>
      <c r="D57" s="155">
        <f>30</f>
        <v>30</v>
      </c>
      <c r="E57" s="155">
        <f>1142</f>
        <v>1142</v>
      </c>
      <c r="F57" s="155">
        <f>1600+1100+5500</f>
        <v>8200</v>
      </c>
      <c r="G57" s="159">
        <f t="shared" si="4"/>
        <v>9372</v>
      </c>
      <c r="H57" s="159">
        <v>10</v>
      </c>
      <c r="I57" s="155"/>
      <c r="J57" s="155"/>
      <c r="K57" s="155">
        <v>26</v>
      </c>
      <c r="L57" s="181">
        <f>1175</f>
        <v>1175</v>
      </c>
      <c r="M57" s="155">
        <f>508</f>
        <v>508</v>
      </c>
      <c r="N57" s="159">
        <f t="shared" si="10"/>
        <v>1709</v>
      </c>
      <c r="O57" s="183">
        <f t="shared" si="14"/>
        <v>-0.817648314127187</v>
      </c>
      <c r="P57" s="159">
        <v>9372</v>
      </c>
      <c r="Q57" s="194">
        <v>18</v>
      </c>
      <c r="R57" s="155"/>
      <c r="S57" s="155">
        <v>57</v>
      </c>
      <c r="T57" s="181"/>
      <c r="U57" s="155">
        <f>4100</f>
        <v>4100</v>
      </c>
      <c r="V57" s="194">
        <f t="shared" si="5"/>
        <v>4157</v>
      </c>
      <c r="W57" s="183">
        <f t="shared" si="11"/>
        <v>-0.55644472897994</v>
      </c>
      <c r="X57" s="194">
        <v>15</v>
      </c>
      <c r="Y57" s="159">
        <v>9372</v>
      </c>
      <c r="Z57" s="155"/>
      <c r="AA57" s="181">
        <f>22</f>
        <v>22</v>
      </c>
      <c r="AB57" s="155">
        <f>1191</f>
        <v>1191</v>
      </c>
      <c r="AC57" s="181">
        <f>5300</f>
        <v>5300</v>
      </c>
      <c r="AD57" s="159">
        <f t="shared" si="12"/>
        <v>6513</v>
      </c>
      <c r="AE57" s="183">
        <f t="shared" si="13"/>
        <v>-0.3050576184379</v>
      </c>
      <c r="AF57" s="159">
        <v>12</v>
      </c>
      <c r="AG57" s="159">
        <v>9372</v>
      </c>
      <c r="AH57" s="155"/>
      <c r="AI57" s="155"/>
      <c r="AJ57" s="155">
        <f>25</f>
        <v>25</v>
      </c>
      <c r="AK57" s="155">
        <f>1240</f>
        <v>1240</v>
      </c>
      <c r="AL57" s="155">
        <f>2200</f>
        <v>2200</v>
      </c>
      <c r="AM57" s="159">
        <f t="shared" si="6"/>
        <v>3465</v>
      </c>
      <c r="AN57" s="183">
        <f t="shared" si="7"/>
        <v>-0.630281690140845</v>
      </c>
      <c r="AO57" s="159">
        <v>16</v>
      </c>
    </row>
    <row r="58" spans="1:41">
      <c r="A58" s="158" t="s">
        <v>196</v>
      </c>
      <c r="B58" s="155">
        <v>1</v>
      </c>
      <c r="C58" s="155">
        <v>1055</v>
      </c>
      <c r="D58" s="155">
        <v>30</v>
      </c>
      <c r="E58" s="155">
        <f>1040+1519</f>
        <v>2559</v>
      </c>
      <c r="F58" s="155">
        <f>2100+1700</f>
        <v>3800</v>
      </c>
      <c r="G58" s="159">
        <f t="shared" si="4"/>
        <v>7444</v>
      </c>
      <c r="H58" s="159">
        <v>12</v>
      </c>
      <c r="I58" s="155"/>
      <c r="J58" s="155"/>
      <c r="K58" s="155">
        <f>10+23</f>
        <v>33</v>
      </c>
      <c r="L58" s="181">
        <f>1428</f>
        <v>1428</v>
      </c>
      <c r="M58" s="155">
        <f>307+1300</f>
        <v>1607</v>
      </c>
      <c r="N58" s="159">
        <f t="shared" si="10"/>
        <v>3068</v>
      </c>
      <c r="O58" s="183">
        <f t="shared" si="14"/>
        <v>-0.587855991402472</v>
      </c>
      <c r="P58" s="159">
        <v>7444</v>
      </c>
      <c r="Q58" s="194">
        <v>14</v>
      </c>
      <c r="R58" s="155"/>
      <c r="S58" s="155">
        <f>33+34</f>
        <v>67</v>
      </c>
      <c r="T58" s="181">
        <f>1407</f>
        <v>1407</v>
      </c>
      <c r="U58" s="155"/>
      <c r="V58" s="194">
        <f t="shared" si="5"/>
        <v>1474</v>
      </c>
      <c r="W58" s="183">
        <f t="shared" si="11"/>
        <v>-0.80198817839871</v>
      </c>
      <c r="X58" s="194">
        <v>23</v>
      </c>
      <c r="Y58" s="159">
        <v>7444</v>
      </c>
      <c r="Z58" s="155"/>
      <c r="AA58" s="181">
        <f>15+30</f>
        <v>45</v>
      </c>
      <c r="AB58" s="155">
        <f>1449+1416</f>
        <v>2865</v>
      </c>
      <c r="AC58" s="181">
        <f>2300+808</f>
        <v>3108</v>
      </c>
      <c r="AD58" s="159">
        <f t="shared" si="12"/>
        <v>6018</v>
      </c>
      <c r="AE58" s="183">
        <f t="shared" si="13"/>
        <v>-0.19156367544331</v>
      </c>
      <c r="AF58" s="159">
        <v>14</v>
      </c>
      <c r="AG58" s="159">
        <v>7444</v>
      </c>
      <c r="AH58" s="155"/>
      <c r="AI58" s="155"/>
      <c r="AJ58" s="155">
        <f>21</f>
        <v>21</v>
      </c>
      <c r="AK58" s="155"/>
      <c r="AL58" s="155">
        <f>3000</f>
        <v>3000</v>
      </c>
      <c r="AM58" s="159">
        <f t="shared" si="6"/>
        <v>3021</v>
      </c>
      <c r="AN58" s="183">
        <f t="shared" si="7"/>
        <v>-0.59416980118216</v>
      </c>
      <c r="AO58" s="159">
        <v>17</v>
      </c>
    </row>
    <row r="59" spans="1:41">
      <c r="A59" s="158" t="s">
        <v>82</v>
      </c>
      <c r="B59" s="155"/>
      <c r="C59" s="155"/>
      <c r="D59" s="155">
        <v>20</v>
      </c>
      <c r="E59" s="155"/>
      <c r="F59" s="155">
        <f>665+586</f>
        <v>1251</v>
      </c>
      <c r="G59" s="159">
        <f t="shared" si="4"/>
        <v>1271</v>
      </c>
      <c r="H59" s="159">
        <v>17</v>
      </c>
      <c r="I59" s="155"/>
      <c r="J59" s="155"/>
      <c r="K59" s="155">
        <f>18+21</f>
        <v>39</v>
      </c>
      <c r="L59" s="181"/>
      <c r="M59" s="155">
        <f>576+589</f>
        <v>1165</v>
      </c>
      <c r="N59" s="159">
        <f t="shared" si="10"/>
        <v>1204</v>
      </c>
      <c r="O59" s="183">
        <f t="shared" si="14"/>
        <v>-0.0527143981117231</v>
      </c>
      <c r="P59" s="159">
        <v>1271</v>
      </c>
      <c r="Q59" s="194">
        <v>19</v>
      </c>
      <c r="R59" s="155"/>
      <c r="S59" s="155">
        <f>21+20</f>
        <v>41</v>
      </c>
      <c r="T59" s="181"/>
      <c r="U59" s="155">
        <f>4400+2200+111</f>
        <v>6711</v>
      </c>
      <c r="V59" s="194">
        <f t="shared" si="5"/>
        <v>6752</v>
      </c>
      <c r="W59" s="182">
        <f t="shared" si="11"/>
        <v>4.31235247836349</v>
      </c>
      <c r="X59" s="194">
        <v>13</v>
      </c>
      <c r="Y59" s="159">
        <v>6752</v>
      </c>
      <c r="Z59" s="155"/>
      <c r="AA59" s="181"/>
      <c r="AB59" s="155"/>
      <c r="AC59" s="181">
        <f>1900+3800</f>
        <v>5700</v>
      </c>
      <c r="AD59" s="159">
        <f t="shared" si="12"/>
        <v>5700</v>
      </c>
      <c r="AE59" s="183">
        <f t="shared" si="13"/>
        <v>-0.155805687203791</v>
      </c>
      <c r="AF59" s="159">
        <v>15</v>
      </c>
      <c r="AG59" s="159">
        <v>6752</v>
      </c>
      <c r="AH59" s="155"/>
      <c r="AI59" s="155"/>
      <c r="AJ59" s="155">
        <f>26</f>
        <v>26</v>
      </c>
      <c r="AK59" s="155"/>
      <c r="AL59" s="155">
        <f>1700</f>
        <v>1700</v>
      </c>
      <c r="AM59" s="159">
        <f t="shared" si="6"/>
        <v>1726</v>
      </c>
      <c r="AN59" s="183">
        <f t="shared" si="7"/>
        <v>-0.744372037914692</v>
      </c>
      <c r="AO59" s="159">
        <v>18</v>
      </c>
    </row>
    <row r="60" spans="1:41">
      <c r="A60" s="158" t="s">
        <v>197</v>
      </c>
      <c r="B60" s="155"/>
      <c r="C60" s="155"/>
      <c r="D60" s="155">
        <f>25</f>
        <v>25</v>
      </c>
      <c r="E60" s="155"/>
      <c r="F60" s="155"/>
      <c r="G60" s="159">
        <f t="shared" si="4"/>
        <v>25</v>
      </c>
      <c r="H60" s="159">
        <v>19</v>
      </c>
      <c r="I60" s="155"/>
      <c r="J60" s="155"/>
      <c r="K60" s="155">
        <f>30+19+25+18</f>
        <v>92</v>
      </c>
      <c r="L60" s="181"/>
      <c r="M60" s="155">
        <f>578+1600+709</f>
        <v>2887</v>
      </c>
      <c r="N60" s="159">
        <f t="shared" si="10"/>
        <v>2979</v>
      </c>
      <c r="O60" s="182">
        <f t="shared" si="14"/>
        <v>118.16</v>
      </c>
      <c r="P60" s="159">
        <v>2979</v>
      </c>
      <c r="Q60" s="194">
        <v>16</v>
      </c>
      <c r="R60" s="155"/>
      <c r="S60" s="155">
        <f>38+26</f>
        <v>64</v>
      </c>
      <c r="T60" s="181">
        <f>1257</f>
        <v>1257</v>
      </c>
      <c r="U60" s="155">
        <f>3300+5100+1300</f>
        <v>9700</v>
      </c>
      <c r="V60" s="194">
        <f t="shared" si="5"/>
        <v>11021</v>
      </c>
      <c r="W60" s="182">
        <f t="shared" si="11"/>
        <v>2.69956361195032</v>
      </c>
      <c r="X60" s="194">
        <v>12</v>
      </c>
      <c r="Y60" s="159">
        <v>11021</v>
      </c>
      <c r="Z60" s="155"/>
      <c r="AA60" s="181">
        <f>22</f>
        <v>22</v>
      </c>
      <c r="AB60" s="155">
        <f>128</f>
        <v>128</v>
      </c>
      <c r="AC60" s="181">
        <f>2800</f>
        <v>2800</v>
      </c>
      <c r="AD60" s="159">
        <f t="shared" si="12"/>
        <v>2950</v>
      </c>
      <c r="AE60" s="183">
        <f t="shared" si="13"/>
        <v>-0.7323291897287</v>
      </c>
      <c r="AF60" s="159">
        <v>18</v>
      </c>
      <c r="AG60" s="159">
        <v>11021</v>
      </c>
      <c r="AH60" s="155"/>
      <c r="AI60" s="155"/>
      <c r="AJ60" s="155">
        <f>21</f>
        <v>21</v>
      </c>
      <c r="AK60" s="155"/>
      <c r="AL60" s="155">
        <f>1700</f>
        <v>1700</v>
      </c>
      <c r="AM60" s="159">
        <f t="shared" si="6"/>
        <v>1721</v>
      </c>
      <c r="AN60" s="183">
        <f t="shared" si="7"/>
        <v>-0.84384357136376</v>
      </c>
      <c r="AO60" s="159">
        <v>19</v>
      </c>
    </row>
    <row r="61" spans="1:41">
      <c r="A61" s="158" t="s">
        <v>198</v>
      </c>
      <c r="B61" s="155"/>
      <c r="C61" s="155"/>
      <c r="D61" s="155">
        <v>23</v>
      </c>
      <c r="E61" s="155">
        <f>447</f>
        <v>447</v>
      </c>
      <c r="F61" s="155">
        <f>1500+2500</f>
        <v>4000</v>
      </c>
      <c r="G61" s="159">
        <f t="shared" si="4"/>
        <v>4470</v>
      </c>
      <c r="H61" s="159">
        <v>13</v>
      </c>
      <c r="I61" s="155"/>
      <c r="J61" s="155"/>
      <c r="K61" s="155">
        <f>28+25+17</f>
        <v>70</v>
      </c>
      <c r="L61" s="181"/>
      <c r="M61" s="155">
        <f>1500+2000</f>
        <v>3500</v>
      </c>
      <c r="N61" s="159">
        <f t="shared" si="10"/>
        <v>3570</v>
      </c>
      <c r="O61" s="183">
        <f t="shared" si="14"/>
        <v>-0.201342281879195</v>
      </c>
      <c r="P61" s="159">
        <v>4470</v>
      </c>
      <c r="Q61" s="194">
        <v>12</v>
      </c>
      <c r="R61" s="155"/>
      <c r="S61" s="155"/>
      <c r="T61" s="181"/>
      <c r="U61" s="155"/>
      <c r="V61" s="194"/>
      <c r="W61" s="183"/>
      <c r="X61" s="194"/>
      <c r="Y61" s="159">
        <v>4470</v>
      </c>
      <c r="Z61" s="155"/>
      <c r="AA61" s="181">
        <f>23</f>
        <v>23</v>
      </c>
      <c r="AB61" s="155"/>
      <c r="AC61" s="181">
        <f>1600</f>
        <v>1600</v>
      </c>
      <c r="AD61" s="159">
        <f t="shared" si="12"/>
        <v>1623</v>
      </c>
      <c r="AE61" s="183">
        <f t="shared" si="13"/>
        <v>-0.636912751677852</v>
      </c>
      <c r="AF61" s="159">
        <v>21</v>
      </c>
      <c r="AG61" s="159">
        <v>4470</v>
      </c>
      <c r="AH61" s="155"/>
      <c r="AI61" s="155"/>
      <c r="AJ61" s="155"/>
      <c r="AK61" s="155"/>
      <c r="AL61" s="155">
        <f>1500</f>
        <v>1500</v>
      </c>
      <c r="AM61" s="159">
        <f t="shared" si="6"/>
        <v>1500</v>
      </c>
      <c r="AN61" s="183">
        <f t="shared" si="7"/>
        <v>-0.664429530201342</v>
      </c>
      <c r="AO61" s="159">
        <v>20</v>
      </c>
    </row>
    <row r="62" spans="1:41">
      <c r="A62" s="158" t="s">
        <v>199</v>
      </c>
      <c r="B62" s="155">
        <v>1</v>
      </c>
      <c r="C62" s="155">
        <v>600</v>
      </c>
      <c r="D62" s="155"/>
      <c r="E62" s="155">
        <f>381+4421+1344</f>
        <v>6146</v>
      </c>
      <c r="F62" s="155">
        <f>2500+1300</f>
        <v>3800</v>
      </c>
      <c r="G62" s="159">
        <f t="shared" si="4"/>
        <v>10546</v>
      </c>
      <c r="H62" s="159">
        <v>9</v>
      </c>
      <c r="I62" s="155"/>
      <c r="J62" s="155"/>
      <c r="K62" s="155"/>
      <c r="L62" s="181"/>
      <c r="M62" s="155"/>
      <c r="N62" s="159"/>
      <c r="O62" s="183"/>
      <c r="P62" s="159">
        <v>10546</v>
      </c>
      <c r="Q62" s="181"/>
      <c r="R62" s="155"/>
      <c r="S62" s="155">
        <f>41+33+43+24+18</f>
        <v>159</v>
      </c>
      <c r="T62" s="181">
        <f>787+823</f>
        <v>1610</v>
      </c>
      <c r="U62" s="155">
        <f>2000+3900+3800</f>
        <v>9700</v>
      </c>
      <c r="V62" s="194">
        <f t="shared" ref="V62:V68" si="15">U62+T62+S62+R62</f>
        <v>11469</v>
      </c>
      <c r="W62" s="182">
        <f t="shared" ref="W62:W67" si="16">(V62-P62)/P62</f>
        <v>0.0875213351033567</v>
      </c>
      <c r="X62" s="194">
        <v>11</v>
      </c>
      <c r="Y62" s="159">
        <v>11469</v>
      </c>
      <c r="Z62" s="155"/>
      <c r="AA62" s="181">
        <f>19+332+332+29</f>
        <v>712</v>
      </c>
      <c r="AB62" s="155">
        <f>803</f>
        <v>803</v>
      </c>
      <c r="AC62" s="181">
        <f>3800+5800+6900+1600</f>
        <v>18100</v>
      </c>
      <c r="AD62" s="159">
        <f t="shared" si="12"/>
        <v>19615</v>
      </c>
      <c r="AE62" s="182">
        <f t="shared" si="13"/>
        <v>0.71026244659517</v>
      </c>
      <c r="AF62" s="159">
        <v>6</v>
      </c>
      <c r="AG62" s="159">
        <v>19615</v>
      </c>
      <c r="AH62" s="155"/>
      <c r="AI62" s="155"/>
      <c r="AJ62" s="155"/>
      <c r="AK62" s="155"/>
      <c r="AL62" s="155"/>
      <c r="AM62" s="159"/>
      <c r="AN62" s="154"/>
      <c r="AO62" s="154"/>
    </row>
    <row r="63" spans="1:41">
      <c r="A63" s="158" t="s">
        <v>200</v>
      </c>
      <c r="B63" s="155"/>
      <c r="C63" s="155"/>
      <c r="D63" s="155"/>
      <c r="E63" s="155"/>
      <c r="F63" s="155"/>
      <c r="G63" s="159">
        <f t="shared" si="4"/>
        <v>0</v>
      </c>
      <c r="H63" s="159"/>
      <c r="I63" s="155"/>
      <c r="J63" s="155"/>
      <c r="K63" s="155"/>
      <c r="L63" s="181"/>
      <c r="M63" s="155">
        <f>385</f>
        <v>385</v>
      </c>
      <c r="N63" s="159">
        <f>M63+L63+K63+J63</f>
        <v>385</v>
      </c>
      <c r="O63" s="184"/>
      <c r="P63" s="159">
        <v>385</v>
      </c>
      <c r="Q63" s="181"/>
      <c r="R63" s="155"/>
      <c r="S63" s="155">
        <f>33+22</f>
        <v>55</v>
      </c>
      <c r="T63" s="181">
        <f>1100</f>
        <v>1100</v>
      </c>
      <c r="U63" s="155">
        <f>1800+652</f>
        <v>2452</v>
      </c>
      <c r="V63" s="194">
        <f t="shared" si="15"/>
        <v>3607</v>
      </c>
      <c r="W63" s="182">
        <f t="shared" si="16"/>
        <v>8.36883116883117</v>
      </c>
      <c r="X63" s="194">
        <v>17</v>
      </c>
      <c r="Y63" s="159">
        <v>3607</v>
      </c>
      <c r="Z63" s="155"/>
      <c r="AA63" s="181">
        <f>19</f>
        <v>19</v>
      </c>
      <c r="AB63" s="155"/>
      <c r="AC63" s="181">
        <f>3200</f>
        <v>3200</v>
      </c>
      <c r="AD63" s="159">
        <f t="shared" si="12"/>
        <v>3219</v>
      </c>
      <c r="AE63" s="183">
        <f t="shared" si="13"/>
        <v>-0.107568616578874</v>
      </c>
      <c r="AF63" s="159">
        <v>16</v>
      </c>
      <c r="AG63" s="159">
        <v>3607</v>
      </c>
      <c r="AH63" s="155"/>
      <c r="AI63" s="155"/>
      <c r="AJ63" s="155"/>
      <c r="AK63" s="155"/>
      <c r="AL63" s="155"/>
      <c r="AM63" s="159"/>
      <c r="AN63" s="154"/>
      <c r="AO63" s="154"/>
    </row>
    <row r="64" spans="1:41">
      <c r="A64" s="158" t="s">
        <v>201</v>
      </c>
      <c r="B64" s="155"/>
      <c r="C64" s="155"/>
      <c r="D64" s="155">
        <f>27+40</f>
        <v>67</v>
      </c>
      <c r="E64" s="155"/>
      <c r="F64" s="155">
        <f>1900+1400</f>
        <v>3300</v>
      </c>
      <c r="G64" s="159">
        <f t="shared" si="4"/>
        <v>3367</v>
      </c>
      <c r="H64" s="159">
        <v>14</v>
      </c>
      <c r="I64" s="155"/>
      <c r="J64" s="155"/>
      <c r="K64" s="155">
        <f>38+26</f>
        <v>64</v>
      </c>
      <c r="L64" s="181"/>
      <c r="M64" s="155">
        <f>3500+939</f>
        <v>4439</v>
      </c>
      <c r="N64" s="159">
        <f>M64+L64+K64+J64</f>
        <v>4503</v>
      </c>
      <c r="O64" s="182">
        <f>(N64-G64)/G64</f>
        <v>0.337392337392337</v>
      </c>
      <c r="P64" s="159">
        <v>4503</v>
      </c>
      <c r="Q64" s="194">
        <v>11</v>
      </c>
      <c r="R64" s="155"/>
      <c r="S64" s="155">
        <f>35+40+33</f>
        <v>108</v>
      </c>
      <c r="T64" s="181"/>
      <c r="U64" s="155">
        <f>2000+1700</f>
        <v>3700</v>
      </c>
      <c r="V64" s="194">
        <f t="shared" si="15"/>
        <v>3808</v>
      </c>
      <c r="W64" s="183">
        <f t="shared" si="16"/>
        <v>-0.154341550077726</v>
      </c>
      <c r="X64" s="194">
        <v>16</v>
      </c>
      <c r="Y64" s="159">
        <v>4503</v>
      </c>
      <c r="Z64" s="155"/>
      <c r="AA64" s="181">
        <f>30</f>
        <v>30</v>
      </c>
      <c r="AB64" s="155"/>
      <c r="AC64" s="181">
        <f>3100</f>
        <v>3100</v>
      </c>
      <c r="AD64" s="159">
        <f t="shared" si="12"/>
        <v>3130</v>
      </c>
      <c r="AE64" s="183">
        <f t="shared" si="13"/>
        <v>-0.304907839218299</v>
      </c>
      <c r="AF64" s="159">
        <v>17</v>
      </c>
      <c r="AG64" s="159">
        <v>4503</v>
      </c>
      <c r="AH64" s="155"/>
      <c r="AI64" s="155"/>
      <c r="AJ64" s="155"/>
      <c r="AK64" s="155"/>
      <c r="AL64" s="155"/>
      <c r="AM64" s="159"/>
      <c r="AN64" s="154"/>
      <c r="AO64" s="154"/>
    </row>
    <row r="65" spans="1:41">
      <c r="A65" s="158" t="s">
        <v>173</v>
      </c>
      <c r="B65" s="155">
        <v>1</v>
      </c>
      <c r="C65" s="155">
        <v>2378</v>
      </c>
      <c r="D65" s="155">
        <f>24+30</f>
        <v>54</v>
      </c>
      <c r="E65" s="155">
        <f>887+1772+591</f>
        <v>3250</v>
      </c>
      <c r="F65" s="155">
        <f>2600+39200</f>
        <v>41800</v>
      </c>
      <c r="G65" s="159">
        <f t="shared" si="4"/>
        <v>47482</v>
      </c>
      <c r="H65" s="159">
        <v>2</v>
      </c>
      <c r="I65" s="155"/>
      <c r="J65" s="155"/>
      <c r="K65" s="155">
        <f>35+4+26</f>
        <v>65</v>
      </c>
      <c r="L65" s="181">
        <f>7313+1662+98700</f>
        <v>107675</v>
      </c>
      <c r="M65" s="155">
        <f>1100+2400</f>
        <v>3500</v>
      </c>
      <c r="N65" s="159">
        <f>M65+L65+K65+J65</f>
        <v>111240</v>
      </c>
      <c r="O65" s="182">
        <f>(N65-G65)/G65</f>
        <v>1.34278252811592</v>
      </c>
      <c r="P65" s="159">
        <v>111240</v>
      </c>
      <c r="Q65" s="194">
        <v>2</v>
      </c>
      <c r="R65" s="155"/>
      <c r="S65" s="155">
        <f>33</f>
        <v>33</v>
      </c>
      <c r="T65" s="181">
        <f>1002+1582+20500</f>
        <v>23084</v>
      </c>
      <c r="U65" s="155">
        <f>2400+1100+4600+503</f>
        <v>8603</v>
      </c>
      <c r="V65" s="194">
        <f t="shared" si="15"/>
        <v>31720</v>
      </c>
      <c r="W65" s="183">
        <f t="shared" si="16"/>
        <v>-0.7148507731032</v>
      </c>
      <c r="X65" s="194">
        <v>8</v>
      </c>
      <c r="Y65" s="159">
        <v>111240</v>
      </c>
      <c r="Z65" s="155"/>
      <c r="AA65" s="181"/>
      <c r="AB65" s="155">
        <f>1042+1601</f>
        <v>2643</v>
      </c>
      <c r="AC65" s="181"/>
      <c r="AD65" s="159">
        <f t="shared" si="12"/>
        <v>2643</v>
      </c>
      <c r="AE65" s="183">
        <f t="shared" si="13"/>
        <v>-0.976240560949299</v>
      </c>
      <c r="AF65" s="159">
        <v>19</v>
      </c>
      <c r="AG65" s="159">
        <v>111240</v>
      </c>
      <c r="AH65" s="155"/>
      <c r="AI65" s="155"/>
      <c r="AJ65" s="155"/>
      <c r="AK65" s="155"/>
      <c r="AL65" s="155"/>
      <c r="AM65" s="159"/>
      <c r="AN65" s="154"/>
      <c r="AO65" s="154"/>
    </row>
    <row r="66" spans="1:41">
      <c r="A66" s="158" t="s">
        <v>202</v>
      </c>
      <c r="B66" s="155"/>
      <c r="C66" s="155"/>
      <c r="D66" s="155"/>
      <c r="E66" s="155"/>
      <c r="F66" s="155"/>
      <c r="G66" s="159">
        <f t="shared" si="4"/>
        <v>0</v>
      </c>
      <c r="H66" s="155"/>
      <c r="I66" s="155"/>
      <c r="J66" s="155"/>
      <c r="K66" s="155">
        <f>25</f>
        <v>25</v>
      </c>
      <c r="L66" s="181"/>
      <c r="M66" s="155"/>
      <c r="N66" s="159">
        <f>M66+L66+K66+J66</f>
        <v>25</v>
      </c>
      <c r="O66" s="184"/>
      <c r="P66" s="159">
        <v>25</v>
      </c>
      <c r="Q66" s="181"/>
      <c r="R66" s="155"/>
      <c r="S66" s="155">
        <v>25</v>
      </c>
      <c r="T66" s="181"/>
      <c r="U66" s="155">
        <f>1300</f>
        <v>1300</v>
      </c>
      <c r="V66" s="194">
        <f t="shared" si="15"/>
        <v>1325</v>
      </c>
      <c r="W66" s="182">
        <f t="shared" si="16"/>
        <v>52</v>
      </c>
      <c r="X66" s="194">
        <v>24</v>
      </c>
      <c r="Y66" s="159">
        <v>1325</v>
      </c>
      <c r="Z66" s="155"/>
      <c r="AA66" s="181">
        <f>18</f>
        <v>18</v>
      </c>
      <c r="AB66" s="155"/>
      <c r="AC66" s="194"/>
      <c r="AD66" s="159">
        <f t="shared" si="12"/>
        <v>18</v>
      </c>
      <c r="AE66" s="183">
        <f t="shared" si="13"/>
        <v>-0.986415094339623</v>
      </c>
      <c r="AF66" s="159">
        <v>23</v>
      </c>
      <c r="AG66" s="159">
        <v>1325</v>
      </c>
      <c r="AH66" s="155"/>
      <c r="AI66" s="155"/>
      <c r="AJ66" s="155"/>
      <c r="AK66" s="155"/>
      <c r="AL66" s="155"/>
      <c r="AM66" s="159"/>
      <c r="AN66" s="154"/>
      <c r="AO66" s="154"/>
    </row>
    <row r="67" spans="1:41">
      <c r="A67" s="158" t="s">
        <v>203</v>
      </c>
      <c r="B67" s="155"/>
      <c r="C67" s="155"/>
      <c r="D67" s="155"/>
      <c r="E67" s="155"/>
      <c r="F67" s="155"/>
      <c r="G67" s="159"/>
      <c r="H67" s="159"/>
      <c r="I67" s="155"/>
      <c r="J67" s="155"/>
      <c r="K67" s="155">
        <f>28+28</f>
        <v>56</v>
      </c>
      <c r="L67" s="181"/>
      <c r="M67" s="155">
        <f>101600+881+1000</f>
        <v>103481</v>
      </c>
      <c r="N67" s="159">
        <f>M67+L67+K67+J67</f>
        <v>103537</v>
      </c>
      <c r="O67" s="184"/>
      <c r="P67" s="159">
        <v>103537</v>
      </c>
      <c r="Q67" s="194">
        <v>3</v>
      </c>
      <c r="R67" s="155"/>
      <c r="S67" s="155">
        <f>34+28</f>
        <v>62</v>
      </c>
      <c r="T67" s="181">
        <f>1469+110000+61300</f>
        <v>172769</v>
      </c>
      <c r="U67" s="155">
        <f>1500+422900</f>
        <v>424400</v>
      </c>
      <c r="V67" s="194">
        <f t="shared" si="15"/>
        <v>597231</v>
      </c>
      <c r="W67" s="182">
        <f t="shared" si="16"/>
        <v>4.76828573360248</v>
      </c>
      <c r="X67" s="194">
        <v>1</v>
      </c>
      <c r="Y67" s="159">
        <v>597231</v>
      </c>
      <c r="Z67" s="155"/>
      <c r="AA67" s="126"/>
      <c r="AB67" s="155">
        <f>2078+1501</f>
        <v>3579</v>
      </c>
      <c r="AC67" s="181">
        <f>21600</f>
        <v>21600</v>
      </c>
      <c r="AD67" s="159">
        <f t="shared" si="12"/>
        <v>25179</v>
      </c>
      <c r="AE67" s="183"/>
      <c r="AF67" s="159">
        <v>4</v>
      </c>
      <c r="AG67" s="159">
        <v>25179</v>
      </c>
      <c r="AH67" s="155"/>
      <c r="AI67" s="155"/>
      <c r="AJ67" s="155">
        <f>30+21</f>
        <v>51</v>
      </c>
      <c r="AK67" s="155">
        <f>819+4998+8240</f>
        <v>14057</v>
      </c>
      <c r="AL67" s="155">
        <f>12000+67000+3000</f>
        <v>82000</v>
      </c>
      <c r="AM67" s="159">
        <f>AL67+AK67+AJ67+AI67</f>
        <v>96108</v>
      </c>
      <c r="AN67" s="182">
        <f>(AM67-AG67)/AG67</f>
        <v>2.81699034910044</v>
      </c>
      <c r="AO67" s="159">
        <v>3</v>
      </c>
    </row>
    <row r="68" spans="1:41">
      <c r="A68" s="158" t="s">
        <v>204</v>
      </c>
      <c r="B68" s="155"/>
      <c r="C68" s="155"/>
      <c r="D68" s="155"/>
      <c r="E68" s="155"/>
      <c r="F68" s="155"/>
      <c r="G68" s="159">
        <f>F68+E68+D68+C68</f>
        <v>0</v>
      </c>
      <c r="H68" s="159"/>
      <c r="I68" s="155"/>
      <c r="J68" s="155"/>
      <c r="K68" s="155"/>
      <c r="L68" s="181"/>
      <c r="M68" s="155"/>
      <c r="N68" s="159"/>
      <c r="O68" s="184"/>
      <c r="P68" s="159"/>
      <c r="Q68" s="181"/>
      <c r="R68" s="155"/>
      <c r="S68" s="155"/>
      <c r="T68" s="181"/>
      <c r="U68" s="155">
        <f>1500</f>
        <v>1500</v>
      </c>
      <c r="V68" s="194">
        <f t="shared" si="15"/>
        <v>1500</v>
      </c>
      <c r="W68" s="184"/>
      <c r="X68" s="194">
        <v>22</v>
      </c>
      <c r="Y68" s="159">
        <v>1500</v>
      </c>
      <c r="Z68" s="155"/>
      <c r="AA68" s="181"/>
      <c r="AB68" s="155"/>
      <c r="AC68" s="194"/>
      <c r="AD68" s="159"/>
      <c r="AE68" s="159"/>
      <c r="AF68" s="154"/>
      <c r="AG68" s="159">
        <v>1500</v>
      </c>
      <c r="AH68" s="155"/>
      <c r="AI68" s="155"/>
      <c r="AJ68" s="155"/>
      <c r="AK68" s="155"/>
      <c r="AL68" s="155"/>
      <c r="AM68" s="159"/>
      <c r="AN68" s="154"/>
      <c r="AO68" s="154"/>
    </row>
    <row r="69" spans="1:41">
      <c r="A69" s="158" t="s">
        <v>205</v>
      </c>
      <c r="B69" s="155"/>
      <c r="C69" s="155"/>
      <c r="D69" s="155"/>
      <c r="E69" s="155"/>
      <c r="F69" s="155"/>
      <c r="G69" s="159">
        <f>F69+E69+D69+C69</f>
        <v>0</v>
      </c>
      <c r="H69" s="159"/>
      <c r="I69" s="155"/>
      <c r="J69" s="155"/>
      <c r="K69" s="155"/>
      <c r="L69" s="181"/>
      <c r="M69" s="155"/>
      <c r="N69" s="159"/>
      <c r="O69" s="184"/>
      <c r="P69" s="159"/>
      <c r="Q69" s="181"/>
      <c r="R69" s="155"/>
      <c r="S69" s="155"/>
      <c r="T69" s="181"/>
      <c r="U69" s="155"/>
      <c r="V69" s="194"/>
      <c r="W69" s="184"/>
      <c r="X69" s="194"/>
      <c r="Y69" s="155"/>
      <c r="Z69" s="155"/>
      <c r="AA69" s="181"/>
      <c r="AB69" s="155"/>
      <c r="AC69" s="194"/>
      <c r="AD69" s="159"/>
      <c r="AE69" s="159"/>
      <c r="AF69" s="154"/>
      <c r="AG69" s="159"/>
      <c r="AH69" s="155"/>
      <c r="AI69" s="155"/>
      <c r="AJ69" s="155"/>
      <c r="AK69" s="155"/>
      <c r="AL69" s="155"/>
      <c r="AM69" s="159"/>
      <c r="AN69" s="154"/>
      <c r="AO69" s="154"/>
    </row>
  </sheetData>
  <sortState ref="A3:AB18">
    <sortCondition ref="U3:U18" descending="1"/>
  </sortState>
  <mergeCells count="4">
    <mergeCell ref="A1:AB1"/>
    <mergeCell ref="A20:AB20"/>
    <mergeCell ref="A30:AB30"/>
    <mergeCell ref="A40:AF40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zoomScale="57" zoomScaleNormal="57" workbookViewId="0">
      <pane ySplit="1" topLeftCell="A2" activePane="bottomLeft" state="frozen"/>
      <selection/>
      <selection pane="bottomLeft" activeCell="A8" sqref="A8:Q8"/>
    </sheetView>
  </sheetViews>
  <sheetFormatPr defaultColWidth="9.14285714285714" defaultRowHeight="32.25" customHeight="1"/>
  <cols>
    <col min="1" max="1" width="24.8571428571429" style="30" customWidth="1"/>
    <col min="2" max="2" width="15.5714285714286" style="90" customWidth="1"/>
    <col min="3" max="3" width="16.5714285714286" style="90" customWidth="1"/>
    <col min="4" max="4" width="17.8571428571429" style="30" customWidth="1"/>
    <col min="5" max="5" width="15.5714285714286" style="90" customWidth="1"/>
    <col min="6" max="6" width="16.5714285714286" style="90" customWidth="1"/>
    <col min="7" max="7" width="8.57142857142857" style="57" customWidth="1"/>
    <col min="8" max="8" width="14" style="30" customWidth="1"/>
    <col min="9" max="9" width="18" style="30" customWidth="1"/>
    <col min="10" max="10" width="17.2857142857143" style="30" customWidth="1"/>
    <col min="11" max="11" width="15.8571428571429" style="30" customWidth="1"/>
    <col min="12" max="12" width="18" style="91" customWidth="1"/>
    <col min="13" max="13" width="17.2857142857143" style="91" customWidth="1"/>
    <col min="14" max="14" width="16.5714285714286" style="30" customWidth="1"/>
    <col min="15" max="15" width="14" style="30" customWidth="1"/>
    <col min="16" max="16" width="19.2857142857143" style="92" customWidth="1"/>
    <col min="17" max="17" width="13" style="92" customWidth="1"/>
    <col min="18" max="16384" width="9.14285714285714" style="30"/>
  </cols>
  <sheetData>
    <row r="1" customHeight="1" spans="1:17">
      <c r="A1" s="31" t="s">
        <v>206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ht="63" customHeight="1" spans="1:17">
      <c r="A2" s="32"/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3</v>
      </c>
      <c r="H2" s="33" t="s">
        <v>6</v>
      </c>
      <c r="I2" s="63" t="s">
        <v>7</v>
      </c>
      <c r="J2" s="63" t="s">
        <v>8</v>
      </c>
      <c r="K2" s="63" t="s">
        <v>9</v>
      </c>
      <c r="L2" s="63" t="s">
        <v>10</v>
      </c>
      <c r="M2" s="63" t="s">
        <v>11</v>
      </c>
      <c r="N2" s="63" t="s">
        <v>9</v>
      </c>
      <c r="O2" s="63" t="s">
        <v>6</v>
      </c>
      <c r="P2" s="63" t="s">
        <v>12</v>
      </c>
      <c r="Q2" s="63" t="s">
        <v>13</v>
      </c>
    </row>
    <row r="3" customHeight="1" spans="1:17">
      <c r="A3" s="34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customHeight="1" spans="1:17">
      <c r="A4" s="38" t="s">
        <v>207</v>
      </c>
      <c r="B4" s="37">
        <v>138</v>
      </c>
      <c r="C4" s="37">
        <v>132</v>
      </c>
      <c r="D4" s="38">
        <f>B4+C4</f>
        <v>270</v>
      </c>
      <c r="E4" s="37">
        <v>136</v>
      </c>
      <c r="F4" s="37">
        <v>120</v>
      </c>
      <c r="G4" s="38">
        <f>E4+F4</f>
        <v>256</v>
      </c>
      <c r="H4" s="39">
        <v>0</v>
      </c>
      <c r="I4" s="37">
        <v>4646</v>
      </c>
      <c r="J4" s="37">
        <v>5257</v>
      </c>
      <c r="K4" s="103">
        <f>J4+I4</f>
        <v>9903</v>
      </c>
      <c r="L4" s="37">
        <v>5587</v>
      </c>
      <c r="M4" s="37">
        <v>4112</v>
      </c>
      <c r="N4" s="38">
        <f>L4+M4</f>
        <v>9699</v>
      </c>
      <c r="O4" s="39">
        <v>0</v>
      </c>
      <c r="P4" s="64">
        <f>3+0</f>
        <v>3</v>
      </c>
      <c r="Q4" s="64"/>
    </row>
    <row r="5" customHeight="1" spans="1:17">
      <c r="A5" s="93" t="s">
        <v>19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customHeight="1" spans="1:17">
      <c r="A6" s="38" t="s">
        <v>208</v>
      </c>
      <c r="B6" s="37">
        <v>87</v>
      </c>
      <c r="C6" s="37">
        <v>78</v>
      </c>
      <c r="D6" s="38">
        <f>B6+C6</f>
        <v>165</v>
      </c>
      <c r="E6" s="37">
        <v>80</v>
      </c>
      <c r="F6" s="37">
        <v>67</v>
      </c>
      <c r="G6" s="38">
        <f>E6+F6</f>
        <v>147</v>
      </c>
      <c r="H6" s="65">
        <f>(G6-D6)/D6</f>
        <v>-0.109090909090909</v>
      </c>
      <c r="I6" s="37">
        <v>870443</v>
      </c>
      <c r="J6" s="104">
        <v>1150569</v>
      </c>
      <c r="K6" s="103">
        <f>J6+I6</f>
        <v>2021012</v>
      </c>
      <c r="L6" s="37">
        <v>904621</v>
      </c>
      <c r="M6" s="37">
        <v>1151595</v>
      </c>
      <c r="N6" s="38">
        <f>L6+M6</f>
        <v>2056216</v>
      </c>
      <c r="O6" s="39">
        <f>(N6-K6)/K6</f>
        <v>0.0174189960277326</v>
      </c>
      <c r="P6" s="64">
        <f>546+676</f>
        <v>1222</v>
      </c>
      <c r="Q6" s="64"/>
    </row>
    <row r="7" customHeight="1" spans="1:17">
      <c r="A7" s="38" t="s">
        <v>209</v>
      </c>
      <c r="B7" s="37">
        <v>120</v>
      </c>
      <c r="C7" s="37">
        <v>112</v>
      </c>
      <c r="D7" s="38">
        <f>B7+C7</f>
        <v>232</v>
      </c>
      <c r="E7" s="37">
        <v>118</v>
      </c>
      <c r="F7" s="37">
        <v>100</v>
      </c>
      <c r="G7" s="38">
        <f>E7+F7</f>
        <v>218</v>
      </c>
      <c r="H7" s="65">
        <f>(G7-D7)/D7</f>
        <v>-0.0603448275862069</v>
      </c>
      <c r="I7" s="37">
        <v>1665610</v>
      </c>
      <c r="J7" s="104">
        <v>1674728</v>
      </c>
      <c r="K7" s="38">
        <f>J7+I7</f>
        <v>3340338</v>
      </c>
      <c r="L7" s="37">
        <v>1636086</v>
      </c>
      <c r="M7" s="37">
        <v>1741002</v>
      </c>
      <c r="N7" s="38">
        <f>L7+M7</f>
        <v>3377088</v>
      </c>
      <c r="O7" s="39">
        <f>(N7-K7)/K7</f>
        <v>0.0110018806480063</v>
      </c>
      <c r="P7" s="64">
        <f>347+352</f>
        <v>699</v>
      </c>
      <c r="Q7" s="64"/>
    </row>
    <row r="8" customHeight="1" spans="1:17">
      <c r="A8" s="95" t="s">
        <v>22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</row>
    <row r="9" customHeight="1" spans="1:17">
      <c r="A9" s="38" t="s">
        <v>210</v>
      </c>
      <c r="B9" s="37">
        <v>19</v>
      </c>
      <c r="C9" s="37">
        <v>18</v>
      </c>
      <c r="D9" s="38">
        <f>B9+C9</f>
        <v>37</v>
      </c>
      <c r="E9" s="37">
        <v>21</v>
      </c>
      <c r="F9" s="37">
        <v>17</v>
      </c>
      <c r="G9" s="38">
        <f>E9+F9</f>
        <v>38</v>
      </c>
      <c r="H9" s="39">
        <f>(G9-D9)/D9</f>
        <v>0.027027027027027</v>
      </c>
      <c r="I9" s="37">
        <v>94455</v>
      </c>
      <c r="J9" s="37">
        <v>205010</v>
      </c>
      <c r="K9" s="38">
        <f>J9+I9</f>
        <v>299465</v>
      </c>
      <c r="L9" s="37">
        <v>110737</v>
      </c>
      <c r="M9" s="37">
        <v>75405</v>
      </c>
      <c r="N9" s="38">
        <f>L9+M9</f>
        <v>186142</v>
      </c>
      <c r="O9" s="65">
        <f>(N9-K9)/K9</f>
        <v>-0.378418179086037</v>
      </c>
      <c r="P9" s="64">
        <f>174+23</f>
        <v>197</v>
      </c>
      <c r="Q9" s="64"/>
    </row>
    <row r="10" customHeight="1" spans="1:17">
      <c r="A10" s="96" t="s">
        <v>140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</row>
    <row r="11" customHeight="1" spans="1:17">
      <c r="A11" s="38" t="s">
        <v>211</v>
      </c>
      <c r="B11" s="97">
        <v>32</v>
      </c>
      <c r="C11" s="97">
        <v>38</v>
      </c>
      <c r="D11" s="38">
        <f>B11+C11</f>
        <v>70</v>
      </c>
      <c r="E11" s="97">
        <v>41</v>
      </c>
      <c r="F11" s="97">
        <v>35</v>
      </c>
      <c r="G11" s="38">
        <f>E11+F11</f>
        <v>76</v>
      </c>
      <c r="H11" s="39">
        <f>(G11-D11)/D11</f>
        <v>0.0857142857142857</v>
      </c>
      <c r="I11" s="97">
        <v>3253</v>
      </c>
      <c r="J11" s="105">
        <v>2893</v>
      </c>
      <c r="K11" s="106">
        <f>J11+I11</f>
        <v>6146</v>
      </c>
      <c r="L11" s="97">
        <v>3595</v>
      </c>
      <c r="M11" s="97">
        <v>3325</v>
      </c>
      <c r="N11" s="38">
        <f>L11+M11</f>
        <v>6920</v>
      </c>
      <c r="O11" s="39">
        <f>(N11-K11)/K11</f>
        <v>0.125935567849007</v>
      </c>
      <c r="P11" s="38" t="s">
        <v>26</v>
      </c>
      <c r="Q11" s="38" t="s">
        <v>26</v>
      </c>
    </row>
    <row r="12" customHeight="1" spans="1:17">
      <c r="A12" s="38" t="s">
        <v>212</v>
      </c>
      <c r="B12" s="98">
        <v>24</v>
      </c>
      <c r="C12" s="99">
        <v>24</v>
      </c>
      <c r="D12" s="38">
        <f>B12+C12</f>
        <v>48</v>
      </c>
      <c r="E12" s="98">
        <v>24</v>
      </c>
      <c r="F12" s="99">
        <v>24</v>
      </c>
      <c r="G12" s="38">
        <f>E12+F12</f>
        <v>48</v>
      </c>
      <c r="H12" s="39">
        <f>(G12-D12)/D12</f>
        <v>0</v>
      </c>
      <c r="I12" s="37">
        <v>15989</v>
      </c>
      <c r="J12" s="37">
        <v>998</v>
      </c>
      <c r="K12" s="38">
        <f>J12+I12</f>
        <v>16987</v>
      </c>
      <c r="L12" s="107">
        <v>855</v>
      </c>
      <c r="M12" s="107">
        <v>860</v>
      </c>
      <c r="N12" s="38">
        <f>L12+M12</f>
        <v>1715</v>
      </c>
      <c r="O12" s="65">
        <f>(N12-K12)/K12</f>
        <v>-0.89904044269147</v>
      </c>
      <c r="P12" s="38" t="s">
        <v>26</v>
      </c>
      <c r="Q12" s="38" t="s">
        <v>26</v>
      </c>
    </row>
    <row r="13" customHeight="1" spans="1:17">
      <c r="A13" s="100" t="s">
        <v>30</v>
      </c>
      <c r="B13" s="100"/>
      <c r="C13" s="100"/>
      <c r="D13" s="100"/>
      <c r="E13" s="100"/>
      <c r="F13" s="100"/>
      <c r="G13" s="100"/>
      <c r="H13" s="100"/>
      <c r="I13" s="67" t="s">
        <v>143</v>
      </c>
      <c r="J13" s="67" t="s">
        <v>143</v>
      </c>
      <c r="K13" s="67"/>
      <c r="L13" s="108" t="s">
        <v>143</v>
      </c>
      <c r="M13" s="108"/>
      <c r="N13" s="67" t="s">
        <v>143</v>
      </c>
      <c r="O13" s="67"/>
      <c r="P13" s="100" t="s">
        <v>213</v>
      </c>
      <c r="Q13" s="100"/>
    </row>
    <row r="14" customHeight="1" spans="1:17">
      <c r="A14" s="38" t="s">
        <v>214</v>
      </c>
      <c r="B14" s="37">
        <v>4</v>
      </c>
      <c r="C14" s="37">
        <v>5</v>
      </c>
      <c r="D14" s="38">
        <f>B14+C14</f>
        <v>9</v>
      </c>
      <c r="E14" s="37">
        <v>4</v>
      </c>
      <c r="F14" s="37">
        <v>4</v>
      </c>
      <c r="G14" s="38">
        <f>E14+F14</f>
        <v>8</v>
      </c>
      <c r="H14" s="65">
        <f>(G14-D14)/D14</f>
        <v>-0.111111111111111</v>
      </c>
      <c r="I14" s="109">
        <v>106.6</v>
      </c>
      <c r="J14" s="109">
        <v>47.6</v>
      </c>
      <c r="K14" s="103">
        <f>J14+I14</f>
        <v>154.2</v>
      </c>
      <c r="L14" s="109">
        <v>125.6</v>
      </c>
      <c r="M14" s="109">
        <v>40.3</v>
      </c>
      <c r="N14" s="38">
        <f>L14+M14</f>
        <v>165.9</v>
      </c>
      <c r="O14" s="39">
        <f>(N14-K14)/K14</f>
        <v>0.0758754863813229</v>
      </c>
      <c r="P14" s="64">
        <f>-140-48</f>
        <v>-188</v>
      </c>
      <c r="Q14" s="64"/>
    </row>
    <row r="15" customHeight="1" spans="1:17">
      <c r="A15" s="38" t="s">
        <v>210</v>
      </c>
      <c r="B15" s="37">
        <v>4</v>
      </c>
      <c r="C15" s="37">
        <v>3</v>
      </c>
      <c r="D15" s="38">
        <f>B15+C15</f>
        <v>7</v>
      </c>
      <c r="E15" s="37">
        <v>5</v>
      </c>
      <c r="F15" s="37">
        <v>3</v>
      </c>
      <c r="G15" s="38">
        <f>E15+F15</f>
        <v>8</v>
      </c>
      <c r="H15" s="39">
        <f>(G15-D15)/D15</f>
        <v>0.142857142857143</v>
      </c>
      <c r="I15" s="37">
        <v>615.4</v>
      </c>
      <c r="J15" s="104">
        <v>459.9</v>
      </c>
      <c r="K15" s="106">
        <f>J15+I15</f>
        <v>1075.3</v>
      </c>
      <c r="L15" s="37">
        <v>447.8</v>
      </c>
      <c r="M15" s="37">
        <v>378.7</v>
      </c>
      <c r="N15" s="38">
        <f>L15+M15</f>
        <v>826.5</v>
      </c>
      <c r="O15" s="65">
        <f>(N15-K15)/K15</f>
        <v>-0.231377290058588</v>
      </c>
      <c r="P15" s="64">
        <f>72+78</f>
        <v>150</v>
      </c>
      <c r="Q15" s="64"/>
    </row>
    <row r="16" customHeight="1" spans="2:16">
      <c r="B16" s="91"/>
      <c r="C16" s="91"/>
      <c r="E16" s="91"/>
      <c r="F16" s="91"/>
      <c r="P16" s="110"/>
    </row>
    <row r="17" customHeight="1" spans="1:17">
      <c r="A17" s="59" t="s">
        <v>37</v>
      </c>
      <c r="B17" s="59"/>
      <c r="C17" s="59"/>
      <c r="D17" s="59"/>
      <c r="E17" s="59"/>
      <c r="F17" s="59"/>
      <c r="M17" s="92"/>
      <c r="N17" s="92"/>
      <c r="P17" s="110"/>
      <c r="Q17" s="30"/>
    </row>
    <row r="18" customHeight="1" spans="1:17">
      <c r="A18" s="101" t="s">
        <v>38</v>
      </c>
      <c r="B18" s="102" t="s">
        <v>39</v>
      </c>
      <c r="C18" s="102" t="s">
        <v>40</v>
      </c>
      <c r="D18" s="102" t="s">
        <v>41</v>
      </c>
      <c r="E18" s="102" t="s">
        <v>39</v>
      </c>
      <c r="F18" s="102" t="s">
        <v>40</v>
      </c>
      <c r="G18" s="30"/>
      <c r="L18" s="92"/>
      <c r="M18" s="111"/>
      <c r="P18" s="30"/>
      <c r="Q18" s="30"/>
    </row>
    <row r="19" customHeight="1" spans="1:17">
      <c r="A19" s="61" t="s">
        <v>215</v>
      </c>
      <c r="B19" s="62">
        <v>27</v>
      </c>
      <c r="C19" s="62">
        <v>0</v>
      </c>
      <c r="D19" s="62">
        <v>5</v>
      </c>
      <c r="E19" s="62">
        <v>27</v>
      </c>
      <c r="F19" s="62">
        <v>0</v>
      </c>
      <c r="G19" s="30"/>
      <c r="L19" s="92"/>
      <c r="M19" s="92"/>
      <c r="P19" s="30"/>
      <c r="Q19" s="30"/>
    </row>
    <row r="20" customHeight="1" spans="13:17">
      <c r="M20" s="92"/>
      <c r="N20" s="92"/>
      <c r="P20" s="30"/>
      <c r="Q20" s="30"/>
    </row>
    <row r="21" customHeight="1" spans="13:17">
      <c r="M21" s="92"/>
      <c r="N21" s="92"/>
      <c r="P21" s="30"/>
      <c r="Q21" s="30"/>
    </row>
    <row r="22" customHeight="1" spans="13:17">
      <c r="M22" s="92"/>
      <c r="N22" s="92"/>
      <c r="P22" s="30"/>
      <c r="Q22" s="30"/>
    </row>
    <row r="23" customHeight="1" spans="13:17">
      <c r="M23" s="92"/>
      <c r="N23" s="92"/>
      <c r="P23" s="30"/>
      <c r="Q23" s="30"/>
    </row>
    <row r="24" customHeight="1" spans="13:17">
      <c r="M24" s="92"/>
      <c r="N24" s="92"/>
      <c r="P24" s="30"/>
      <c r="Q24" s="30"/>
    </row>
    <row r="25" customHeight="1" spans="13:17">
      <c r="M25" s="92"/>
      <c r="N25" s="92"/>
      <c r="P25" s="30"/>
      <c r="Q25" s="30"/>
    </row>
    <row r="26" customHeight="1" spans="13:17">
      <c r="M26" s="92"/>
      <c r="N26" s="92"/>
      <c r="P26" s="30"/>
      <c r="Q26" s="30"/>
    </row>
    <row r="27" customHeight="1" spans="13:17">
      <c r="M27" s="92"/>
      <c r="N27" s="92"/>
      <c r="P27" s="30"/>
      <c r="Q27" s="30"/>
    </row>
    <row r="28" customHeight="1" spans="13:17">
      <c r="M28" s="92"/>
      <c r="N28" s="92"/>
      <c r="P28" s="30"/>
      <c r="Q28" s="30"/>
    </row>
    <row r="29" customHeight="1" spans="13:17">
      <c r="M29" s="92"/>
      <c r="N29" s="92"/>
      <c r="P29" s="30"/>
      <c r="Q29" s="30"/>
    </row>
    <row r="30" customHeight="1" spans="13:17">
      <c r="M30" s="92"/>
      <c r="N30" s="92"/>
      <c r="P30" s="30"/>
      <c r="Q30" s="30"/>
    </row>
    <row r="31" customHeight="1" spans="13:17">
      <c r="M31" s="92"/>
      <c r="N31" s="92"/>
      <c r="P31" s="30"/>
      <c r="Q31" s="30"/>
    </row>
    <row r="32" customHeight="1" spans="13:17">
      <c r="M32" s="92"/>
      <c r="N32" s="92"/>
      <c r="P32" s="30"/>
      <c r="Q32" s="30"/>
    </row>
    <row r="33" customHeight="1" spans="13:17">
      <c r="M33" s="92"/>
      <c r="N33" s="92"/>
      <c r="P33" s="30"/>
      <c r="Q33" s="30"/>
    </row>
    <row r="34" customHeight="1" spans="13:17">
      <c r="M34" s="92"/>
      <c r="N34" s="92"/>
      <c r="P34" s="30"/>
      <c r="Q34" s="30"/>
    </row>
    <row r="35" customHeight="1" spans="13:17">
      <c r="M35" s="92"/>
      <c r="N35" s="92"/>
      <c r="P35" s="30"/>
      <c r="Q35" s="30"/>
    </row>
    <row r="36" customHeight="1" spans="13:17">
      <c r="M36" s="92"/>
      <c r="N36" s="92"/>
      <c r="P36" s="30"/>
      <c r="Q36" s="30"/>
    </row>
    <row r="37" customHeight="1" spans="13:17">
      <c r="M37" s="92"/>
      <c r="N37" s="92"/>
      <c r="P37" s="30"/>
      <c r="Q37" s="30"/>
    </row>
    <row r="38" customHeight="1" spans="13:17">
      <c r="M38" s="92"/>
      <c r="N38" s="92"/>
      <c r="P38" s="30"/>
      <c r="Q38" s="30"/>
    </row>
    <row r="39" customHeight="1" spans="13:17">
      <c r="M39" s="92"/>
      <c r="N39" s="92"/>
      <c r="P39" s="30"/>
      <c r="Q39" s="30"/>
    </row>
  </sheetData>
  <mergeCells count="7">
    <mergeCell ref="A1:Q1"/>
    <mergeCell ref="A3:Q3"/>
    <mergeCell ref="A5:Q5"/>
    <mergeCell ref="A8:Q8"/>
    <mergeCell ref="A10:Q10"/>
    <mergeCell ref="A13:H13"/>
    <mergeCell ref="A17:F1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3"/>
  <sheetViews>
    <sheetView zoomScale="74" zoomScaleNormal="74" topLeftCell="A27" workbookViewId="0">
      <pane xSplit="2" topLeftCell="C1" activePane="topRight" state="frozen"/>
      <selection/>
      <selection pane="topRight" activeCell="B30" sqref="B30:B51"/>
    </sheetView>
  </sheetViews>
  <sheetFormatPr defaultColWidth="9.14285714285714" defaultRowHeight="15"/>
  <cols>
    <col min="1" max="1" width="9" style="1" customWidth="1"/>
    <col min="2" max="2" width="32.4285714285714" style="1" customWidth="1"/>
    <col min="3" max="3" width="13.5714285714286" style="1" customWidth="1"/>
    <col min="4" max="4" width="10.7142857142857" style="1" customWidth="1"/>
    <col min="5" max="5" width="16" style="1" customWidth="1"/>
    <col min="6" max="6" width="11.1428571428571" style="1" customWidth="1"/>
    <col min="7" max="7" width="10.7142857142857" style="1" customWidth="1"/>
    <col min="8" max="8" width="13.4285714285714" style="1" customWidth="1"/>
    <col min="9" max="9" width="10" style="1" customWidth="1"/>
    <col min="10" max="10" width="7.42857142857143" style="1" customWidth="1"/>
    <col min="11" max="11" width="10.7142857142857" style="1" customWidth="1"/>
    <col min="12" max="12" width="9.42857142857143" style="1" customWidth="1"/>
    <col min="13" max="13" width="9.14285714285714" style="1" customWidth="1"/>
    <col min="14" max="14" width="8.28571428571429" style="1" customWidth="1"/>
    <col min="15" max="15" width="13.4285714285714" style="1" customWidth="1"/>
    <col min="16" max="16" width="11.5714285714286" style="1" customWidth="1"/>
    <col min="17" max="17" width="10" style="1" customWidth="1"/>
    <col min="18" max="18" width="9.42857142857143" style="1" customWidth="1"/>
    <col min="19" max="19" width="8.28571428571429" style="1" customWidth="1"/>
    <col min="20" max="20" width="9.42857142857143" style="1" customWidth="1"/>
    <col min="21" max="21" width="14.2857142857143" style="1" customWidth="1"/>
    <col min="22" max="22" width="8.28571428571429" style="1" customWidth="1"/>
    <col min="23" max="23" width="8.85714285714286" style="1" customWidth="1"/>
    <col min="24" max="24" width="9.28571428571429" style="1" customWidth="1"/>
    <col min="25" max="25" width="8.57142857142857" style="1" customWidth="1"/>
    <col min="26" max="26" width="9.42857142857143" style="1" customWidth="1"/>
    <col min="27" max="27" width="7.85714285714286" style="1" customWidth="1"/>
    <col min="28" max="28" width="9.42857142857143" style="1" customWidth="1"/>
    <col min="29" max="29" width="9.14285714285714" style="1" customWidth="1"/>
    <col min="30" max="31" width="7.85714285714286" style="1" customWidth="1"/>
    <col min="32" max="32" width="9.28571428571429" style="1" customWidth="1"/>
    <col min="33" max="33" width="8.57142857142857" style="1" customWidth="1"/>
    <col min="34" max="35" width="9.42857142857143" style="1" customWidth="1"/>
    <col min="36" max="36" width="7.85714285714286" style="1" customWidth="1"/>
    <col min="37" max="37" width="9.42857142857143" style="1" customWidth="1"/>
    <col min="38" max="38" width="9.14285714285714" style="1"/>
    <col min="39" max="40" width="7.85714285714286" style="1" customWidth="1"/>
    <col min="41" max="41" width="9.14285714285714" style="1"/>
    <col min="42" max="42" width="8.57142857142857" style="1" customWidth="1"/>
    <col min="43" max="16384" width="9.14285714285714" style="1"/>
  </cols>
  <sheetData>
    <row r="1" ht="15.75" spans="2:23">
      <c r="B1" s="2" t="s">
        <v>170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1.5" spans="2:23">
      <c r="B2" s="4" t="s">
        <v>50</v>
      </c>
      <c r="C2" s="4" t="s">
        <v>149</v>
      </c>
      <c r="D2" s="4" t="s">
        <v>216</v>
      </c>
      <c r="E2" s="4" t="s">
        <v>53</v>
      </c>
      <c r="F2" s="4" t="s">
        <v>149</v>
      </c>
      <c r="G2" s="4" t="s">
        <v>216</v>
      </c>
      <c r="H2" s="4" t="s">
        <v>6</v>
      </c>
      <c r="I2" s="4" t="s">
        <v>55</v>
      </c>
      <c r="J2" s="4" t="s">
        <v>216</v>
      </c>
      <c r="K2" s="4" t="s">
        <v>217</v>
      </c>
      <c r="L2" s="4" t="s">
        <v>150</v>
      </c>
      <c r="M2" s="4" t="s">
        <v>149</v>
      </c>
      <c r="N2" s="4" t="s">
        <v>55</v>
      </c>
      <c r="O2" s="4" t="s">
        <v>218</v>
      </c>
      <c r="P2" s="4" t="s">
        <v>6</v>
      </c>
      <c r="Q2" s="4" t="s">
        <v>150</v>
      </c>
      <c r="R2" s="4" t="s">
        <v>55</v>
      </c>
      <c r="S2" s="4" t="s">
        <v>149</v>
      </c>
      <c r="T2" s="19" t="s">
        <v>54</v>
      </c>
      <c r="U2" s="4" t="s">
        <v>6</v>
      </c>
      <c r="V2" s="4" t="s">
        <v>53</v>
      </c>
      <c r="W2" s="4"/>
    </row>
    <row r="3" ht="15.75" spans="2:23">
      <c r="B3" s="6" t="s">
        <v>219</v>
      </c>
      <c r="C3" s="7">
        <v>1</v>
      </c>
      <c r="D3" s="8">
        <v>2097</v>
      </c>
      <c r="E3" s="9">
        <v>1</v>
      </c>
      <c r="F3" s="8"/>
      <c r="G3" s="9"/>
      <c r="H3" s="68"/>
      <c r="I3" s="9">
        <v>2097</v>
      </c>
      <c r="J3" s="9">
        <v>25987</v>
      </c>
      <c r="K3" s="10">
        <f>(J3-I3)/I3</f>
        <v>11.3924654268002</v>
      </c>
      <c r="L3" s="9">
        <v>1</v>
      </c>
      <c r="M3" s="7">
        <v>1</v>
      </c>
      <c r="N3" s="9">
        <v>25987</v>
      </c>
      <c r="O3" s="8">
        <v>3498</v>
      </c>
      <c r="P3" s="14">
        <f>(O3-N3)/N3</f>
        <v>-0.865394235579328</v>
      </c>
      <c r="Q3" s="77">
        <v>1</v>
      </c>
      <c r="R3" s="8">
        <v>25987</v>
      </c>
      <c r="S3" s="7">
        <v>1</v>
      </c>
      <c r="T3" s="9">
        <v>3281</v>
      </c>
      <c r="U3" s="14">
        <f>(T3-R3)/R3</f>
        <v>-0.873744564589987</v>
      </c>
      <c r="V3" s="77">
        <v>1</v>
      </c>
      <c r="W3" s="9"/>
    </row>
    <row r="4" ht="15.75" spans="2:23">
      <c r="B4" s="6" t="s">
        <v>220</v>
      </c>
      <c r="C4" s="7"/>
      <c r="D4" s="8"/>
      <c r="E4" s="8"/>
      <c r="F4" s="8">
        <v>2</v>
      </c>
      <c r="G4" s="8">
        <v>1876</v>
      </c>
      <c r="H4" s="69"/>
      <c r="I4" s="9">
        <v>1876</v>
      </c>
      <c r="J4" s="9"/>
      <c r="K4" s="10"/>
      <c r="L4" s="9"/>
      <c r="M4" s="7"/>
      <c r="N4" s="9">
        <v>1876</v>
      </c>
      <c r="O4" s="8"/>
      <c r="P4" s="8"/>
      <c r="Q4" s="74"/>
      <c r="R4" s="8">
        <v>1876</v>
      </c>
      <c r="S4" s="7">
        <v>2</v>
      </c>
      <c r="T4" s="9">
        <v>1769</v>
      </c>
      <c r="U4" s="14">
        <f t="shared" ref="U4:U12" si="0">(T4-R4)/R4</f>
        <v>-0.0570362473347548</v>
      </c>
      <c r="V4" s="77">
        <v>2</v>
      </c>
      <c r="W4" s="9"/>
    </row>
    <row r="5" ht="15.75" spans="2:23">
      <c r="B5" s="6" t="s">
        <v>221</v>
      </c>
      <c r="C5" s="7"/>
      <c r="D5" s="8"/>
      <c r="E5" s="8"/>
      <c r="F5" s="8"/>
      <c r="G5" s="8"/>
      <c r="H5" s="68"/>
      <c r="I5" s="9"/>
      <c r="J5" s="8"/>
      <c r="K5" s="26"/>
      <c r="L5" s="16"/>
      <c r="M5" s="7"/>
      <c r="N5" s="9"/>
      <c r="O5" s="8"/>
      <c r="P5" s="8"/>
      <c r="Q5" s="74"/>
      <c r="R5" s="8"/>
      <c r="S5" s="7">
        <v>1</v>
      </c>
      <c r="T5" s="9">
        <v>873</v>
      </c>
      <c r="U5" s="14"/>
      <c r="V5" s="77">
        <v>3</v>
      </c>
      <c r="W5" s="9"/>
    </row>
    <row r="6" ht="15.75" spans="2:23">
      <c r="B6" s="6" t="s">
        <v>222</v>
      </c>
      <c r="C6" s="7"/>
      <c r="D6" s="8"/>
      <c r="E6" s="8"/>
      <c r="F6" s="8">
        <v>1</v>
      </c>
      <c r="G6" s="8">
        <v>852</v>
      </c>
      <c r="H6" s="68"/>
      <c r="I6" s="9">
        <v>852</v>
      </c>
      <c r="J6" s="9"/>
      <c r="K6" s="74"/>
      <c r="L6" s="9"/>
      <c r="M6" s="7"/>
      <c r="N6" s="9">
        <v>852</v>
      </c>
      <c r="O6" s="8"/>
      <c r="P6" s="8"/>
      <c r="Q6" s="74"/>
      <c r="R6" s="8">
        <v>852</v>
      </c>
      <c r="S6" s="7">
        <v>1</v>
      </c>
      <c r="T6" s="9">
        <v>562</v>
      </c>
      <c r="U6" s="14">
        <f t="shared" si="0"/>
        <v>-0.34037558685446</v>
      </c>
      <c r="V6" s="77">
        <v>4</v>
      </c>
      <c r="W6" s="9"/>
    </row>
    <row r="7" ht="15.75" spans="2:23">
      <c r="B7" s="6" t="s">
        <v>223</v>
      </c>
      <c r="C7" s="7">
        <v>1</v>
      </c>
      <c r="D7" s="8">
        <v>175</v>
      </c>
      <c r="E7" s="9">
        <v>7</v>
      </c>
      <c r="F7" s="8"/>
      <c r="G7" s="8"/>
      <c r="H7" s="70"/>
      <c r="I7" s="9">
        <v>175</v>
      </c>
      <c r="J7" s="8"/>
      <c r="K7" s="74"/>
      <c r="L7" s="16"/>
      <c r="M7" s="7">
        <v>1</v>
      </c>
      <c r="N7" s="9">
        <v>175</v>
      </c>
      <c r="O7" s="8">
        <v>141</v>
      </c>
      <c r="P7" s="14">
        <f>(O7-N7)/N7</f>
        <v>-0.194285714285714</v>
      </c>
      <c r="Q7" s="77">
        <v>7</v>
      </c>
      <c r="R7" s="8">
        <v>175</v>
      </c>
      <c r="S7" s="7">
        <v>1</v>
      </c>
      <c r="T7" s="9">
        <v>246</v>
      </c>
      <c r="U7" s="10">
        <f t="shared" si="0"/>
        <v>0.405714285714286</v>
      </c>
      <c r="V7" s="77">
        <v>5</v>
      </c>
      <c r="W7" s="78"/>
    </row>
    <row r="8" ht="15.75" spans="2:23">
      <c r="B8" s="6" t="s">
        <v>224</v>
      </c>
      <c r="C8" s="7"/>
      <c r="D8" s="8"/>
      <c r="E8" s="8"/>
      <c r="F8" s="8"/>
      <c r="G8" s="8"/>
      <c r="H8" s="68"/>
      <c r="I8" s="9"/>
      <c r="J8" s="8"/>
      <c r="K8" s="26"/>
      <c r="L8" s="16"/>
      <c r="M8" s="7"/>
      <c r="N8" s="9"/>
      <c r="O8" s="8"/>
      <c r="P8" s="8"/>
      <c r="Q8" s="74"/>
      <c r="R8" s="8"/>
      <c r="S8" s="7">
        <v>1</v>
      </c>
      <c r="T8" s="9">
        <v>239</v>
      </c>
      <c r="U8" s="13"/>
      <c r="V8" s="77">
        <v>6</v>
      </c>
      <c r="W8" s="9"/>
    </row>
    <row r="9" ht="15.75" spans="2:23">
      <c r="B9" s="6" t="s">
        <v>225</v>
      </c>
      <c r="C9" s="7">
        <v>1</v>
      </c>
      <c r="D9" s="8">
        <v>601</v>
      </c>
      <c r="E9" s="9">
        <v>4</v>
      </c>
      <c r="F9" s="8">
        <v>1</v>
      </c>
      <c r="G9" s="8">
        <v>103</v>
      </c>
      <c r="H9" s="70">
        <f>(G9-D9)/D9</f>
        <v>-0.828618968386023</v>
      </c>
      <c r="I9" s="9">
        <v>601</v>
      </c>
      <c r="J9" s="8"/>
      <c r="K9" s="74"/>
      <c r="L9" s="9"/>
      <c r="M9" s="7">
        <v>1</v>
      </c>
      <c r="N9" s="9">
        <v>601</v>
      </c>
      <c r="O9" s="8">
        <v>70</v>
      </c>
      <c r="P9" s="14">
        <f>(O9-N9)/N9</f>
        <v>-0.883527454242928</v>
      </c>
      <c r="Q9" s="77">
        <v>9</v>
      </c>
      <c r="R9" s="8">
        <v>601</v>
      </c>
      <c r="S9" s="7">
        <v>1</v>
      </c>
      <c r="T9" s="9">
        <v>128</v>
      </c>
      <c r="U9" s="14">
        <f t="shared" si="0"/>
        <v>-0.787021630615641</v>
      </c>
      <c r="V9" s="77">
        <v>7</v>
      </c>
      <c r="W9" s="78"/>
    </row>
    <row r="10" ht="15.75" spans="2:23">
      <c r="B10" s="6" t="s">
        <v>226</v>
      </c>
      <c r="C10" s="7"/>
      <c r="D10" s="8"/>
      <c r="E10" s="8"/>
      <c r="F10" s="8"/>
      <c r="G10" s="8"/>
      <c r="H10" s="68"/>
      <c r="I10" s="9"/>
      <c r="J10" s="9">
        <v>215</v>
      </c>
      <c r="K10" s="14"/>
      <c r="L10" s="9">
        <v>9</v>
      </c>
      <c r="M10" s="7"/>
      <c r="N10" s="9">
        <v>215</v>
      </c>
      <c r="O10" s="8"/>
      <c r="P10" s="8"/>
      <c r="Q10" s="10"/>
      <c r="R10" s="8">
        <v>215</v>
      </c>
      <c r="S10" s="7">
        <v>1</v>
      </c>
      <c r="T10" s="9">
        <v>124</v>
      </c>
      <c r="U10" s="14">
        <f t="shared" si="0"/>
        <v>-0.423255813953488</v>
      </c>
      <c r="V10" s="77">
        <v>8</v>
      </c>
      <c r="W10" s="78"/>
    </row>
    <row r="11" ht="15.75" spans="2:23">
      <c r="B11" s="6" t="s">
        <v>227</v>
      </c>
      <c r="C11" s="7"/>
      <c r="D11" s="8"/>
      <c r="E11" s="8"/>
      <c r="F11" s="8">
        <v>1</v>
      </c>
      <c r="G11" s="8">
        <v>849</v>
      </c>
      <c r="H11" s="68"/>
      <c r="I11" s="9">
        <v>849</v>
      </c>
      <c r="J11" s="8"/>
      <c r="K11" s="26"/>
      <c r="L11" s="16"/>
      <c r="M11" s="7"/>
      <c r="N11" s="9">
        <v>849</v>
      </c>
      <c r="O11" s="8"/>
      <c r="P11" s="8"/>
      <c r="Q11" s="74"/>
      <c r="R11" s="8">
        <v>849</v>
      </c>
      <c r="S11" s="7">
        <v>1</v>
      </c>
      <c r="T11" s="9">
        <v>107</v>
      </c>
      <c r="U11" s="14">
        <f t="shared" si="0"/>
        <v>-0.87396937573616</v>
      </c>
      <c r="V11" s="77">
        <v>9</v>
      </c>
      <c r="W11" s="9"/>
    </row>
    <row r="12" ht="15.75" spans="2:23">
      <c r="B12" s="6" t="s">
        <v>228</v>
      </c>
      <c r="C12" s="7">
        <v>1</v>
      </c>
      <c r="D12" s="8">
        <v>143</v>
      </c>
      <c r="E12" s="9">
        <v>9</v>
      </c>
      <c r="F12" s="8">
        <v>1</v>
      </c>
      <c r="G12" s="8">
        <v>932</v>
      </c>
      <c r="H12" s="71">
        <f>(G12-D12)/D12</f>
        <v>5.51748251748252</v>
      </c>
      <c r="I12" s="9">
        <v>932</v>
      </c>
      <c r="J12" s="9">
        <v>1132</v>
      </c>
      <c r="K12" s="10">
        <f>(J12-I12)/I12</f>
        <v>0.214592274678112</v>
      </c>
      <c r="L12" s="9">
        <v>2</v>
      </c>
      <c r="M12" s="7">
        <v>1</v>
      </c>
      <c r="N12" s="9">
        <v>1132</v>
      </c>
      <c r="O12" s="8">
        <v>67</v>
      </c>
      <c r="P12" s="14">
        <f t="shared" ref="P12:P18" si="1">(O12-N12)/N12</f>
        <v>-0.940812720848057</v>
      </c>
      <c r="Q12" s="77">
        <v>10</v>
      </c>
      <c r="R12" s="8">
        <v>1132</v>
      </c>
      <c r="S12" s="7">
        <v>1</v>
      </c>
      <c r="T12" s="9">
        <v>85</v>
      </c>
      <c r="U12" s="14">
        <f t="shared" si="0"/>
        <v>-0.924911660777385</v>
      </c>
      <c r="V12" s="77">
        <v>10</v>
      </c>
      <c r="W12" s="9"/>
    </row>
    <row r="13" ht="15.75" spans="2:23">
      <c r="B13" s="6" t="s">
        <v>229</v>
      </c>
      <c r="C13" s="7">
        <v>1</v>
      </c>
      <c r="D13" s="8">
        <v>658</v>
      </c>
      <c r="E13" s="9">
        <v>2</v>
      </c>
      <c r="F13" s="8"/>
      <c r="G13" s="8"/>
      <c r="H13" s="70"/>
      <c r="I13" s="9">
        <v>658</v>
      </c>
      <c r="J13" s="9">
        <v>1068</v>
      </c>
      <c r="K13" s="10">
        <f>(J13-I13)/I13</f>
        <v>0.623100303951368</v>
      </c>
      <c r="L13" s="9">
        <v>3</v>
      </c>
      <c r="M13" s="7">
        <v>1</v>
      </c>
      <c r="N13" s="9">
        <v>1068</v>
      </c>
      <c r="O13" s="8">
        <v>926</v>
      </c>
      <c r="P13" s="14">
        <f t="shared" si="1"/>
        <v>-0.132958801498127</v>
      </c>
      <c r="Q13" s="77">
        <v>2</v>
      </c>
      <c r="R13" s="8">
        <v>1068</v>
      </c>
      <c r="S13" s="7"/>
      <c r="T13" s="9"/>
      <c r="U13" s="8"/>
      <c r="V13" s="79"/>
      <c r="W13" s="78"/>
    </row>
    <row r="14" ht="15.75" spans="2:23">
      <c r="B14" s="6" t="s">
        <v>230</v>
      </c>
      <c r="C14" s="7">
        <v>1</v>
      </c>
      <c r="D14" s="8">
        <v>278</v>
      </c>
      <c r="E14" s="9">
        <v>6</v>
      </c>
      <c r="F14" s="8"/>
      <c r="G14" s="8"/>
      <c r="H14" s="70"/>
      <c r="I14" s="9">
        <v>278</v>
      </c>
      <c r="J14" s="9">
        <v>269</v>
      </c>
      <c r="K14" s="14">
        <f>(J14-I14)/I14</f>
        <v>-0.0323741007194245</v>
      </c>
      <c r="L14" s="9">
        <v>8</v>
      </c>
      <c r="M14" s="7">
        <v>1</v>
      </c>
      <c r="N14" s="9">
        <v>278</v>
      </c>
      <c r="O14" s="8">
        <v>432</v>
      </c>
      <c r="P14" s="10">
        <f t="shared" si="1"/>
        <v>0.553956834532374</v>
      </c>
      <c r="Q14" s="77">
        <v>3</v>
      </c>
      <c r="R14" s="8">
        <v>432</v>
      </c>
      <c r="S14" s="7"/>
      <c r="T14" s="9"/>
      <c r="U14" s="8"/>
      <c r="V14" s="14"/>
      <c r="W14" s="9"/>
    </row>
    <row r="15" ht="15.75" spans="2:23">
      <c r="B15" s="6" t="s">
        <v>231</v>
      </c>
      <c r="C15" s="7">
        <v>1</v>
      </c>
      <c r="D15" s="8">
        <v>630</v>
      </c>
      <c r="E15" s="9">
        <v>3</v>
      </c>
      <c r="F15" s="8"/>
      <c r="G15" s="8"/>
      <c r="H15" s="70"/>
      <c r="I15" s="9">
        <v>630</v>
      </c>
      <c r="J15" s="8"/>
      <c r="K15" s="74"/>
      <c r="L15" s="9"/>
      <c r="M15" s="7">
        <v>1</v>
      </c>
      <c r="N15" s="9">
        <v>630</v>
      </c>
      <c r="O15" s="8">
        <v>430</v>
      </c>
      <c r="P15" s="14">
        <f t="shared" si="1"/>
        <v>-0.317460317460317</v>
      </c>
      <c r="Q15" s="77">
        <v>4</v>
      </c>
      <c r="R15" s="8">
        <v>630</v>
      </c>
      <c r="S15" s="7"/>
      <c r="T15" s="8"/>
      <c r="U15" s="8"/>
      <c r="V15" s="14"/>
      <c r="W15" s="9"/>
    </row>
    <row r="16" ht="15.75" spans="2:23">
      <c r="B16" s="6" t="s">
        <v>232</v>
      </c>
      <c r="C16" s="7">
        <v>1</v>
      </c>
      <c r="D16" s="8">
        <v>440</v>
      </c>
      <c r="E16" s="9">
        <v>5</v>
      </c>
      <c r="F16" s="8">
        <v>1</v>
      </c>
      <c r="G16" s="8">
        <v>380</v>
      </c>
      <c r="H16" s="70">
        <f>(G16-D16)/D16</f>
        <v>-0.136363636363636</v>
      </c>
      <c r="I16" s="9">
        <v>440</v>
      </c>
      <c r="J16" s="8"/>
      <c r="K16" s="74"/>
      <c r="L16" s="9"/>
      <c r="M16" s="7">
        <v>1</v>
      </c>
      <c r="N16" s="9">
        <v>440</v>
      </c>
      <c r="O16" s="8">
        <v>403</v>
      </c>
      <c r="P16" s="14">
        <f t="shared" si="1"/>
        <v>-0.0840909090909091</v>
      </c>
      <c r="Q16" s="77">
        <v>5</v>
      </c>
      <c r="R16" s="8">
        <v>440</v>
      </c>
      <c r="S16" s="7"/>
      <c r="T16" s="8"/>
      <c r="U16" s="8"/>
      <c r="V16" s="74"/>
      <c r="W16" s="78"/>
    </row>
    <row r="17" ht="15.75" spans="2:23">
      <c r="B17" s="6" t="s">
        <v>233</v>
      </c>
      <c r="C17" s="7">
        <v>1</v>
      </c>
      <c r="D17" s="8">
        <v>155</v>
      </c>
      <c r="E17" s="9">
        <v>8</v>
      </c>
      <c r="F17" s="8"/>
      <c r="G17" s="8"/>
      <c r="H17" s="69"/>
      <c r="I17" s="9">
        <v>155</v>
      </c>
      <c r="J17" s="8"/>
      <c r="K17" s="74"/>
      <c r="L17" s="16"/>
      <c r="M17" s="7">
        <v>1</v>
      </c>
      <c r="N17" s="9">
        <v>155</v>
      </c>
      <c r="O17" s="8">
        <v>143</v>
      </c>
      <c r="P17" s="14">
        <f t="shared" si="1"/>
        <v>-0.0774193548387097</v>
      </c>
      <c r="Q17" s="77">
        <v>6</v>
      </c>
      <c r="R17" s="8">
        <v>155</v>
      </c>
      <c r="S17" s="7"/>
      <c r="T17" s="8"/>
      <c r="U17" s="8"/>
      <c r="V17" s="74"/>
      <c r="W17" s="78"/>
    </row>
    <row r="18" ht="15.75" spans="2:23">
      <c r="B18" s="6" t="s">
        <v>234</v>
      </c>
      <c r="C18" s="7"/>
      <c r="D18" s="8"/>
      <c r="E18" s="8"/>
      <c r="F18" s="8"/>
      <c r="G18" s="8"/>
      <c r="H18" s="68"/>
      <c r="I18" s="9"/>
      <c r="J18" s="9">
        <v>162</v>
      </c>
      <c r="K18" s="10"/>
      <c r="L18" s="9">
        <v>11</v>
      </c>
      <c r="M18" s="7">
        <v>1</v>
      </c>
      <c r="N18" s="9">
        <v>162</v>
      </c>
      <c r="O18" s="8">
        <v>89</v>
      </c>
      <c r="P18" s="14">
        <f t="shared" si="1"/>
        <v>-0.450617283950617</v>
      </c>
      <c r="Q18" s="77">
        <v>8</v>
      </c>
      <c r="R18" s="8">
        <v>162</v>
      </c>
      <c r="S18" s="7"/>
      <c r="T18" s="8"/>
      <c r="U18" s="8"/>
      <c r="V18" s="10"/>
      <c r="W18" s="9"/>
    </row>
    <row r="19" ht="15.75" spans="2:23">
      <c r="B19" s="6" t="s">
        <v>235</v>
      </c>
      <c r="C19" s="7"/>
      <c r="D19" s="8"/>
      <c r="E19" s="8"/>
      <c r="F19" s="8"/>
      <c r="G19" s="8"/>
      <c r="H19" s="68"/>
      <c r="I19" s="9"/>
      <c r="J19" s="9">
        <v>965</v>
      </c>
      <c r="K19" s="10"/>
      <c r="L19" s="9">
        <v>4</v>
      </c>
      <c r="M19" s="7"/>
      <c r="N19" s="9">
        <v>965</v>
      </c>
      <c r="O19" s="8"/>
      <c r="P19" s="9"/>
      <c r="Q19" s="80"/>
      <c r="R19" s="8">
        <v>965</v>
      </c>
      <c r="S19" s="7"/>
      <c r="T19" s="8"/>
      <c r="U19" s="8"/>
      <c r="V19" s="74"/>
      <c r="W19" s="78"/>
    </row>
    <row r="20" ht="15.75" spans="2:23">
      <c r="B20" s="6" t="s">
        <v>236</v>
      </c>
      <c r="C20" s="7"/>
      <c r="D20" s="8"/>
      <c r="E20" s="8"/>
      <c r="F20" s="8">
        <v>1</v>
      </c>
      <c r="G20" s="8">
        <v>379</v>
      </c>
      <c r="H20" s="68"/>
      <c r="I20" s="9">
        <v>379</v>
      </c>
      <c r="J20" s="9">
        <v>741</v>
      </c>
      <c r="K20" s="10">
        <f>(J20-I20)/I20</f>
        <v>0.955145118733509</v>
      </c>
      <c r="L20" s="9">
        <v>5</v>
      </c>
      <c r="M20" s="7"/>
      <c r="N20" s="9">
        <v>741</v>
      </c>
      <c r="O20" s="8"/>
      <c r="P20" s="9"/>
      <c r="Q20" s="80"/>
      <c r="R20" s="8">
        <v>741</v>
      </c>
      <c r="S20" s="7"/>
      <c r="T20" s="8"/>
      <c r="U20" s="8"/>
      <c r="V20" s="74"/>
      <c r="W20" s="78"/>
    </row>
    <row r="21" ht="15.75" spans="2:23">
      <c r="B21" s="6" t="s">
        <v>237</v>
      </c>
      <c r="C21" s="7"/>
      <c r="D21" s="8"/>
      <c r="E21" s="8"/>
      <c r="F21" s="8"/>
      <c r="G21" s="8"/>
      <c r="H21" s="68"/>
      <c r="I21" s="9"/>
      <c r="J21" s="9">
        <v>436</v>
      </c>
      <c r="K21" s="14"/>
      <c r="L21" s="9">
        <v>6</v>
      </c>
      <c r="M21" s="7"/>
      <c r="N21" s="9">
        <v>436</v>
      </c>
      <c r="O21" s="8"/>
      <c r="P21" s="9"/>
      <c r="Q21" s="81"/>
      <c r="R21" s="8">
        <v>436</v>
      </c>
      <c r="S21" s="7"/>
      <c r="T21" s="8"/>
      <c r="U21" s="8"/>
      <c r="V21" s="14"/>
      <c r="W21" s="9"/>
    </row>
    <row r="22" ht="15.75" spans="2:23">
      <c r="B22" s="6" t="s">
        <v>238</v>
      </c>
      <c r="C22" s="7"/>
      <c r="D22" s="8"/>
      <c r="E22" s="8"/>
      <c r="F22" s="8"/>
      <c r="G22" s="8"/>
      <c r="H22" s="68"/>
      <c r="I22" s="9"/>
      <c r="J22" s="9">
        <v>341</v>
      </c>
      <c r="K22" s="10"/>
      <c r="L22" s="9">
        <v>7</v>
      </c>
      <c r="M22" s="7"/>
      <c r="N22" s="9">
        <v>341</v>
      </c>
      <c r="O22" s="8"/>
      <c r="P22" s="8"/>
      <c r="Q22" s="74"/>
      <c r="R22" s="82">
        <v>341</v>
      </c>
      <c r="S22" s="7"/>
      <c r="T22" s="8"/>
      <c r="U22" s="8"/>
      <c r="V22" s="74"/>
      <c r="W22" s="83"/>
    </row>
    <row r="23" ht="15.75" spans="2:23">
      <c r="B23" s="6" t="s">
        <v>239</v>
      </c>
      <c r="C23" s="7"/>
      <c r="D23" s="8"/>
      <c r="E23" s="8"/>
      <c r="F23" s="8"/>
      <c r="G23" s="8"/>
      <c r="H23" s="68"/>
      <c r="I23" s="9"/>
      <c r="J23" s="9">
        <v>181</v>
      </c>
      <c r="K23" s="10"/>
      <c r="L23" s="9">
        <v>10</v>
      </c>
      <c r="M23" s="7"/>
      <c r="N23" s="9">
        <v>181</v>
      </c>
      <c r="O23" s="8"/>
      <c r="P23" s="8"/>
      <c r="Q23" s="10"/>
      <c r="R23" s="82">
        <v>181</v>
      </c>
      <c r="S23" s="7"/>
      <c r="T23" s="8"/>
      <c r="U23" s="8"/>
      <c r="V23" s="10"/>
      <c r="W23" s="84"/>
    </row>
    <row r="24" ht="15.75" spans="2:23">
      <c r="B24" s="6" t="s">
        <v>240</v>
      </c>
      <c r="C24" s="7"/>
      <c r="D24" s="8"/>
      <c r="E24" s="8"/>
      <c r="F24" s="8"/>
      <c r="G24" s="8"/>
      <c r="H24" s="68"/>
      <c r="I24" s="8"/>
      <c r="J24" s="8"/>
      <c r="K24" s="74"/>
      <c r="L24" s="16"/>
      <c r="M24" s="7"/>
      <c r="N24" s="8"/>
      <c r="O24" s="74"/>
      <c r="P24" s="74"/>
      <c r="Q24" s="74"/>
      <c r="R24" s="85"/>
      <c r="S24" s="7"/>
      <c r="T24" s="8"/>
      <c r="U24" s="74"/>
      <c r="V24" s="74"/>
      <c r="W24" s="86"/>
    </row>
    <row r="25" ht="15.75" spans="2:23">
      <c r="B25" s="6" t="s">
        <v>241</v>
      </c>
      <c r="C25" s="7"/>
      <c r="D25" s="8"/>
      <c r="E25" s="8"/>
      <c r="F25" s="8"/>
      <c r="G25" s="8"/>
      <c r="H25" s="68"/>
      <c r="I25" s="8"/>
      <c r="J25" s="8"/>
      <c r="K25" s="74"/>
      <c r="L25" s="16"/>
      <c r="M25" s="7"/>
      <c r="N25" s="8"/>
      <c r="O25" s="74"/>
      <c r="P25" s="74"/>
      <c r="Q25" s="74"/>
      <c r="R25" s="85"/>
      <c r="S25" s="7"/>
      <c r="T25" s="8"/>
      <c r="U25" s="8"/>
      <c r="V25" s="74"/>
      <c r="W25" s="86"/>
    </row>
    <row r="26" ht="15.75" spans="2:23">
      <c r="B26" s="6"/>
      <c r="C26" s="7"/>
      <c r="D26" s="8"/>
      <c r="E26" s="8"/>
      <c r="F26" s="8"/>
      <c r="G26" s="8"/>
      <c r="H26" s="7"/>
      <c r="I26" s="8"/>
      <c r="J26" s="8"/>
      <c r="K26" s="74"/>
      <c r="L26" s="16"/>
      <c r="M26" s="7"/>
      <c r="N26" s="8"/>
      <c r="O26" s="74"/>
      <c r="P26" s="74"/>
      <c r="Q26" s="74"/>
      <c r="R26" s="85"/>
      <c r="S26" s="7"/>
      <c r="T26" s="8"/>
      <c r="U26" s="8"/>
      <c r="V26" s="74"/>
      <c r="W26" s="86"/>
    </row>
    <row r="27" spans="2:42">
      <c r="B27" s="17" t="s">
        <v>93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</row>
    <row r="28" ht="31.5" spans="2:42">
      <c r="B28" s="19" t="s">
        <v>50</v>
      </c>
      <c r="C28" s="19" t="s">
        <v>94</v>
      </c>
      <c r="D28" s="19" t="s">
        <v>95</v>
      </c>
      <c r="E28" s="19" t="s">
        <v>96</v>
      </c>
      <c r="F28" s="19" t="s">
        <v>97</v>
      </c>
      <c r="G28" s="19" t="s">
        <v>98</v>
      </c>
      <c r="H28" s="19" t="s">
        <v>99</v>
      </c>
      <c r="I28" s="19" t="s">
        <v>53</v>
      </c>
      <c r="J28" s="19" t="s">
        <v>94</v>
      </c>
      <c r="K28" s="19" t="s">
        <v>95</v>
      </c>
      <c r="L28" s="19" t="s">
        <v>96</v>
      </c>
      <c r="M28" s="19" t="s">
        <v>97</v>
      </c>
      <c r="N28" s="19" t="s">
        <v>98</v>
      </c>
      <c r="O28" s="19" t="s">
        <v>99</v>
      </c>
      <c r="P28" s="19" t="s">
        <v>6</v>
      </c>
      <c r="Q28" s="19" t="s">
        <v>53</v>
      </c>
      <c r="R28" s="19" t="s">
        <v>55</v>
      </c>
      <c r="S28" s="19" t="s">
        <v>95</v>
      </c>
      <c r="T28" s="19" t="s">
        <v>96</v>
      </c>
      <c r="U28" s="19" t="s">
        <v>97</v>
      </c>
      <c r="V28" s="19" t="s">
        <v>98</v>
      </c>
      <c r="W28" s="19" t="s">
        <v>99</v>
      </c>
      <c r="X28" s="19" t="s">
        <v>6</v>
      </c>
      <c r="Y28" s="19" t="s">
        <v>53</v>
      </c>
      <c r="Z28" s="19" t="s">
        <v>55</v>
      </c>
      <c r="AA28" s="19" t="s">
        <v>95</v>
      </c>
      <c r="AB28" s="19" t="s">
        <v>96</v>
      </c>
      <c r="AC28" s="19" t="s">
        <v>97</v>
      </c>
      <c r="AD28" s="19" t="s">
        <v>98</v>
      </c>
      <c r="AE28" s="19" t="s">
        <v>99</v>
      </c>
      <c r="AF28" s="19" t="s">
        <v>6</v>
      </c>
      <c r="AG28" s="19" t="s">
        <v>53</v>
      </c>
      <c r="AH28" s="19" t="s">
        <v>55</v>
      </c>
      <c r="AI28" s="19" t="s">
        <v>51</v>
      </c>
      <c r="AJ28" s="19" t="s">
        <v>95</v>
      </c>
      <c r="AK28" s="19" t="s">
        <v>96</v>
      </c>
      <c r="AL28" s="19" t="s">
        <v>97</v>
      </c>
      <c r="AM28" s="19" t="s">
        <v>98</v>
      </c>
      <c r="AN28" s="19" t="s">
        <v>99</v>
      </c>
      <c r="AO28" s="19" t="s">
        <v>6</v>
      </c>
      <c r="AP28" s="19" t="s">
        <v>53</v>
      </c>
    </row>
    <row r="29" ht="15.75" spans="2:42">
      <c r="B29" s="19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19"/>
      <c r="Z29" s="19"/>
      <c r="AA29" s="19"/>
      <c r="AB29" s="19"/>
      <c r="AC29" s="19"/>
      <c r="AD29" s="19"/>
      <c r="AE29" s="19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ht="15.75" spans="1:42">
      <c r="A30" s="1" t="s">
        <v>242</v>
      </c>
      <c r="B30" s="20" t="s">
        <v>243</v>
      </c>
      <c r="C30" s="73"/>
      <c r="D30" s="8"/>
      <c r="E30" s="21">
        <v>30</v>
      </c>
      <c r="F30" s="21"/>
      <c r="G30" s="21">
        <v>5024</v>
      </c>
      <c r="H30" s="22">
        <f>G30+F30+E30+D30</f>
        <v>5054</v>
      </c>
      <c r="I30" s="22">
        <v>3</v>
      </c>
      <c r="J30" s="73">
        <v>2</v>
      </c>
      <c r="K30" s="8">
        <v>1084</v>
      </c>
      <c r="L30" s="21">
        <v>16</v>
      </c>
      <c r="M30" s="21"/>
      <c r="N30" s="21">
        <v>929</v>
      </c>
      <c r="O30" s="22">
        <f t="shared" ref="O30:O40" si="2">N30+M30+L30+K30</f>
        <v>2029</v>
      </c>
      <c r="P30" s="28">
        <f>(O30-H30)/H30</f>
        <v>-0.598535813217254</v>
      </c>
      <c r="Q30" s="22">
        <v>11</v>
      </c>
      <c r="R30" s="87">
        <v>5054</v>
      </c>
      <c r="S30" s="8">
        <v>13</v>
      </c>
      <c r="T30" s="21">
        <v>163</v>
      </c>
      <c r="U30" s="21"/>
      <c r="V30" s="21">
        <v>22784</v>
      </c>
      <c r="W30" s="22">
        <f t="shared" ref="W30:W49" si="3">V30+U30+T30+S30</f>
        <v>22960</v>
      </c>
      <c r="X30" s="27">
        <f t="shared" ref="X30:X40" si="4">(W30-R30)/R30</f>
        <v>3.54293628808864</v>
      </c>
      <c r="Y30" s="22">
        <v>2</v>
      </c>
      <c r="Z30" s="22">
        <v>22960</v>
      </c>
      <c r="AA30" s="21">
        <v>45</v>
      </c>
      <c r="AB30" s="21"/>
      <c r="AC30" s="21">
        <v>138</v>
      </c>
      <c r="AD30" s="21">
        <v>2400</v>
      </c>
      <c r="AE30" s="22">
        <f t="shared" ref="AE30:AE43" si="5">AD30+AC30+AB30+AA30</f>
        <v>2583</v>
      </c>
      <c r="AF30" s="28">
        <f t="shared" ref="AF30:AF43" si="6">(AE30-Z30)/Z30</f>
        <v>-0.8875</v>
      </c>
      <c r="AG30" s="22">
        <v>12</v>
      </c>
      <c r="AH30" s="22">
        <v>22960</v>
      </c>
      <c r="AI30" s="21">
        <v>3</v>
      </c>
      <c r="AJ30" s="21">
        <v>906</v>
      </c>
      <c r="AK30" s="21">
        <v>31</v>
      </c>
      <c r="AL30" s="21">
        <v>185</v>
      </c>
      <c r="AM30" s="21">
        <v>73313</v>
      </c>
      <c r="AN30" s="22">
        <f t="shared" ref="AN30:AN46" si="7">AM30+AL30+AK30+AJ30</f>
        <v>74435</v>
      </c>
      <c r="AO30" s="27">
        <f>(AN30-AH30)/AH30</f>
        <v>2.2419425087108</v>
      </c>
      <c r="AP30" s="22">
        <v>1</v>
      </c>
    </row>
    <row r="31" ht="15.75" spans="1:42">
      <c r="A31" s="1" t="s">
        <v>244</v>
      </c>
      <c r="B31" s="20" t="s">
        <v>245</v>
      </c>
      <c r="C31" s="73">
        <v>1</v>
      </c>
      <c r="D31" s="8">
        <v>97</v>
      </c>
      <c r="E31" s="21"/>
      <c r="F31" s="21"/>
      <c r="G31" s="21"/>
      <c r="H31" s="22">
        <f>G31+F31+E31+D31</f>
        <v>97</v>
      </c>
      <c r="I31" s="22">
        <v>22</v>
      </c>
      <c r="J31" s="73"/>
      <c r="K31" s="8"/>
      <c r="L31" s="21">
        <v>20</v>
      </c>
      <c r="M31" s="21">
        <v>73</v>
      </c>
      <c r="N31" s="21">
        <v>1569</v>
      </c>
      <c r="O31" s="22">
        <f t="shared" si="2"/>
        <v>1662</v>
      </c>
      <c r="P31" s="27">
        <f>(O31-H31)/H31</f>
        <v>16.1340206185567</v>
      </c>
      <c r="Q31" s="22">
        <v>13</v>
      </c>
      <c r="R31" s="87">
        <v>1662</v>
      </c>
      <c r="S31" s="8"/>
      <c r="T31" s="21">
        <v>26</v>
      </c>
      <c r="U31" s="21"/>
      <c r="V31" s="21">
        <v>2500</v>
      </c>
      <c r="W31" s="22">
        <f t="shared" si="3"/>
        <v>2526</v>
      </c>
      <c r="X31" s="27">
        <f t="shared" si="4"/>
        <v>0.51985559566787</v>
      </c>
      <c r="Y31" s="87">
        <v>13</v>
      </c>
      <c r="Z31" s="9">
        <v>2526</v>
      </c>
      <c r="AA31" s="21"/>
      <c r="AB31" s="21">
        <v>22</v>
      </c>
      <c r="AC31" s="21">
        <v>11600</v>
      </c>
      <c r="AD31" s="21">
        <v>903</v>
      </c>
      <c r="AE31" s="22">
        <f t="shared" si="5"/>
        <v>12525</v>
      </c>
      <c r="AF31" s="27">
        <f t="shared" si="6"/>
        <v>3.958432304038</v>
      </c>
      <c r="AG31" s="22">
        <v>2</v>
      </c>
      <c r="AH31" s="22">
        <v>12525</v>
      </c>
      <c r="AI31" s="21"/>
      <c r="AJ31" s="21"/>
      <c r="AK31" s="21">
        <v>14</v>
      </c>
      <c r="AL31" s="21">
        <v>55500</v>
      </c>
      <c r="AM31" s="21">
        <v>380</v>
      </c>
      <c r="AN31" s="22">
        <f t="shared" si="7"/>
        <v>55894</v>
      </c>
      <c r="AO31" s="27">
        <f t="shared" ref="AO31:AO46" si="8">(AN31-AH31)/AH31</f>
        <v>3.46259481037924</v>
      </c>
      <c r="AP31" s="22">
        <v>2</v>
      </c>
    </row>
    <row r="32" ht="15.75" spans="1:42">
      <c r="A32" s="1" t="s">
        <v>246</v>
      </c>
      <c r="B32" s="20" t="s">
        <v>247</v>
      </c>
      <c r="C32" s="73"/>
      <c r="D32" s="8"/>
      <c r="E32" s="21">
        <v>17</v>
      </c>
      <c r="F32" s="21"/>
      <c r="G32" s="21">
        <v>3984</v>
      </c>
      <c r="H32" s="22">
        <f>G32+F32+E32+D32</f>
        <v>4001</v>
      </c>
      <c r="I32" s="22">
        <v>5</v>
      </c>
      <c r="J32" s="73"/>
      <c r="K32" s="8"/>
      <c r="L32" s="21">
        <v>17</v>
      </c>
      <c r="M32" s="21"/>
      <c r="N32" s="21">
        <v>1700</v>
      </c>
      <c r="O32" s="22">
        <f t="shared" si="2"/>
        <v>1717</v>
      </c>
      <c r="P32" s="28">
        <f>(O32-H32)/H32</f>
        <v>-0.57085728567858</v>
      </c>
      <c r="Q32" s="22">
        <v>12</v>
      </c>
      <c r="R32" s="87">
        <v>4001</v>
      </c>
      <c r="S32" s="8"/>
      <c r="T32" s="21">
        <v>43</v>
      </c>
      <c r="U32" s="21">
        <v>6355</v>
      </c>
      <c r="V32" s="21">
        <v>13780</v>
      </c>
      <c r="W32" s="22">
        <f t="shared" si="3"/>
        <v>20178</v>
      </c>
      <c r="X32" s="27">
        <f t="shared" si="4"/>
        <v>4.04323919020245</v>
      </c>
      <c r="Y32" s="87">
        <v>3</v>
      </c>
      <c r="Z32" s="9">
        <v>20178</v>
      </c>
      <c r="AA32" s="21">
        <v>697</v>
      </c>
      <c r="AB32" s="21">
        <v>17</v>
      </c>
      <c r="AC32" s="21"/>
      <c r="AD32" s="21">
        <v>4900</v>
      </c>
      <c r="AE32" s="22">
        <f t="shared" si="5"/>
        <v>5614</v>
      </c>
      <c r="AF32" s="28">
        <f t="shared" si="6"/>
        <v>-0.72177619189216</v>
      </c>
      <c r="AG32" s="22">
        <v>9</v>
      </c>
      <c r="AH32" s="22">
        <v>20178</v>
      </c>
      <c r="AI32" s="21"/>
      <c r="AJ32" s="21"/>
      <c r="AK32" s="21">
        <v>15</v>
      </c>
      <c r="AL32" s="21">
        <v>335</v>
      </c>
      <c r="AM32" s="21">
        <v>23200</v>
      </c>
      <c r="AN32" s="22">
        <f t="shared" si="7"/>
        <v>23550</v>
      </c>
      <c r="AO32" s="27">
        <f t="shared" si="8"/>
        <v>0.167112696996729</v>
      </c>
      <c r="AP32" s="22">
        <v>3</v>
      </c>
    </row>
    <row r="33" ht="15.75" spans="1:42">
      <c r="A33" s="1" t="s">
        <v>248</v>
      </c>
      <c r="B33" s="20" t="s">
        <v>249</v>
      </c>
      <c r="C33" s="73"/>
      <c r="D33" s="8"/>
      <c r="E33" s="21"/>
      <c r="F33" s="21"/>
      <c r="G33" s="21"/>
      <c r="H33" s="22"/>
      <c r="I33" s="22"/>
      <c r="J33" s="73"/>
      <c r="K33" s="8"/>
      <c r="L33" s="21">
        <v>11</v>
      </c>
      <c r="M33" s="21"/>
      <c r="N33" s="21">
        <v>2500</v>
      </c>
      <c r="O33" s="22">
        <f t="shared" si="2"/>
        <v>2511</v>
      </c>
      <c r="P33" s="75"/>
      <c r="Q33" s="22">
        <v>8</v>
      </c>
      <c r="R33" s="87">
        <v>2511</v>
      </c>
      <c r="S33" s="8"/>
      <c r="T33" s="21">
        <v>30</v>
      </c>
      <c r="U33" s="21"/>
      <c r="V33" s="21">
        <v>8800</v>
      </c>
      <c r="W33" s="22">
        <f t="shared" si="3"/>
        <v>8830</v>
      </c>
      <c r="X33" s="27">
        <f t="shared" si="4"/>
        <v>2.51652727996814</v>
      </c>
      <c r="Y33" s="87">
        <v>7</v>
      </c>
      <c r="Z33" s="9">
        <v>8830</v>
      </c>
      <c r="AA33" s="21"/>
      <c r="AB33" s="21">
        <v>57</v>
      </c>
      <c r="AC33" s="21">
        <v>8799</v>
      </c>
      <c r="AD33" s="21">
        <v>20766</v>
      </c>
      <c r="AE33" s="22">
        <f t="shared" si="5"/>
        <v>29622</v>
      </c>
      <c r="AF33" s="27">
        <f t="shared" si="6"/>
        <v>2.35469988674972</v>
      </c>
      <c r="AG33" s="22">
        <v>1</v>
      </c>
      <c r="AH33" s="22">
        <v>29622</v>
      </c>
      <c r="AI33" s="21"/>
      <c r="AJ33" s="21"/>
      <c r="AK33" s="21">
        <v>13</v>
      </c>
      <c r="AL33" s="21"/>
      <c r="AM33" s="21">
        <v>18800</v>
      </c>
      <c r="AN33" s="22">
        <f t="shared" si="7"/>
        <v>18813</v>
      </c>
      <c r="AO33" s="28">
        <f t="shared" si="8"/>
        <v>-0.364897711160624</v>
      </c>
      <c r="AP33" s="22">
        <v>4</v>
      </c>
    </row>
    <row r="34" ht="15.75" spans="1:42">
      <c r="A34" s="1" t="s">
        <v>250</v>
      </c>
      <c r="B34" s="20" t="s">
        <v>228</v>
      </c>
      <c r="C34" s="21">
        <v>1</v>
      </c>
      <c r="D34" s="21">
        <v>120</v>
      </c>
      <c r="E34" s="21">
        <v>51</v>
      </c>
      <c r="F34" s="21"/>
      <c r="G34" s="21">
        <v>5429</v>
      </c>
      <c r="H34" s="22">
        <f t="shared" ref="H34:H40" si="9">G34+F34+E34+D34</f>
        <v>5600</v>
      </c>
      <c r="I34" s="22">
        <v>2</v>
      </c>
      <c r="J34" s="21">
        <v>1</v>
      </c>
      <c r="K34" s="21">
        <v>808</v>
      </c>
      <c r="L34" s="21">
        <v>131</v>
      </c>
      <c r="M34" s="21">
        <v>247</v>
      </c>
      <c r="N34" s="21">
        <v>44321</v>
      </c>
      <c r="O34" s="22">
        <f t="shared" si="2"/>
        <v>45507</v>
      </c>
      <c r="P34" s="27">
        <f t="shared" ref="P34:P40" si="10">(O34-H34)/H34</f>
        <v>7.12625</v>
      </c>
      <c r="Q34" s="22">
        <v>2</v>
      </c>
      <c r="R34" s="22">
        <v>45507</v>
      </c>
      <c r="S34" s="21">
        <v>1021</v>
      </c>
      <c r="T34" s="21">
        <v>31</v>
      </c>
      <c r="U34" s="21">
        <v>358</v>
      </c>
      <c r="V34" s="21">
        <v>38666</v>
      </c>
      <c r="W34" s="22">
        <f t="shared" si="3"/>
        <v>40076</v>
      </c>
      <c r="X34" s="28">
        <f t="shared" si="4"/>
        <v>-0.119344276704683</v>
      </c>
      <c r="Y34" s="87">
        <v>1</v>
      </c>
      <c r="Z34" s="9">
        <v>45507</v>
      </c>
      <c r="AA34" s="21"/>
      <c r="AB34" s="21">
        <v>46</v>
      </c>
      <c r="AC34" s="21">
        <v>94</v>
      </c>
      <c r="AD34" s="21">
        <v>5500</v>
      </c>
      <c r="AE34" s="22">
        <f t="shared" si="5"/>
        <v>5640</v>
      </c>
      <c r="AF34" s="28">
        <f t="shared" si="6"/>
        <v>-0.876063023271145</v>
      </c>
      <c r="AG34" s="22">
        <v>8</v>
      </c>
      <c r="AH34" s="22">
        <v>45507</v>
      </c>
      <c r="AI34" s="21">
        <v>1</v>
      </c>
      <c r="AJ34" s="21">
        <v>85</v>
      </c>
      <c r="AK34" s="21">
        <v>27</v>
      </c>
      <c r="AL34" s="21"/>
      <c r="AM34" s="21">
        <v>17000</v>
      </c>
      <c r="AN34" s="22">
        <f t="shared" si="7"/>
        <v>17112</v>
      </c>
      <c r="AO34" s="28">
        <f t="shared" si="8"/>
        <v>-0.623969938690751</v>
      </c>
      <c r="AP34" s="22">
        <v>5</v>
      </c>
    </row>
    <row r="35" ht="15.75" spans="1:42">
      <c r="A35" s="1" t="s">
        <v>251</v>
      </c>
      <c r="B35" s="20" t="s">
        <v>252</v>
      </c>
      <c r="C35" s="73"/>
      <c r="D35" s="8"/>
      <c r="E35" s="21">
        <v>20</v>
      </c>
      <c r="F35" s="21"/>
      <c r="G35" s="21">
        <v>1937</v>
      </c>
      <c r="H35" s="22">
        <f t="shared" si="9"/>
        <v>1957</v>
      </c>
      <c r="I35" s="22">
        <v>11</v>
      </c>
      <c r="J35" s="73"/>
      <c r="K35" s="8"/>
      <c r="L35" s="21">
        <v>17</v>
      </c>
      <c r="M35" s="21"/>
      <c r="N35" s="21">
        <v>485</v>
      </c>
      <c r="O35" s="22">
        <f t="shared" si="2"/>
        <v>502</v>
      </c>
      <c r="P35" s="28">
        <f t="shared" si="10"/>
        <v>-0.743484925907001</v>
      </c>
      <c r="Q35" s="22">
        <v>16</v>
      </c>
      <c r="R35" s="87">
        <v>1957</v>
      </c>
      <c r="S35" s="8"/>
      <c r="T35" s="21">
        <v>11</v>
      </c>
      <c r="U35" s="21">
        <v>96</v>
      </c>
      <c r="V35" s="21">
        <v>800</v>
      </c>
      <c r="W35" s="22">
        <f t="shared" si="3"/>
        <v>907</v>
      </c>
      <c r="X35" s="28">
        <f t="shared" si="4"/>
        <v>-0.536535513541134</v>
      </c>
      <c r="Y35" s="22">
        <v>20</v>
      </c>
      <c r="Z35" s="9">
        <v>1957</v>
      </c>
      <c r="AA35" s="21"/>
      <c r="AB35" s="21">
        <v>10</v>
      </c>
      <c r="AC35" s="21"/>
      <c r="AD35" s="21">
        <v>385</v>
      </c>
      <c r="AE35" s="22">
        <f t="shared" si="5"/>
        <v>395</v>
      </c>
      <c r="AF35" s="28">
        <f t="shared" si="6"/>
        <v>-0.798160449667859</v>
      </c>
      <c r="AG35" s="22">
        <v>17</v>
      </c>
      <c r="AH35" s="22">
        <v>1957</v>
      </c>
      <c r="AI35" s="21">
        <v>1</v>
      </c>
      <c r="AJ35" s="21">
        <v>863</v>
      </c>
      <c r="AK35" s="21">
        <v>20</v>
      </c>
      <c r="AL35" s="21">
        <v>369</v>
      </c>
      <c r="AM35" s="21">
        <v>10900</v>
      </c>
      <c r="AN35" s="22">
        <f t="shared" si="7"/>
        <v>12152</v>
      </c>
      <c r="AO35" s="27">
        <f t="shared" si="8"/>
        <v>5.20950434338273</v>
      </c>
      <c r="AP35" s="22">
        <v>6</v>
      </c>
    </row>
    <row r="36" ht="15.75" spans="1:42">
      <c r="A36" s="1" t="s">
        <v>253</v>
      </c>
      <c r="B36" s="20" t="s">
        <v>254</v>
      </c>
      <c r="C36" s="73"/>
      <c r="D36" s="8"/>
      <c r="E36" s="21">
        <v>49</v>
      </c>
      <c r="F36" s="21"/>
      <c r="G36" s="21">
        <v>3709</v>
      </c>
      <c r="H36" s="22">
        <f t="shared" si="9"/>
        <v>3758</v>
      </c>
      <c r="I36" s="22">
        <v>6</v>
      </c>
      <c r="J36" s="73"/>
      <c r="K36" s="8"/>
      <c r="L36" s="21">
        <v>22</v>
      </c>
      <c r="M36" s="21"/>
      <c r="N36" s="21">
        <v>422</v>
      </c>
      <c r="O36" s="22">
        <f t="shared" si="2"/>
        <v>444</v>
      </c>
      <c r="P36" s="28">
        <f t="shared" si="10"/>
        <v>-0.881852048962214</v>
      </c>
      <c r="Q36" s="22">
        <v>17</v>
      </c>
      <c r="R36" s="87">
        <v>3758</v>
      </c>
      <c r="S36" s="8"/>
      <c r="T36" s="21">
        <v>43</v>
      </c>
      <c r="U36" s="21"/>
      <c r="V36" s="21">
        <v>3000</v>
      </c>
      <c r="W36" s="22">
        <f t="shared" si="3"/>
        <v>3043</v>
      </c>
      <c r="X36" s="28">
        <f t="shared" si="4"/>
        <v>-0.190260777009047</v>
      </c>
      <c r="Y36" s="87">
        <v>11</v>
      </c>
      <c r="Z36" s="9">
        <v>3758</v>
      </c>
      <c r="AA36" s="21"/>
      <c r="AB36" s="21">
        <v>34</v>
      </c>
      <c r="AC36" s="21">
        <v>420</v>
      </c>
      <c r="AD36" s="21">
        <v>5200</v>
      </c>
      <c r="AE36" s="22">
        <f t="shared" si="5"/>
        <v>5654</v>
      </c>
      <c r="AF36" s="27">
        <f t="shared" si="6"/>
        <v>0.504523682810005</v>
      </c>
      <c r="AG36" s="22">
        <v>7</v>
      </c>
      <c r="AH36" s="22">
        <v>5654</v>
      </c>
      <c r="AI36" s="21"/>
      <c r="AJ36" s="21"/>
      <c r="AK36" s="21"/>
      <c r="AL36" s="21">
        <v>105</v>
      </c>
      <c r="AM36" s="21">
        <v>10000</v>
      </c>
      <c r="AN36" s="22">
        <f t="shared" si="7"/>
        <v>10105</v>
      </c>
      <c r="AO36" s="27">
        <f t="shared" si="8"/>
        <v>0.787230279448178</v>
      </c>
      <c r="AP36" s="22">
        <v>7</v>
      </c>
    </row>
    <row r="37" ht="15.75" spans="1:42">
      <c r="A37" s="1" t="s">
        <v>255</v>
      </c>
      <c r="B37" s="20" t="s">
        <v>256</v>
      </c>
      <c r="C37" s="73"/>
      <c r="D37" s="8"/>
      <c r="E37" s="21">
        <v>23</v>
      </c>
      <c r="F37" s="21"/>
      <c r="G37" s="21">
        <v>2100</v>
      </c>
      <c r="H37" s="22">
        <f t="shared" si="9"/>
        <v>2123</v>
      </c>
      <c r="I37" s="22">
        <v>10</v>
      </c>
      <c r="J37" s="73"/>
      <c r="K37" s="8"/>
      <c r="L37" s="21">
        <v>5</v>
      </c>
      <c r="M37" s="21"/>
      <c r="N37" s="21">
        <v>6000</v>
      </c>
      <c r="O37" s="22">
        <f t="shared" si="2"/>
        <v>6005</v>
      </c>
      <c r="P37" s="27">
        <f t="shared" si="10"/>
        <v>1.82854451248234</v>
      </c>
      <c r="Q37" s="22">
        <v>4</v>
      </c>
      <c r="R37" s="87">
        <v>6005</v>
      </c>
      <c r="S37" s="8"/>
      <c r="T37" s="21">
        <v>16</v>
      </c>
      <c r="U37" s="21"/>
      <c r="V37" s="21">
        <v>2700</v>
      </c>
      <c r="W37" s="22">
        <f t="shared" si="3"/>
        <v>2716</v>
      </c>
      <c r="X37" s="28">
        <f t="shared" si="4"/>
        <v>-0.547710241465445</v>
      </c>
      <c r="Y37" s="22">
        <v>12</v>
      </c>
      <c r="Z37" s="9">
        <v>6005</v>
      </c>
      <c r="AA37" s="21"/>
      <c r="AB37" s="21">
        <v>12</v>
      </c>
      <c r="AC37" s="21">
        <v>136</v>
      </c>
      <c r="AD37" s="21">
        <v>5700</v>
      </c>
      <c r="AE37" s="22">
        <f t="shared" si="5"/>
        <v>5848</v>
      </c>
      <c r="AF37" s="28">
        <f t="shared" si="6"/>
        <v>-0.0261448792672773</v>
      </c>
      <c r="AG37" s="22">
        <v>6</v>
      </c>
      <c r="AH37" s="22">
        <v>6005</v>
      </c>
      <c r="AI37" s="21"/>
      <c r="AJ37" s="21"/>
      <c r="AK37" s="21">
        <v>12</v>
      </c>
      <c r="AL37" s="21">
        <v>175</v>
      </c>
      <c r="AM37" s="21">
        <v>9853</v>
      </c>
      <c r="AN37" s="22">
        <f t="shared" si="7"/>
        <v>10040</v>
      </c>
      <c r="AO37" s="27">
        <f t="shared" si="8"/>
        <v>0.671940049958368</v>
      </c>
      <c r="AP37" s="22">
        <v>8</v>
      </c>
    </row>
    <row r="38" ht="15.75" spans="1:42">
      <c r="A38" s="1" t="s">
        <v>257</v>
      </c>
      <c r="B38" s="20" t="s">
        <v>258</v>
      </c>
      <c r="C38" s="73"/>
      <c r="D38" s="8"/>
      <c r="E38" s="21">
        <v>23</v>
      </c>
      <c r="F38" s="21"/>
      <c r="G38" s="21">
        <v>1079</v>
      </c>
      <c r="H38" s="22">
        <f t="shared" si="9"/>
        <v>1102</v>
      </c>
      <c r="I38" s="22">
        <v>13</v>
      </c>
      <c r="J38" s="73"/>
      <c r="K38" s="8"/>
      <c r="L38" s="21">
        <v>59</v>
      </c>
      <c r="M38" s="21">
        <v>124</v>
      </c>
      <c r="N38" s="21">
        <v>3565</v>
      </c>
      <c r="O38" s="22">
        <f t="shared" si="2"/>
        <v>3748</v>
      </c>
      <c r="P38" s="27">
        <f t="shared" si="10"/>
        <v>2.4010889292196</v>
      </c>
      <c r="Q38" s="22">
        <v>7</v>
      </c>
      <c r="R38" s="87">
        <v>3748</v>
      </c>
      <c r="S38" s="8"/>
      <c r="T38" s="21">
        <v>22</v>
      </c>
      <c r="U38" s="21">
        <v>103</v>
      </c>
      <c r="V38" s="21">
        <v>1152</v>
      </c>
      <c r="W38" s="22">
        <f t="shared" si="3"/>
        <v>1277</v>
      </c>
      <c r="X38" s="28">
        <f t="shared" si="4"/>
        <v>-0.659284951974386</v>
      </c>
      <c r="Y38" s="87">
        <v>19</v>
      </c>
      <c r="Z38" s="9">
        <v>3748</v>
      </c>
      <c r="AA38" s="21">
        <v>662</v>
      </c>
      <c r="AB38" s="21">
        <v>32</v>
      </c>
      <c r="AC38" s="21"/>
      <c r="AD38" s="21">
        <v>9300</v>
      </c>
      <c r="AE38" s="22">
        <f t="shared" si="5"/>
        <v>9994</v>
      </c>
      <c r="AF38" s="27">
        <f t="shared" si="6"/>
        <v>1.66648879402348</v>
      </c>
      <c r="AG38" s="22">
        <v>3</v>
      </c>
      <c r="AH38" s="22">
        <v>9994</v>
      </c>
      <c r="AI38" s="21">
        <v>1</v>
      </c>
      <c r="AJ38" s="21">
        <v>284</v>
      </c>
      <c r="AK38" s="21">
        <v>15</v>
      </c>
      <c r="AL38" s="21">
        <v>113</v>
      </c>
      <c r="AM38" s="21">
        <v>8603</v>
      </c>
      <c r="AN38" s="22">
        <f t="shared" si="7"/>
        <v>9015</v>
      </c>
      <c r="AO38" s="28">
        <f t="shared" si="8"/>
        <v>-0.0979587752651591</v>
      </c>
      <c r="AP38" s="22">
        <v>9</v>
      </c>
    </row>
    <row r="39" ht="15.75" spans="1:42">
      <c r="A39" s="1" t="s">
        <v>259</v>
      </c>
      <c r="B39" s="20" t="s">
        <v>260</v>
      </c>
      <c r="C39" s="73"/>
      <c r="D39" s="8"/>
      <c r="E39" s="21">
        <v>48</v>
      </c>
      <c r="F39" s="21">
        <v>100</v>
      </c>
      <c r="G39" s="21">
        <v>13343</v>
      </c>
      <c r="H39" s="22">
        <f t="shared" si="9"/>
        <v>13491</v>
      </c>
      <c r="I39" s="22">
        <v>1</v>
      </c>
      <c r="J39" s="73"/>
      <c r="K39" s="8"/>
      <c r="L39" s="21">
        <v>39</v>
      </c>
      <c r="M39" s="21">
        <v>80</v>
      </c>
      <c r="N39" s="21">
        <v>1993</v>
      </c>
      <c r="O39" s="22">
        <f t="shared" si="2"/>
        <v>2112</v>
      </c>
      <c r="P39" s="28">
        <f t="shared" si="10"/>
        <v>-0.84345118968201</v>
      </c>
      <c r="Q39" s="22">
        <v>9</v>
      </c>
      <c r="R39" s="87">
        <v>13491</v>
      </c>
      <c r="S39" s="8"/>
      <c r="T39" s="21">
        <v>17</v>
      </c>
      <c r="U39" s="21"/>
      <c r="V39" s="21">
        <v>3411</v>
      </c>
      <c r="W39" s="22">
        <f t="shared" si="3"/>
        <v>3428</v>
      </c>
      <c r="X39" s="28">
        <f t="shared" si="4"/>
        <v>-0.745904677192202</v>
      </c>
      <c r="Y39" s="22">
        <v>10</v>
      </c>
      <c r="Z39" s="9">
        <v>13491</v>
      </c>
      <c r="AA39" s="21"/>
      <c r="AB39" s="21">
        <v>75</v>
      </c>
      <c r="AC39" s="21">
        <v>285</v>
      </c>
      <c r="AD39" s="21">
        <v>4083</v>
      </c>
      <c r="AE39" s="22">
        <f t="shared" si="5"/>
        <v>4443</v>
      </c>
      <c r="AF39" s="28">
        <f t="shared" si="6"/>
        <v>-0.670669335112297</v>
      </c>
      <c r="AG39" s="22">
        <v>10</v>
      </c>
      <c r="AH39" s="22">
        <v>13491</v>
      </c>
      <c r="AI39" s="21"/>
      <c r="AJ39" s="21"/>
      <c r="AK39" s="21">
        <v>46</v>
      </c>
      <c r="AL39" s="21">
        <v>115</v>
      </c>
      <c r="AM39" s="21">
        <v>6684</v>
      </c>
      <c r="AN39" s="22">
        <f t="shared" si="7"/>
        <v>6845</v>
      </c>
      <c r="AO39" s="28">
        <f t="shared" si="8"/>
        <v>-0.492624712771477</v>
      </c>
      <c r="AP39" s="22">
        <v>10</v>
      </c>
    </row>
    <row r="40" ht="15.75" spans="1:42">
      <c r="A40" s="1" t="s">
        <v>261</v>
      </c>
      <c r="B40" s="20" t="s">
        <v>262</v>
      </c>
      <c r="C40" s="73"/>
      <c r="D40" s="8"/>
      <c r="E40" s="21">
        <v>20</v>
      </c>
      <c r="F40" s="21"/>
      <c r="G40" s="21">
        <v>2661</v>
      </c>
      <c r="H40" s="22">
        <f t="shared" si="9"/>
        <v>2681</v>
      </c>
      <c r="I40" s="22">
        <v>8</v>
      </c>
      <c r="J40" s="73"/>
      <c r="K40" s="8"/>
      <c r="L40" s="21">
        <v>24</v>
      </c>
      <c r="M40" s="21">
        <v>10400</v>
      </c>
      <c r="N40" s="21">
        <v>55600</v>
      </c>
      <c r="O40" s="22">
        <f t="shared" si="2"/>
        <v>66024</v>
      </c>
      <c r="P40" s="27">
        <f t="shared" si="10"/>
        <v>23.6266318537859</v>
      </c>
      <c r="Q40" s="22">
        <v>1</v>
      </c>
      <c r="R40" s="87">
        <v>66024</v>
      </c>
      <c r="S40" s="8">
        <v>20</v>
      </c>
      <c r="T40" s="21">
        <v>49</v>
      </c>
      <c r="U40" s="21"/>
      <c r="V40" s="21">
        <v>5347</v>
      </c>
      <c r="W40" s="22">
        <f t="shared" si="3"/>
        <v>5416</v>
      </c>
      <c r="X40" s="28">
        <f t="shared" si="4"/>
        <v>-0.917969223312735</v>
      </c>
      <c r="Y40" s="22">
        <v>8</v>
      </c>
      <c r="Z40" s="9">
        <v>66024</v>
      </c>
      <c r="AA40" s="21"/>
      <c r="AB40" s="21">
        <v>11</v>
      </c>
      <c r="AC40" s="21"/>
      <c r="AD40" s="21">
        <v>6300</v>
      </c>
      <c r="AE40" s="22">
        <f t="shared" si="5"/>
        <v>6311</v>
      </c>
      <c r="AF40" s="28">
        <f t="shared" si="6"/>
        <v>-0.904413546589119</v>
      </c>
      <c r="AG40" s="22">
        <v>5</v>
      </c>
      <c r="AH40" s="22">
        <v>66024</v>
      </c>
      <c r="AI40" s="21"/>
      <c r="AJ40" s="21"/>
      <c r="AK40" s="21">
        <v>12</v>
      </c>
      <c r="AL40" s="21">
        <v>126</v>
      </c>
      <c r="AM40" s="21">
        <v>5918</v>
      </c>
      <c r="AN40" s="22">
        <f t="shared" si="7"/>
        <v>6056</v>
      </c>
      <c r="AO40" s="28">
        <f t="shared" si="8"/>
        <v>-0.908275778504786</v>
      </c>
      <c r="AP40" s="22">
        <v>11</v>
      </c>
    </row>
    <row r="41" ht="15.75" spans="1:42">
      <c r="A41" s="1" t="s">
        <v>263</v>
      </c>
      <c r="B41" s="20" t="s">
        <v>264</v>
      </c>
      <c r="C41" s="73"/>
      <c r="D41" s="8"/>
      <c r="E41" s="21"/>
      <c r="F41" s="21"/>
      <c r="G41" s="21"/>
      <c r="H41" s="22"/>
      <c r="I41" s="22"/>
      <c r="J41" s="73"/>
      <c r="K41" s="8"/>
      <c r="L41" s="21"/>
      <c r="M41" s="21"/>
      <c r="N41" s="21"/>
      <c r="O41" s="22"/>
      <c r="P41" s="75"/>
      <c r="Q41" s="22"/>
      <c r="R41" s="87"/>
      <c r="S41" s="8"/>
      <c r="T41" s="21">
        <v>9</v>
      </c>
      <c r="U41" s="21"/>
      <c r="V41" s="21">
        <v>1744</v>
      </c>
      <c r="W41" s="22">
        <f t="shared" si="3"/>
        <v>1753</v>
      </c>
      <c r="X41" s="75"/>
      <c r="Y41" s="87">
        <v>17</v>
      </c>
      <c r="Z41" s="9">
        <v>1753</v>
      </c>
      <c r="AA41" s="21"/>
      <c r="AB41" s="21">
        <v>29</v>
      </c>
      <c r="AC41" s="21">
        <v>186</v>
      </c>
      <c r="AD41" s="21">
        <v>568</v>
      </c>
      <c r="AE41" s="22">
        <f t="shared" si="5"/>
        <v>783</v>
      </c>
      <c r="AF41" s="28">
        <f t="shared" si="6"/>
        <v>-0.553337136337707</v>
      </c>
      <c r="AG41" s="22">
        <v>15</v>
      </c>
      <c r="AH41" s="22">
        <v>1753</v>
      </c>
      <c r="AI41" s="21"/>
      <c r="AJ41" s="21"/>
      <c r="AK41" s="21">
        <v>16</v>
      </c>
      <c r="AL41" s="21">
        <v>217</v>
      </c>
      <c r="AM41" s="21">
        <v>3755</v>
      </c>
      <c r="AN41" s="22">
        <f t="shared" si="7"/>
        <v>3988</v>
      </c>
      <c r="AO41" s="27">
        <f t="shared" si="8"/>
        <v>1.2749572162008</v>
      </c>
      <c r="AP41" s="22">
        <v>12</v>
      </c>
    </row>
    <row r="42" ht="15.75" spans="1:42">
      <c r="A42" s="1" t="s">
        <v>265</v>
      </c>
      <c r="B42" s="20" t="s">
        <v>266</v>
      </c>
      <c r="C42" s="73"/>
      <c r="D42" s="8"/>
      <c r="E42" s="21">
        <v>19</v>
      </c>
      <c r="F42" s="21"/>
      <c r="G42" s="21">
        <v>2300</v>
      </c>
      <c r="H42" s="22">
        <f t="shared" ref="H42:H49" si="11">G42+F42+E42+D42</f>
        <v>2319</v>
      </c>
      <c r="I42" s="22">
        <v>9</v>
      </c>
      <c r="J42" s="73"/>
      <c r="K42" s="8"/>
      <c r="L42" s="21">
        <v>27</v>
      </c>
      <c r="M42" s="21">
        <v>111</v>
      </c>
      <c r="N42" s="21">
        <v>723</v>
      </c>
      <c r="O42" s="22">
        <f>N42+M42+L42+K42</f>
        <v>861</v>
      </c>
      <c r="P42" s="28">
        <f>(O42-H42)/H42</f>
        <v>-0.628719275549806</v>
      </c>
      <c r="Q42" s="22">
        <v>15</v>
      </c>
      <c r="R42" s="87">
        <v>2319</v>
      </c>
      <c r="S42" s="8"/>
      <c r="T42" s="21">
        <v>15</v>
      </c>
      <c r="U42" s="21">
        <v>98</v>
      </c>
      <c r="V42" s="21">
        <v>3385</v>
      </c>
      <c r="W42" s="22">
        <f t="shared" si="3"/>
        <v>3498</v>
      </c>
      <c r="X42" s="27">
        <f>(W42-R42)/R42</f>
        <v>0.508408796895213</v>
      </c>
      <c r="Y42" s="87">
        <v>9</v>
      </c>
      <c r="Z42" s="9">
        <v>3498</v>
      </c>
      <c r="AA42" s="21">
        <v>44</v>
      </c>
      <c r="AB42" s="21">
        <v>30</v>
      </c>
      <c r="AC42" s="21"/>
      <c r="AD42" s="21">
        <v>4100</v>
      </c>
      <c r="AE42" s="22">
        <f t="shared" si="5"/>
        <v>4174</v>
      </c>
      <c r="AF42" s="27">
        <f t="shared" si="6"/>
        <v>0.19325328759291</v>
      </c>
      <c r="AG42" s="22">
        <v>11</v>
      </c>
      <c r="AH42" s="22">
        <v>4174</v>
      </c>
      <c r="AI42" s="21"/>
      <c r="AJ42" s="21"/>
      <c r="AK42" s="21">
        <v>9</v>
      </c>
      <c r="AL42" s="21"/>
      <c r="AM42" s="21">
        <v>3100</v>
      </c>
      <c r="AN42" s="22">
        <f t="shared" si="7"/>
        <v>3109</v>
      </c>
      <c r="AO42" s="28">
        <f t="shared" si="8"/>
        <v>-0.255150934355534</v>
      </c>
      <c r="AP42" s="22">
        <v>13</v>
      </c>
    </row>
    <row r="43" ht="15.75" spans="1:42">
      <c r="A43" s="1" t="s">
        <v>267</v>
      </c>
      <c r="B43" s="20" t="s">
        <v>268</v>
      </c>
      <c r="C43" s="73"/>
      <c r="D43" s="8"/>
      <c r="E43" s="21">
        <v>13</v>
      </c>
      <c r="F43" s="21"/>
      <c r="G43" s="21">
        <v>788</v>
      </c>
      <c r="H43" s="22">
        <f t="shared" si="11"/>
        <v>801</v>
      </c>
      <c r="I43" s="22">
        <v>14</v>
      </c>
      <c r="J43" s="73"/>
      <c r="K43" s="8"/>
      <c r="L43" s="21">
        <v>29</v>
      </c>
      <c r="M43" s="21">
        <v>83</v>
      </c>
      <c r="N43" s="21">
        <v>4900</v>
      </c>
      <c r="O43" s="22">
        <f>N43+M43+L43+K43</f>
        <v>5012</v>
      </c>
      <c r="P43" s="27">
        <f>(O43-H43)/H43</f>
        <v>5.25717852684145</v>
      </c>
      <c r="Q43" s="22">
        <v>5</v>
      </c>
      <c r="R43" s="87">
        <v>5012</v>
      </c>
      <c r="S43" s="8"/>
      <c r="T43" s="21">
        <v>82</v>
      </c>
      <c r="U43" s="21">
        <v>406</v>
      </c>
      <c r="V43" s="21">
        <v>11900</v>
      </c>
      <c r="W43" s="22">
        <f t="shared" si="3"/>
        <v>12388</v>
      </c>
      <c r="X43" s="27">
        <f>(W43-R43)/R43</f>
        <v>1.47166799680766</v>
      </c>
      <c r="Y43" s="22">
        <v>4</v>
      </c>
      <c r="Z43" s="9">
        <v>12388</v>
      </c>
      <c r="AA43" s="21"/>
      <c r="AB43" s="21">
        <v>61</v>
      </c>
      <c r="AC43" s="21">
        <v>149</v>
      </c>
      <c r="AD43" s="21">
        <v>8507</v>
      </c>
      <c r="AE43" s="22">
        <f t="shared" si="5"/>
        <v>8717</v>
      </c>
      <c r="AF43" s="28">
        <f t="shared" si="6"/>
        <v>-0.296335163061027</v>
      </c>
      <c r="AG43" s="22">
        <v>4</v>
      </c>
      <c r="AH43" s="22">
        <v>12388</v>
      </c>
      <c r="AI43" s="21"/>
      <c r="AJ43" s="21"/>
      <c r="AK43" s="21">
        <v>15</v>
      </c>
      <c r="AL43" s="21"/>
      <c r="AM43" s="21">
        <v>2855</v>
      </c>
      <c r="AN43" s="22">
        <f t="shared" si="7"/>
        <v>2870</v>
      </c>
      <c r="AO43" s="28">
        <f t="shared" si="8"/>
        <v>-0.768324184694866</v>
      </c>
      <c r="AP43" s="22">
        <v>14</v>
      </c>
    </row>
    <row r="44" ht="15.75" spans="1:42">
      <c r="A44" s="1" t="s">
        <v>269</v>
      </c>
      <c r="B44" s="20" t="s">
        <v>270</v>
      </c>
      <c r="C44" s="73"/>
      <c r="D44" s="8"/>
      <c r="E44" s="21">
        <v>5</v>
      </c>
      <c r="F44" s="21"/>
      <c r="G44" s="21">
        <v>1100</v>
      </c>
      <c r="H44" s="22">
        <f t="shared" si="11"/>
        <v>1105</v>
      </c>
      <c r="I44" s="22">
        <v>12</v>
      </c>
      <c r="J44" s="73"/>
      <c r="K44" s="8"/>
      <c r="L44" s="21"/>
      <c r="M44" s="21"/>
      <c r="N44" s="21"/>
      <c r="O44" s="22"/>
      <c r="P44" s="28"/>
      <c r="Q44" s="22"/>
      <c r="R44" s="22"/>
      <c r="S44" s="8"/>
      <c r="T44" s="21">
        <v>8</v>
      </c>
      <c r="U44" s="21">
        <v>94</v>
      </c>
      <c r="V44" s="21">
        <v>2200</v>
      </c>
      <c r="W44" s="22">
        <f t="shared" si="3"/>
        <v>2302</v>
      </c>
      <c r="X44" s="28"/>
      <c r="Y44" s="22">
        <v>14</v>
      </c>
      <c r="Z44" s="9">
        <v>2302</v>
      </c>
      <c r="AA44" s="21"/>
      <c r="AB44" s="21"/>
      <c r="AC44" s="21"/>
      <c r="AD44" s="21"/>
      <c r="AE44" s="22"/>
      <c r="AF44" s="22"/>
      <c r="AG44" s="89"/>
      <c r="AH44" s="22">
        <v>2302</v>
      </c>
      <c r="AI44" s="21"/>
      <c r="AJ44" s="21"/>
      <c r="AK44" s="21">
        <v>15</v>
      </c>
      <c r="AL44" s="21"/>
      <c r="AM44" s="21">
        <v>2800</v>
      </c>
      <c r="AN44" s="22">
        <f t="shared" si="7"/>
        <v>2815</v>
      </c>
      <c r="AO44" s="27">
        <f t="shared" si="8"/>
        <v>0.222849695916594</v>
      </c>
      <c r="AP44" s="22">
        <v>15</v>
      </c>
    </row>
    <row r="45" ht="15.75" spans="1:42">
      <c r="A45" s="1" t="s">
        <v>271</v>
      </c>
      <c r="B45" s="20" t="s">
        <v>272</v>
      </c>
      <c r="C45" s="73"/>
      <c r="D45" s="8"/>
      <c r="E45" s="21">
        <v>17</v>
      </c>
      <c r="F45" s="21"/>
      <c r="G45" s="21">
        <v>3500</v>
      </c>
      <c r="H45" s="22">
        <f t="shared" si="11"/>
        <v>3517</v>
      </c>
      <c r="I45" s="22">
        <v>7</v>
      </c>
      <c r="J45" s="73"/>
      <c r="K45" s="8"/>
      <c r="L45" s="21">
        <v>22</v>
      </c>
      <c r="M45" s="21"/>
      <c r="N45" s="21">
        <v>4600</v>
      </c>
      <c r="O45" s="22">
        <f>N45+M45+L45+K45</f>
        <v>4622</v>
      </c>
      <c r="P45" s="27">
        <f>(O45-H45)/H45</f>
        <v>0.314188228603924</v>
      </c>
      <c r="Q45" s="22">
        <v>6</v>
      </c>
      <c r="R45" s="87">
        <v>4622</v>
      </c>
      <c r="S45" s="8"/>
      <c r="T45" s="21">
        <v>28</v>
      </c>
      <c r="U45" s="21"/>
      <c r="V45" s="21">
        <v>2133</v>
      </c>
      <c r="W45" s="22">
        <f t="shared" si="3"/>
        <v>2161</v>
      </c>
      <c r="X45" s="28">
        <f>(W45-R45)/R45</f>
        <v>-0.532453483340545</v>
      </c>
      <c r="Y45" s="22">
        <v>16</v>
      </c>
      <c r="Z45" s="9">
        <v>4622</v>
      </c>
      <c r="AA45" s="21"/>
      <c r="AB45" s="21">
        <v>25</v>
      </c>
      <c r="AC45" s="21">
        <v>106</v>
      </c>
      <c r="AD45" s="21">
        <v>486</v>
      </c>
      <c r="AE45" s="22">
        <f>AD45+AC45+AB45+AA45</f>
        <v>617</v>
      </c>
      <c r="AF45" s="28">
        <f>(AE45-Z45)/Z45</f>
        <v>-0.866508005192557</v>
      </c>
      <c r="AG45" s="22">
        <v>16</v>
      </c>
      <c r="AH45" s="22">
        <v>4622</v>
      </c>
      <c r="AI45" s="21"/>
      <c r="AJ45" s="21"/>
      <c r="AK45" s="21">
        <v>12</v>
      </c>
      <c r="AL45" s="21">
        <v>114</v>
      </c>
      <c r="AM45" s="21">
        <v>2456</v>
      </c>
      <c r="AN45" s="22">
        <f t="shared" si="7"/>
        <v>2582</v>
      </c>
      <c r="AO45" s="28">
        <f t="shared" si="8"/>
        <v>-0.441367373431415</v>
      </c>
      <c r="AP45" s="22">
        <v>16</v>
      </c>
    </row>
    <row r="46" ht="15.75" spans="1:42">
      <c r="A46" s="1" t="s">
        <v>273</v>
      </c>
      <c r="B46" s="20" t="s">
        <v>274</v>
      </c>
      <c r="C46" s="73">
        <v>2</v>
      </c>
      <c r="D46" s="8">
        <v>689</v>
      </c>
      <c r="E46" s="21"/>
      <c r="F46" s="21"/>
      <c r="G46" s="21"/>
      <c r="H46" s="22">
        <f t="shared" si="11"/>
        <v>689</v>
      </c>
      <c r="I46" s="22">
        <v>15</v>
      </c>
      <c r="J46" s="73"/>
      <c r="K46" s="8"/>
      <c r="L46" s="21"/>
      <c r="M46" s="21"/>
      <c r="N46" s="21"/>
      <c r="O46" s="22"/>
      <c r="P46" s="75"/>
      <c r="Q46" s="22"/>
      <c r="R46" s="22"/>
      <c r="S46" s="8"/>
      <c r="T46" s="21">
        <v>13</v>
      </c>
      <c r="U46" s="21"/>
      <c r="V46" s="21">
        <v>1300</v>
      </c>
      <c r="W46" s="22">
        <f t="shared" si="3"/>
        <v>1313</v>
      </c>
      <c r="X46" s="75"/>
      <c r="Y46" s="22">
        <v>18</v>
      </c>
      <c r="Z46" s="9">
        <v>1313</v>
      </c>
      <c r="AA46" s="21"/>
      <c r="AB46" s="21"/>
      <c r="AC46" s="21"/>
      <c r="AD46" s="21"/>
      <c r="AE46" s="22"/>
      <c r="AF46" s="22"/>
      <c r="AG46" s="89"/>
      <c r="AH46" s="22">
        <v>1313</v>
      </c>
      <c r="AI46" s="21">
        <v>1</v>
      </c>
      <c r="AJ46" s="21">
        <v>1</v>
      </c>
      <c r="AK46" s="21"/>
      <c r="AL46" s="21"/>
      <c r="AM46" s="21">
        <v>693</v>
      </c>
      <c r="AN46" s="22">
        <f t="shared" si="7"/>
        <v>694</v>
      </c>
      <c r="AO46" s="28">
        <f t="shared" si="8"/>
        <v>-0.471439451637471</v>
      </c>
      <c r="AP46" s="22">
        <v>17</v>
      </c>
    </row>
    <row r="47" ht="15.75" spans="1:42">
      <c r="A47" s="1" t="s">
        <v>275</v>
      </c>
      <c r="B47" s="20" t="s">
        <v>276</v>
      </c>
      <c r="C47" s="73"/>
      <c r="D47" s="8"/>
      <c r="E47" s="21">
        <v>11</v>
      </c>
      <c r="F47" s="21"/>
      <c r="G47" s="21">
        <v>450</v>
      </c>
      <c r="H47" s="22">
        <f t="shared" si="11"/>
        <v>461</v>
      </c>
      <c r="I47" s="22">
        <v>17</v>
      </c>
      <c r="J47" s="73"/>
      <c r="K47" s="8"/>
      <c r="L47" s="21">
        <v>41</v>
      </c>
      <c r="M47" s="21">
        <v>107</v>
      </c>
      <c r="N47" s="21">
        <v>1935</v>
      </c>
      <c r="O47" s="22">
        <f>N47+M47+L47+K47</f>
        <v>2083</v>
      </c>
      <c r="P47" s="27">
        <f>(O47-H47)/H47</f>
        <v>3.51843817787419</v>
      </c>
      <c r="Q47" s="22">
        <v>10</v>
      </c>
      <c r="R47" s="87">
        <v>2083</v>
      </c>
      <c r="S47" s="8">
        <v>455</v>
      </c>
      <c r="T47" s="21">
        <v>56</v>
      </c>
      <c r="U47" s="21">
        <v>313</v>
      </c>
      <c r="V47" s="21">
        <v>9168</v>
      </c>
      <c r="W47" s="22">
        <f t="shared" si="3"/>
        <v>9992</v>
      </c>
      <c r="X47" s="27">
        <f>(W47-R47)/R47</f>
        <v>3.79692750840134</v>
      </c>
      <c r="Y47" s="22">
        <v>6</v>
      </c>
      <c r="Z47" s="9">
        <v>9992</v>
      </c>
      <c r="AA47" s="21"/>
      <c r="AB47" s="21">
        <v>24</v>
      </c>
      <c r="AC47" s="21"/>
      <c r="AD47" s="21">
        <v>2536</v>
      </c>
      <c r="AE47" s="22">
        <f>AD47+AC47+AB47+AA47</f>
        <v>2560</v>
      </c>
      <c r="AF47" s="28">
        <f>(AE47-Z47)/Z47</f>
        <v>-0.743795036028823</v>
      </c>
      <c r="AG47" s="22">
        <v>13</v>
      </c>
      <c r="AH47" s="22">
        <v>9992</v>
      </c>
      <c r="AI47" s="21"/>
      <c r="AJ47" s="21"/>
      <c r="AK47" s="21"/>
      <c r="AL47" s="21"/>
      <c r="AM47" s="21"/>
      <c r="AN47" s="22"/>
      <c r="AO47" s="22"/>
      <c r="AP47" s="22"/>
    </row>
    <row r="48" ht="15.75" spans="1:42">
      <c r="A48" s="1" t="s">
        <v>277</v>
      </c>
      <c r="B48" s="20" t="s">
        <v>278</v>
      </c>
      <c r="C48" s="73"/>
      <c r="D48" s="8"/>
      <c r="E48" s="21">
        <v>12</v>
      </c>
      <c r="F48" s="21"/>
      <c r="G48" s="21">
        <v>529</v>
      </c>
      <c r="H48" s="22">
        <f t="shared" si="11"/>
        <v>541</v>
      </c>
      <c r="I48" s="22">
        <v>16</v>
      </c>
      <c r="J48" s="73"/>
      <c r="K48" s="8"/>
      <c r="L48" s="21">
        <v>13</v>
      </c>
      <c r="M48" s="21"/>
      <c r="N48" s="21">
        <v>6994</v>
      </c>
      <c r="O48" s="22">
        <f>N48+M48+L48+K48</f>
        <v>7007</v>
      </c>
      <c r="P48" s="27">
        <f>(O48-H48)/H48</f>
        <v>11.9519408502773</v>
      </c>
      <c r="Q48" s="22">
        <v>3</v>
      </c>
      <c r="R48" s="87">
        <v>7007</v>
      </c>
      <c r="S48" s="8">
        <v>5</v>
      </c>
      <c r="T48" s="21">
        <v>72</v>
      </c>
      <c r="U48" s="21">
        <v>168</v>
      </c>
      <c r="V48" s="21">
        <v>11055</v>
      </c>
      <c r="W48" s="22">
        <f t="shared" si="3"/>
        <v>11300</v>
      </c>
      <c r="X48" s="27">
        <f>(W48-R48)/R48</f>
        <v>0.61267304124447</v>
      </c>
      <c r="Y48" s="87">
        <v>5</v>
      </c>
      <c r="Z48" s="9">
        <v>11300</v>
      </c>
      <c r="AA48" s="21">
        <v>561</v>
      </c>
      <c r="AB48" s="21">
        <v>80</v>
      </c>
      <c r="AC48" s="21"/>
      <c r="AD48" s="21">
        <v>334</v>
      </c>
      <c r="AE48" s="22">
        <f>AD48+AC48+AB48+AA48</f>
        <v>975</v>
      </c>
      <c r="AF48" s="28">
        <f>(AE48-Z48)/Z48</f>
        <v>-0.913716814159292</v>
      </c>
      <c r="AG48" s="22">
        <v>14</v>
      </c>
      <c r="AH48" s="22">
        <v>11300</v>
      </c>
      <c r="AI48" s="21"/>
      <c r="AJ48" s="21"/>
      <c r="AK48" s="21"/>
      <c r="AL48" s="21"/>
      <c r="AM48" s="21"/>
      <c r="AN48" s="22"/>
      <c r="AO48" s="22"/>
      <c r="AP48" s="22"/>
    </row>
    <row r="49" ht="15.75" spans="1:42">
      <c r="A49" s="1" t="s">
        <v>279</v>
      </c>
      <c r="B49" s="20" t="s">
        <v>280</v>
      </c>
      <c r="C49" s="73"/>
      <c r="D49" s="8"/>
      <c r="E49" s="21">
        <v>17</v>
      </c>
      <c r="F49" s="21"/>
      <c r="G49" s="21">
        <v>4100</v>
      </c>
      <c r="H49" s="22">
        <f t="shared" si="11"/>
        <v>4117</v>
      </c>
      <c r="I49" s="22">
        <v>4</v>
      </c>
      <c r="J49" s="73"/>
      <c r="K49" s="8"/>
      <c r="L49" s="21">
        <v>18</v>
      </c>
      <c r="M49" s="21"/>
      <c r="N49" s="21">
        <v>1400</v>
      </c>
      <c r="O49" s="22">
        <f>N49+M49+L49+K49</f>
        <v>1418</v>
      </c>
      <c r="P49" s="28">
        <f>(O49-H49)/H49</f>
        <v>-0.655574447413165</v>
      </c>
      <c r="Q49" s="22">
        <v>14</v>
      </c>
      <c r="R49" s="87">
        <v>4117</v>
      </c>
      <c r="S49" s="8"/>
      <c r="T49" s="21">
        <v>6</v>
      </c>
      <c r="U49" s="21"/>
      <c r="V49" s="21">
        <v>2229</v>
      </c>
      <c r="W49" s="22">
        <f t="shared" si="3"/>
        <v>2235</v>
      </c>
      <c r="X49" s="28">
        <f>(W49-R49)/R49</f>
        <v>-0.457128977410736</v>
      </c>
      <c r="Y49" s="87">
        <v>15</v>
      </c>
      <c r="Z49" s="9">
        <v>4117</v>
      </c>
      <c r="AA49" s="21"/>
      <c r="AB49" s="21"/>
      <c r="AC49" s="21"/>
      <c r="AD49" s="21"/>
      <c r="AE49" s="22"/>
      <c r="AF49" s="22"/>
      <c r="AG49" s="89"/>
      <c r="AH49" s="22">
        <v>4117</v>
      </c>
      <c r="AI49" s="21"/>
      <c r="AJ49" s="21"/>
      <c r="AK49" s="21"/>
      <c r="AL49" s="21"/>
      <c r="AM49" s="21"/>
      <c r="AN49" s="22"/>
      <c r="AO49" s="22"/>
      <c r="AP49" s="22"/>
    </row>
    <row r="50" ht="15.75" spans="1:42">
      <c r="A50" s="1" t="s">
        <v>281</v>
      </c>
      <c r="B50" s="20" t="s">
        <v>282</v>
      </c>
      <c r="C50" s="73"/>
      <c r="D50" s="8"/>
      <c r="E50" s="21"/>
      <c r="F50" s="21"/>
      <c r="G50" s="21"/>
      <c r="H50" s="22"/>
      <c r="I50" s="22"/>
      <c r="J50" s="73"/>
      <c r="K50" s="8"/>
      <c r="L50" s="21"/>
      <c r="M50" s="21"/>
      <c r="N50" s="21"/>
      <c r="O50" s="22"/>
      <c r="P50" s="75"/>
      <c r="Q50" s="22"/>
      <c r="R50" s="87"/>
      <c r="S50" s="8"/>
      <c r="T50" s="21"/>
      <c r="U50" s="21"/>
      <c r="V50" s="21"/>
      <c r="W50" s="22"/>
      <c r="X50" s="22"/>
      <c r="Y50" s="87"/>
      <c r="Z50" s="8"/>
      <c r="AA50" s="21"/>
      <c r="AB50" s="21"/>
      <c r="AC50" s="21"/>
      <c r="AD50" s="21"/>
      <c r="AE50" s="22"/>
      <c r="AF50" s="22"/>
      <c r="AG50" s="89"/>
      <c r="AH50" s="22"/>
      <c r="AI50" s="21"/>
      <c r="AJ50" s="21"/>
      <c r="AK50" s="21"/>
      <c r="AL50" s="21"/>
      <c r="AM50" s="21"/>
      <c r="AN50" s="22"/>
      <c r="AO50" s="22"/>
      <c r="AP50" s="22"/>
    </row>
    <row r="51" ht="15.75" spans="1:42">
      <c r="A51" s="1" t="s">
        <v>283</v>
      </c>
      <c r="B51" s="20" t="s">
        <v>284</v>
      </c>
      <c r="C51" s="73"/>
      <c r="D51" s="8"/>
      <c r="E51" s="21"/>
      <c r="F51" s="21"/>
      <c r="G51" s="21"/>
      <c r="H51" s="22"/>
      <c r="I51" s="22"/>
      <c r="J51" s="73"/>
      <c r="K51" s="8"/>
      <c r="L51" s="21"/>
      <c r="M51" s="21"/>
      <c r="N51" s="21"/>
      <c r="O51" s="22"/>
      <c r="P51" s="75"/>
      <c r="Q51" s="22"/>
      <c r="R51" s="87"/>
      <c r="S51" s="8"/>
      <c r="T51" s="21"/>
      <c r="U51" s="21"/>
      <c r="V51" s="21"/>
      <c r="W51" s="22"/>
      <c r="X51" s="22"/>
      <c r="Y51" s="22"/>
      <c r="Z51" s="8"/>
      <c r="AA51" s="21"/>
      <c r="AB51" s="21"/>
      <c r="AC51" s="21"/>
      <c r="AD51" s="21"/>
      <c r="AE51" s="22"/>
      <c r="AF51" s="22"/>
      <c r="AG51" s="89"/>
      <c r="AH51" s="22"/>
      <c r="AI51" s="21"/>
      <c r="AJ51" s="21"/>
      <c r="AK51" s="21"/>
      <c r="AL51" s="21"/>
      <c r="AM51" s="21"/>
      <c r="AN51" s="22"/>
      <c r="AO51" s="22"/>
      <c r="AP51" s="22"/>
    </row>
    <row r="52" spans="10:16">
      <c r="J52" s="76"/>
      <c r="K52" s="76"/>
      <c r="L52" s="76"/>
      <c r="M52" s="76"/>
      <c r="N52" s="76"/>
      <c r="O52" s="76"/>
      <c r="P52" s="76"/>
    </row>
    <row r="53" spans="10:16">
      <c r="J53" s="76"/>
      <c r="K53" s="76"/>
      <c r="L53" s="76"/>
      <c r="M53" s="76"/>
      <c r="N53" s="76"/>
      <c r="O53" s="76"/>
      <c r="P53" s="76"/>
    </row>
  </sheetData>
  <sortState ref="B3:W25">
    <sortCondition ref="T3:T25" descending="1"/>
  </sortState>
  <mergeCells count="2">
    <mergeCell ref="B1:W1"/>
    <mergeCell ref="B27:AP2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view="pageBreakPreview" zoomScale="60" zoomScaleNormal="55" workbookViewId="0">
      <pane ySplit="2" topLeftCell="A4" activePane="bottomLeft" state="frozen"/>
      <selection/>
      <selection pane="bottomLeft" activeCell="O17" sqref="O17"/>
    </sheetView>
  </sheetViews>
  <sheetFormatPr defaultColWidth="9.14285714285714" defaultRowHeight="32.25" customHeight="1"/>
  <cols>
    <col min="1" max="1" width="26.7142857142857" style="30" customWidth="1"/>
    <col min="2" max="2" width="17.4285714285714" style="30" customWidth="1"/>
    <col min="3" max="3" width="16.8571428571429" style="30" customWidth="1"/>
    <col min="4" max="4" width="12.7142857142857" style="30" customWidth="1"/>
    <col min="5" max="5" width="17.4285714285714" style="30" customWidth="1"/>
    <col min="6" max="6" width="16.8571428571429" style="30" customWidth="1"/>
    <col min="7" max="7" width="8.71428571428571" style="30" customWidth="1"/>
    <col min="8" max="8" width="12.7142857142857" style="30" customWidth="1"/>
    <col min="9" max="10" width="17.5714285714286" style="30" customWidth="1"/>
    <col min="11" max="11" width="14.5714285714286" style="30" customWidth="1"/>
    <col min="12" max="12" width="19.1428571428571" style="30" customWidth="1"/>
    <col min="13" max="13" width="18.4285714285714" style="30" customWidth="1"/>
    <col min="14" max="14" width="17.1428571428571" style="30" customWidth="1"/>
    <col min="15" max="15" width="14.1428571428571" style="30" customWidth="1"/>
    <col min="16" max="17" width="17.1428571428571" style="30" customWidth="1"/>
    <col min="18" max="18" width="24" style="30" customWidth="1"/>
    <col min="19" max="16384" width="9.14285714285714" style="30"/>
  </cols>
  <sheetData>
    <row r="1" customHeight="1" spans="1:17">
      <c r="A1" s="31" t="s">
        <v>206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ht="66.75" customHeight="1" spans="1:17">
      <c r="A2" s="32"/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3</v>
      </c>
      <c r="H2" s="33" t="s">
        <v>6</v>
      </c>
      <c r="I2" s="63" t="s">
        <v>7</v>
      </c>
      <c r="J2" s="63" t="s">
        <v>8</v>
      </c>
      <c r="K2" s="63" t="s">
        <v>9</v>
      </c>
      <c r="L2" s="63" t="s">
        <v>10</v>
      </c>
      <c r="M2" s="63" t="s">
        <v>11</v>
      </c>
      <c r="N2" s="63" t="s">
        <v>9</v>
      </c>
      <c r="O2" s="63" t="s">
        <v>6</v>
      </c>
      <c r="P2" s="63" t="s">
        <v>12</v>
      </c>
      <c r="Q2" s="63" t="s">
        <v>13</v>
      </c>
    </row>
    <row r="3" s="29" customFormat="1" customHeight="1" spans="1:17">
      <c r="A3" s="34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="29" customFormat="1" customHeight="1" spans="1:17">
      <c r="A4" s="36" t="s">
        <v>285</v>
      </c>
      <c r="B4" s="37">
        <v>34</v>
      </c>
      <c r="C4" s="37">
        <v>30</v>
      </c>
      <c r="D4" s="38">
        <f>C4+B4</f>
        <v>64</v>
      </c>
      <c r="E4" s="37">
        <v>31</v>
      </c>
      <c r="F4" s="37">
        <v>31</v>
      </c>
      <c r="G4" s="38">
        <f>F4+E4</f>
        <v>62</v>
      </c>
      <c r="H4" s="39">
        <v>0</v>
      </c>
      <c r="I4" s="37">
        <v>7700</v>
      </c>
      <c r="J4" s="37">
        <v>15900</v>
      </c>
      <c r="K4" s="38">
        <f>J4+I4</f>
        <v>23600</v>
      </c>
      <c r="L4" s="37">
        <v>61800</v>
      </c>
      <c r="M4" s="37">
        <v>12600</v>
      </c>
      <c r="N4" s="38">
        <f>M4+L4</f>
        <v>74400</v>
      </c>
      <c r="O4" s="39">
        <f>(N4-K4)/K4</f>
        <v>2.15254237288136</v>
      </c>
      <c r="P4" s="64">
        <f>19+10</f>
        <v>29</v>
      </c>
      <c r="Q4" s="64"/>
    </row>
    <row r="5" s="29" customFormat="1" customHeight="1" spans="1:17">
      <c r="A5" s="40" t="s">
        <v>286</v>
      </c>
      <c r="B5" s="37">
        <v>0</v>
      </c>
      <c r="C5" s="37">
        <v>9</v>
      </c>
      <c r="D5" s="38">
        <f>C5+B5</f>
        <v>9</v>
      </c>
      <c r="E5" s="37">
        <v>5</v>
      </c>
      <c r="F5" s="37">
        <v>11</v>
      </c>
      <c r="G5" s="38">
        <f t="shared" ref="G5:G6" si="0">F5+E5</f>
        <v>16</v>
      </c>
      <c r="H5" s="39">
        <f>(G5-D5)/D5</f>
        <v>0.777777777777778</v>
      </c>
      <c r="I5" s="37">
        <v>34</v>
      </c>
      <c r="J5" s="37">
        <v>709</v>
      </c>
      <c r="K5" s="38">
        <f>J5+I5</f>
        <v>743</v>
      </c>
      <c r="L5" s="37">
        <v>264</v>
      </c>
      <c r="M5" s="37">
        <v>178</v>
      </c>
      <c r="N5" s="38">
        <f t="shared" ref="N5:N6" si="1">M5+L5</f>
        <v>442</v>
      </c>
      <c r="O5" s="65">
        <f>(N5-K5)/K5</f>
        <v>-0.405114401076716</v>
      </c>
      <c r="P5" s="64">
        <f>1+2</f>
        <v>3</v>
      </c>
      <c r="Q5" s="66"/>
    </row>
    <row r="6" s="29" customFormat="1" customHeight="1" spans="1:17">
      <c r="A6" s="40" t="s">
        <v>287</v>
      </c>
      <c r="B6" s="37">
        <v>72</v>
      </c>
      <c r="C6" s="37">
        <v>80</v>
      </c>
      <c r="D6" s="38">
        <f>C6+B6</f>
        <v>152</v>
      </c>
      <c r="E6" s="37">
        <v>72</v>
      </c>
      <c r="F6" s="37">
        <v>81</v>
      </c>
      <c r="G6" s="38">
        <f t="shared" si="0"/>
        <v>153</v>
      </c>
      <c r="H6" s="39">
        <f>(G6-D6)/D6</f>
        <v>0.00657894736842105</v>
      </c>
      <c r="I6" s="37">
        <v>3400</v>
      </c>
      <c r="J6" s="37">
        <v>3600</v>
      </c>
      <c r="K6" s="38">
        <f>J6+I6</f>
        <v>7000</v>
      </c>
      <c r="L6" s="37">
        <v>2300</v>
      </c>
      <c r="M6" s="37">
        <v>2700</v>
      </c>
      <c r="N6" s="38">
        <f t="shared" si="1"/>
        <v>5000</v>
      </c>
      <c r="O6" s="65">
        <f>(N6-K6)/K6</f>
        <v>-0.285714285714286</v>
      </c>
      <c r="P6" s="66">
        <f>-1+0</f>
        <v>-1</v>
      </c>
      <c r="Q6" s="64"/>
    </row>
    <row r="7" s="29" customFormat="1" customHeight="1" spans="1:17">
      <c r="A7" s="41" t="s">
        <v>19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="29" customFormat="1" customHeight="1" spans="1:17">
      <c r="A8" s="43" t="s">
        <v>288</v>
      </c>
      <c r="B8" s="37">
        <v>34</v>
      </c>
      <c r="C8" s="37">
        <v>30</v>
      </c>
      <c r="D8" s="38">
        <f>C8+B8</f>
        <v>64</v>
      </c>
      <c r="E8" s="37">
        <v>31</v>
      </c>
      <c r="F8" s="37">
        <v>31</v>
      </c>
      <c r="G8" s="38">
        <f t="shared" ref="G8:G10" si="2">F8+E8</f>
        <v>62</v>
      </c>
      <c r="H8" s="39">
        <v>0</v>
      </c>
      <c r="I8" s="37">
        <v>33390</v>
      </c>
      <c r="J8" s="37">
        <v>87885</v>
      </c>
      <c r="K8" s="38">
        <f>J8+I8</f>
        <v>121275</v>
      </c>
      <c r="L8" s="37">
        <v>97644</v>
      </c>
      <c r="M8" s="37">
        <v>67692</v>
      </c>
      <c r="N8" s="38">
        <f t="shared" ref="N8:N10" si="3">M8+L8</f>
        <v>165336</v>
      </c>
      <c r="O8" s="39">
        <f>(N8-K8)/K8</f>
        <v>0.363314780457638</v>
      </c>
      <c r="P8" s="64">
        <f>5014+2110</f>
        <v>7124</v>
      </c>
      <c r="Q8" s="64"/>
    </row>
    <row r="9" s="29" customFormat="1" customHeight="1" spans="1:17">
      <c r="A9" s="44" t="s">
        <v>286</v>
      </c>
      <c r="B9" s="37">
        <v>4</v>
      </c>
      <c r="C9" s="37">
        <v>7</v>
      </c>
      <c r="D9" s="38">
        <f>C9+B9</f>
        <v>11</v>
      </c>
      <c r="E9" s="37">
        <v>8</v>
      </c>
      <c r="F9" s="37">
        <v>12</v>
      </c>
      <c r="G9" s="38">
        <f t="shared" si="2"/>
        <v>20</v>
      </c>
      <c r="H9" s="39">
        <f>(G9-D9)/D9</f>
        <v>0.818181818181818</v>
      </c>
      <c r="I9" s="37">
        <v>2095</v>
      </c>
      <c r="J9" s="37">
        <v>4741</v>
      </c>
      <c r="K9" s="38">
        <f>J9+I9</f>
        <v>6836</v>
      </c>
      <c r="L9" s="37">
        <v>35301</v>
      </c>
      <c r="M9" s="37">
        <v>61135</v>
      </c>
      <c r="N9" s="38">
        <f t="shared" si="3"/>
        <v>96436</v>
      </c>
      <c r="O9" s="39">
        <f>(N9-K9)/K9</f>
        <v>13.1070801638385</v>
      </c>
      <c r="P9" s="64">
        <f>292</f>
        <v>292</v>
      </c>
      <c r="Q9" s="64"/>
    </row>
    <row r="10" s="29" customFormat="1" customHeight="1" spans="1:17">
      <c r="A10" s="45" t="s">
        <v>287</v>
      </c>
      <c r="B10" s="37">
        <v>69</v>
      </c>
      <c r="C10" s="37">
        <v>70</v>
      </c>
      <c r="D10" s="38">
        <f>C10+B10</f>
        <v>139</v>
      </c>
      <c r="E10" s="37">
        <v>70</v>
      </c>
      <c r="F10" s="37">
        <v>79</v>
      </c>
      <c r="G10" s="38">
        <f t="shared" si="2"/>
        <v>149</v>
      </c>
      <c r="H10" s="39">
        <f>(G10-D10)/D10</f>
        <v>0.0719424460431655</v>
      </c>
      <c r="I10" s="37">
        <v>71238</v>
      </c>
      <c r="J10" s="37">
        <v>85483</v>
      </c>
      <c r="K10" s="38">
        <f>J10+I10</f>
        <v>156721</v>
      </c>
      <c r="L10" s="37">
        <v>73809</v>
      </c>
      <c r="M10" s="37">
        <v>76861</v>
      </c>
      <c r="N10" s="38">
        <f t="shared" si="3"/>
        <v>150670</v>
      </c>
      <c r="O10" s="39">
        <v>0</v>
      </c>
      <c r="P10" s="64">
        <f>242+123</f>
        <v>365</v>
      </c>
      <c r="Q10" s="64"/>
    </row>
    <row r="11" s="29" customFormat="1" customHeight="1" spans="1:17">
      <c r="A11" s="46" t="s">
        <v>22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="29" customFormat="1" customHeight="1" spans="1:17">
      <c r="A12" s="38" t="s">
        <v>285</v>
      </c>
      <c r="B12" s="37">
        <v>3</v>
      </c>
      <c r="C12" s="37">
        <v>3</v>
      </c>
      <c r="D12" s="38">
        <f>C12+B12</f>
        <v>6</v>
      </c>
      <c r="E12" s="37">
        <v>3</v>
      </c>
      <c r="F12" s="37">
        <v>3</v>
      </c>
      <c r="G12" s="38">
        <f t="shared" ref="G12:G14" si="4">F12+E12</f>
        <v>6</v>
      </c>
      <c r="H12" s="39">
        <f>(G12-D12)/D12</f>
        <v>0</v>
      </c>
      <c r="I12" s="37">
        <v>9350</v>
      </c>
      <c r="J12" s="37">
        <v>36000</v>
      </c>
      <c r="K12" s="38">
        <f>J12+I12</f>
        <v>45350</v>
      </c>
      <c r="L12" s="37">
        <v>9191</v>
      </c>
      <c r="M12" s="37">
        <v>9074</v>
      </c>
      <c r="N12" s="38">
        <f t="shared" ref="N12:N14" si="5">M12+L12</f>
        <v>18265</v>
      </c>
      <c r="O12" s="65">
        <f>(N12-K12)/K12</f>
        <v>-0.597243660418964</v>
      </c>
      <c r="P12" s="64">
        <f>30</f>
        <v>30</v>
      </c>
      <c r="Q12" s="37"/>
    </row>
    <row r="13" s="29" customFormat="1" customHeight="1" spans="1:17">
      <c r="A13" s="38" t="s">
        <v>289</v>
      </c>
      <c r="B13" s="37">
        <v>3</v>
      </c>
      <c r="C13" s="37">
        <v>3</v>
      </c>
      <c r="D13" s="38">
        <f>C13+B13</f>
        <v>6</v>
      </c>
      <c r="E13" s="37">
        <v>3</v>
      </c>
      <c r="F13" s="37">
        <v>3</v>
      </c>
      <c r="G13" s="38">
        <f t="shared" si="4"/>
        <v>6</v>
      </c>
      <c r="H13" s="39">
        <f>(G13-D13)/D13</f>
        <v>0</v>
      </c>
      <c r="I13" s="37">
        <v>85500</v>
      </c>
      <c r="J13" s="37">
        <v>85500</v>
      </c>
      <c r="K13" s="38">
        <f>J13+I13</f>
        <v>171000</v>
      </c>
      <c r="L13" s="37">
        <v>75000</v>
      </c>
      <c r="M13" s="37">
        <v>75000</v>
      </c>
      <c r="N13" s="38">
        <f t="shared" si="5"/>
        <v>150000</v>
      </c>
      <c r="O13" s="65">
        <f>(N13-K13)/K13</f>
        <v>-0.12280701754386</v>
      </c>
      <c r="P13" s="37"/>
      <c r="Q13" s="37"/>
    </row>
    <row r="14" s="29" customFormat="1" customHeight="1" spans="1:17">
      <c r="A14" s="38" t="s">
        <v>287</v>
      </c>
      <c r="B14" s="37">
        <v>13</v>
      </c>
      <c r="C14" s="37">
        <v>14</v>
      </c>
      <c r="D14" s="38">
        <f>C14+B14</f>
        <v>27</v>
      </c>
      <c r="E14" s="37">
        <v>12</v>
      </c>
      <c r="F14" s="37">
        <v>21</v>
      </c>
      <c r="G14" s="38">
        <f t="shared" si="4"/>
        <v>33</v>
      </c>
      <c r="H14" s="39" t="s">
        <v>26</v>
      </c>
      <c r="I14" s="37">
        <v>0</v>
      </c>
      <c r="J14" s="37">
        <v>0</v>
      </c>
      <c r="K14" s="38">
        <f>J14+I14</f>
        <v>0</v>
      </c>
      <c r="L14" s="37">
        <v>7500</v>
      </c>
      <c r="M14" s="37">
        <v>37000</v>
      </c>
      <c r="N14" s="38">
        <f t="shared" si="5"/>
        <v>44500</v>
      </c>
      <c r="O14" s="39" t="s">
        <v>26</v>
      </c>
      <c r="P14" s="64">
        <f>90+120</f>
        <v>210</v>
      </c>
      <c r="Q14" s="37"/>
    </row>
    <row r="15" s="29" customFormat="1" customHeight="1" spans="1:17">
      <c r="A15" s="48" t="s">
        <v>23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="29" customFormat="1" customHeight="1" spans="1:17">
      <c r="A16" s="38" t="s">
        <v>285</v>
      </c>
      <c r="B16" s="37">
        <v>34</v>
      </c>
      <c r="C16" s="37">
        <v>30</v>
      </c>
      <c r="D16" s="38">
        <f>C16+B16</f>
        <v>64</v>
      </c>
      <c r="E16" s="37">
        <v>31</v>
      </c>
      <c r="F16" s="37">
        <v>31</v>
      </c>
      <c r="G16" s="38">
        <f t="shared" ref="G16:G18" si="6">F16+E16</f>
        <v>62</v>
      </c>
      <c r="H16" s="39">
        <v>0</v>
      </c>
      <c r="I16" s="37">
        <v>1900</v>
      </c>
      <c r="J16" s="37">
        <v>1897</v>
      </c>
      <c r="K16" s="38">
        <f>J16+I16</f>
        <v>3797</v>
      </c>
      <c r="L16" s="37">
        <v>1400</v>
      </c>
      <c r="M16" s="37">
        <v>2340</v>
      </c>
      <c r="N16" s="38">
        <f>M16+L16</f>
        <v>3740</v>
      </c>
      <c r="O16" s="39">
        <v>0</v>
      </c>
      <c r="P16" s="64"/>
      <c r="Q16" s="64"/>
    </row>
    <row r="17" s="29" customFormat="1" customHeight="1" spans="1:17">
      <c r="A17" s="38" t="s">
        <v>289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64"/>
    </row>
    <row r="18" s="29" customFormat="1" customHeight="1" spans="1:17">
      <c r="A18" s="38" t="s">
        <v>287</v>
      </c>
      <c r="B18" s="37">
        <v>16</v>
      </c>
      <c r="C18" s="37">
        <v>15</v>
      </c>
      <c r="D18" s="38">
        <f>C18+B18</f>
        <v>31</v>
      </c>
      <c r="E18" s="37">
        <v>14</v>
      </c>
      <c r="F18" s="37">
        <v>21</v>
      </c>
      <c r="G18" s="38">
        <f t="shared" si="6"/>
        <v>35</v>
      </c>
      <c r="H18" s="39">
        <f>(G18-D18)/D18</f>
        <v>0.129032258064516</v>
      </c>
      <c r="I18" s="37">
        <v>2040</v>
      </c>
      <c r="J18" s="37">
        <v>1721</v>
      </c>
      <c r="K18" s="38">
        <f>J18+I18</f>
        <v>3761</v>
      </c>
      <c r="L18" s="37">
        <v>2120</v>
      </c>
      <c r="M18" s="37">
        <v>2400</v>
      </c>
      <c r="N18" s="38">
        <f>M18+L18</f>
        <v>4520</v>
      </c>
      <c r="O18" s="39">
        <f>(N18-K18)/K18</f>
        <v>0.201808029779314</v>
      </c>
      <c r="P18" s="64">
        <f>0</f>
        <v>0</v>
      </c>
      <c r="Q18" s="64"/>
    </row>
    <row r="19" s="29" customFormat="1" customHeight="1" spans="1:17">
      <c r="A19" s="50" t="s">
        <v>140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="29" customFormat="1" customHeight="1" spans="1:17">
      <c r="A20" s="52" t="s">
        <v>290</v>
      </c>
      <c r="B20" s="37">
        <v>24</v>
      </c>
      <c r="C20" s="37">
        <v>27</v>
      </c>
      <c r="D20" s="38">
        <f>C20+B20</f>
        <v>51</v>
      </c>
      <c r="E20" s="37">
        <v>25</v>
      </c>
      <c r="F20" s="37">
        <v>26</v>
      </c>
      <c r="G20" s="38">
        <f>F20+E20</f>
        <v>51</v>
      </c>
      <c r="H20" s="39">
        <v>0</v>
      </c>
      <c r="I20" s="37">
        <v>217</v>
      </c>
      <c r="J20" s="37">
        <v>149</v>
      </c>
      <c r="K20" s="38">
        <f>J20+I20</f>
        <v>366</v>
      </c>
      <c r="L20" s="37">
        <v>87</v>
      </c>
      <c r="M20" s="37">
        <v>110</v>
      </c>
      <c r="N20" s="38">
        <f>M20+L20</f>
        <v>197</v>
      </c>
      <c r="O20" s="65">
        <f>(N20-K20)/K20</f>
        <v>-0.461748633879781</v>
      </c>
      <c r="P20" s="38" t="s">
        <v>26</v>
      </c>
      <c r="Q20" s="38"/>
    </row>
    <row r="21" s="29" customFormat="1" customHeight="1" spans="1:17">
      <c r="A21" s="53" t="s">
        <v>30</v>
      </c>
      <c r="B21" s="54"/>
      <c r="C21" s="54"/>
      <c r="D21" s="54"/>
      <c r="E21" s="54"/>
      <c r="F21" s="54"/>
      <c r="G21" s="54"/>
      <c r="H21" s="55"/>
      <c r="I21" s="67" t="s">
        <v>291</v>
      </c>
      <c r="J21" s="67"/>
      <c r="K21" s="67" t="s">
        <v>9</v>
      </c>
      <c r="L21" s="67" t="s">
        <v>291</v>
      </c>
      <c r="M21" s="67"/>
      <c r="N21" s="67"/>
      <c r="O21" s="67" t="s">
        <v>9</v>
      </c>
      <c r="P21" s="67" t="s">
        <v>213</v>
      </c>
      <c r="Q21" s="67" t="s">
        <v>213</v>
      </c>
    </row>
    <row r="22" s="29" customFormat="1" customHeight="1" spans="1:17">
      <c r="A22" s="36" t="s">
        <v>285</v>
      </c>
      <c r="B22" s="37">
        <v>5</v>
      </c>
      <c r="C22" s="37">
        <v>5</v>
      </c>
      <c r="D22" s="38">
        <f>C22+B22</f>
        <v>10</v>
      </c>
      <c r="E22" s="37">
        <v>5</v>
      </c>
      <c r="F22" s="37">
        <v>5</v>
      </c>
      <c r="G22" s="38">
        <f t="shared" ref="G22:G24" si="7">F22+E22</f>
        <v>10</v>
      </c>
      <c r="H22" s="39">
        <f>(G22-D22)/D22</f>
        <v>0</v>
      </c>
      <c r="I22" s="37">
        <v>353.4</v>
      </c>
      <c r="J22" s="37">
        <v>325.2</v>
      </c>
      <c r="K22" s="38">
        <f>J22+I22</f>
        <v>678.6</v>
      </c>
      <c r="L22" s="37">
        <v>357</v>
      </c>
      <c r="M22" s="37">
        <v>460.7</v>
      </c>
      <c r="N22" s="38">
        <f t="shared" ref="N22:N24" si="8">M22+L22</f>
        <v>817.7</v>
      </c>
      <c r="O22" s="39">
        <f>(N22-K22)/K22</f>
        <v>0.204980842911878</v>
      </c>
      <c r="P22" s="64">
        <f>44+46</f>
        <v>90</v>
      </c>
      <c r="Q22" s="64"/>
    </row>
    <row r="23" s="29" customFormat="1" customHeight="1" spans="1:17">
      <c r="A23" s="36" t="s">
        <v>286</v>
      </c>
      <c r="B23" s="37">
        <v>2</v>
      </c>
      <c r="C23" s="37">
        <v>1</v>
      </c>
      <c r="D23" s="38">
        <f>C23+B23</f>
        <v>3</v>
      </c>
      <c r="E23" s="37">
        <v>3</v>
      </c>
      <c r="F23" s="37">
        <v>3</v>
      </c>
      <c r="G23" s="38">
        <f t="shared" si="7"/>
        <v>6</v>
      </c>
      <c r="H23" s="39">
        <f>(G23-D23)/D23</f>
        <v>1</v>
      </c>
      <c r="I23" s="37">
        <v>12.9</v>
      </c>
      <c r="J23" s="37">
        <v>10.2</v>
      </c>
      <c r="K23" s="38">
        <f>J23+I23</f>
        <v>23.1</v>
      </c>
      <c r="L23" s="37">
        <v>10.7</v>
      </c>
      <c r="M23" s="37">
        <v>7</v>
      </c>
      <c r="N23" s="38">
        <f t="shared" si="8"/>
        <v>17.7</v>
      </c>
      <c r="O23" s="65">
        <f>(N23-K23)/K23</f>
        <v>-0.233766233766234</v>
      </c>
      <c r="P23" s="66">
        <f>-12+4</f>
        <v>-8</v>
      </c>
      <c r="Q23" s="66"/>
    </row>
    <row r="24" s="29" customFormat="1" customHeight="1" spans="1:17">
      <c r="A24" s="56" t="s">
        <v>287</v>
      </c>
      <c r="B24" s="37">
        <v>2</v>
      </c>
      <c r="C24" s="37">
        <v>2</v>
      </c>
      <c r="D24" s="38">
        <f>C24+B24</f>
        <v>4</v>
      </c>
      <c r="E24" s="37">
        <v>2</v>
      </c>
      <c r="F24" s="37">
        <v>2</v>
      </c>
      <c r="G24" s="38">
        <f t="shared" si="7"/>
        <v>4</v>
      </c>
      <c r="H24" s="39">
        <f>(G24-D24)/D24</f>
        <v>0</v>
      </c>
      <c r="I24" s="37">
        <v>4.8</v>
      </c>
      <c r="J24" s="37">
        <v>3.1</v>
      </c>
      <c r="K24" s="38">
        <f>J24+I24</f>
        <v>7.9</v>
      </c>
      <c r="L24" s="37">
        <v>4.3</v>
      </c>
      <c r="M24" s="37">
        <v>2.4</v>
      </c>
      <c r="N24" s="38">
        <f t="shared" si="8"/>
        <v>6.7</v>
      </c>
      <c r="O24" s="65">
        <f>(N24-K24)/K24</f>
        <v>-0.151898734177215</v>
      </c>
      <c r="P24" s="66">
        <v>-1</v>
      </c>
      <c r="Q24" s="66"/>
    </row>
    <row r="25" customHeight="1" spans="4:17">
      <c r="D25" s="57"/>
      <c r="H25" s="58"/>
      <c r="I25" s="57"/>
      <c r="J25" s="57"/>
      <c r="K25" s="57"/>
      <c r="L25" s="57"/>
      <c r="M25" s="57"/>
      <c r="N25" s="57"/>
      <c r="O25" s="57"/>
      <c r="P25" s="57"/>
      <c r="Q25" s="57"/>
    </row>
    <row r="27" customHeight="1" spans="1:14">
      <c r="A27" s="59" t="s">
        <v>292</v>
      </c>
      <c r="B27" s="59"/>
      <c r="C27" s="59"/>
      <c r="D27" s="59"/>
      <c r="E27" s="59"/>
      <c r="F27" s="59"/>
      <c r="I27" s="59" t="s">
        <v>293</v>
      </c>
      <c r="J27" s="59"/>
      <c r="K27" s="59"/>
      <c r="L27" s="59"/>
      <c r="M27" s="59"/>
      <c r="N27" s="59"/>
    </row>
    <row r="28" customHeight="1" spans="1:14">
      <c r="A28" s="60" t="s">
        <v>38</v>
      </c>
      <c r="B28" s="60" t="s">
        <v>294</v>
      </c>
      <c r="C28" s="60" t="s">
        <v>295</v>
      </c>
      <c r="D28" s="60" t="s">
        <v>296</v>
      </c>
      <c r="E28" s="60" t="s">
        <v>297</v>
      </c>
      <c r="F28" s="60" t="s">
        <v>298</v>
      </c>
      <c r="I28" s="60" t="s">
        <v>38</v>
      </c>
      <c r="J28" s="60" t="s">
        <v>294</v>
      </c>
      <c r="K28" s="60" t="s">
        <v>295</v>
      </c>
      <c r="L28" s="60" t="s">
        <v>296</v>
      </c>
      <c r="M28" s="60" t="s">
        <v>297</v>
      </c>
      <c r="N28" s="60" t="s">
        <v>298</v>
      </c>
    </row>
    <row r="29" customHeight="1" spans="1:14">
      <c r="A29" s="61" t="s">
        <v>285</v>
      </c>
      <c r="B29" s="62">
        <v>10</v>
      </c>
      <c r="C29" s="62">
        <v>8</v>
      </c>
      <c r="D29" s="62" t="s">
        <v>26</v>
      </c>
      <c r="E29" s="62">
        <v>8</v>
      </c>
      <c r="F29" s="62">
        <v>2</v>
      </c>
      <c r="I29" s="61" t="s">
        <v>285</v>
      </c>
      <c r="J29" s="62">
        <v>10</v>
      </c>
      <c r="K29" s="62">
        <v>9</v>
      </c>
      <c r="L29" s="62">
        <v>0</v>
      </c>
      <c r="M29" s="62">
        <v>9</v>
      </c>
      <c r="N29" s="62">
        <v>1</v>
      </c>
    </row>
  </sheetData>
  <mergeCells count="9">
    <mergeCell ref="A1:Q1"/>
    <mergeCell ref="A3:Q3"/>
    <mergeCell ref="A7:Q7"/>
    <mergeCell ref="A11:Q11"/>
    <mergeCell ref="A15:Q15"/>
    <mergeCell ref="A19:Q19"/>
    <mergeCell ref="A21:H21"/>
    <mergeCell ref="A27:F27"/>
    <mergeCell ref="I27:N27"/>
  </mergeCells>
  <pageMargins left="0.7" right="0.7" top="0.75" bottom="0.75" header="0.3" footer="0.3"/>
  <pageSetup paperSize="1" scale="32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1"/>
  <sheetViews>
    <sheetView zoomScale="73" zoomScaleNormal="73" topLeftCell="A5" workbookViewId="0">
      <pane xSplit="1" topLeftCell="B1" activePane="topRight" state="frozen"/>
      <selection/>
      <selection pane="topRight" activeCell="A22" sqref="A22:A31"/>
    </sheetView>
  </sheetViews>
  <sheetFormatPr defaultColWidth="9.14285714285714" defaultRowHeight="15"/>
  <cols>
    <col min="1" max="1" width="26" style="1" customWidth="1"/>
    <col min="2" max="2" width="13.5714285714286" style="1" customWidth="1"/>
    <col min="3" max="3" width="11.4285714285714" style="1" customWidth="1"/>
    <col min="4" max="4" width="16" style="1" customWidth="1"/>
    <col min="5" max="5" width="12.8571428571429" style="1" customWidth="1"/>
    <col min="6" max="6" width="14.8571428571429" style="1" customWidth="1"/>
    <col min="7" max="7" width="8" style="1" customWidth="1"/>
    <col min="8" max="8" width="10.1428571428571" style="1" customWidth="1"/>
    <col min="9" max="9" width="7.57142857142857" style="1" customWidth="1"/>
    <col min="10" max="10" width="11.4285714285714" style="1" customWidth="1"/>
    <col min="11" max="11" width="9.57142857142857" style="1" customWidth="1"/>
    <col min="12" max="12" width="8.71428571428571" style="1" customWidth="1"/>
    <col min="13" max="13" width="8" style="1" customWidth="1"/>
    <col min="14" max="14" width="9.28571428571429" style="1" customWidth="1"/>
    <col min="15" max="15" width="9.57142857142857" style="1" customWidth="1"/>
    <col min="16" max="16" width="8.71428571428571" style="1" customWidth="1"/>
    <col min="17" max="17" width="8" style="1" customWidth="1"/>
    <col min="18" max="18" width="9.57142857142857" style="1" customWidth="1"/>
    <col min="19" max="19" width="14.5714285714286" style="1" customWidth="1"/>
    <col min="20" max="21" width="8" style="1" customWidth="1"/>
    <col min="22" max="22" width="12.1428571428571" style="1" customWidth="1"/>
    <col min="23" max="23" width="8.71428571428571" style="1" customWidth="1"/>
    <col min="24" max="24" width="9.57142857142857" style="1" customWidth="1"/>
    <col min="25" max="25" width="8" style="1" customWidth="1"/>
    <col min="26" max="26" width="9.57142857142857" style="1" customWidth="1"/>
    <col min="27" max="27" width="8.71428571428571" style="1" customWidth="1"/>
    <col min="28" max="29" width="8" style="1" customWidth="1"/>
    <col min="30" max="30" width="9.14285714285714" style="1"/>
    <col min="31" max="31" width="8.71428571428571" style="1" customWidth="1"/>
    <col min="32" max="16384" width="9.14285714285714" style="1"/>
  </cols>
  <sheetData>
    <row r="1" ht="31.5" customHeight="1" spans="1:20">
      <c r="A1" s="2" t="s">
        <v>299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56.25" customHeight="1" spans="1:20">
      <c r="A2" s="4" t="s">
        <v>50</v>
      </c>
      <c r="B2" s="4" t="s">
        <v>149</v>
      </c>
      <c r="C2" s="4" t="s">
        <v>216</v>
      </c>
      <c r="D2" s="4" t="s">
        <v>300</v>
      </c>
      <c r="E2" s="4" t="s">
        <v>216</v>
      </c>
      <c r="F2" s="4" t="s">
        <v>150</v>
      </c>
      <c r="G2" s="4" t="s">
        <v>149</v>
      </c>
      <c r="H2" s="4" t="s">
        <v>55</v>
      </c>
      <c r="I2" s="4" t="s">
        <v>216</v>
      </c>
      <c r="J2" s="4" t="s">
        <v>217</v>
      </c>
      <c r="K2" s="4" t="s">
        <v>150</v>
      </c>
      <c r="L2" s="4" t="s">
        <v>55</v>
      </c>
      <c r="M2" s="4" t="s">
        <v>216</v>
      </c>
      <c r="N2" s="4" t="s">
        <v>217</v>
      </c>
      <c r="O2" s="4" t="s">
        <v>150</v>
      </c>
      <c r="P2" s="4" t="s">
        <v>55</v>
      </c>
      <c r="Q2" s="4" t="s">
        <v>51</v>
      </c>
      <c r="R2" s="4" t="s">
        <v>216</v>
      </c>
      <c r="S2" s="4" t="s">
        <v>217</v>
      </c>
      <c r="T2" s="4" t="s">
        <v>150</v>
      </c>
    </row>
    <row r="3" ht="15.75" spans="1:20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.75" spans="1:20">
      <c r="A4" s="6" t="s">
        <v>301</v>
      </c>
      <c r="B4" s="7"/>
      <c r="C4" s="8">
        <v>2100</v>
      </c>
      <c r="D4" s="9">
        <v>4</v>
      </c>
      <c r="E4" s="8">
        <f>6940+18420</f>
        <v>25360</v>
      </c>
      <c r="F4" s="10">
        <f>(E4-C4)/C4</f>
        <v>11.0761904761905</v>
      </c>
      <c r="G4" s="11">
        <v>1</v>
      </c>
      <c r="H4" s="8">
        <f>6940+18420</f>
        <v>25360</v>
      </c>
      <c r="I4" s="8">
        <f>2696+1316+1696+1182+1443+2024</f>
        <v>10357</v>
      </c>
      <c r="J4" s="14">
        <f>(I4-H4)/H4</f>
        <v>-0.59160094637224</v>
      </c>
      <c r="K4" s="9">
        <v>1</v>
      </c>
      <c r="L4" s="22">
        <v>25360</v>
      </c>
      <c r="M4" s="23">
        <f>821+876+3400+393+289</f>
        <v>5779</v>
      </c>
      <c r="N4" s="24">
        <f>(M4-L4)/L4</f>
        <v>-0.772121451104101</v>
      </c>
      <c r="O4" s="22">
        <v>1</v>
      </c>
      <c r="P4" s="22">
        <v>25360</v>
      </c>
      <c r="Q4" s="21">
        <v>6</v>
      </c>
      <c r="R4" s="22">
        <f>119+1000+996+3200+1300+2700</f>
        <v>9315</v>
      </c>
      <c r="S4" s="28">
        <f>(R4-P4)/P4</f>
        <v>-0.63268927444795</v>
      </c>
      <c r="T4" s="22">
        <v>1</v>
      </c>
    </row>
    <row r="5" ht="15.75" spans="1:20">
      <c r="A5" s="6" t="s">
        <v>302</v>
      </c>
      <c r="B5" s="7"/>
      <c r="C5" s="8"/>
      <c r="D5" s="8"/>
      <c r="E5" s="12">
        <f>1253</f>
        <v>1253</v>
      </c>
      <c r="F5" s="13"/>
      <c r="G5" s="7"/>
      <c r="H5" s="8">
        <f>1253</f>
        <v>1253</v>
      </c>
      <c r="I5" s="8">
        <f>2696</f>
        <v>2696</v>
      </c>
      <c r="J5" s="10">
        <f>(I5-H5)/H5</f>
        <v>1.15163607342378</v>
      </c>
      <c r="K5" s="9">
        <v>2</v>
      </c>
      <c r="L5" s="22">
        <v>2696</v>
      </c>
      <c r="M5" s="23">
        <v>2000</v>
      </c>
      <c r="N5" s="24">
        <f>(M5-L5)/L5</f>
        <v>-0.258160237388724</v>
      </c>
      <c r="O5" s="22">
        <v>4</v>
      </c>
      <c r="P5" s="22">
        <v>2696</v>
      </c>
      <c r="Q5" s="21">
        <v>3</v>
      </c>
      <c r="R5" s="22">
        <f>1900+2200+1400</f>
        <v>5500</v>
      </c>
      <c r="S5" s="27">
        <f t="shared" ref="S5:S13" si="0">(R5-P5)/P5</f>
        <v>1.04005934718101</v>
      </c>
      <c r="T5" s="22">
        <v>2</v>
      </c>
    </row>
    <row r="6" ht="15.75" spans="1:20">
      <c r="A6" s="6" t="s">
        <v>303</v>
      </c>
      <c r="B6" s="7"/>
      <c r="C6" s="8">
        <f>468</f>
        <v>468</v>
      </c>
      <c r="D6" s="9">
        <v>9</v>
      </c>
      <c r="E6" s="8"/>
      <c r="F6" s="13"/>
      <c r="G6" s="7"/>
      <c r="H6" s="8">
        <f>468</f>
        <v>468</v>
      </c>
      <c r="I6" s="8">
        <f>1182</f>
        <v>1182</v>
      </c>
      <c r="J6" s="10">
        <f>(I6-H6)/H6</f>
        <v>1.52564102564103</v>
      </c>
      <c r="K6" s="9">
        <v>11</v>
      </c>
      <c r="L6" s="22">
        <v>1182</v>
      </c>
      <c r="M6" s="23">
        <f>88</f>
        <v>88</v>
      </c>
      <c r="N6" s="24">
        <f>(M6-L6)/L6</f>
        <v>-0.925549915397631</v>
      </c>
      <c r="O6" s="22">
        <v>9</v>
      </c>
      <c r="P6" s="22">
        <v>1182</v>
      </c>
      <c r="Q6" s="21">
        <v>2</v>
      </c>
      <c r="R6" s="22">
        <f>3200+1200</f>
        <v>4400</v>
      </c>
      <c r="S6" s="27">
        <f t="shared" si="0"/>
        <v>2.72250423011844</v>
      </c>
      <c r="T6" s="22">
        <v>3</v>
      </c>
    </row>
    <row r="7" ht="15.75" spans="1:20">
      <c r="A7" s="6" t="s">
        <v>304</v>
      </c>
      <c r="B7" s="7"/>
      <c r="C7" s="8">
        <f>2400+1400</f>
        <v>3800</v>
      </c>
      <c r="D7" s="9">
        <v>3</v>
      </c>
      <c r="E7" s="8">
        <f>2168</f>
        <v>2168</v>
      </c>
      <c r="F7" s="14">
        <f>(E7-C7)/C7</f>
        <v>-0.429473684210526</v>
      </c>
      <c r="G7" s="11">
        <v>7</v>
      </c>
      <c r="H7" s="8">
        <f>2400+1400</f>
        <v>3800</v>
      </c>
      <c r="I7" s="8"/>
      <c r="J7" s="14"/>
      <c r="K7" s="9"/>
      <c r="L7" s="22">
        <v>3800</v>
      </c>
      <c r="M7" s="23">
        <v>2000</v>
      </c>
      <c r="N7" s="24">
        <f>(M7-L7)/L7</f>
        <v>-0.473684210526316</v>
      </c>
      <c r="O7" s="22">
        <v>5</v>
      </c>
      <c r="P7" s="22">
        <v>3800</v>
      </c>
      <c r="Q7" s="21">
        <v>1</v>
      </c>
      <c r="R7" s="22">
        <v>2200</v>
      </c>
      <c r="S7" s="28">
        <f t="shared" si="0"/>
        <v>-0.421052631578947</v>
      </c>
      <c r="T7" s="22">
        <v>4</v>
      </c>
    </row>
    <row r="8" ht="15.75" spans="1:20">
      <c r="A8" s="6" t="s">
        <v>305</v>
      </c>
      <c r="B8" s="7"/>
      <c r="C8" s="8">
        <f>826+1300+1000+229+302+222</f>
        <v>3879</v>
      </c>
      <c r="D8" s="9">
        <v>2</v>
      </c>
      <c r="E8" s="8">
        <v>2534</v>
      </c>
      <c r="F8" s="14">
        <f>(E8-C8)/C8</f>
        <v>-0.346738850219129</v>
      </c>
      <c r="G8" s="11">
        <v>4</v>
      </c>
      <c r="H8" s="8">
        <f>826+1300+1000+229+302+222</f>
        <v>3879</v>
      </c>
      <c r="I8" s="8">
        <f>1745</f>
        <v>1745</v>
      </c>
      <c r="J8" s="14">
        <f>(I8-H8)/H8</f>
        <v>-0.550141789120907</v>
      </c>
      <c r="K8" s="9">
        <v>6</v>
      </c>
      <c r="L8" s="22">
        <v>3879</v>
      </c>
      <c r="M8" s="23">
        <f>1000</f>
        <v>1000</v>
      </c>
      <c r="N8" s="24">
        <f>(M8-L8)/L8</f>
        <v>-0.74220159835009</v>
      </c>
      <c r="O8" s="22">
        <v>6</v>
      </c>
      <c r="P8" s="22">
        <v>3879</v>
      </c>
      <c r="Q8" s="21"/>
      <c r="R8" s="22">
        <f>1900</f>
        <v>1900</v>
      </c>
      <c r="S8" s="28">
        <f t="shared" si="0"/>
        <v>-0.510183036865171</v>
      </c>
      <c r="T8" s="22">
        <v>5</v>
      </c>
    </row>
    <row r="9" ht="15.75" spans="1:20">
      <c r="A9" s="6" t="s">
        <v>306</v>
      </c>
      <c r="B9" s="7"/>
      <c r="C9" s="8">
        <f>826+222</f>
        <v>1048</v>
      </c>
      <c r="D9" s="9">
        <v>7</v>
      </c>
      <c r="E9" s="8"/>
      <c r="F9" s="13"/>
      <c r="G9" s="7"/>
      <c r="H9" s="8">
        <f>826+222</f>
        <v>1048</v>
      </c>
      <c r="I9" s="8"/>
      <c r="J9" s="14"/>
      <c r="K9" s="9"/>
      <c r="L9" s="22">
        <v>1048</v>
      </c>
      <c r="M9" s="23"/>
      <c r="N9" s="23"/>
      <c r="O9" s="23"/>
      <c r="P9" s="22">
        <v>1048</v>
      </c>
      <c r="Q9" s="21"/>
      <c r="R9" s="22">
        <f>1300</f>
        <v>1300</v>
      </c>
      <c r="S9" s="27">
        <f t="shared" si="0"/>
        <v>0.240458015267176</v>
      </c>
      <c r="T9" s="22">
        <v>6</v>
      </c>
    </row>
    <row r="10" ht="15.75" spans="1:20">
      <c r="A10" s="6" t="s">
        <v>307</v>
      </c>
      <c r="B10" s="7">
        <v>0</v>
      </c>
      <c r="C10" s="8">
        <f>2000+2400+2100</f>
        <v>6500</v>
      </c>
      <c r="D10" s="9">
        <v>1</v>
      </c>
      <c r="E10" s="8">
        <f>1000+1253+2168+337+2371</f>
        <v>7129</v>
      </c>
      <c r="F10" s="10">
        <f>(E10-C10)/C10</f>
        <v>0.0967692307692308</v>
      </c>
      <c r="G10" s="11">
        <v>2</v>
      </c>
      <c r="H10" s="8">
        <f>1000+1253+2168+337+2371</f>
        <v>7129</v>
      </c>
      <c r="I10" s="8">
        <v>1913</v>
      </c>
      <c r="J10" s="14">
        <f>(I10-H10)/H10</f>
        <v>-0.73165941927339</v>
      </c>
      <c r="K10" s="9">
        <v>4</v>
      </c>
      <c r="L10" s="22">
        <v>7129</v>
      </c>
      <c r="M10" s="23">
        <f>1000+2700+492</f>
        <v>4192</v>
      </c>
      <c r="N10" s="24">
        <f>(M10-L10)/L10</f>
        <v>-0.411979239725067</v>
      </c>
      <c r="O10" s="22">
        <v>3</v>
      </c>
      <c r="P10" s="22">
        <v>7129</v>
      </c>
      <c r="Q10" s="21">
        <v>1</v>
      </c>
      <c r="R10" s="22">
        <f>1200</f>
        <v>1200</v>
      </c>
      <c r="S10" s="28">
        <f t="shared" si="0"/>
        <v>-0.831673446486183</v>
      </c>
      <c r="T10" s="22">
        <v>7</v>
      </c>
    </row>
    <row r="11" ht="15.75" spans="1:20">
      <c r="A11" s="6" t="s">
        <v>308</v>
      </c>
      <c r="B11" s="7"/>
      <c r="C11" s="8"/>
      <c r="D11" s="8"/>
      <c r="E11" s="8">
        <v>1000</v>
      </c>
      <c r="F11" s="13"/>
      <c r="G11" s="7"/>
      <c r="H11" s="8">
        <v>1000</v>
      </c>
      <c r="I11" s="8">
        <v>1443</v>
      </c>
      <c r="J11" s="10">
        <f>(I11-H11)/H11</f>
        <v>0.443</v>
      </c>
      <c r="K11" s="9">
        <v>9</v>
      </c>
      <c r="L11" s="22">
        <v>1443</v>
      </c>
      <c r="M11" s="23"/>
      <c r="N11" s="23"/>
      <c r="O11" s="23"/>
      <c r="P11" s="22">
        <v>1443</v>
      </c>
      <c r="Q11" s="21">
        <v>1</v>
      </c>
      <c r="R11" s="22">
        <v>1000</v>
      </c>
      <c r="S11" s="28">
        <f t="shared" si="0"/>
        <v>-0.306999306999307</v>
      </c>
      <c r="T11" s="22">
        <v>8</v>
      </c>
    </row>
    <row r="12" ht="15.75" spans="1:20">
      <c r="A12" s="6" t="s">
        <v>309</v>
      </c>
      <c r="B12" s="7"/>
      <c r="C12" s="8"/>
      <c r="D12" s="8"/>
      <c r="E12" s="8">
        <v>337</v>
      </c>
      <c r="F12" s="13"/>
      <c r="G12" s="7"/>
      <c r="H12" s="8">
        <v>337</v>
      </c>
      <c r="I12" s="8">
        <v>2024</v>
      </c>
      <c r="J12" s="10">
        <f>(I12-H12)/H12</f>
        <v>5.00593471810089</v>
      </c>
      <c r="K12" s="9">
        <v>3</v>
      </c>
      <c r="L12" s="22">
        <v>2024</v>
      </c>
      <c r="M12" s="23">
        <f>876+3400</f>
        <v>4276</v>
      </c>
      <c r="N12" s="25">
        <f>(M12-L12)/L12</f>
        <v>1.11264822134387</v>
      </c>
      <c r="O12" s="22">
        <v>2</v>
      </c>
      <c r="P12" s="22">
        <v>4276</v>
      </c>
      <c r="Q12" s="21"/>
      <c r="R12" s="22">
        <f>996</f>
        <v>996</v>
      </c>
      <c r="S12" s="28">
        <f t="shared" si="0"/>
        <v>-0.767072029934518</v>
      </c>
      <c r="T12" s="22">
        <v>9</v>
      </c>
    </row>
    <row r="13" ht="16.9" customHeight="1" spans="1:20">
      <c r="A13" s="6" t="s">
        <v>310</v>
      </c>
      <c r="B13" s="7"/>
      <c r="C13" s="8">
        <v>229</v>
      </c>
      <c r="D13" s="9">
        <v>11</v>
      </c>
      <c r="E13" s="8"/>
      <c r="F13" s="13"/>
      <c r="G13" s="7"/>
      <c r="H13" s="8">
        <v>229</v>
      </c>
      <c r="I13" s="8"/>
      <c r="J13" s="14"/>
      <c r="K13" s="9"/>
      <c r="L13" s="22">
        <v>229</v>
      </c>
      <c r="M13" s="23">
        <f>821</f>
        <v>821</v>
      </c>
      <c r="N13" s="25">
        <f>(M13-L13)/L13</f>
        <v>2.58515283842795</v>
      </c>
      <c r="O13" s="22">
        <v>7</v>
      </c>
      <c r="P13" s="22">
        <v>821</v>
      </c>
      <c r="Q13" s="21">
        <v>1</v>
      </c>
      <c r="R13" s="22">
        <v>991</v>
      </c>
      <c r="S13" s="27">
        <f t="shared" si="0"/>
        <v>0.207064555420219</v>
      </c>
      <c r="T13" s="22">
        <v>10</v>
      </c>
    </row>
    <row r="14" ht="15.75" spans="1:20">
      <c r="A14" s="6" t="s">
        <v>311</v>
      </c>
      <c r="B14" s="7"/>
      <c r="C14" s="8">
        <f>1300</f>
        <v>1300</v>
      </c>
      <c r="D14" s="9">
        <v>6</v>
      </c>
      <c r="E14" s="8">
        <f>6940</f>
        <v>6940</v>
      </c>
      <c r="F14" s="10">
        <f>(E14-C14)/C14</f>
        <v>4.33846153846154</v>
      </c>
      <c r="G14" s="11">
        <v>3</v>
      </c>
      <c r="H14" s="8">
        <f>6940</f>
        <v>6940</v>
      </c>
      <c r="I14" s="8">
        <f>1696</f>
        <v>1696</v>
      </c>
      <c r="J14" s="14">
        <f>(I14-H14)/H14</f>
        <v>-0.755619596541787</v>
      </c>
      <c r="K14" s="9">
        <v>8</v>
      </c>
      <c r="L14" s="22">
        <v>6940</v>
      </c>
      <c r="M14" s="23">
        <f>492</f>
        <v>492</v>
      </c>
      <c r="N14" s="24">
        <f>(M14-L14)/L14</f>
        <v>-0.929106628242075</v>
      </c>
      <c r="O14" s="22">
        <v>8</v>
      </c>
      <c r="P14" s="22">
        <v>6940</v>
      </c>
      <c r="Q14" s="21"/>
      <c r="R14" s="21"/>
      <c r="S14" s="21"/>
      <c r="T14" s="21"/>
    </row>
    <row r="15" ht="15.75" spans="1:20">
      <c r="A15" s="6" t="s">
        <v>312</v>
      </c>
      <c r="B15" s="7"/>
      <c r="C15" s="8"/>
      <c r="D15" s="8"/>
      <c r="E15" s="8">
        <f>1842</f>
        <v>1842</v>
      </c>
      <c r="F15" s="13"/>
      <c r="G15" s="7"/>
      <c r="H15" s="8">
        <f>1842</f>
        <v>1842</v>
      </c>
      <c r="I15" s="8">
        <v>1913</v>
      </c>
      <c r="J15" s="10">
        <f>(I15-H15)/H15</f>
        <v>0.0385450597176982</v>
      </c>
      <c r="K15" s="9">
        <v>5</v>
      </c>
      <c r="L15" s="22">
        <v>1913</v>
      </c>
      <c r="M15" s="23"/>
      <c r="N15" s="23"/>
      <c r="O15" s="22"/>
      <c r="P15" s="22">
        <v>1913</v>
      </c>
      <c r="Q15" s="21"/>
      <c r="R15" s="21"/>
      <c r="S15" s="21"/>
      <c r="T15" s="21"/>
    </row>
    <row r="16" ht="15.75" spans="1:20">
      <c r="A16" s="6" t="s">
        <v>313</v>
      </c>
      <c r="B16" s="7"/>
      <c r="C16" s="8">
        <v>302</v>
      </c>
      <c r="D16" s="9">
        <v>10</v>
      </c>
      <c r="E16" s="8">
        <f>2371</f>
        <v>2371</v>
      </c>
      <c r="F16" s="10">
        <f>(E16-C16)/C16</f>
        <v>6.85099337748344</v>
      </c>
      <c r="G16" s="11">
        <v>6</v>
      </c>
      <c r="H16" s="8">
        <f>2371</f>
        <v>2371</v>
      </c>
      <c r="I16" s="8">
        <v>1745</v>
      </c>
      <c r="J16" s="14">
        <f>(I16-H16)/H16</f>
        <v>-0.264023618726276</v>
      </c>
      <c r="K16" s="9">
        <v>7</v>
      </c>
      <c r="L16" s="22">
        <v>2371</v>
      </c>
      <c r="M16" s="23"/>
      <c r="N16" s="23"/>
      <c r="O16" s="23"/>
      <c r="P16" s="22">
        <v>2371</v>
      </c>
      <c r="Q16" s="21"/>
      <c r="R16" s="21"/>
      <c r="S16" s="21"/>
      <c r="T16" s="21"/>
    </row>
    <row r="17" ht="15.75" spans="1:20">
      <c r="A17" s="6" t="s">
        <v>314</v>
      </c>
      <c r="B17" s="7"/>
      <c r="C17" s="8">
        <v>2000</v>
      </c>
      <c r="D17" s="9">
        <v>5</v>
      </c>
      <c r="E17" s="8"/>
      <c r="F17" s="13"/>
      <c r="G17" s="7"/>
      <c r="H17" s="8">
        <v>2000</v>
      </c>
      <c r="I17" s="8">
        <f>1316</f>
        <v>1316</v>
      </c>
      <c r="J17" s="14">
        <f>(I17-H17)/H17</f>
        <v>-0.342</v>
      </c>
      <c r="K17" s="9">
        <v>10</v>
      </c>
      <c r="L17" s="22">
        <v>2000</v>
      </c>
      <c r="M17" s="23"/>
      <c r="N17" s="23"/>
      <c r="O17" s="23"/>
      <c r="P17" s="22">
        <v>2000</v>
      </c>
      <c r="Q17" s="21"/>
      <c r="R17" s="21"/>
      <c r="S17" s="21"/>
      <c r="T17" s="21"/>
    </row>
    <row r="18" ht="15.75" spans="1:20">
      <c r="A18" s="6" t="s">
        <v>315</v>
      </c>
      <c r="B18" s="7"/>
      <c r="C18" s="8">
        <v>1000</v>
      </c>
      <c r="D18" s="9">
        <v>8</v>
      </c>
      <c r="E18" s="8">
        <f>2534</f>
        <v>2534</v>
      </c>
      <c r="F18" s="10">
        <f>(E18-C18)/C18</f>
        <v>1.534</v>
      </c>
      <c r="G18" s="11">
        <v>5</v>
      </c>
      <c r="H18" s="8">
        <f>2534</f>
        <v>2534</v>
      </c>
      <c r="I18" s="8"/>
      <c r="J18" s="14"/>
      <c r="K18" s="9"/>
      <c r="L18" s="22">
        <v>2534</v>
      </c>
      <c r="M18" s="23"/>
      <c r="N18" s="23"/>
      <c r="O18" s="23"/>
      <c r="P18" s="22">
        <v>2534</v>
      </c>
      <c r="Q18" s="21"/>
      <c r="R18" s="21"/>
      <c r="S18" s="21"/>
      <c r="T18" s="21"/>
    </row>
    <row r="19" ht="15.75" spans="1:20">
      <c r="A19" s="6"/>
      <c r="B19" s="7"/>
      <c r="C19" s="8"/>
      <c r="D19" s="8"/>
      <c r="E19" s="15"/>
      <c r="F19" s="16"/>
      <c r="G19" s="7"/>
      <c r="H19" s="8"/>
      <c r="I19" s="8"/>
      <c r="J19" s="26"/>
      <c r="K19" s="9"/>
      <c r="L19" s="23"/>
      <c r="M19" s="23"/>
      <c r="N19" s="23"/>
      <c r="O19" s="23"/>
      <c r="P19" s="23"/>
      <c r="Q19" s="23"/>
      <c r="R19" s="23"/>
      <c r="S19" s="23"/>
      <c r="T19" s="23"/>
    </row>
    <row r="20" spans="1:39">
      <c r="A20" s="17" t="s">
        <v>93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ht="31.5" spans="1:39">
      <c r="A21" s="19" t="s">
        <v>50</v>
      </c>
      <c r="B21" s="19" t="s">
        <v>94</v>
      </c>
      <c r="C21" s="19" t="s">
        <v>95</v>
      </c>
      <c r="D21" s="19" t="s">
        <v>96</v>
      </c>
      <c r="E21" s="19" t="s">
        <v>316</v>
      </c>
      <c r="F21" s="19" t="s">
        <v>98</v>
      </c>
      <c r="G21" s="19" t="s">
        <v>99</v>
      </c>
      <c r="H21" s="19" t="s">
        <v>53</v>
      </c>
      <c r="I21" s="19" t="s">
        <v>94</v>
      </c>
      <c r="J21" s="19" t="s">
        <v>95</v>
      </c>
      <c r="K21" s="19" t="s">
        <v>96</v>
      </c>
      <c r="L21" s="19" t="s">
        <v>316</v>
      </c>
      <c r="M21" s="19" t="s">
        <v>98</v>
      </c>
      <c r="N21" s="19" t="s">
        <v>99</v>
      </c>
      <c r="O21" s="19" t="s">
        <v>6</v>
      </c>
      <c r="P21" s="19" t="s">
        <v>53</v>
      </c>
      <c r="Q21" s="19" t="s">
        <v>95</v>
      </c>
      <c r="R21" s="19" t="s">
        <v>96</v>
      </c>
      <c r="S21" s="19" t="s">
        <v>316</v>
      </c>
      <c r="T21" s="19" t="s">
        <v>98</v>
      </c>
      <c r="U21" s="19" t="s">
        <v>99</v>
      </c>
      <c r="V21" s="19" t="s">
        <v>6</v>
      </c>
      <c r="W21" s="19" t="s">
        <v>53</v>
      </c>
      <c r="X21" s="19" t="s">
        <v>55</v>
      </c>
      <c r="Y21" s="19" t="s">
        <v>95</v>
      </c>
      <c r="Z21" s="19" t="s">
        <v>96</v>
      </c>
      <c r="AA21" s="19" t="s">
        <v>316</v>
      </c>
      <c r="AB21" s="19" t="s">
        <v>98</v>
      </c>
      <c r="AC21" s="19" t="s">
        <v>99</v>
      </c>
      <c r="AD21" s="19" t="s">
        <v>6</v>
      </c>
      <c r="AE21" s="19" t="s">
        <v>53</v>
      </c>
      <c r="AF21" s="19" t="s">
        <v>55</v>
      </c>
      <c r="AG21" s="19" t="s">
        <v>95</v>
      </c>
      <c r="AH21" s="19" t="s">
        <v>96</v>
      </c>
      <c r="AI21" s="19" t="s">
        <v>316</v>
      </c>
      <c r="AJ21" s="19" t="s">
        <v>98</v>
      </c>
      <c r="AK21" s="19" t="s">
        <v>99</v>
      </c>
      <c r="AL21" s="19" t="s">
        <v>6</v>
      </c>
      <c r="AM21" s="19" t="s">
        <v>53</v>
      </c>
    </row>
    <row r="22" ht="15.75" spans="1:39">
      <c r="A22" s="20" t="s">
        <v>317</v>
      </c>
      <c r="B22" s="21"/>
      <c r="C22" s="21">
        <f>88+2</f>
        <v>90</v>
      </c>
      <c r="D22" s="21"/>
      <c r="E22" s="21">
        <f>7+143</f>
        <v>150</v>
      </c>
      <c r="F22" s="21">
        <f>79</f>
        <v>79</v>
      </c>
      <c r="G22" s="22">
        <f t="shared" ref="G22:G31" si="1">F22+C22+E22</f>
        <v>319</v>
      </c>
      <c r="H22" s="22">
        <v>10</v>
      </c>
      <c r="I22" s="21"/>
      <c r="J22" s="21">
        <v>284</v>
      </c>
      <c r="K22" s="21">
        <v>345</v>
      </c>
      <c r="L22" s="21">
        <f>80+153</f>
        <v>233</v>
      </c>
      <c r="M22" s="21">
        <f>131+57</f>
        <v>188</v>
      </c>
      <c r="N22" s="22">
        <f t="shared" ref="N22:N31" si="2">M22+L22+K22+J22</f>
        <v>1050</v>
      </c>
      <c r="O22" s="27">
        <f t="shared" ref="O22:O31" si="3">(N22-G22)/G22</f>
        <v>2.29153605015674</v>
      </c>
      <c r="P22" s="22">
        <v>2</v>
      </c>
      <c r="Q22" s="21">
        <v>101</v>
      </c>
      <c r="R22" s="21"/>
      <c r="S22" s="21">
        <f>114+127</f>
        <v>241</v>
      </c>
      <c r="T22" s="21">
        <f>75+81</f>
        <v>156</v>
      </c>
      <c r="U22" s="22">
        <f t="shared" ref="U22:U31" si="4">T22+S22+R22+Q22</f>
        <v>498</v>
      </c>
      <c r="V22" s="28">
        <f t="shared" ref="V22:V31" si="5">(U22-N22)/N22</f>
        <v>-0.525714285714286</v>
      </c>
      <c r="W22" s="22">
        <v>10</v>
      </c>
      <c r="X22" s="22">
        <v>1050</v>
      </c>
      <c r="Y22" s="23">
        <v>2</v>
      </c>
      <c r="Z22" s="23"/>
      <c r="AA22" s="23">
        <f>134+66+15</f>
        <v>215</v>
      </c>
      <c r="AB22" s="23">
        <f>102+230+166+520</f>
        <v>1018</v>
      </c>
      <c r="AC22" s="22">
        <f t="shared" ref="AC22:AC31" si="6">AB22+AA22+Z22+Y22</f>
        <v>1235</v>
      </c>
      <c r="AD22" s="25">
        <f t="shared" ref="AD22:AD31" si="7">(AC22-X22)/X22</f>
        <v>0.176190476190476</v>
      </c>
      <c r="AE22" s="22">
        <v>1</v>
      </c>
      <c r="AF22" s="22">
        <v>1235</v>
      </c>
      <c r="AG22" s="21">
        <f>3</f>
        <v>3</v>
      </c>
      <c r="AH22" s="21"/>
      <c r="AI22" s="21">
        <f>383+122+146</f>
        <v>651</v>
      </c>
      <c r="AJ22" s="21">
        <f>73+465+98</f>
        <v>636</v>
      </c>
      <c r="AK22" s="22">
        <f t="shared" ref="AK22:AK31" si="8">AJ22+AI22+AG22</f>
        <v>1290</v>
      </c>
      <c r="AL22" s="27">
        <f>(AK22-AF22)/AF22</f>
        <v>0.0445344129554656</v>
      </c>
      <c r="AM22" s="22">
        <v>1</v>
      </c>
    </row>
    <row r="23" ht="15.75" spans="1:39">
      <c r="A23" s="20" t="s">
        <v>318</v>
      </c>
      <c r="B23" s="21"/>
      <c r="C23" s="21"/>
      <c r="D23" s="21"/>
      <c r="E23" s="21">
        <f>150+138+128</f>
        <v>416</v>
      </c>
      <c r="F23" s="21">
        <f>113+92+58</f>
        <v>263</v>
      </c>
      <c r="G23" s="22">
        <f t="shared" si="1"/>
        <v>679</v>
      </c>
      <c r="H23" s="22">
        <v>3</v>
      </c>
      <c r="I23" s="21"/>
      <c r="J23" s="21">
        <v>100</v>
      </c>
      <c r="K23" s="21">
        <v>100</v>
      </c>
      <c r="L23" s="21">
        <f>110+134</f>
        <v>244</v>
      </c>
      <c r="M23" s="21">
        <f>26+80</f>
        <v>106</v>
      </c>
      <c r="N23" s="22">
        <f t="shared" si="2"/>
        <v>550</v>
      </c>
      <c r="O23" s="28">
        <f t="shared" si="3"/>
        <v>-0.189985272459499</v>
      </c>
      <c r="P23" s="22">
        <v>9</v>
      </c>
      <c r="Q23" s="21">
        <v>101</v>
      </c>
      <c r="R23" s="21"/>
      <c r="S23" s="21">
        <f>140+123</f>
        <v>263</v>
      </c>
      <c r="T23" s="21">
        <f>81+72</f>
        <v>153</v>
      </c>
      <c r="U23" s="22">
        <f t="shared" si="4"/>
        <v>517</v>
      </c>
      <c r="V23" s="28">
        <f t="shared" si="5"/>
        <v>-0.06</v>
      </c>
      <c r="W23" s="22">
        <v>9</v>
      </c>
      <c r="X23" s="22">
        <v>550</v>
      </c>
      <c r="Y23" s="23">
        <v>118</v>
      </c>
      <c r="Z23" s="23"/>
      <c r="AA23" s="23">
        <f>7+236+120+142</f>
        <v>505</v>
      </c>
      <c r="AB23" s="23">
        <f>181+71</f>
        <v>252</v>
      </c>
      <c r="AC23" s="22">
        <f t="shared" si="6"/>
        <v>875</v>
      </c>
      <c r="AD23" s="25">
        <f t="shared" si="7"/>
        <v>0.590909090909091</v>
      </c>
      <c r="AE23" s="22">
        <v>3</v>
      </c>
      <c r="AF23" s="22">
        <v>875</v>
      </c>
      <c r="AG23" s="21">
        <f>3</f>
        <v>3</v>
      </c>
      <c r="AH23" s="21"/>
      <c r="AI23" s="21">
        <f>113+9</f>
        <v>122</v>
      </c>
      <c r="AJ23" s="21">
        <f>45+73+1000</f>
        <v>1118</v>
      </c>
      <c r="AK23" s="22">
        <f t="shared" si="8"/>
        <v>1243</v>
      </c>
      <c r="AL23" s="27">
        <f t="shared" ref="AL23:AL31" si="9">(AK23-AF23)/AF23</f>
        <v>0.420571428571429</v>
      </c>
      <c r="AM23" s="22">
        <v>2</v>
      </c>
    </row>
    <row r="24" ht="15.75" spans="1:39">
      <c r="A24" s="20" t="s">
        <v>319</v>
      </c>
      <c r="B24" s="21"/>
      <c r="C24" s="21">
        <v>2</v>
      </c>
      <c r="D24" s="21"/>
      <c r="E24" s="21">
        <f>129+137</f>
        <v>266</v>
      </c>
      <c r="F24" s="21">
        <f>124+134+60</f>
        <v>318</v>
      </c>
      <c r="G24" s="22">
        <f t="shared" si="1"/>
        <v>586</v>
      </c>
      <c r="H24" s="22">
        <v>4</v>
      </c>
      <c r="I24" s="21"/>
      <c r="J24" s="21">
        <v>100</v>
      </c>
      <c r="K24" s="21">
        <v>100</v>
      </c>
      <c r="L24" s="21">
        <f>122+128</f>
        <v>250</v>
      </c>
      <c r="M24" s="21">
        <f>45+56</f>
        <v>101</v>
      </c>
      <c r="N24" s="22">
        <f t="shared" si="2"/>
        <v>551</v>
      </c>
      <c r="O24" s="28">
        <f t="shared" si="3"/>
        <v>-0.0597269624573379</v>
      </c>
      <c r="P24" s="22">
        <v>8</v>
      </c>
      <c r="Q24" s="21">
        <v>101</v>
      </c>
      <c r="R24" s="21"/>
      <c r="S24" s="21">
        <f>5+109+104+116</f>
        <v>334</v>
      </c>
      <c r="T24" s="21">
        <f>101+55</f>
        <v>156</v>
      </c>
      <c r="U24" s="22">
        <f t="shared" si="4"/>
        <v>591</v>
      </c>
      <c r="V24" s="27">
        <f t="shared" si="5"/>
        <v>0.0725952813067151</v>
      </c>
      <c r="W24" s="22">
        <v>7</v>
      </c>
      <c r="X24" s="22">
        <v>591</v>
      </c>
      <c r="Y24" s="23">
        <v>118</v>
      </c>
      <c r="Z24" s="23"/>
      <c r="AA24" s="23"/>
      <c r="AB24" s="23">
        <f>167</f>
        <v>167</v>
      </c>
      <c r="AC24" s="22">
        <f t="shared" si="6"/>
        <v>285</v>
      </c>
      <c r="AD24" s="24">
        <f t="shared" si="7"/>
        <v>-0.517766497461929</v>
      </c>
      <c r="AE24" s="22">
        <v>10</v>
      </c>
      <c r="AF24" s="22">
        <v>591</v>
      </c>
      <c r="AG24" s="21">
        <f>3</f>
        <v>3</v>
      </c>
      <c r="AH24" s="21"/>
      <c r="AI24" s="21">
        <f>122+117+110+325</f>
        <v>674</v>
      </c>
      <c r="AJ24" s="21">
        <f>87</f>
        <v>87</v>
      </c>
      <c r="AK24" s="22">
        <f t="shared" si="8"/>
        <v>764</v>
      </c>
      <c r="AL24" s="27">
        <f t="shared" si="9"/>
        <v>0.292724196277496</v>
      </c>
      <c r="AM24" s="22">
        <v>3</v>
      </c>
    </row>
    <row r="25" ht="15.75" spans="1:39">
      <c r="A25" s="20" t="s">
        <v>320</v>
      </c>
      <c r="B25" s="21"/>
      <c r="C25" s="21">
        <v>88</v>
      </c>
      <c r="D25" s="21"/>
      <c r="E25" s="21">
        <f>115</f>
        <v>115</v>
      </c>
      <c r="F25" s="21">
        <f>355+277</f>
        <v>632</v>
      </c>
      <c r="G25" s="22">
        <f t="shared" si="1"/>
        <v>835</v>
      </c>
      <c r="H25" s="22">
        <v>2</v>
      </c>
      <c r="I25" s="21"/>
      <c r="J25" s="21">
        <v>284</v>
      </c>
      <c r="K25" s="21">
        <f>245+100</f>
        <v>345</v>
      </c>
      <c r="L25" s="21">
        <f>122+120</f>
        <v>242</v>
      </c>
      <c r="M25" s="21">
        <f>46+42</f>
        <v>88</v>
      </c>
      <c r="N25" s="22">
        <f t="shared" si="2"/>
        <v>959</v>
      </c>
      <c r="O25" s="28">
        <f t="shared" si="3"/>
        <v>0.148502994011976</v>
      </c>
      <c r="P25" s="22">
        <v>4</v>
      </c>
      <c r="Q25" s="21"/>
      <c r="R25" s="21"/>
      <c r="S25" s="21">
        <f>116+115+131+124</f>
        <v>486</v>
      </c>
      <c r="T25" s="21">
        <f>70+50+70</f>
        <v>190</v>
      </c>
      <c r="U25" s="22">
        <f t="shared" si="4"/>
        <v>676</v>
      </c>
      <c r="V25" s="28">
        <f t="shared" si="5"/>
        <v>-0.295099061522419</v>
      </c>
      <c r="W25" s="22">
        <v>6</v>
      </c>
      <c r="X25" s="22">
        <v>959</v>
      </c>
      <c r="Y25" s="23">
        <v>2</v>
      </c>
      <c r="Z25" s="23"/>
      <c r="AA25" s="23">
        <f>140+133+127+29</f>
        <v>429</v>
      </c>
      <c r="AB25" s="23">
        <f>152+130+356+127</f>
        <v>765</v>
      </c>
      <c r="AC25" s="22">
        <f t="shared" si="6"/>
        <v>1196</v>
      </c>
      <c r="AD25" s="25">
        <f t="shared" si="7"/>
        <v>0.247132429614181</v>
      </c>
      <c r="AE25" s="22">
        <v>2</v>
      </c>
      <c r="AF25" s="22">
        <v>1196</v>
      </c>
      <c r="AG25" s="21">
        <v>13</v>
      </c>
      <c r="AH25" s="21"/>
      <c r="AI25" s="21">
        <f>119+20+116+148</f>
        <v>403</v>
      </c>
      <c r="AJ25" s="21">
        <f>126+92+115</f>
        <v>333</v>
      </c>
      <c r="AK25" s="22">
        <f t="shared" si="8"/>
        <v>749</v>
      </c>
      <c r="AL25" s="28">
        <f t="shared" si="9"/>
        <v>-0.373745819397993</v>
      </c>
      <c r="AM25" s="22">
        <v>4</v>
      </c>
    </row>
    <row r="26" ht="15.75" spans="1:39">
      <c r="A26" s="20" t="s">
        <v>321</v>
      </c>
      <c r="B26" s="21"/>
      <c r="C26" s="21">
        <v>88</v>
      </c>
      <c r="D26" s="21"/>
      <c r="E26" s="21">
        <v>81</v>
      </c>
      <c r="F26" s="21">
        <f>98+85+209+193+154</f>
        <v>739</v>
      </c>
      <c r="G26" s="22">
        <f t="shared" si="1"/>
        <v>908</v>
      </c>
      <c r="H26" s="22">
        <v>1</v>
      </c>
      <c r="I26" s="21"/>
      <c r="J26" s="21">
        <v>184</v>
      </c>
      <c r="K26" s="21">
        <v>245</v>
      </c>
      <c r="L26" s="21">
        <f>86</f>
        <v>86</v>
      </c>
      <c r="M26" s="21">
        <f>138+55</f>
        <v>193</v>
      </c>
      <c r="N26" s="22">
        <f t="shared" si="2"/>
        <v>708</v>
      </c>
      <c r="O26" s="28">
        <f t="shared" si="3"/>
        <v>-0.220264317180617</v>
      </c>
      <c r="P26" s="22">
        <v>7</v>
      </c>
      <c r="Q26" s="21"/>
      <c r="R26" s="21"/>
      <c r="S26" s="21">
        <f>120+115+129+113</f>
        <v>477</v>
      </c>
      <c r="T26" s="21">
        <f>178+44+148</f>
        <v>370</v>
      </c>
      <c r="U26" s="22">
        <f t="shared" si="4"/>
        <v>847</v>
      </c>
      <c r="V26" s="27">
        <f t="shared" si="5"/>
        <v>0.196327683615819</v>
      </c>
      <c r="W26" s="22">
        <v>3</v>
      </c>
      <c r="X26" s="22">
        <v>847</v>
      </c>
      <c r="Y26" s="23">
        <v>118</v>
      </c>
      <c r="Z26" s="23"/>
      <c r="AA26" s="23">
        <f>141+125</f>
        <v>266</v>
      </c>
      <c r="AB26" s="23">
        <f>144</f>
        <v>144</v>
      </c>
      <c r="AC26" s="22">
        <f t="shared" si="6"/>
        <v>528</v>
      </c>
      <c r="AD26" s="24">
        <f t="shared" si="7"/>
        <v>-0.376623376623377</v>
      </c>
      <c r="AE26" s="22">
        <v>6</v>
      </c>
      <c r="AF26" s="22">
        <v>847</v>
      </c>
      <c r="AG26" s="21">
        <f>3</f>
        <v>3</v>
      </c>
      <c r="AH26" s="21"/>
      <c r="AI26" s="21">
        <f>142+520</f>
        <v>662</v>
      </c>
      <c r="AJ26" s="21">
        <f>77</f>
        <v>77</v>
      </c>
      <c r="AK26" s="22">
        <f t="shared" si="8"/>
        <v>742</v>
      </c>
      <c r="AL26" s="28">
        <f t="shared" si="9"/>
        <v>-0.12396694214876</v>
      </c>
      <c r="AM26" s="22">
        <v>5</v>
      </c>
    </row>
    <row r="27" ht="15.75" spans="1:39">
      <c r="A27" s="20" t="s">
        <v>322</v>
      </c>
      <c r="B27" s="21"/>
      <c r="C27" s="21">
        <v>2</v>
      </c>
      <c r="D27" s="21"/>
      <c r="E27" s="21">
        <v>146</v>
      </c>
      <c r="F27" s="21">
        <f>206</f>
        <v>206</v>
      </c>
      <c r="G27" s="22">
        <f t="shared" si="1"/>
        <v>354</v>
      </c>
      <c r="H27" s="22">
        <v>9</v>
      </c>
      <c r="I27" s="21"/>
      <c r="J27" s="21">
        <v>100</v>
      </c>
      <c r="K27" s="21">
        <v>100</v>
      </c>
      <c r="L27" s="21">
        <f>115+141</f>
        <v>256</v>
      </c>
      <c r="M27" s="21">
        <f>39</f>
        <v>39</v>
      </c>
      <c r="N27" s="22">
        <f t="shared" si="2"/>
        <v>495</v>
      </c>
      <c r="O27" s="27">
        <f t="shared" si="3"/>
        <v>0.398305084745763</v>
      </c>
      <c r="P27" s="22">
        <v>10</v>
      </c>
      <c r="Q27" s="21"/>
      <c r="R27" s="21"/>
      <c r="S27" s="21">
        <f>117+113+109+117</f>
        <v>456</v>
      </c>
      <c r="T27" s="21">
        <f>111+100+61</f>
        <v>272</v>
      </c>
      <c r="U27" s="22">
        <f t="shared" si="4"/>
        <v>728</v>
      </c>
      <c r="V27" s="27">
        <f t="shared" si="5"/>
        <v>0.470707070707071</v>
      </c>
      <c r="W27" s="22">
        <v>4</v>
      </c>
      <c r="X27" s="22">
        <v>728</v>
      </c>
      <c r="Y27" s="23">
        <v>118</v>
      </c>
      <c r="Z27" s="23">
        <v>0</v>
      </c>
      <c r="AA27" s="23">
        <f>35+108+138</f>
        <v>281</v>
      </c>
      <c r="AB27" s="23">
        <f>64+369</f>
        <v>433</v>
      </c>
      <c r="AC27" s="22">
        <f t="shared" si="6"/>
        <v>832</v>
      </c>
      <c r="AD27" s="25">
        <f t="shared" si="7"/>
        <v>0.142857142857143</v>
      </c>
      <c r="AE27" s="22">
        <v>4</v>
      </c>
      <c r="AF27" s="22">
        <v>832</v>
      </c>
      <c r="AG27" s="21">
        <v>10</v>
      </c>
      <c r="AH27" s="21"/>
      <c r="AI27" s="21">
        <f>138+140+120</f>
        <v>398</v>
      </c>
      <c r="AJ27" s="21">
        <f>66</f>
        <v>66</v>
      </c>
      <c r="AK27" s="22">
        <f t="shared" si="8"/>
        <v>474</v>
      </c>
      <c r="AL27" s="28">
        <f t="shared" si="9"/>
        <v>-0.430288461538462</v>
      </c>
      <c r="AM27" s="22">
        <v>6</v>
      </c>
    </row>
    <row r="28" ht="15.75" spans="1:39">
      <c r="A28" s="20" t="s">
        <v>323</v>
      </c>
      <c r="B28" s="21">
        <v>0</v>
      </c>
      <c r="C28" s="21">
        <v>2</v>
      </c>
      <c r="D28" s="21"/>
      <c r="E28" s="21">
        <v>142</v>
      </c>
      <c r="F28" s="21">
        <f>79+64</f>
        <v>143</v>
      </c>
      <c r="G28" s="22">
        <f t="shared" si="1"/>
        <v>287</v>
      </c>
      <c r="H28" s="22">
        <v>8</v>
      </c>
      <c r="I28" s="21"/>
      <c r="J28" s="21">
        <v>184</v>
      </c>
      <c r="K28" s="21">
        <f>245+100</f>
        <v>345</v>
      </c>
      <c r="L28" s="21">
        <f>95</f>
        <v>95</v>
      </c>
      <c r="M28" s="21">
        <f>82+188</f>
        <v>270</v>
      </c>
      <c r="N28" s="22">
        <f t="shared" si="2"/>
        <v>894</v>
      </c>
      <c r="O28" s="27">
        <f t="shared" si="3"/>
        <v>2.11498257839721</v>
      </c>
      <c r="P28" s="22">
        <v>3</v>
      </c>
      <c r="Q28" s="21"/>
      <c r="R28" s="21"/>
      <c r="S28" s="21">
        <f>4+120+110+123</f>
        <v>357</v>
      </c>
      <c r="T28" s="21">
        <f>174+127+68</f>
        <v>369</v>
      </c>
      <c r="U28" s="22">
        <f t="shared" si="4"/>
        <v>726</v>
      </c>
      <c r="V28" s="28">
        <f t="shared" si="5"/>
        <v>-0.187919463087248</v>
      </c>
      <c r="W28" s="22">
        <v>5</v>
      </c>
      <c r="X28" s="22">
        <v>894</v>
      </c>
      <c r="Y28" s="23">
        <v>120</v>
      </c>
      <c r="Z28" s="23"/>
      <c r="AA28" s="23">
        <f>143+138</f>
        <v>281</v>
      </c>
      <c r="AB28" s="23">
        <f>58</f>
        <v>58</v>
      </c>
      <c r="AC28" s="22">
        <f t="shared" si="6"/>
        <v>459</v>
      </c>
      <c r="AD28" s="24">
        <f t="shared" si="7"/>
        <v>-0.486577181208054</v>
      </c>
      <c r="AE28" s="22">
        <v>8</v>
      </c>
      <c r="AF28" s="22">
        <v>894</v>
      </c>
      <c r="AG28" s="21"/>
      <c r="AH28" s="21"/>
      <c r="AI28" s="21">
        <f>36+147</f>
        <v>183</v>
      </c>
      <c r="AJ28" s="21">
        <f>83+106</f>
        <v>189</v>
      </c>
      <c r="AK28" s="22">
        <f t="shared" si="8"/>
        <v>372</v>
      </c>
      <c r="AL28" s="28">
        <f t="shared" si="9"/>
        <v>-0.583892617449664</v>
      </c>
      <c r="AM28" s="22">
        <v>7</v>
      </c>
    </row>
    <row r="29" ht="15.75" spans="1:39">
      <c r="A29" s="20" t="s">
        <v>324</v>
      </c>
      <c r="B29" s="21"/>
      <c r="C29" s="21">
        <v>2</v>
      </c>
      <c r="D29" s="21"/>
      <c r="E29" s="21"/>
      <c r="F29" s="21">
        <f>84+356</f>
        <v>440</v>
      </c>
      <c r="G29" s="22">
        <f t="shared" si="1"/>
        <v>442</v>
      </c>
      <c r="H29" s="22">
        <v>6</v>
      </c>
      <c r="I29" s="21"/>
      <c r="J29" s="21">
        <v>100</v>
      </c>
      <c r="K29" s="21"/>
      <c r="L29" s="21">
        <f>114+118</f>
        <v>232</v>
      </c>
      <c r="M29" s="21">
        <f>115+778</f>
        <v>893</v>
      </c>
      <c r="N29" s="22">
        <f t="shared" si="2"/>
        <v>1225</v>
      </c>
      <c r="O29" s="27">
        <f t="shared" si="3"/>
        <v>1.77149321266968</v>
      </c>
      <c r="P29" s="22">
        <v>1</v>
      </c>
      <c r="Q29" s="21">
        <v>101</v>
      </c>
      <c r="R29" s="21"/>
      <c r="S29" s="21">
        <f>113+110+117+5+123</f>
        <v>468</v>
      </c>
      <c r="T29" s="21">
        <f>1104+63+487+187</f>
        <v>1841</v>
      </c>
      <c r="U29" s="22">
        <f t="shared" si="4"/>
        <v>2410</v>
      </c>
      <c r="V29" s="27">
        <f t="shared" si="5"/>
        <v>0.96734693877551</v>
      </c>
      <c r="W29" s="22">
        <v>1</v>
      </c>
      <c r="X29" s="22">
        <v>2410</v>
      </c>
      <c r="Y29" s="23">
        <v>2</v>
      </c>
      <c r="Z29" s="23"/>
      <c r="AA29" s="23">
        <f>33+141</f>
        <v>174</v>
      </c>
      <c r="AB29" s="23">
        <f>69+121</f>
        <v>190</v>
      </c>
      <c r="AC29" s="22">
        <f t="shared" si="6"/>
        <v>366</v>
      </c>
      <c r="AD29" s="24">
        <f t="shared" si="7"/>
        <v>-0.848132780082988</v>
      </c>
      <c r="AE29" s="22">
        <v>9</v>
      </c>
      <c r="AF29" s="22">
        <v>2410</v>
      </c>
      <c r="AG29" s="21">
        <v>13</v>
      </c>
      <c r="AH29" s="21"/>
      <c r="AI29" s="21">
        <f>122+128</f>
        <v>250</v>
      </c>
      <c r="AJ29" s="21"/>
      <c r="AK29" s="22">
        <f t="shared" si="8"/>
        <v>263</v>
      </c>
      <c r="AL29" s="28">
        <f t="shared" si="9"/>
        <v>-0.890871369294606</v>
      </c>
      <c r="AM29" s="22">
        <v>8</v>
      </c>
    </row>
    <row r="30" ht="15.75" spans="1:39">
      <c r="A30" s="20" t="s">
        <v>325</v>
      </c>
      <c r="B30" s="21"/>
      <c r="C30" s="21"/>
      <c r="D30" s="21">
        <v>0</v>
      </c>
      <c r="E30" s="21">
        <v>128</v>
      </c>
      <c r="F30" s="21">
        <f>50+140+68</f>
        <v>258</v>
      </c>
      <c r="G30" s="22">
        <f t="shared" si="1"/>
        <v>386</v>
      </c>
      <c r="H30" s="22">
        <v>7</v>
      </c>
      <c r="I30" s="21">
        <v>0</v>
      </c>
      <c r="J30" s="21">
        <v>100</v>
      </c>
      <c r="K30" s="21"/>
      <c r="L30" s="21">
        <f>60+112+124</f>
        <v>296</v>
      </c>
      <c r="M30" s="21">
        <f>89+50+110</f>
        <v>249</v>
      </c>
      <c r="N30" s="22">
        <f t="shared" si="2"/>
        <v>645</v>
      </c>
      <c r="O30" s="27">
        <f t="shared" si="3"/>
        <v>0.670984455958549</v>
      </c>
      <c r="P30" s="22">
        <v>6</v>
      </c>
      <c r="Q30" s="21"/>
      <c r="R30" s="21">
        <v>0</v>
      </c>
      <c r="S30" s="21">
        <f>147+122+111+112+120</f>
        <v>612</v>
      </c>
      <c r="T30" s="21">
        <f>141+42+90+141+151</f>
        <v>565</v>
      </c>
      <c r="U30" s="22">
        <f t="shared" si="4"/>
        <v>1177</v>
      </c>
      <c r="V30" s="27">
        <f t="shared" si="5"/>
        <v>0.824806201550388</v>
      </c>
      <c r="W30" s="22">
        <v>2</v>
      </c>
      <c r="X30" s="22">
        <v>1177</v>
      </c>
      <c r="Y30" s="23">
        <v>120</v>
      </c>
      <c r="Z30" s="23"/>
      <c r="AA30" s="23">
        <f>38+162+113</f>
        <v>313</v>
      </c>
      <c r="AB30" s="23">
        <f>67</f>
        <v>67</v>
      </c>
      <c r="AC30" s="22">
        <f t="shared" si="6"/>
        <v>500</v>
      </c>
      <c r="AD30" s="24">
        <f t="shared" si="7"/>
        <v>-0.575191163976211</v>
      </c>
      <c r="AE30" s="22">
        <v>7</v>
      </c>
      <c r="AF30" s="22">
        <v>1177</v>
      </c>
      <c r="AG30" s="21">
        <v>13</v>
      </c>
      <c r="AH30" s="21"/>
      <c r="AI30" s="21">
        <f>76+123</f>
        <v>199</v>
      </c>
      <c r="AJ30" s="21"/>
      <c r="AK30" s="22">
        <f t="shared" si="8"/>
        <v>212</v>
      </c>
      <c r="AL30" s="28">
        <f t="shared" si="9"/>
        <v>-0.819881053525913</v>
      </c>
      <c r="AM30" s="22">
        <v>9</v>
      </c>
    </row>
    <row r="31" ht="15.75" spans="1:39">
      <c r="A31" s="20" t="s">
        <v>326</v>
      </c>
      <c r="B31" s="21"/>
      <c r="C31" s="21">
        <f>88+2</f>
        <v>90</v>
      </c>
      <c r="D31" s="21"/>
      <c r="E31" s="21">
        <f>120+147</f>
        <v>267</v>
      </c>
      <c r="F31" s="21">
        <f>79+96+110</f>
        <v>285</v>
      </c>
      <c r="G31" s="22">
        <f t="shared" si="1"/>
        <v>642</v>
      </c>
      <c r="H31" s="22">
        <v>5</v>
      </c>
      <c r="I31" s="21"/>
      <c r="J31" s="21">
        <v>284</v>
      </c>
      <c r="K31" s="21">
        <v>100</v>
      </c>
      <c r="L31" s="21">
        <f>120+108</f>
        <v>228</v>
      </c>
      <c r="M31" s="21">
        <f>60+205</f>
        <v>265</v>
      </c>
      <c r="N31" s="22">
        <f t="shared" si="2"/>
        <v>877</v>
      </c>
      <c r="O31" s="28">
        <f t="shared" si="3"/>
        <v>0.366043613707165</v>
      </c>
      <c r="P31" s="22">
        <v>5</v>
      </c>
      <c r="Q31" s="21">
        <v>101</v>
      </c>
      <c r="R31" s="21"/>
      <c r="S31" s="21">
        <f>125+151</f>
        <v>276</v>
      </c>
      <c r="T31" s="21">
        <f>70+85</f>
        <v>155</v>
      </c>
      <c r="U31" s="22">
        <f t="shared" si="4"/>
        <v>532</v>
      </c>
      <c r="V31" s="28">
        <f t="shared" si="5"/>
        <v>-0.393386545039909</v>
      </c>
      <c r="W31" s="22">
        <v>8</v>
      </c>
      <c r="X31" s="22">
        <v>877</v>
      </c>
      <c r="Y31" s="23"/>
      <c r="Z31" s="23"/>
      <c r="AA31" s="23">
        <f>86+164</f>
        <v>250</v>
      </c>
      <c r="AB31" s="23">
        <f>232+176</f>
        <v>408</v>
      </c>
      <c r="AC31" s="22">
        <f t="shared" si="6"/>
        <v>658</v>
      </c>
      <c r="AD31" s="24">
        <f t="shared" si="7"/>
        <v>-0.249714937286203</v>
      </c>
      <c r="AE31" s="22">
        <v>5</v>
      </c>
      <c r="AF31" s="22">
        <v>877</v>
      </c>
      <c r="AG31" s="21"/>
      <c r="AH31" s="21"/>
      <c r="AI31" s="21">
        <f>134</f>
        <v>134</v>
      </c>
      <c r="AJ31" s="21">
        <v>60</v>
      </c>
      <c r="AK31" s="22">
        <f t="shared" si="8"/>
        <v>194</v>
      </c>
      <c r="AL31" s="28">
        <f t="shared" si="9"/>
        <v>-0.778791334093501</v>
      </c>
      <c r="AM31" s="22">
        <v>10</v>
      </c>
    </row>
  </sheetData>
  <sortState ref="A4:R18">
    <sortCondition ref="R4:R18" descending="1"/>
  </sortState>
  <mergeCells count="2">
    <mergeCell ref="A1:T1"/>
    <mergeCell ref="A20:AM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Azaad Digital</vt:lpstr>
      <vt:lpstr>Azaad Anchors </vt:lpstr>
      <vt:lpstr>Pukhtun Digital</vt:lpstr>
      <vt:lpstr>Pakhtun Anchors</vt:lpstr>
      <vt:lpstr>Kashmir Digital</vt:lpstr>
      <vt:lpstr>Kashmir Anchors</vt:lpstr>
      <vt:lpstr>Burak </vt:lpstr>
      <vt:lpstr>Burak Anchors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abdul</cp:lastModifiedBy>
  <dcterms:created xsi:type="dcterms:W3CDTF">2015-06-05T18:17:00Z</dcterms:created>
  <cp:lastPrinted>2025-09-12T14:44:00Z</cp:lastPrinted>
  <dcterms:modified xsi:type="dcterms:W3CDTF">2025-09-18T07:55:36Z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24A455CB49B14065A0788D7413DEBEC1_13</vt:lpwstr>
  </property>
  <property fmtid="{D5CDD505-2E9C-101B-9397-08002B2CF9AE}" pid="3" name="KSOProductBuildVer">
    <vt:lpwstr>1033-12.2.0.22549</vt:lpwstr>
  </property>
</Properties>
</file>